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cripts py\Utilerias\+Utilerias\App_Venta_Inventario\data\"/>
    </mc:Choice>
  </mc:AlternateContent>
  <xr:revisionPtr revIDLastSave="0" documentId="13_ncr:1_{8F297FAC-7B5C-4A10-9DE2-E38D38D4AF24}" xr6:coauthVersionLast="47" xr6:coauthVersionMax="47" xr10:uidLastSave="{00000000-0000-0000-0000-000000000000}"/>
  <bookViews>
    <workbookView xWindow="28680" yWindow="-225" windowWidth="29040" windowHeight="15840" tabRatio="842" activeTab="7" xr2:uid="{4960AAB8-CBE2-480B-B0CC-95D0FFC36063}"/>
  </bookViews>
  <sheets>
    <sheet name="Resumen" sheetId="5" r:id="rId1"/>
    <sheet name="Inv_TelaVirgenMov" sheetId="7" r:id="rId2"/>
    <sheet name="Inv_TelaVirgen_SinMov" sheetId="9" r:id="rId3"/>
    <sheet name="TelaNoUtilizable" sheetId="12" r:id="rId4"/>
    <sheet name="Hulera" sheetId="4" r:id="rId5"/>
    <sheet name="carga hule" sheetId="10" r:id="rId6"/>
    <sheet name="Suela Mov" sheetId="14" r:id="rId7"/>
    <sheet name="suela sin  mov" sheetId="11" r:id="rId8"/>
    <sheet name="Almacén_MateriaPrima" sheetId="1" r:id="rId9"/>
    <sheet name="Caja Individual" sheetId="6" r:id="rId10"/>
    <sheet name="Agujeta" sheetId="8" r:id="rId11"/>
    <sheet name="Caja_Embarque" sheetId="2" r:id="rId12"/>
    <sheet name="Etiquetas" sheetId="3" r:id="rId13"/>
  </sheets>
  <definedNames>
    <definedName name="_xlnm.Print_Area" localSheetId="10">Agujeta!#REF!</definedName>
    <definedName name="_xlnm.Print_Area" localSheetId="8">Almacén_MateriaPrima!$A$2:$B$142</definedName>
    <definedName name="_xlnm.Print_Area" localSheetId="9">#REF!</definedName>
    <definedName name="_xlnm.Print_Area" localSheetId="11">#REF!</definedName>
    <definedName name="_xlnm.Print_Titles" localSheetId="9">'Caja Individual'!$1:$1</definedName>
    <definedName name="_xlnm.Print_Titles" localSheetId="11">Caja_Embarque!$2:$2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2" i="5"/>
  <c r="B11" i="5"/>
  <c r="B9" i="5"/>
  <c r="B8" i="5"/>
  <c r="B7" i="5"/>
  <c r="B2" i="5"/>
  <c r="J48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3" i="4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G3" i="14"/>
  <c r="G4" i="14"/>
  <c r="G5" i="14"/>
  <c r="G6" i="14"/>
  <c r="G7" i="14"/>
  <c r="G8" i="14"/>
  <c r="C46" i="7" l="1"/>
  <c r="D28" i="3"/>
  <c r="D29" i="3"/>
  <c r="D30" i="3"/>
  <c r="B19" i="1" l="1"/>
  <c r="H42" i="3"/>
  <c r="G37" i="3" l="1"/>
  <c r="G31" i="3"/>
  <c r="G29" i="3"/>
  <c r="G28" i="3"/>
  <c r="G27" i="3"/>
  <c r="G30" i="3"/>
  <c r="I7" i="10"/>
  <c r="I8" i="10"/>
  <c r="I9" i="10"/>
  <c r="I10" i="10"/>
  <c r="I12" i="10"/>
  <c r="I14" i="10"/>
  <c r="I15" i="10"/>
  <c r="I17" i="10"/>
  <c r="I20" i="10"/>
  <c r="I21" i="10"/>
  <c r="I22" i="10"/>
  <c r="I23" i="10"/>
  <c r="I24" i="10"/>
  <c r="I25" i="10"/>
  <c r="I26" i="10"/>
  <c r="I27" i="10"/>
  <c r="I28" i="10"/>
  <c r="I29" i="10"/>
  <c r="I30" i="10"/>
  <c r="C31" i="10"/>
  <c r="I31" i="10" s="1"/>
  <c r="C19" i="10"/>
  <c r="I19" i="10" s="1"/>
  <c r="C18" i="10"/>
  <c r="I18" i="10" s="1"/>
  <c r="C16" i="10"/>
  <c r="I16" i="10" s="1"/>
  <c r="C13" i="10"/>
  <c r="I13" i="10" s="1"/>
  <c r="C11" i="10"/>
  <c r="I11" i="10" s="1"/>
  <c r="C6" i="10"/>
  <c r="I6" i="10" s="1"/>
  <c r="C5" i="10"/>
  <c r="I5" i="10" s="1"/>
  <c r="C4" i="10"/>
  <c r="I4" i="10" s="1"/>
  <c r="C3" i="10"/>
  <c r="I3" i="10" s="1"/>
  <c r="C2" i="10"/>
  <c r="I2" i="10" s="1"/>
  <c r="C34" i="10"/>
  <c r="I32" i="10" l="1"/>
  <c r="C32" i="10"/>
  <c r="G5" i="3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7" i="8"/>
  <c r="I95" i="8"/>
  <c r="I92" i="8"/>
  <c r="I91" i="8"/>
  <c r="I90" i="8"/>
  <c r="I89" i="8"/>
  <c r="I88" i="8"/>
  <c r="I87" i="8"/>
  <c r="I86" i="8"/>
  <c r="I85" i="8"/>
  <c r="I83" i="8"/>
  <c r="I82" i="8"/>
  <c r="I81" i="8"/>
  <c r="I80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7" i="8"/>
  <c r="I56" i="8"/>
  <c r="I55" i="8"/>
  <c r="I54" i="8"/>
  <c r="I53" i="8"/>
  <c r="I52" i="8"/>
  <c r="I50" i="8"/>
  <c r="I48" i="8"/>
  <c r="I47" i="8"/>
  <c r="I46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0" i="8"/>
  <c r="I9" i="8"/>
  <c r="I8" i="8"/>
  <c r="I7" i="8"/>
  <c r="I6" i="8"/>
  <c r="I5" i="8"/>
  <c r="I4" i="8"/>
  <c r="I3" i="8"/>
  <c r="I2" i="8"/>
  <c r="F4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2" i="6"/>
  <c r="B126" i="1"/>
  <c r="B125" i="1"/>
  <c r="B103" i="1"/>
  <c r="B102" i="1"/>
  <c r="B101" i="1"/>
  <c r="B71" i="1"/>
  <c r="B65" i="1"/>
  <c r="B62" i="1"/>
  <c r="B35" i="1"/>
  <c r="B34" i="1"/>
  <c r="B14" i="1"/>
  <c r="B11" i="1"/>
  <c r="B9" i="1"/>
  <c r="B8" i="1"/>
  <c r="B7" i="1"/>
  <c r="B6" i="1"/>
  <c r="B4" i="1"/>
  <c r="B3" i="1"/>
  <c r="F9" i="8"/>
  <c r="F5" i="8"/>
  <c r="D9" i="14" l="1"/>
  <c r="D8" i="14"/>
  <c r="D7" i="14"/>
  <c r="D6" i="14"/>
  <c r="D5" i="14"/>
  <c r="D4" i="14"/>
  <c r="D3" i="14"/>
  <c r="E32" i="10"/>
  <c r="G9" i="14" l="1"/>
  <c r="C26" i="4"/>
  <c r="C42" i="4"/>
  <c r="C16" i="4"/>
  <c r="B86" i="1"/>
  <c r="C34" i="1"/>
  <c r="E25" i="11"/>
  <c r="E5" i="11"/>
  <c r="E4" i="11"/>
  <c r="E35" i="7" l="1"/>
  <c r="E38" i="7"/>
  <c r="E37" i="7"/>
  <c r="C30" i="7"/>
  <c r="E36" i="7" l="1"/>
  <c r="E24" i="7"/>
  <c r="E25" i="7"/>
  <c r="E26" i="7"/>
  <c r="E27" i="7"/>
  <c r="E28" i="7"/>
  <c r="E29" i="7"/>
  <c r="E31" i="7"/>
  <c r="E32" i="7"/>
  <c r="E33" i="7"/>
  <c r="E34" i="7"/>
  <c r="E39" i="7"/>
  <c r="E40" i="7"/>
  <c r="F148" i="9"/>
  <c r="F149" i="9"/>
  <c r="F150" i="9"/>
  <c r="F151" i="9"/>
  <c r="F152" i="9"/>
  <c r="F153" i="9"/>
  <c r="F154" i="9"/>
  <c r="F155" i="9"/>
  <c r="F156" i="9"/>
  <c r="F157" i="9"/>
  <c r="F158" i="9"/>
  <c r="F159" i="9"/>
  <c r="F142" i="9"/>
  <c r="F143" i="9"/>
  <c r="F144" i="9"/>
  <c r="F145" i="9"/>
  <c r="F146" i="9"/>
  <c r="F147" i="9"/>
  <c r="F160" i="9"/>
  <c r="F161" i="9"/>
  <c r="F162" i="9"/>
  <c r="F163" i="9"/>
  <c r="F164" i="9"/>
  <c r="F178" i="9"/>
  <c r="F168" i="9"/>
  <c r="E22" i="7"/>
  <c r="E23" i="7"/>
  <c r="F80" i="9"/>
  <c r="F81" i="9"/>
  <c r="F82" i="9"/>
  <c r="F83" i="9"/>
  <c r="C179" i="9"/>
  <c r="F179" i="9" s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65" i="9"/>
  <c r="F166" i="9"/>
  <c r="F167" i="9"/>
  <c r="F169" i="9"/>
  <c r="F170" i="9"/>
  <c r="F171" i="9"/>
  <c r="F172" i="9"/>
  <c r="F173" i="9"/>
  <c r="F174" i="9"/>
  <c r="F175" i="9"/>
  <c r="F176" i="9"/>
  <c r="F177" i="9"/>
  <c r="F2" i="9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7" i="7"/>
  <c r="E18" i="7"/>
  <c r="E19" i="7"/>
  <c r="E20" i="7"/>
  <c r="E21" i="7"/>
  <c r="E2" i="7"/>
  <c r="C16" i="7"/>
  <c r="C32" i="9"/>
  <c r="E16" i="7" l="1"/>
  <c r="C43" i="7"/>
  <c r="E43" i="7"/>
  <c r="F32" i="9"/>
  <c r="F180" i="9" s="1"/>
  <c r="C181" i="9"/>
  <c r="I11" i="8"/>
  <c r="I164" i="8" s="1"/>
  <c r="I44" i="8"/>
  <c r="I45" i="8"/>
  <c r="I49" i="8"/>
  <c r="I51" i="8"/>
  <c r="I58" i="8"/>
  <c r="I59" i="8"/>
  <c r="I78" i="8"/>
  <c r="I79" i="8"/>
  <c r="I84" i="8"/>
  <c r="I93" i="8"/>
  <c r="I94" i="8"/>
  <c r="I96" i="8"/>
  <c r="I98" i="8"/>
  <c r="I99" i="8"/>
  <c r="I127" i="8"/>
  <c r="E30" i="7"/>
  <c r="E19" i="12"/>
  <c r="E18" i="12"/>
  <c r="E17" i="12"/>
  <c r="E16" i="12"/>
  <c r="E15" i="12"/>
  <c r="C2" i="12"/>
  <c r="E2" i="12" s="1"/>
  <c r="E14" i="12"/>
  <c r="E12" i="12"/>
  <c r="E13" i="12"/>
  <c r="E11" i="12"/>
  <c r="E10" i="12"/>
  <c r="E9" i="12"/>
  <c r="E8" i="12"/>
  <c r="E7" i="12"/>
  <c r="E6" i="12"/>
  <c r="E5" i="12"/>
  <c r="E4" i="12"/>
  <c r="E3" i="12"/>
  <c r="I166" i="8" l="1"/>
  <c r="I168" i="8"/>
  <c r="B3" i="5" s="1"/>
  <c r="I169" i="8" l="1"/>
  <c r="B4" i="5" s="1"/>
  <c r="B14" i="5" l="1"/>
  <c r="B105" i="1" l="1"/>
  <c r="B13" i="1"/>
  <c r="B5" i="1"/>
  <c r="C54" i="1" l="1"/>
  <c r="C35" i="1"/>
  <c r="G48" i="2" l="1"/>
  <c r="G41" i="3"/>
  <c r="G40" i="3"/>
  <c r="G39" i="3"/>
  <c r="I46" i="2" l="1"/>
  <c r="J46" i="2"/>
  <c r="I45" i="2"/>
  <c r="J45" i="2"/>
  <c r="I44" i="2"/>
  <c r="J44" i="2"/>
  <c r="I43" i="2"/>
  <c r="J43" i="2"/>
  <c r="D45" i="3"/>
  <c r="G38" i="3" l="1"/>
  <c r="E3" i="1" l="1"/>
  <c r="I3" i="11" l="1"/>
  <c r="I4" i="11"/>
  <c r="I5" i="11"/>
  <c r="I6" i="11"/>
  <c r="I7" i="11"/>
  <c r="I8" i="11"/>
  <c r="I9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3" i="11"/>
  <c r="I34" i="11"/>
  <c r="H32" i="11"/>
  <c r="I32" i="11" s="1"/>
  <c r="H33" i="11"/>
  <c r="H34" i="11"/>
  <c r="I17" i="11"/>
  <c r="I16" i="11"/>
  <c r="I15" i="11"/>
  <c r="I14" i="11"/>
  <c r="I13" i="11"/>
  <c r="I12" i="11"/>
  <c r="I11" i="11"/>
  <c r="I10" i="11"/>
  <c r="I35" i="11" l="1"/>
  <c r="B13" i="5" s="1"/>
  <c r="E35" i="11"/>
  <c r="G3" i="3"/>
  <c r="G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2" i="3"/>
  <c r="G33" i="3"/>
  <c r="G34" i="3"/>
  <c r="G35" i="3"/>
  <c r="G36" i="3"/>
  <c r="G2" i="3"/>
  <c r="G42" i="3" l="1"/>
  <c r="G45" i="3"/>
  <c r="F54" i="6"/>
  <c r="E57" i="6" s="1"/>
  <c r="E58" i="6"/>
  <c r="I31" i="2"/>
  <c r="J31" i="2"/>
  <c r="B6" i="5" l="1"/>
  <c r="B5" i="5"/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2" i="2"/>
  <c r="J33" i="2"/>
  <c r="J34" i="2"/>
  <c r="J35" i="2"/>
  <c r="J36" i="2"/>
  <c r="J37" i="2"/>
  <c r="J38" i="2"/>
  <c r="J39" i="2"/>
  <c r="J40" i="2"/>
  <c r="J41" i="2"/>
  <c r="J4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2" i="2"/>
  <c r="I33" i="2"/>
  <c r="I34" i="2"/>
  <c r="I35" i="2"/>
  <c r="I36" i="2"/>
  <c r="I37" i="2"/>
  <c r="I38" i="2"/>
  <c r="I39" i="2"/>
  <c r="I40" i="2"/>
  <c r="I41" i="2"/>
  <c r="I42" i="2"/>
  <c r="I3" i="2"/>
  <c r="I48" i="2" l="1"/>
  <c r="F56" i="4"/>
  <c r="B10" i="5" l="1"/>
  <c r="F52" i="4"/>
  <c r="E149" i="1"/>
  <c r="F55" i="4" l="1"/>
  <c r="E150" i="1"/>
  <c r="E22" i="12"/>
  <c r="C22" i="12"/>
  <c r="C16" i="5" s="1"/>
  <c r="B1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</author>
  </authors>
  <commentList>
    <comment ref="A10" authorId="0" shapeId="0" xr:uid="{F123BCCF-EA93-4989-9D0B-1FC8E9F639EE}">
      <text>
        <r>
          <rPr>
            <b/>
            <sz val="9"/>
            <color indexed="81"/>
            <rFont val="Tahoma"/>
            <family val="2"/>
          </rPr>
          <t>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" authorId="0" shapeId="0" xr:uid="{B567B70C-D576-470C-98D4-BC2BB0A0C19F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C125" authorId="0" shapeId="0" xr:uid="{0CA10C82-B12A-4E43-840D-B349C637AA4D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C126" authorId="0" shapeId="0" xr:uid="{45DDEBEF-FB16-421B-AD4E-77051EECF3DA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C127" authorId="0" shapeId="0" xr:uid="{A538FEDC-AEB5-47CF-8E49-59AA78B3EB07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C148" authorId="0" shapeId="0" xr:uid="{CC947F54-5E3C-43B0-BC91-F64C0FC538FE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</author>
  </authors>
  <commentList>
    <comment ref="D38" authorId="0" shapeId="0" xr:uid="{295A2623-D5E3-4530-A8A3-1D718F09B114}">
      <text>
        <r>
          <rPr>
            <b/>
            <sz val="9"/>
            <color indexed="81"/>
            <rFont val="Tahoma"/>
            <family val="2"/>
          </rPr>
          <t>Blanca:</t>
        </r>
        <r>
          <rPr>
            <sz val="9"/>
            <color indexed="81"/>
            <rFont val="Tahoma"/>
            <family val="2"/>
          </rPr>
          <t xml:space="preserve">
* 10'000 etiquetas se compraron para Karosso
* 673 etiq sobrantes de pedido anterior</t>
        </r>
      </text>
    </comment>
  </commentList>
</comments>
</file>

<file path=xl/sharedStrings.xml><?xml version="1.0" encoding="utf-8"?>
<sst xmlns="http://schemas.openxmlformats.org/spreadsheetml/2006/main" count="2203" uniqueCount="1010">
  <si>
    <t>PRECIO NO INCLUYE IVA</t>
  </si>
  <si>
    <t>INVENTARIO</t>
  </si>
  <si>
    <t>PRECIO</t>
  </si>
  <si>
    <t>UNIDAD</t>
  </si>
  <si>
    <t>Importe</t>
  </si>
  <si>
    <t>OBSERVACIONES</t>
  </si>
  <si>
    <t>x MILLAR</t>
  </si>
  <si>
    <t>CANDADO 49 mm</t>
  </si>
  <si>
    <t>CANDADO 67 mm</t>
  </si>
  <si>
    <t>CANDADO 70 mm</t>
  </si>
  <si>
    <t>CANDADO 52 mm</t>
  </si>
  <si>
    <t>CANDADO 40 mm</t>
  </si>
  <si>
    <t>CANDADO 37 mm</t>
  </si>
  <si>
    <t>PLASTI FLECHA ITEM NR 20PP</t>
  </si>
  <si>
    <t>X CAJA (5'000 piezas)</t>
  </si>
  <si>
    <t>CANDADO LISO 5"</t>
  </si>
  <si>
    <t>PAPEL COLLEC 30 X 65</t>
  </si>
  <si>
    <t>El precio por millar de este material, con base a una medida 70*90 cm, de la cual se saca cada corte que utilizamos, por ejemplo: En la medida 30*65, son tres cortes del millar de papel de 70*90.</t>
  </si>
  <si>
    <t>PAPEL COLLEC 36 X 70</t>
  </si>
  <si>
    <t>PAPEL COLLEC 40 X 70</t>
  </si>
  <si>
    <t>PAPEL DE CHINA BLANCO 15 X 60</t>
  </si>
  <si>
    <t>PAPEL DE CHINA BLANCO 21 X 60</t>
  </si>
  <si>
    <t>PAPEL DE CHINA BLANCO 15 X 70</t>
  </si>
  <si>
    <t>PAPEL DE CHINA BLANCO 25 X 70</t>
  </si>
  <si>
    <t>PAPEL DE CHINA BLANCO 18 X 70</t>
  </si>
  <si>
    <t>PAPEL DE CHINA BLANCO 27 X 70</t>
  </si>
  <si>
    <t>ESTOPA</t>
  </si>
  <si>
    <t>PACA (50 kg)</t>
  </si>
  <si>
    <t>ESCOBAS</t>
  </si>
  <si>
    <t>PZA</t>
  </si>
  <si>
    <t>TACHUELAS</t>
  </si>
  <si>
    <t>CAJA/1000</t>
  </si>
  <si>
    <t>HOTMELT</t>
  </si>
  <si>
    <t>KG</t>
  </si>
  <si>
    <t>PAPEL HIGIENICO(12)</t>
  </si>
  <si>
    <t>CAJA /12</t>
  </si>
  <si>
    <t>GUANTES BLANCO (12)</t>
  </si>
  <si>
    <t>GUANTES GRIS JAPONES(12)</t>
  </si>
  <si>
    <t>FUNDA MOP 60 CM (CHICA)</t>
  </si>
  <si>
    <t>FUNDA MOP 90 CM  (MEDIANA)</t>
  </si>
  <si>
    <t>FUNDA MOP 125 CM (GRANDE)</t>
  </si>
  <si>
    <t>FLEJE BLANCO / TRANSPARENTE</t>
  </si>
  <si>
    <t>FLEJE AMARILLO 15mm</t>
  </si>
  <si>
    <t>PZA/1500 MTS aprox</t>
  </si>
  <si>
    <t>ARF-1000</t>
  </si>
  <si>
    <t>CONOS (PAQUETES)</t>
  </si>
  <si>
    <t>CAJA/50 PZAS</t>
  </si>
  <si>
    <t>CINTA TRANSPARENTE 2"</t>
  </si>
  <si>
    <t>CINTA TRASPARENTE  3"</t>
  </si>
  <si>
    <t>CINTA VERDE</t>
  </si>
  <si>
    <t>CINTA ROJA</t>
  </si>
  <si>
    <t>CINTA AZUL (KEDS)</t>
  </si>
  <si>
    <t>CINTA IMPRESA SKECHERS</t>
  </si>
  <si>
    <t>CINTA IMPRESA SUPERGA</t>
  </si>
  <si>
    <t>CINTA IMPRESA KEEN</t>
  </si>
  <si>
    <t>CINTA IMPRESA CHARLY</t>
  </si>
  <si>
    <t>CINTA IMPRESA COLLEC</t>
  </si>
  <si>
    <t>ETIQ. COLGANTE COLLEC</t>
  </si>
  <si>
    <t>MILLAR</t>
  </si>
  <si>
    <t xml:space="preserve">ETIQ.  LAVADO </t>
  </si>
  <si>
    <t>ETIQ.  ANTIDERRAPANTE URBAN</t>
  </si>
  <si>
    <t>Ojillo Plata/ Collec</t>
  </si>
  <si>
    <t>Millar</t>
  </si>
  <si>
    <t>OJILLO PLATA 877 8MM</t>
  </si>
  <si>
    <t>OJILLO MARINO 540 8MM</t>
  </si>
  <si>
    <t>OJILLO MARINO 739 8MM</t>
  </si>
  <si>
    <t>OJILLO ROJO E20 8MM</t>
  </si>
  <si>
    <t>OJILLO LATÓN VIEJO 8MM</t>
  </si>
  <si>
    <t>OJILLO ESMALTADO NEGRO E50 8MM</t>
  </si>
  <si>
    <t>OJILLO VINO 8MM</t>
  </si>
  <si>
    <t>OJILLO DORADO</t>
  </si>
  <si>
    <t>Importado</t>
  </si>
  <si>
    <t>OJILLO AZUL CIELO 8MM</t>
  </si>
  <si>
    <t>OJILLO GRIS 027 8MM</t>
  </si>
  <si>
    <t>TRAPEADORES</t>
  </si>
  <si>
    <t>PAPEL IMP-URBAN</t>
  </si>
  <si>
    <t>PAPEL CORE 40X70</t>
  </si>
  <si>
    <t>PAPEL IMPRESO BLANX</t>
  </si>
  <si>
    <t>PAPEL IMPRESO POLO</t>
  </si>
  <si>
    <t>PAPEL IMPRESO GOODYEAR</t>
  </si>
  <si>
    <t>PAPEL IMPRESO NEXT &amp; CO</t>
  </si>
  <si>
    <t>PAPEL IMPRESO SKECHERS 21.5 X 90 CM</t>
  </si>
  <si>
    <t>PAPEL IMPRESO SKECHERS 18 X 90 CM</t>
  </si>
  <si>
    <t>PAPEL IMPRESO SUPERGA</t>
  </si>
  <si>
    <t>PAPEL HARLEY DAVISON GRANDE</t>
  </si>
  <si>
    <t>PAPEL HARLEY DAVISON CHICO</t>
  </si>
  <si>
    <t>Papel Celofán</t>
  </si>
  <si>
    <t>HILO DEL 30 BLANCO P/JARETA LEON CONO AZUL</t>
  </si>
  <si>
    <t>HILO DEL 30 BLANCO P/JARETA LEON CONO BLANCO</t>
  </si>
  <si>
    <t>JARETA LEON</t>
  </si>
  <si>
    <t>PELÍCULA PLÁSTICA</t>
  </si>
  <si>
    <t>ROLLO</t>
  </si>
  <si>
    <t xml:space="preserve"> BOLSA 25 X 35</t>
  </si>
  <si>
    <t>BOLSA 30 X 40 URBAN</t>
  </si>
  <si>
    <t>BOLSA 40 X 60</t>
  </si>
  <si>
    <t>BOLSA NEGRA JUMBO</t>
  </si>
  <si>
    <t>BOLSA 70 X 90</t>
  </si>
  <si>
    <t>GEL ANTIBACTERIAL</t>
  </si>
  <si>
    <t>LTO</t>
  </si>
  <si>
    <t>SANITIZANTE (SALES CUATERNARIAS)</t>
  </si>
  <si>
    <t>ACEITE PARA MOP</t>
  </si>
  <si>
    <t>SHAMPOO</t>
  </si>
  <si>
    <t>FABULOSO</t>
  </si>
  <si>
    <t>CLORO</t>
  </si>
  <si>
    <t>Garrafón 20 lts</t>
  </si>
  <si>
    <t xml:space="preserve">PASTILLA AROMATIZANTE </t>
  </si>
  <si>
    <t>PASTILLA PARA MINGITORIO</t>
  </si>
  <si>
    <t>BULTO</t>
  </si>
  <si>
    <t>ESPONJA GRUESA</t>
  </si>
  <si>
    <t>ESPONJA DELGADA</t>
  </si>
  <si>
    <t>PEGAMENTO R-20 REACTOR</t>
  </si>
  <si>
    <t>LATA</t>
  </si>
  <si>
    <t>PEGAMENTO R-77 REACTOR</t>
  </si>
  <si>
    <t>D-2015</t>
  </si>
  <si>
    <t>ADHESIVO EUROTEK</t>
  </si>
  <si>
    <t>HEXANO (BARRILES)</t>
  </si>
  <si>
    <t>TULOUL (BARRILES)</t>
  </si>
  <si>
    <t>B-CH LAVADOR</t>
  </si>
  <si>
    <t>LTS</t>
  </si>
  <si>
    <t>SOLVENTE MK</t>
  </si>
  <si>
    <t>MK (15k lata)</t>
  </si>
  <si>
    <t>PAZ (lata)</t>
  </si>
  <si>
    <t>DR-1500</t>
  </si>
  <si>
    <t>LATA 358 14 KG</t>
  </si>
  <si>
    <t>LATA PRIMER 203 VUST 12.5 KG</t>
  </si>
  <si>
    <t>VULCANIZANTE 37 90 G.</t>
  </si>
  <si>
    <t>FRASCO</t>
  </si>
  <si>
    <t>Se nos regala</t>
  </si>
  <si>
    <t>CATALIZADOR KB36VU 900 G.</t>
  </si>
  <si>
    <t>KF4400 15 KG</t>
  </si>
  <si>
    <t>Cubeta 15 kg</t>
  </si>
  <si>
    <t>KISAFIX PU 14001 SM3 15 KG</t>
  </si>
  <si>
    <t>CATALISADOR KB44VU 900G</t>
  </si>
  <si>
    <t>Frasco 900 g</t>
  </si>
  <si>
    <t>CATALISADOR KB03 900 G</t>
  </si>
  <si>
    <t>PIGMENTO KFSIC10_6KG</t>
  </si>
  <si>
    <t>Cubeta 6 kg</t>
  </si>
  <si>
    <t>LIMPIADOR LC/H18-18LT</t>
  </si>
  <si>
    <t>LATA 90SO44 18L</t>
  </si>
  <si>
    <t>ACRIRALLI</t>
  </si>
  <si>
    <t>BARRIL</t>
  </si>
  <si>
    <t xml:space="preserve">LATEX </t>
  </si>
  <si>
    <t>LÁTEX VANS</t>
  </si>
  <si>
    <t>HALOGENADOR</t>
  </si>
  <si>
    <t>LATEX  NAM</t>
  </si>
  <si>
    <t>Sólo factura</t>
  </si>
  <si>
    <t>WHAT1</t>
  </si>
  <si>
    <t># Material</t>
  </si>
  <si>
    <t>Proveedor</t>
  </si>
  <si>
    <t>CAJA</t>
  </si>
  <si>
    <t>COSTO</t>
  </si>
  <si>
    <t>USADA EN:</t>
  </si>
  <si>
    <t>Prs/Caja</t>
  </si>
  <si>
    <t>En Pares</t>
  </si>
  <si>
    <t>OBS</t>
  </si>
  <si>
    <t>Imagen en Cartón</t>
  </si>
  <si>
    <t>AE-12P</t>
  </si>
  <si>
    <t>Ae Niña (AEK), cajas combinadas 18/21 y 2/5</t>
  </si>
  <si>
    <t>ES2</t>
  </si>
  <si>
    <t>AE CABALLERO1 ó Combinadas (caballero 1 y 2) / AIRWALK</t>
  </si>
  <si>
    <t>C-1</t>
  </si>
  <si>
    <t>Utilizada para caja chancleta de Price Shoes</t>
  </si>
  <si>
    <t>C-2</t>
  </si>
  <si>
    <t>Utilizada para caja caballero de Price Shoes</t>
  </si>
  <si>
    <t>Polo 12P</t>
  </si>
  <si>
    <t>Utilizada sólo en marca Polo</t>
  </si>
  <si>
    <t>Náutica 12P</t>
  </si>
  <si>
    <t>Utilizada sólo en marca Náutica</t>
  </si>
  <si>
    <t>DC/Chica</t>
  </si>
  <si>
    <t>DC/CHICA</t>
  </si>
  <si>
    <t>DC/Grande</t>
  </si>
  <si>
    <t>HD6P</t>
  </si>
  <si>
    <t>HD CAJA MEDIANA</t>
  </si>
  <si>
    <t>HD26P</t>
  </si>
  <si>
    <t>Harley davidson grande (6prs) y Caja Grande Superga (7 prs)</t>
  </si>
  <si>
    <t>HD36P</t>
  </si>
  <si>
    <t>Harley davidson XG (6prs)</t>
  </si>
  <si>
    <t>SUPERGA CHICA</t>
  </si>
  <si>
    <t>12 PARES SUPERGA (CAJA CHICA)</t>
  </si>
  <si>
    <t>SUPERGA GRANDE</t>
  </si>
  <si>
    <t>12 PARES SUPERGA (CAJA MEDIANA)</t>
  </si>
  <si>
    <t>SUPERGA CHICA
 (nva medida)</t>
  </si>
  <si>
    <t>SUPERGA GRANDE
 (nva medida)</t>
  </si>
  <si>
    <t>Superga
Plataforma</t>
  </si>
  <si>
    <t>SUPERGA PLATAFORMA</t>
  </si>
  <si>
    <t>CartoEmpaques</t>
  </si>
  <si>
    <t>KEEN SMALL</t>
  </si>
  <si>
    <t xml:space="preserve">SÓLO KEEN </t>
  </si>
  <si>
    <t>Utilizada para 2das Vans</t>
  </si>
  <si>
    <t>KEEN MEDIUM</t>
  </si>
  <si>
    <t>KEEN LARGE</t>
  </si>
  <si>
    <t>Skechers 1  
(10½  al 12½)</t>
  </si>
  <si>
    <t>SÓLO SKECHERS NIÑOS</t>
  </si>
  <si>
    <t>Skechers 2 
(13, 13½, 1, 1½)</t>
  </si>
  <si>
    <t>Skechers 3 
(2 al 3)</t>
  </si>
  <si>
    <t>Skechers 4 
(3½ al 5)</t>
  </si>
  <si>
    <t>Skechers 5 
(5½ al 7)</t>
  </si>
  <si>
    <t>SK6 
 6prs_Chica</t>
  </si>
  <si>
    <t>SÓLO SKECHERS COCINA</t>
  </si>
  <si>
    <t>SK7 
6prs_Grande</t>
  </si>
  <si>
    <t>SK8 
 12 prs / Grande</t>
  </si>
  <si>
    <t>Skechers 
Niña1</t>
  </si>
  <si>
    <t>SÓLO SKECHERS</t>
  </si>
  <si>
    <t>YA NO SE UTILIZA</t>
  </si>
  <si>
    <t>AlfaPaq</t>
  </si>
  <si>
    <t>Blanx 
Chica</t>
  </si>
  <si>
    <t>SÓLO BLANX</t>
  </si>
  <si>
    <t>Blanx 
Grande</t>
  </si>
  <si>
    <t xml:space="preserve"> A4-6</t>
  </si>
  <si>
    <t>VANS</t>
  </si>
  <si>
    <t xml:space="preserve"> A4-12</t>
  </si>
  <si>
    <t>A5-6</t>
  </si>
  <si>
    <t>A5-12</t>
  </si>
  <si>
    <t>A0-6</t>
  </si>
  <si>
    <t>A0-12</t>
  </si>
  <si>
    <t>VANS / GOODYEAR (Price Shoes)</t>
  </si>
  <si>
    <t>A6-6</t>
  </si>
  <si>
    <t>A6-12</t>
  </si>
  <si>
    <t>6 B</t>
  </si>
  <si>
    <t>NEXT &amp; CO</t>
  </si>
  <si>
    <t>Descripción</t>
  </si>
  <si>
    <t>No. Ref</t>
  </si>
  <si>
    <t>Imagen</t>
  </si>
  <si>
    <t>Tipo</t>
  </si>
  <si>
    <t>Costo x pieza</t>
  </si>
  <si>
    <t>Total</t>
  </si>
  <si>
    <t>Precios NO incluyen IVA</t>
  </si>
  <si>
    <t>n/a</t>
  </si>
  <si>
    <t>Nacional</t>
  </si>
  <si>
    <t>Etiqueta Colgante Superga</t>
  </si>
  <si>
    <t>Importación</t>
  </si>
  <si>
    <t>Sticker Superga</t>
  </si>
  <si>
    <t>Etiqueta suela Superga</t>
  </si>
  <si>
    <t>No se utiliza porque nos la mandaron con descripción de "piel"</t>
  </si>
  <si>
    <t xml:space="preserve">Etiqueta Colgante </t>
  </si>
  <si>
    <t>HT-3537 V1</t>
  </si>
  <si>
    <t>Etiqueta Colgante Skechers Lavado</t>
  </si>
  <si>
    <t>HT-3492 V1</t>
  </si>
  <si>
    <t xml:space="preserve">Sticker Chico </t>
  </si>
  <si>
    <t>ST-3491 20*60 MM</t>
  </si>
  <si>
    <t xml:space="preserve">Sticker grande </t>
  </si>
  <si>
    <t>ST-3217 V1 5*3 CM</t>
  </si>
  <si>
    <t>Cadenita</t>
  </si>
  <si>
    <t>3 inches</t>
  </si>
  <si>
    <t xml:space="preserve">BOYS 
RUBBER 
BOTTOM 
STICKER Stickers </t>
  </si>
  <si>
    <t>PST-122250</t>
  </si>
  <si>
    <t>Etiqueta adhesiva Cocina</t>
  </si>
  <si>
    <t>SK-ST223</t>
  </si>
  <si>
    <t>Etiqueta Colgante Cocina</t>
  </si>
  <si>
    <t>SK-HT287</t>
  </si>
  <si>
    <t>Etiqueta Colgante Skechers Arte</t>
  </si>
  <si>
    <t>HT 3578-N   V1</t>
  </si>
  <si>
    <t>HT 3492-N   V1</t>
  </si>
  <si>
    <t>Etiqueta Colgante Skechers Rubber</t>
  </si>
  <si>
    <t>PHT 104405 V1</t>
  </si>
  <si>
    <t xml:space="preserve">Sticker lavado Chico </t>
  </si>
  <si>
    <t>ST-3491(PST-1140380 V1   1*1"</t>
  </si>
  <si>
    <t>Sticker Rubber Chico</t>
  </si>
  <si>
    <t>PST-104408 V1 1*1"</t>
  </si>
  <si>
    <t xml:space="preserve">Sticker lavado Grande </t>
  </si>
  <si>
    <t>ST-3491(PST-1140380 V1   32*32 MM</t>
  </si>
  <si>
    <t xml:space="preserve">Sticker Rubber Grande </t>
  </si>
  <si>
    <t>PST-104408 V1 32*32 MM</t>
  </si>
  <si>
    <t xml:space="preserve"> KIDS UNISEX 
RECYCLABLE L RUN 
HANGTAG 
Paper Hang Tag  </t>
  </si>
  <si>
    <t>PHT-104304</t>
  </si>
  <si>
    <t>KIDS NEW UNISEX 
MACHINE WASHABLE 
L RUN HANGTAG
Paper Hang Tag</t>
  </si>
  <si>
    <t>PHT-113101</t>
  </si>
  <si>
    <t>PKU45089   
KIDS NEW UNISEX MACHINE WASHABLE BOX
STICKER Stickers</t>
  </si>
  <si>
    <t>PST-113103</t>
  </si>
  <si>
    <t xml:space="preserve">GIRLS 
DURABLE 
RUBBER BOTTOM 
BOX FLAP 
STICKER </t>
  </si>
  <si>
    <t>PST-104408
19x59mm</t>
  </si>
  <si>
    <t>GIRLS DURABLE 
RUBBER 
BOTTOM 
L RUN HANGTAG
 Paper
Hang Tag</t>
  </si>
  <si>
    <t>PHT-104404</t>
  </si>
  <si>
    <t xml:space="preserve"> BOYS RUBBER BOTTOM L RUN HANGTAG Paper Hang Tag </t>
  </si>
  <si>
    <t>PHT-122246</t>
  </si>
  <si>
    <t>ARCILLA</t>
  </si>
  <si>
    <t>N/A</t>
  </si>
  <si>
    <t>Materiales</t>
  </si>
  <si>
    <t>NOMBRE
SIMPLE</t>
  </si>
  <si>
    <t>CANTIDAD</t>
  </si>
  <si>
    <t>Unidad</t>
  </si>
  <si>
    <t>Antioxidante</t>
  </si>
  <si>
    <t>Kg</t>
  </si>
  <si>
    <t>Dólares</t>
  </si>
  <si>
    <t>CARBONATO DE CALCIO MICRONIZADO 1</t>
  </si>
  <si>
    <t>Carbonato de calcio micronizado</t>
  </si>
  <si>
    <t>CARBONATO DE CALCIO PRECIPITAD</t>
  </si>
  <si>
    <t>Carbonato de calcio precipitado</t>
  </si>
  <si>
    <t>MIXLAND S80 GA F500 
AZUFRE
Bombones</t>
  </si>
  <si>
    <t>AZUFRE</t>
  </si>
  <si>
    <t>MIXLAND NEW GEN TMTD 80G Bombones</t>
  </si>
  <si>
    <t>TMT/
Bombones</t>
  </si>
  <si>
    <t>TMTD
Polvo</t>
  </si>
  <si>
    <t>TMT/
Polvo</t>
  </si>
  <si>
    <t>BIOXIDO DE TITANIO R 103</t>
  </si>
  <si>
    <t>Bióxido de titanio R-103</t>
  </si>
  <si>
    <t>AC EST Q1012 ESCAMAS</t>
  </si>
  <si>
    <t>Ácido estéarico
Q1012
Escamas</t>
  </si>
  <si>
    <t>ACELERANTE M.B.T.S. POLVO (SOVCHEM MBTS POLVO)</t>
  </si>
  <si>
    <t>MBTS/
Polvo</t>
  </si>
  <si>
    <t>MIXLAND NEW GEN MBTS 75G
Bombones</t>
  </si>
  <si>
    <t>MBTS/
Bombones</t>
  </si>
  <si>
    <t>A032 MASTER CREPE NEGRO</t>
  </si>
  <si>
    <t>ACEITE NAFTENICO 100</t>
  </si>
  <si>
    <t>Litros</t>
  </si>
  <si>
    <t>AZUFRE EXTRAFINO</t>
  </si>
  <si>
    <t>Azufre
Extrafino</t>
  </si>
  <si>
    <t>BAYFERROX CAFE 686</t>
  </si>
  <si>
    <t>Última compra localizada
14.06.2021</t>
  </si>
  <si>
    <t>BREA CLARA W</t>
  </si>
  <si>
    <t>Brea
Clara</t>
  </si>
  <si>
    <t>ESTEARATO DE ZINC T(PROQUIESTAR ZN)(PETRAC ZN)</t>
  </si>
  <si>
    <t>ESTEREATO DE ZINC</t>
  </si>
  <si>
    <t>HULE EMULPRENE E260 CONCHITAS</t>
  </si>
  <si>
    <t>IPISA SILANO 69</t>
  </si>
  <si>
    <t>MICROTARD   A</t>
  </si>
  <si>
    <t>MONO COAT E 304</t>
  </si>
  <si>
    <t>NBR 6850 LG HULE</t>
  </si>
  <si>
    <t>OXIDO DE ZINC TRANSPARENTE COREANO</t>
  </si>
  <si>
    <t>PLURACOL E-4000</t>
  </si>
  <si>
    <t>SILICA HULERA SP-200 GRANULADO</t>
  </si>
  <si>
    <t>Sílica Granulada</t>
  </si>
  <si>
    <t>STRUKTOL A-60 (PESTIZANTE)</t>
  </si>
  <si>
    <t>Última compra localizada
26.11.2020</t>
  </si>
  <si>
    <t>RESINA FENÓLICA</t>
  </si>
  <si>
    <t>RESINA</t>
  </si>
  <si>
    <t>SÍLICA MICROPERLA</t>
  </si>
  <si>
    <t>PIGMENTO ROJO R2</t>
  </si>
  <si>
    <t>No hay compras en sistema de éste material</t>
  </si>
  <si>
    <t>PIGMENTO NARANJA H2G2</t>
  </si>
  <si>
    <t>PIGMENTO ROJO ÓXIDO</t>
  </si>
  <si>
    <t>PIGMENTO AZUL 7012</t>
  </si>
  <si>
    <t>DIATILENGLICOL</t>
  </si>
  <si>
    <t>DIETILENGLICOL</t>
  </si>
  <si>
    <t>Última compra localizada
21.07.2021</t>
  </si>
  <si>
    <t>ÓXIDO DE ZINC ACTIVO</t>
  </si>
  <si>
    <t>DESMOLDANTE A-16</t>
  </si>
  <si>
    <t>DESMOLDANTE SPRAY</t>
  </si>
  <si>
    <t>Pza</t>
  </si>
  <si>
    <t>SAL PELLETS AQUATROL 20KGS</t>
  </si>
  <si>
    <t xml:space="preserve">SUAVIZADOR DE AGUA </t>
  </si>
  <si>
    <t>HULE 3L</t>
  </si>
  <si>
    <t>HULE 1502 PRIMERA OSCURO</t>
  </si>
  <si>
    <t>HULE 1502 OSCURO</t>
  </si>
  <si>
    <t>HULE 1502 ECO</t>
  </si>
  <si>
    <t>HULE STR20 BR</t>
  </si>
  <si>
    <t>HULE HM20</t>
  </si>
  <si>
    <t>Última compra localizada
26.09.2022</t>
  </si>
  <si>
    <t>HULE PBD</t>
  </si>
  <si>
    <t>CODIGO</t>
  </si>
  <si>
    <t>MARCA</t>
  </si>
  <si>
    <t>MEDIDA</t>
  </si>
  <si>
    <t>COLOR</t>
  </si>
  <si>
    <t>Costo 
Unitario</t>
  </si>
  <si>
    <t>AIRWALK</t>
  </si>
  <si>
    <t>BLANX</t>
  </si>
  <si>
    <t>COLLEC</t>
  </si>
  <si>
    <t>15 / 17½</t>
  </si>
  <si>
    <t>18 / 21</t>
  </si>
  <si>
    <t>22 / 25</t>
  </si>
  <si>
    <t>25 / 28</t>
  </si>
  <si>
    <t>CORE</t>
  </si>
  <si>
    <t xml:space="preserve">CHICA </t>
  </si>
  <si>
    <t>EDICION ESPE.</t>
  </si>
  <si>
    <t>Sin costo</t>
  </si>
  <si>
    <t>DC</t>
  </si>
  <si>
    <t>GRANDE</t>
  </si>
  <si>
    <t>GOODYEAR</t>
  </si>
  <si>
    <t>33X14X12cm</t>
  </si>
  <si>
    <t>HARLEY DAVIDSON</t>
  </si>
  <si>
    <t>Caja desde 2018</t>
  </si>
  <si>
    <t>MEDIANA</t>
  </si>
  <si>
    <t>XG</t>
  </si>
  <si>
    <t>HARLEY SIN IMPRESIÓN</t>
  </si>
  <si>
    <t xml:space="preserve">LACOSTE </t>
  </si>
  <si>
    <t>LACOSTE</t>
  </si>
  <si>
    <t>NAUTICA CABALLERO</t>
  </si>
  <si>
    <t>33*18.5*11</t>
  </si>
  <si>
    <t>NEXT &amp; CO RONY</t>
  </si>
  <si>
    <t>31*21.5*11.5</t>
  </si>
  <si>
    <t>BLANCA</t>
  </si>
  <si>
    <t>POLO</t>
  </si>
  <si>
    <t>29.5*163.5*10.5*4</t>
  </si>
  <si>
    <t>SKECHERS</t>
  </si>
  <si>
    <t>CABALLERO GDE</t>
  </si>
  <si>
    <t>CABALLERO CH</t>
  </si>
  <si>
    <t>DAMA GDE</t>
  </si>
  <si>
    <t>DAMA CH</t>
  </si>
  <si>
    <t>NIÑA CH</t>
  </si>
  <si>
    <t>Caja desde 2021</t>
  </si>
  <si>
    <t>NIÑA MD</t>
  </si>
  <si>
    <t xml:space="preserve">SKECHERS </t>
  </si>
  <si>
    <t>#1</t>
  </si>
  <si>
    <t>#3</t>
  </si>
  <si>
    <t>#5</t>
  </si>
  <si>
    <t>SKECHERS (KRAFT)</t>
  </si>
  <si>
    <t>SUPERGA</t>
  </si>
  <si>
    <t>PLATAFORMA</t>
  </si>
  <si>
    <t>URBAN</t>
  </si>
  <si>
    <t xml:space="preserve">CHANCLETA </t>
  </si>
  <si>
    <t>CABALLERO</t>
  </si>
  <si>
    <t>A4</t>
  </si>
  <si>
    <t>A5</t>
  </si>
  <si>
    <t>AO</t>
  </si>
  <si>
    <t>A6</t>
  </si>
  <si>
    <t>VANS SIN IMPRESON</t>
  </si>
  <si>
    <t>Etiqueta colgante Categoría de Marca / Lacoste</t>
  </si>
  <si>
    <t>Sintético</t>
  </si>
  <si>
    <t>Piel</t>
  </si>
  <si>
    <t>Etiqueta colgante Solidez de Color / Lacoste</t>
  </si>
  <si>
    <t>ETIQUETA RFID</t>
  </si>
  <si>
    <t>Etiquetas extras, sólo cobraron el costo de etiqueta sin impresión</t>
  </si>
  <si>
    <t>Etiqueta colgante Ortholite</t>
  </si>
  <si>
    <t>Etiqueta INF QC</t>
  </si>
  <si>
    <t>Verde</t>
  </si>
  <si>
    <t>Amarilla</t>
  </si>
  <si>
    <t>Almacen</t>
  </si>
  <si>
    <t>Caja Emb</t>
  </si>
  <si>
    <t>Etiquetas</t>
  </si>
  <si>
    <t>NAUTICA DAMA</t>
  </si>
  <si>
    <t>30*18.5*12</t>
  </si>
  <si>
    <t>AGENTE ANTI UV</t>
  </si>
  <si>
    <t>ANTI UV</t>
  </si>
  <si>
    <t>CERA *56</t>
  </si>
  <si>
    <t>CERA</t>
  </si>
  <si>
    <t>CANDADO 28 mm</t>
  </si>
  <si>
    <t>CANDADO 31 mm</t>
  </si>
  <si>
    <t>CANDADO 43 mm</t>
  </si>
  <si>
    <t>CANDADO 55 mm</t>
  </si>
  <si>
    <t>CANDADO 61 mm</t>
  </si>
  <si>
    <t xml:space="preserve">MATERIAL </t>
  </si>
  <si>
    <t>AGUJETA ALG</t>
  </si>
  <si>
    <t>GREY SAG</t>
  </si>
  <si>
    <t>NAVY</t>
  </si>
  <si>
    <t>NEGRA</t>
  </si>
  <si>
    <t>GREY SILVER</t>
  </si>
  <si>
    <t>ROJA</t>
  </si>
  <si>
    <t>ROSA</t>
  </si>
  <si>
    <t>VERDE JADE</t>
  </si>
  <si>
    <t>AMARILLO</t>
  </si>
  <si>
    <t>GRIS</t>
  </si>
  <si>
    <t>AGUJETA AME F3</t>
  </si>
  <si>
    <t xml:space="preserve">NEGRA </t>
  </si>
  <si>
    <t>18127  GRIS PEWTER</t>
  </si>
  <si>
    <t>ROSA VIEJO2028 OLD ROSE</t>
  </si>
  <si>
    <t>CEREZA</t>
  </si>
  <si>
    <t xml:space="preserve">GRIS NIMBO </t>
  </si>
  <si>
    <t>ROSA CREPE</t>
  </si>
  <si>
    <t>SUDAN BROWN</t>
  </si>
  <si>
    <t>CORAL FOSFORESENTE</t>
  </si>
  <si>
    <t>PLANA PASTEL LILAC(14-3812 TPG)</t>
  </si>
  <si>
    <t>KAKI1071 (INCENSE)</t>
  </si>
  <si>
    <t xml:space="preserve">VERDE PISTACHE </t>
  </si>
  <si>
    <t>ROSA CARMINO</t>
  </si>
  <si>
    <t>POROTEL LILAC</t>
  </si>
  <si>
    <t>CREMA</t>
  </si>
  <si>
    <t>AZUL VIEJO</t>
  </si>
  <si>
    <t>PLANA (17-1505 TPG) QUAIL</t>
  </si>
  <si>
    <t>GRIS OXFORD</t>
  </si>
  <si>
    <t>JADE MOONLIGTH</t>
  </si>
  <si>
    <t>MARINO (AZMN04) BLACK IRIS</t>
  </si>
  <si>
    <t>ROSA VIEJO2028 OLD DC ROSE</t>
  </si>
  <si>
    <t>CEREZA 424 CHILLI PEPPER</t>
  </si>
  <si>
    <t>GRIS NIMBO</t>
  </si>
  <si>
    <t>ROSA CREPE18144 CORAL ALMOND</t>
  </si>
  <si>
    <t>PLANA QUAIL (MALVAOCASO1911)</t>
  </si>
  <si>
    <t>MALVA OCASO</t>
  </si>
  <si>
    <t>KAKI</t>
  </si>
  <si>
    <t xml:space="preserve">BLUE LIGHT MENTA </t>
  </si>
  <si>
    <t>BLUE MIRAGE</t>
  </si>
  <si>
    <t>BEIGE</t>
  </si>
  <si>
    <t>AGUJETA AMERICANA</t>
  </si>
  <si>
    <t>COCOA</t>
  </si>
  <si>
    <t>VINO</t>
  </si>
  <si>
    <t>VERDE OLIVO</t>
  </si>
  <si>
    <t>AZUL REY</t>
  </si>
  <si>
    <t>AZUL MARINO</t>
  </si>
  <si>
    <t>NEGRA TAIWAN</t>
  </si>
  <si>
    <t>AGUJETA DEPORTIVA</t>
  </si>
  <si>
    <t>ROSA SALMON</t>
  </si>
  <si>
    <t>AGUJETA PLANA</t>
  </si>
  <si>
    <t>MOTHER OF PEARL</t>
  </si>
  <si>
    <t>OSTION</t>
  </si>
  <si>
    <t>ROSA RS 1368</t>
  </si>
  <si>
    <t>GREY COLOMBA</t>
  </si>
  <si>
    <t>BEIGE ALMOND</t>
  </si>
  <si>
    <t>PINK SKIN</t>
  </si>
  <si>
    <t>WHITE AVORIO</t>
  </si>
  <si>
    <t>AZURE LT</t>
  </si>
  <si>
    <t>LT GREY</t>
  </si>
  <si>
    <t>VINTAGE/ORANGE</t>
  </si>
  <si>
    <t>AGUJETA LACOSTE</t>
  </si>
  <si>
    <t>No incluye IVA</t>
  </si>
  <si>
    <t>6OZ NEGRA DC 668008 29016 BLACK S/A</t>
  </si>
  <si>
    <t>LONA BLANCO ESTRELLA 10016 CAUTIFICADO</t>
  </si>
  <si>
    <t>LONA NEGRA 511 / 79004 CA:42732</t>
  </si>
  <si>
    <t>DESCRIPCIÓN</t>
  </si>
  <si>
    <t>GABARDINA ROSA C/A</t>
  </si>
  <si>
    <t>GABARDINA VINO C/A</t>
  </si>
  <si>
    <t>GABARDINA ROJO C/A</t>
  </si>
  <si>
    <t>GABARDINA ROJO S/A</t>
  </si>
  <si>
    <t>GABARDINA ROSA S/A</t>
  </si>
  <si>
    <t>GABARDINA VINO S/A</t>
  </si>
  <si>
    <t>B12 NEGRO</t>
  </si>
  <si>
    <t>B12 BLANCO</t>
  </si>
  <si>
    <t>B12 NAVY</t>
  </si>
  <si>
    <t>B12 GREY SAGE</t>
  </si>
  <si>
    <t>B12 GREY COLUMBA</t>
  </si>
  <si>
    <t>B12 BEIGE ALMOND</t>
  </si>
  <si>
    <t>B12 WHITE AVORIO</t>
  </si>
  <si>
    <t>B12 AZURE LT</t>
  </si>
  <si>
    <t>B12 PINK SKIN</t>
  </si>
  <si>
    <t>B12 LT GREY</t>
  </si>
  <si>
    <t xml:space="preserve">B12 BLUE NAVY </t>
  </si>
  <si>
    <t>B2 BLANCO</t>
  </si>
  <si>
    <t>B2 GREY COLUMBA</t>
  </si>
  <si>
    <t>B2 BEIGE ALMOND</t>
  </si>
  <si>
    <t>B2 WHITE AVORIO</t>
  </si>
  <si>
    <t>B2 AZURE LT</t>
  </si>
  <si>
    <t>B2 PINK SKIN</t>
  </si>
  <si>
    <t xml:space="preserve">B2 LT GREY </t>
  </si>
  <si>
    <t>CALLICOT BLANCO</t>
  </si>
  <si>
    <t>CALLICOT NEGRO</t>
  </si>
  <si>
    <t>CALLICOT NAVY</t>
  </si>
  <si>
    <t>CALLICOT GREY SAGE</t>
  </si>
  <si>
    <t>CALLICOT GREY COLUMBA</t>
  </si>
  <si>
    <t>CALLICOT BEIGE ALMOND</t>
  </si>
  <si>
    <t>CALLICOT WHITE AVORIO</t>
  </si>
  <si>
    <t>CALLICOT AZURE LT</t>
  </si>
  <si>
    <t>CALLICOT PINK SKIN</t>
  </si>
  <si>
    <t>CALLICOT LT GREY</t>
  </si>
  <si>
    <t>TOTAL</t>
  </si>
  <si>
    <t>HULE QUESO</t>
  </si>
  <si>
    <t>kG</t>
  </si>
  <si>
    <t>No tengo costo</t>
  </si>
  <si>
    <t>MEDIDAS</t>
  </si>
  <si>
    <t>42*40*37.8</t>
  </si>
  <si>
    <t>44*42*30</t>
  </si>
  <si>
    <t>66.7*52.2*35.3</t>
  </si>
  <si>
    <t>65*34.4*31</t>
  </si>
  <si>
    <t>58.2*49.8*31.5</t>
  </si>
  <si>
    <t>57.2*48.5*29.8</t>
  </si>
  <si>
    <t>59.8*50*33.8</t>
  </si>
  <si>
    <t>42.4*36.2*36</t>
  </si>
  <si>
    <t>44.2*40.2*37.2</t>
  </si>
  <si>
    <t>48.3*38.2*36.1</t>
  </si>
  <si>
    <t>53.5*46.2*32</t>
  </si>
  <si>
    <t>53.5*46.2*34.8</t>
  </si>
  <si>
    <t>47*47*31.4</t>
  </si>
  <si>
    <t>49.8*49.8*34</t>
  </si>
  <si>
    <t>63*38.4*67.4</t>
  </si>
  <si>
    <t>51*47.5*31.5</t>
  </si>
  <si>
    <t>55.8*49.8*34</t>
  </si>
  <si>
    <t>60*51.5*36.5</t>
  </si>
  <si>
    <t>51.2*38.7*25.5</t>
  </si>
  <si>
    <t>50.8*45.2*28.2</t>
  </si>
  <si>
    <t>51.2*42*28.8</t>
  </si>
  <si>
    <t>52.5*48.5*30.8</t>
  </si>
  <si>
    <t>55*48.5*33.4</t>
  </si>
  <si>
    <t>41.4*34.31.6</t>
  </si>
  <si>
    <t>49*39*37.5</t>
  </si>
  <si>
    <t>72.8*51.5*37.5</t>
  </si>
  <si>
    <t>46.5*33.4*20.4</t>
  </si>
  <si>
    <t>70*46*34</t>
  </si>
  <si>
    <t>Skechers 
Niña2</t>
  </si>
  <si>
    <t>48*37*23</t>
  </si>
  <si>
    <t>viene con la plantilla</t>
  </si>
  <si>
    <t>OJILLO CAFÉ CHINA 8mm aprox</t>
  </si>
  <si>
    <t>OJILLO GRIS CHINA 8mm aprox</t>
  </si>
  <si>
    <t>OJILLO HD 8mm aprox</t>
  </si>
  <si>
    <t>MATERIAL</t>
  </si>
  <si>
    <t>Comentarios</t>
  </si>
  <si>
    <t>PESO X ROLLO
(KG)</t>
  </si>
  <si>
    <t>CALZADORES</t>
  </si>
  <si>
    <t>Se realiza en molino</t>
  </si>
  <si>
    <t>PASTA MARCA</t>
  </si>
  <si>
    <t>PASTA PARA VIVOS</t>
  </si>
  <si>
    <t>1 por color (negro, rojo, azul rey y natural)</t>
  </si>
  <si>
    <t>gum, suela calandreada se hace a 60 K, en molino abierto</t>
  </si>
  <si>
    <t>PASTA SUELA</t>
  </si>
  <si>
    <t>COLORES</t>
  </si>
  <si>
    <t>Pasta de base</t>
  </si>
  <si>
    <t>BCO LACOSTE</t>
  </si>
  <si>
    <t>Dependiendo el pedido</t>
  </si>
  <si>
    <t>GUM</t>
  </si>
  <si>
    <t>NEGRA SKECHER</t>
  </si>
  <si>
    <t>Revisar para usar en pastas actuales</t>
  </si>
  <si>
    <t>PEGAMENTO</t>
  </si>
  <si>
    <t>BLANCO</t>
  </si>
  <si>
    <t>Mezclar con pegamento ámbar</t>
  </si>
  <si>
    <t>Ámbar</t>
  </si>
  <si>
    <t>Revisar inventario</t>
  </si>
  <si>
    <t>RELLENO</t>
  </si>
  <si>
    <t>AZUL</t>
  </si>
  <si>
    <t>Inventarios mayores a 1, revisar pedidos</t>
  </si>
  <si>
    <t>TIRA</t>
  </si>
  <si>
    <t>Dependiendo pedido
Se utilizarán 35 rollos</t>
  </si>
  <si>
    <t>PEYLES</t>
  </si>
  <si>
    <t>DC, POLO, NEXT</t>
  </si>
  <si>
    <t>Sobre pedido DC</t>
  </si>
  <si>
    <t>molino abierto</t>
  </si>
  <si>
    <t>PERLA</t>
  </si>
  <si>
    <t>Sobre pedido (Revisar marcas)</t>
  </si>
  <si>
    <t>Sobre pedido</t>
  </si>
  <si>
    <t>NARANJA</t>
  </si>
  <si>
    <t>DOVE</t>
  </si>
  <si>
    <t>GRIS RATA</t>
  </si>
  <si>
    <t>GRIS CLARO</t>
  </si>
  <si>
    <t>AMBAR NORMAL</t>
  </si>
  <si>
    <t>AMARILLA</t>
  </si>
  <si>
    <t>NATURAL</t>
  </si>
  <si>
    <t>Básica para muestras</t>
  </si>
  <si>
    <t xml:space="preserve">INVENTARIO DE SUELA </t>
  </si>
  <si>
    <t>ESTILO</t>
  </si>
  <si>
    <t>TALLA</t>
  </si>
  <si>
    <t>PARES/NONES</t>
  </si>
  <si>
    <t>STATUS</t>
  </si>
  <si>
    <t xml:space="preserve">AMERICAN </t>
  </si>
  <si>
    <t>DAMA</t>
  </si>
  <si>
    <t>PARES</t>
  </si>
  <si>
    <t>SIN MOVIMIENTO</t>
  </si>
  <si>
    <t>ASIA</t>
  </si>
  <si>
    <t>AMBAR</t>
  </si>
  <si>
    <t>VARIAS</t>
  </si>
  <si>
    <t xml:space="preserve">CITY </t>
  </si>
  <si>
    <t>CONS</t>
  </si>
  <si>
    <t>DANY</t>
  </si>
  <si>
    <t xml:space="preserve">PARES </t>
  </si>
  <si>
    <t>NONES</t>
  </si>
  <si>
    <t>HARLEY</t>
  </si>
  <si>
    <t>AMBAR/INGERTO NEGRO</t>
  </si>
  <si>
    <t>RETRO</t>
  </si>
  <si>
    <t>MINIMAL</t>
  </si>
  <si>
    <t>KAROSSO</t>
  </si>
  <si>
    <t>KEDS</t>
  </si>
  <si>
    <t>AMBAR/INGERTO AZUL</t>
  </si>
  <si>
    <t>PAYLESS</t>
  </si>
  <si>
    <t>BEBE</t>
  </si>
  <si>
    <t>NIÑO</t>
  </si>
  <si>
    <t>PANAL</t>
  </si>
  <si>
    <t>MARINO</t>
  </si>
  <si>
    <t>SKADI</t>
  </si>
  <si>
    <t>CAFÉ</t>
  </si>
  <si>
    <t>NIÑA</t>
  </si>
  <si>
    <t>H/M</t>
  </si>
  <si>
    <t>SPERRY</t>
  </si>
  <si>
    <t>BLACK</t>
  </si>
  <si>
    <t>PEARL WHITE</t>
  </si>
  <si>
    <t>ANTIOXIDANTE DANOX 1076</t>
  </si>
  <si>
    <t>HULE 1502 
LÍNEA</t>
  </si>
  <si>
    <t>HULE 1502</t>
  </si>
  <si>
    <t>Compra noviembre 2022</t>
  </si>
  <si>
    <t xml:space="preserve">  DC,AZUL MARINO-TRASSE  </t>
  </si>
  <si>
    <t xml:space="preserve">  DC,NEGRO-TRASSE  </t>
  </si>
  <si>
    <t xml:space="preserve">  DC,BLANCO-TRASSE  </t>
  </si>
  <si>
    <t xml:space="preserve">  DC,AMBAR-TRASSE  </t>
  </si>
  <si>
    <t>CANDADO 46 mm</t>
  </si>
  <si>
    <t>CANDADO 64 mm</t>
  </si>
  <si>
    <t>CINTA IMPRESA LACOSTE</t>
  </si>
  <si>
    <t>SILICÓN GRUESO</t>
  </si>
  <si>
    <t>CHICA Diseño 2024</t>
  </si>
  <si>
    <t>GRANDE Diseño 2024</t>
  </si>
  <si>
    <t>Blanx - abril 2022</t>
  </si>
  <si>
    <t>Sobrantes</t>
  </si>
  <si>
    <t>Etiqueta colgante Polo</t>
  </si>
  <si>
    <t>PAPEL IMPRESO LACOSTE 16 X 76 CM</t>
  </si>
  <si>
    <t>PAPEL IMPRESO LACOSTE 19 X 86 CM</t>
  </si>
  <si>
    <t>PAPEL IMPRESO LACOSTE 27 X 68 CM</t>
  </si>
  <si>
    <t>PAPEL IMPRESO LACOSTE 31 X 74 CM</t>
  </si>
  <si>
    <t>Lacoste</t>
  </si>
  <si>
    <t>Forte</t>
  </si>
  <si>
    <t>Chica</t>
  </si>
  <si>
    <t>Mediana</t>
  </si>
  <si>
    <t>Grande</t>
  </si>
  <si>
    <t>FORTE</t>
  </si>
  <si>
    <t>Inventario de cliente</t>
  </si>
  <si>
    <t>Única</t>
  </si>
  <si>
    <t>*</t>
  </si>
  <si>
    <t>Suela/inventario/sin movimiento</t>
  </si>
  <si>
    <t>Aprox</t>
  </si>
  <si>
    <t>Cargas/hule</t>
  </si>
  <si>
    <t>GRIS PEWTEE</t>
  </si>
  <si>
    <t>GRATA</t>
  </si>
  <si>
    <t xml:space="preserve">AGUJETA LACOSTE </t>
  </si>
  <si>
    <t>33*22*12</t>
  </si>
  <si>
    <t>PEG-4000</t>
  </si>
  <si>
    <t>X</t>
  </si>
  <si>
    <t>ETIQ. VANS OFF THE WALL</t>
  </si>
  <si>
    <t>Sin dato de costo</t>
  </si>
  <si>
    <t>ETIQ. VANS QC LABEL</t>
  </si>
  <si>
    <t>STICKER DE PLANTILLA VANS 1.9*1.9cm_EXPO</t>
  </si>
  <si>
    <t>NUEVA CANASTA  NEGRO 79004 C.582270</t>
  </si>
  <si>
    <t>BULTO DE JABÓN ( 10 KG)</t>
  </si>
  <si>
    <t>Banco de Mx</t>
  </si>
  <si>
    <t>SUELA</t>
  </si>
  <si>
    <t>CALANDREADA
NAUTICA</t>
  </si>
  <si>
    <t>Náutica</t>
  </si>
  <si>
    <t>ALICANTE</t>
  </si>
  <si>
    <t>LATA 360 14 KG</t>
  </si>
  <si>
    <t>PU 180 ST H18</t>
  </si>
  <si>
    <t xml:space="preserve"> PRIMER RUBBER 14F/CX</t>
  </si>
  <si>
    <t>PRIMER PU VL ST G/H18</t>
  </si>
  <si>
    <t>DESMODUR ULTRA RC</t>
  </si>
  <si>
    <t>* DC/Grande ó combinadas (DC-Chica y DC-Grande)
* Náutica 10 prs en medida  33 x 22 x 12 cm</t>
  </si>
  <si>
    <t>ANTIOXIDANTE WINGSTAY</t>
  </si>
  <si>
    <t>ALTO SIS</t>
  </si>
  <si>
    <t>AZUL ULTRA MAR 463</t>
  </si>
  <si>
    <t>AZUL ULTRA MAR</t>
  </si>
  <si>
    <t>Última compra localizada
22.06.22</t>
  </si>
  <si>
    <t>BCO COLLEC</t>
  </si>
  <si>
    <t>*REVISAR / No se encuentran</t>
  </si>
  <si>
    <t>CÓDIGO</t>
  </si>
  <si>
    <t>METROS</t>
  </si>
  <si>
    <t>PRECIO
X
METROS</t>
  </si>
  <si>
    <t>511 ROSA PALO41</t>
  </si>
  <si>
    <t>511426 RO23174 BLOODY RED</t>
  </si>
  <si>
    <t>511453 AZ25211</t>
  </si>
  <si>
    <t>511461 GR28056 PALOMA</t>
  </si>
  <si>
    <t>511463 VI26054 GRAPE WIND</t>
  </si>
  <si>
    <t>511479 GRIS SMOKED PEARL</t>
  </si>
  <si>
    <t>511501 AZ25220 MIDNIGHT</t>
  </si>
  <si>
    <t>AZUL TURQUEZA</t>
  </si>
  <si>
    <t>CHARCOAL GRAY 28064</t>
  </si>
  <si>
    <t>GREY</t>
  </si>
  <si>
    <t>NEGRO</t>
  </si>
  <si>
    <t>PLUMBAGO</t>
  </si>
  <si>
    <t>NUEVA CANASTA BLANCA</t>
  </si>
  <si>
    <t>633 BUCKTHORN 24134</t>
  </si>
  <si>
    <t>633583 BAL GRAY 28047</t>
  </si>
  <si>
    <t>633597 VI 26053 ULTRAVIOLET AP/LIG 3%</t>
  </si>
  <si>
    <t>633598 NGO 79004</t>
  </si>
  <si>
    <t>633627 CHIVE 27149</t>
  </si>
  <si>
    <t>633647 ROSE 23203</t>
  </si>
  <si>
    <t>633689 CAMEO ROSE 22057</t>
  </si>
  <si>
    <t>ROJO</t>
  </si>
  <si>
    <t>ROJO-X</t>
  </si>
  <si>
    <t>ROJO-Z</t>
  </si>
  <si>
    <t xml:space="preserve">ROSE 633647 RO23203 AP/LIGERO3% </t>
  </si>
  <si>
    <t>651 FUCHSIA ROSE 23229</t>
  </si>
  <si>
    <t>651 HIGH RISE RED</t>
  </si>
  <si>
    <t>651 PARFAIT PINK</t>
  </si>
  <si>
    <t>651 PLIX MARINO</t>
  </si>
  <si>
    <t>651 PLIX NEGRO</t>
  </si>
  <si>
    <t>651 ROSADO FLAMEADO</t>
  </si>
  <si>
    <t>651110 NEGRO 29016</t>
  </si>
  <si>
    <t>651111 CHILLI PAPPER 23176</t>
  </si>
  <si>
    <t>651115 AM 21098 FRESSIE</t>
  </si>
  <si>
    <t>651119 CARIANDER</t>
  </si>
  <si>
    <t>651119 CR24118 CORIANDER</t>
  </si>
  <si>
    <t>651136 GR 28047 BAL GREY</t>
  </si>
  <si>
    <t>651137 AZ25207 BAL NAVY</t>
  </si>
  <si>
    <t>651167 CHIVE 27149</t>
  </si>
  <si>
    <t>651178 CAMEO ROSE 22057</t>
  </si>
  <si>
    <t>651186 CATHAY SPICE</t>
  </si>
  <si>
    <t>AQUA</t>
  </si>
  <si>
    <t>ASH</t>
  </si>
  <si>
    <t>BAL GREY</t>
  </si>
  <si>
    <t>OFF WHITE / CHINA</t>
  </si>
  <si>
    <t>PLIX AZUL CIELO MUESTRARIO COLOR</t>
  </si>
  <si>
    <t>PLIX BAL NAVY</t>
  </si>
  <si>
    <t>PLIX CHARCOAL GREY 651177</t>
  </si>
  <si>
    <t>PLIX MOSTAZA SPERRY</t>
  </si>
  <si>
    <t>PLIX ROSADO FLAMEADO 23103 651174</t>
  </si>
  <si>
    <t>PLIX TAWNY PORT 651171 RO23182</t>
  </si>
  <si>
    <t>ROJO-10</t>
  </si>
  <si>
    <t>TWILL CHOCOLATE</t>
  </si>
  <si>
    <t>TWILL GRIS</t>
  </si>
  <si>
    <t>TWILL LIGHT BLUE</t>
  </si>
  <si>
    <t>TWILL MARIGOLD</t>
  </si>
  <si>
    <t>TWILL NAVY</t>
  </si>
  <si>
    <t>TWILL NEGRO</t>
  </si>
  <si>
    <t>TWILL OLIVE</t>
  </si>
  <si>
    <t>TWILL TAUPE / CHINO</t>
  </si>
  <si>
    <t>VINO-1</t>
  </si>
  <si>
    <t>VINO-2</t>
  </si>
  <si>
    <t>VINO-3</t>
  </si>
  <si>
    <t>VINO-4</t>
  </si>
  <si>
    <t>6 OZ WILL DOVE</t>
  </si>
  <si>
    <t>668003 AM 21096 TURTLE DOVE</t>
  </si>
  <si>
    <t>668004 AM 21095</t>
  </si>
  <si>
    <t>668052 GR 28069 GLACIER GRAY</t>
  </si>
  <si>
    <t>668077 VI26063 PINK</t>
  </si>
  <si>
    <t>668MARINO-25</t>
  </si>
  <si>
    <t>668MARINO-30</t>
  </si>
  <si>
    <t>6OZ BLACK</t>
  </si>
  <si>
    <t>6OZ BLANCA  BLUE WAHS WHITE DC 668021</t>
  </si>
  <si>
    <t>6OZ BLUE</t>
  </si>
  <si>
    <t>6OZ BLUE 3MTS / MUESTRARIO COLOR</t>
  </si>
  <si>
    <t>6OZ BLUE LIGHT</t>
  </si>
  <si>
    <t>6OZ BLUE MENTA</t>
  </si>
  <si>
    <t>6OZ BLUE MIRAGE</t>
  </si>
  <si>
    <t>6OZ BLUE SHELL</t>
  </si>
  <si>
    <t>6OZ BURGUNDY</t>
  </si>
  <si>
    <t>6OZ CAFÉ CAPUCHINO</t>
  </si>
  <si>
    <t>6OZ COLOR MUESTRARIO</t>
  </si>
  <si>
    <t>6OZ DC GRIS/CAFÉ</t>
  </si>
  <si>
    <t>6OZ GREEN 13-0340 TN</t>
  </si>
  <si>
    <t>6OZ GRIS</t>
  </si>
  <si>
    <t>6OZ LILA</t>
  </si>
  <si>
    <t>6OZ NAUTICAL BLUE</t>
  </si>
  <si>
    <t>6OZ NEGRA / BLACK</t>
  </si>
  <si>
    <t>6OZ OXFORD TAN</t>
  </si>
  <si>
    <t>6OZ PINK</t>
  </si>
  <si>
    <t>6OZ PISTACHE</t>
  </si>
  <si>
    <t>6OZ ROSA20</t>
  </si>
  <si>
    <t>6OZ SHEER LILAC</t>
  </si>
  <si>
    <t>6OZ SUDAN BROWN</t>
  </si>
  <si>
    <t>6OZ TWILL BONE</t>
  </si>
  <si>
    <t>L 6OZ BONE AM 21101 / 668005</t>
  </si>
  <si>
    <t>LONA 6OZ OFF WHITE / 668002 / AM21100</t>
  </si>
  <si>
    <t>ROSA5</t>
  </si>
  <si>
    <t>VAPOR BLUE</t>
  </si>
  <si>
    <t>AWAT</t>
  </si>
  <si>
    <t>LONA 1000 C/A AZABACHE</t>
  </si>
  <si>
    <t>-</t>
  </si>
  <si>
    <t>CAMO RED RDBK</t>
  </si>
  <si>
    <t>CHAMBRAY AZUL</t>
  </si>
  <si>
    <t>DIGITAL PRINT GRIDS LMCC</t>
  </si>
  <si>
    <t>DIGITAL PRINT GRIDS WBK</t>
  </si>
  <si>
    <t>LONA AZUL CHINA (ANCHO)</t>
  </si>
  <si>
    <t>LONA BRAMANTE S/A BLANCO PAM</t>
  </si>
  <si>
    <t>LONA VERDE CHINA (ANCHO)</t>
  </si>
  <si>
    <t>METALLIC ROSE</t>
  </si>
  <si>
    <t>METALLIC SILVER</t>
  </si>
  <si>
    <t>MEZCLILLA CHINA</t>
  </si>
  <si>
    <t>POLY CANVAS DIGITAL PRINT GRIDS TQMT</t>
  </si>
  <si>
    <t>RAYAS MARINO APLICACION BASE DN</t>
  </si>
  <si>
    <t>TARTÁN CAFÉ</t>
  </si>
  <si>
    <t>TELA CAFÉ CHINA</t>
  </si>
  <si>
    <t>TELA GRIS AE</t>
  </si>
  <si>
    <t>8oz</t>
  </si>
  <si>
    <t>8OZ CAMO BKL</t>
  </si>
  <si>
    <t>8OZ CAMO GREEN</t>
  </si>
  <si>
    <t>8OZ CAMO RED RDBK</t>
  </si>
  <si>
    <t>8OZ SKECHERS AZUL CLARO</t>
  </si>
  <si>
    <t>8OZ SKECHERS BLUE</t>
  </si>
  <si>
    <t>B12</t>
  </si>
  <si>
    <t>B2</t>
  </si>
  <si>
    <t>Callicot</t>
  </si>
  <si>
    <t>Interlook</t>
  </si>
  <si>
    <t>INTERLOCK TROPICAL BLANCO (COTTON JERSEY)</t>
  </si>
  <si>
    <t>INTERLOCK TROPICAL CAFE ESSPRESSO(COTTON JERSEY)</t>
  </si>
  <si>
    <t>INTERLOCK TROPICAL MARINO (COTTON JERSEY)</t>
  </si>
  <si>
    <t>INTERLOCK TROPICAL NEGRO (COTTON JERSEY)</t>
  </si>
  <si>
    <t>INTERLOCK TROPICAL STONE(COTTON JERSEY)</t>
  </si>
  <si>
    <t>Látex</t>
  </si>
  <si>
    <t>LATEX</t>
  </si>
  <si>
    <t>Malla</t>
  </si>
  <si>
    <t>MALLA1</t>
  </si>
  <si>
    <t>MALLA2</t>
  </si>
  <si>
    <t>MALLA3</t>
  </si>
  <si>
    <t>Sarga</t>
  </si>
  <si>
    <t>GABARDINA BLANCA C/A</t>
  </si>
  <si>
    <t>GABARDINA BLANCA S/A</t>
  </si>
  <si>
    <t>GABARDINA NEGRA C/A</t>
  </si>
  <si>
    <t>GABARDINA NEGRA S/A</t>
  </si>
  <si>
    <t>MARÍA CRUDA</t>
  </si>
  <si>
    <t>COGÑAC</t>
  </si>
  <si>
    <t>GLITTER HOT PINK (M-LGA-01/BI HONG)</t>
  </si>
  <si>
    <t>SINT COGÑAC</t>
  </si>
  <si>
    <t>SINT COGÑAC 0.5 MM</t>
  </si>
  <si>
    <t>SINT COGÑAC 0.6 MM</t>
  </si>
  <si>
    <t>SINT COGÑAC 1.0 MM</t>
  </si>
  <si>
    <t>SINTÉTICO BLANCO</t>
  </si>
  <si>
    <t>SINTÉTICO NEGRO</t>
  </si>
  <si>
    <t>Virginia</t>
  </si>
  <si>
    <t>LONA VIRGINIA MARINO 2000</t>
  </si>
  <si>
    <t>CRUDA</t>
  </si>
  <si>
    <t>Material en movimiento</t>
  </si>
  <si>
    <t>Material inactivo</t>
  </si>
  <si>
    <t>Hulera / Material activo</t>
  </si>
  <si>
    <t>Hulera / Material Inactivo</t>
  </si>
  <si>
    <t>Caja individual / Material inactivo</t>
  </si>
  <si>
    <t>Caja Individual / Material activo</t>
  </si>
  <si>
    <t>Tela Virgen / activo</t>
  </si>
  <si>
    <t>Tela Virgen / inactivo</t>
  </si>
  <si>
    <t>Rayas verde / Acopol</t>
  </si>
  <si>
    <t>Obervaciones</t>
  </si>
  <si>
    <t>Con hongo</t>
  </si>
  <si>
    <t>Daño por humedad / Desintegracion</t>
  </si>
  <si>
    <t>Tela AE Gris</t>
  </si>
  <si>
    <t>Mojado / Hongo</t>
  </si>
  <si>
    <t>Dañada por animales</t>
  </si>
  <si>
    <t>Sintético Azul Marino</t>
  </si>
  <si>
    <t>Twill Navy</t>
  </si>
  <si>
    <t>Metallic Rose</t>
  </si>
  <si>
    <t>Sintético Negro Pronanya</t>
  </si>
  <si>
    <t>Desprendimiento de acabado</t>
  </si>
  <si>
    <t>Sintético Negro</t>
  </si>
  <si>
    <t>Lona Negra</t>
  </si>
  <si>
    <t>Plix Off White</t>
  </si>
  <si>
    <t>Sintético Blanco</t>
  </si>
  <si>
    <t>TelaNoAprovechable</t>
  </si>
  <si>
    <t>Metros</t>
  </si>
  <si>
    <t>No cuento con precios de algunos materiales</t>
  </si>
  <si>
    <t>Fecha
última compra localizada</t>
  </si>
  <si>
    <t>Sintético Grasshopper / Nubuck</t>
  </si>
  <si>
    <t xml:space="preserve">Costo </t>
  </si>
  <si>
    <t xml:space="preserve"> Importe </t>
  </si>
  <si>
    <t>AGUJETA DEPORTIVa</t>
  </si>
  <si>
    <t>Agujetas / Material activo</t>
  </si>
  <si>
    <t>Agujetas / Material inactivo</t>
  </si>
  <si>
    <t>511473 VE27149 CHIVE</t>
  </si>
  <si>
    <t>633582 AZ 25211 BLUE BERRY</t>
  </si>
  <si>
    <t>511314 RO2338 BUGAMBILIA</t>
  </si>
  <si>
    <t>PRECIO
X
METRO</t>
  </si>
  <si>
    <t>633589 RO23176 CHILLI PEPPER</t>
  </si>
  <si>
    <t>6OZ PARFAIT PINK</t>
  </si>
  <si>
    <t>6OZ SKY BLUE</t>
  </si>
  <si>
    <t>6OZ VANS NEGRO</t>
  </si>
  <si>
    <t>575003 NA 12012 CAMEO ROSE</t>
  </si>
  <si>
    <t>Laminado</t>
  </si>
  <si>
    <t>SATIN DENVER/POPELINA MARINO</t>
  </si>
  <si>
    <t>MALLA4</t>
  </si>
  <si>
    <t>MALLA5</t>
  </si>
  <si>
    <t>MALLA6</t>
  </si>
  <si>
    <t>MALLA7</t>
  </si>
  <si>
    <t>MALLA8</t>
  </si>
  <si>
    <t>MALLA9</t>
  </si>
  <si>
    <t>MALLA10 / MESH NEGRO</t>
  </si>
  <si>
    <t>Popelina</t>
  </si>
  <si>
    <t>POPELINA BEIGE</t>
  </si>
  <si>
    <t>POPELINA BLANCA</t>
  </si>
  <si>
    <t>POPELINA MARINO</t>
  </si>
  <si>
    <t>POPELINA NEGRO</t>
  </si>
  <si>
    <t>POPELINA ROJA</t>
  </si>
  <si>
    <t>POPELINA VERDE</t>
  </si>
  <si>
    <t>POPELINA VERDE AGUA</t>
  </si>
  <si>
    <t>Drill</t>
  </si>
  <si>
    <t>DRILL CRUDO VANS</t>
  </si>
  <si>
    <t>TOLEDO</t>
  </si>
  <si>
    <t>Precio de 2020</t>
  </si>
  <si>
    <t>China</t>
  </si>
  <si>
    <t>No incluye envío</t>
  </si>
  <si>
    <t>No cuento con precios del Drill</t>
  </si>
  <si>
    <t>BARCELONA</t>
  </si>
  <si>
    <t>SERGE</t>
  </si>
  <si>
    <t>GABARDINA CRUDA C/A</t>
  </si>
  <si>
    <t>Tipo de cambio</t>
  </si>
  <si>
    <t>KER</t>
  </si>
  <si>
    <t>19/12/2025</t>
  </si>
  <si>
    <t>Inventario
19.12.25
(pzs)</t>
  </si>
  <si>
    <t>BCO LACOSTE / NUEVO</t>
  </si>
  <si>
    <t>KITS</t>
  </si>
  <si>
    <t>Eliminacion de material // 895</t>
  </si>
  <si>
    <t>Eliminacion de material // 2900</t>
  </si>
  <si>
    <t>Eliminacion de material // 4980</t>
  </si>
  <si>
    <t>PZA/3000 MTS</t>
  </si>
  <si>
    <t>PAPEL IMPRESO BELINDA</t>
  </si>
  <si>
    <t>PIGMENTO AMARILLO 3GP</t>
  </si>
  <si>
    <t>AMARILLO 3GP</t>
  </si>
  <si>
    <t>PIGMENTO AMARILLO ÓXIDO</t>
  </si>
  <si>
    <t>Sin precio, se toma valor de amarillo 3GP</t>
  </si>
  <si>
    <t>CH 20.3*15*8.5 CM</t>
  </si>
  <si>
    <t>GDE 26*16*10 CM</t>
  </si>
  <si>
    <t>PBD</t>
  </si>
  <si>
    <t>Tono anterior</t>
  </si>
  <si>
    <t>Dany</t>
  </si>
  <si>
    <t>Negro</t>
  </si>
  <si>
    <t>Varias</t>
  </si>
  <si>
    <t>Pares</t>
  </si>
  <si>
    <t>Panal</t>
  </si>
  <si>
    <t>Blanco viejo</t>
  </si>
  <si>
    <t>Blanco Nuevo</t>
  </si>
  <si>
    <t>Nautica</t>
  </si>
  <si>
    <t>Marino / Marinero</t>
  </si>
  <si>
    <t>Cons</t>
  </si>
  <si>
    <t>Café</t>
  </si>
  <si>
    <t>Suela/inventario/con movimiento</t>
  </si>
  <si>
    <t>Factura a Luis</t>
  </si>
  <si>
    <t>Factura Luis Felipe</t>
  </si>
  <si>
    <t>Luis Felipe solicitó una lata día 19/12/25</t>
  </si>
  <si>
    <t>ÚLTIMA COMPRA</t>
  </si>
  <si>
    <t>FATA</t>
  </si>
  <si>
    <t>PROVEEDOR</t>
  </si>
  <si>
    <t>QUIMIPOL</t>
  </si>
  <si>
    <t>SUMINISTRO</t>
  </si>
  <si>
    <t>NASEDA</t>
  </si>
  <si>
    <t>CREPÉ</t>
  </si>
  <si>
    <t>VICSOL</t>
  </si>
  <si>
    <t>KAUCHO QUIMICO</t>
  </si>
  <si>
    <t>SUMIPLAST</t>
  </si>
  <si>
    <t>MORSAWT</t>
  </si>
  <si>
    <t>METROS
FISCAL</t>
  </si>
  <si>
    <t>METROS
REAL</t>
  </si>
  <si>
    <t>CANTIDAD
FISCAL</t>
  </si>
  <si>
    <t>Shoe Filler
Superga</t>
  </si>
  <si>
    <t>OBSOLETO</t>
  </si>
  <si>
    <t>TIPO DE STOCK</t>
  </si>
  <si>
    <t>UTILIZABLE</t>
  </si>
  <si>
    <t>Revisar posible venta</t>
  </si>
  <si>
    <t>Etiqueta ene 2023
Revisión / Por mínimo de proveedor</t>
  </si>
  <si>
    <t>Precio</t>
  </si>
  <si>
    <t>Plastisol Lacoste</t>
  </si>
  <si>
    <t>Bco/Mno/Rojo</t>
  </si>
  <si>
    <t>250 prs sin costo</t>
  </si>
  <si>
    <t>Sin costo por reposición
Mal impresas / mal cortadas
Extras</t>
  </si>
  <si>
    <t>Etiqueta Colgante HD</t>
  </si>
  <si>
    <t>RODILLO QUITA PELUSA
(80 HOJAS)</t>
  </si>
  <si>
    <t>PEGAMENTO GREEN</t>
  </si>
  <si>
    <t>MASCARILLA N95 8511MX</t>
  </si>
  <si>
    <t>TAPONES PARA OÍDO</t>
  </si>
  <si>
    <t>GUANTE DE NITRILO (TALLA M)</t>
  </si>
  <si>
    <t>CAJA / 100 PZS</t>
  </si>
  <si>
    <t>LENTE ANTIPAÑO TRANSPARENTE</t>
  </si>
  <si>
    <t>CINTA MASKING "FORTA" 18*50MTS</t>
  </si>
  <si>
    <t>CINTA MASKING "TUK" 18*50MTS</t>
  </si>
  <si>
    <t>CANDADO LISO 3"</t>
  </si>
  <si>
    <t>Cost/dls  o Pesos</t>
  </si>
  <si>
    <t>Solo un decimal en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</si>
</sst>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\ &quot;pzs&quot;"/>
    <numFmt numFmtId="166" formatCode="0.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z val="11"/>
      <name val="Tahoma"/>
      <family val="2"/>
    </font>
    <font>
      <b/>
      <sz val="1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0"/>
      <name val="Tahoma"/>
      <family val="2"/>
    </font>
    <font>
      <b/>
      <sz val="11"/>
      <color indexed="10"/>
      <name val="Tahoma"/>
      <family val="2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Calibri"/>
      <family val="2"/>
    </font>
    <font>
      <sz val="12"/>
      <name val="Calibri"/>
      <family val="2"/>
    </font>
    <font>
      <sz val="14"/>
      <color theme="1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9"/>
      <color theme="5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rgb="FF366092"/>
      <name val="Calibri"/>
      <family val="2"/>
    </font>
    <font>
      <b/>
      <sz val="10"/>
      <color rgb="FF366092"/>
      <name val="Calibri"/>
      <family val="2"/>
    </font>
    <font>
      <sz val="11"/>
      <color theme="1"/>
      <name val="Calibri"/>
      <family val="2"/>
    </font>
    <font>
      <sz val="11"/>
      <color rgb="FF366092"/>
      <name val="Calibri"/>
      <family val="2"/>
    </font>
    <font>
      <b/>
      <sz val="11"/>
      <color theme="0"/>
      <name val="Tahoma"/>
      <family val="2"/>
    </font>
    <font>
      <b/>
      <sz val="14"/>
      <color theme="0"/>
      <name val="Calibri"/>
      <family val="2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7" tint="-0.499984740745262"/>
      <name val="Calibri"/>
      <family val="2"/>
      <scheme val="minor"/>
    </font>
    <font>
      <b/>
      <sz val="10"/>
      <color theme="7" tint="-0.499984740745262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14" borderId="0" applyNumberFormat="0" applyBorder="0" applyAlignment="0" applyProtection="0"/>
    <xf numFmtId="0" fontId="37" fillId="0" borderId="0"/>
    <xf numFmtId="0" fontId="37" fillId="0" borderId="0"/>
    <xf numFmtId="0" fontId="39" fillId="15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4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4" fontId="7" fillId="0" borderId="1" xfId="1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4" fontId="0" fillId="0" borderId="1" xfId="0" applyNumberFormat="1" applyBorder="1" applyAlignment="1" applyProtection="1">
      <alignment horizontal="center" vertical="center"/>
      <protection locked="0"/>
    </xf>
    <xf numFmtId="44" fontId="10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4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textRotation="180" wrapText="1"/>
    </xf>
    <xf numFmtId="0" fontId="11" fillId="0" borderId="0" xfId="0" applyFont="1" applyAlignment="1">
      <alignment vertical="center" textRotation="180" wrapText="1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44" fontId="18" fillId="0" borderId="1" xfId="2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44" fontId="18" fillId="9" borderId="1" xfId="2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44" fontId="18" fillId="0" borderId="0" xfId="2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164" fontId="0" fillId="0" borderId="1" xfId="3" applyNumberFormat="1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4" fontId="21" fillId="0" borderId="0" xfId="2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44" fontId="0" fillId="0" borderId="0" xfId="2" applyFont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4" fontId="0" fillId="0" borderId="0" xfId="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4" fontId="4" fillId="0" borderId="1" xfId="2" applyFont="1" applyBorder="1" applyAlignment="1">
      <alignment horizontal="center" vertical="center" wrapText="1"/>
    </xf>
    <xf numFmtId="44" fontId="4" fillId="0" borderId="7" xfId="2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4" fontId="0" fillId="0" borderId="0" xfId="2" applyFont="1"/>
    <xf numFmtId="44" fontId="29" fillId="0" borderId="0" xfId="2" applyFont="1" applyAlignment="1">
      <alignment horizontal="center" vertical="center"/>
    </xf>
    <xf numFmtId="17" fontId="0" fillId="0" borderId="0" xfId="0" applyNumberFormat="1"/>
    <xf numFmtId="0" fontId="34" fillId="0" borderId="4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44" fontId="0" fillId="13" borderId="1" xfId="1" applyFont="1" applyFill="1" applyBorder="1" applyAlignment="1">
      <alignment horizontal="center" vertical="center"/>
    </xf>
    <xf numFmtId="44" fontId="0" fillId="13" borderId="3" xfId="1" applyFont="1" applyFill="1" applyBorder="1" applyAlignment="1">
      <alignment horizontal="center" vertical="center"/>
    </xf>
    <xf numFmtId="44" fontId="0" fillId="13" borderId="1" xfId="1" applyFont="1" applyFill="1" applyBorder="1" applyAlignment="1">
      <alignment horizontal="center" vertical="center" wrapText="1"/>
    </xf>
    <xf numFmtId="44" fontId="3" fillId="13" borderId="1" xfId="1" applyFont="1" applyFill="1" applyBorder="1" applyAlignment="1">
      <alignment horizontal="center" vertical="center" wrapText="1"/>
    </xf>
    <xf numFmtId="44" fontId="3" fillId="13" borderId="1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44" fontId="0" fillId="0" borderId="0" xfId="1" applyFont="1" applyAlignment="1">
      <alignment horizontal="center" vertical="center"/>
    </xf>
    <xf numFmtId="44" fontId="4" fillId="0" borderId="0" xfId="2" applyFont="1" applyAlignment="1">
      <alignment horizontal="center" vertical="center"/>
    </xf>
    <xf numFmtId="0" fontId="36" fillId="14" borderId="0" xfId="4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 wrapText="1"/>
    </xf>
    <xf numFmtId="14" fontId="9" fillId="6" borderId="8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40" fillId="10" borderId="9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 wrapText="1"/>
    </xf>
    <xf numFmtId="0" fontId="4" fillId="11" borderId="0" xfId="0" applyFont="1" applyFill="1" applyAlignment="1">
      <alignment horizontal="center" wrapText="1"/>
    </xf>
    <xf numFmtId="0" fontId="4" fillId="11" borderId="15" xfId="0" applyFont="1" applyFill="1" applyBorder="1" applyAlignment="1">
      <alignment horizontal="center"/>
    </xf>
    <xf numFmtId="3" fontId="0" fillId="0" borderId="0" xfId="0" applyNumberFormat="1"/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44" fontId="43" fillId="0" borderId="0" xfId="1" applyFont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44" fontId="0" fillId="0" borderId="0" xfId="2" applyFont="1" applyFill="1" applyBorder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center" wrapText="1"/>
    </xf>
    <xf numFmtId="44" fontId="26" fillId="0" borderId="1" xfId="2" applyFont="1" applyFill="1" applyBorder="1" applyAlignment="1">
      <alignment horizontal="center" vertical="center" wrapText="1"/>
    </xf>
    <xf numFmtId="44" fontId="27" fillId="0" borderId="1" xfId="2" applyFont="1" applyFill="1" applyBorder="1" applyAlignment="1">
      <alignment horizontal="center" vertical="center" wrapText="1"/>
    </xf>
    <xf numFmtId="44" fontId="26" fillId="0" borderId="1" xfId="1" applyFont="1" applyFill="1" applyBorder="1" applyAlignment="1">
      <alignment horizontal="center" vertical="center" wrapText="1"/>
    </xf>
    <xf numFmtId="44" fontId="26" fillId="0" borderId="3" xfId="2" applyFont="1" applyFill="1" applyBorder="1" applyAlignment="1">
      <alignment horizontal="center" vertical="center" wrapText="1"/>
    </xf>
    <xf numFmtId="44" fontId="39" fillId="0" borderId="3" xfId="7" applyNumberFormat="1" applyFill="1" applyBorder="1" applyAlignment="1">
      <alignment horizontal="center" vertical="center" wrapText="1"/>
    </xf>
    <xf numFmtId="44" fontId="0" fillId="0" borderId="0" xfId="2" applyFont="1" applyFill="1" applyAlignment="1">
      <alignment horizontal="center" vertical="center" wrapText="1"/>
    </xf>
    <xf numFmtId="44" fontId="1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0" fillId="0" borderId="3" xfId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 wrapText="1"/>
    </xf>
    <xf numFmtId="44" fontId="3" fillId="0" borderId="1" xfId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44" fontId="18" fillId="0" borderId="3" xfId="2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4" fontId="0" fillId="0" borderId="3" xfId="0" applyNumberFormat="1" applyBorder="1" applyAlignment="1">
      <alignment horizontal="center" vertical="center"/>
    </xf>
    <xf numFmtId="9" fontId="0" fillId="0" borderId="0" xfId="0" applyNumberFormat="1"/>
    <xf numFmtId="0" fontId="0" fillId="2" borderId="1" xfId="0" applyFill="1" applyBorder="1"/>
    <xf numFmtId="44" fontId="0" fillId="2" borderId="1" xfId="0" applyNumberFormat="1" applyFill="1" applyBorder="1"/>
    <xf numFmtId="1" fontId="0" fillId="0" borderId="1" xfId="0" applyNumberFormat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44" fontId="29" fillId="0" borderId="1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44" fontId="0" fillId="0" borderId="12" xfId="1" applyFont="1" applyFill="1" applyBorder="1" applyAlignment="1">
      <alignment horizontal="center" vertical="center"/>
    </xf>
    <xf numFmtId="44" fontId="0" fillId="0" borderId="18" xfId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29" fillId="0" borderId="12" xfId="4" applyNumberFormat="1" applyFont="1" applyFill="1" applyBorder="1" applyAlignment="1">
      <alignment horizontal="center" vertical="center"/>
    </xf>
    <xf numFmtId="44" fontId="29" fillId="0" borderId="12" xfId="1" applyFont="1" applyFill="1" applyBorder="1" applyAlignment="1">
      <alignment horizontal="center" vertical="center"/>
    </xf>
    <xf numFmtId="0" fontId="29" fillId="0" borderId="12" xfId="4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44" fontId="0" fillId="0" borderId="14" xfId="1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44" fontId="0" fillId="0" borderId="0" xfId="1" applyFont="1" applyFill="1" applyBorder="1" applyAlignment="1">
      <alignment horizontal="center" vertical="center"/>
    </xf>
    <xf numFmtId="44" fontId="4" fillId="0" borderId="0" xfId="2" applyFont="1" applyFill="1" applyAlignment="1">
      <alignment horizontal="center" vertical="center" wrapText="1"/>
    </xf>
    <xf numFmtId="0" fontId="0" fillId="17" borderId="1" xfId="0" applyFill="1" applyBorder="1"/>
    <xf numFmtId="44" fontId="0" fillId="17" borderId="1" xfId="0" applyNumberFormat="1" applyFill="1" applyBorder="1"/>
    <xf numFmtId="0" fontId="2" fillId="18" borderId="16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4" fontId="7" fillId="0" borderId="0" xfId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44" fontId="0" fillId="13" borderId="0" xfId="1" applyFont="1" applyFill="1" applyAlignment="1">
      <alignment horizontal="center" vertical="center"/>
    </xf>
    <xf numFmtId="0" fontId="29" fillId="0" borderId="0" xfId="4" applyFont="1" applyFill="1" applyBorder="1" applyAlignment="1">
      <alignment horizontal="center" vertical="center"/>
    </xf>
    <xf numFmtId="44" fontId="0" fillId="2" borderId="12" xfId="1" applyFont="1" applyFill="1" applyBorder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4" fontId="0" fillId="0" borderId="14" xfId="0" applyNumberFormat="1" applyBorder="1" applyAlignment="1">
      <alignment horizontal="center" vertical="center"/>
    </xf>
    <xf numFmtId="44" fontId="0" fillId="0" borderId="20" xfId="0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3" fontId="0" fillId="17" borderId="0" xfId="0" applyNumberFormat="1" applyFill="1" applyAlignment="1">
      <alignment horizontal="center" vertical="center"/>
    </xf>
    <xf numFmtId="44" fontId="0" fillId="17" borderId="0" xfId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9" fillId="0" borderId="14" xfId="4" applyFont="1" applyFill="1" applyBorder="1" applyAlignment="1">
      <alignment horizontal="center" vertical="center"/>
    </xf>
    <xf numFmtId="44" fontId="28" fillId="0" borderId="1" xfId="2" applyFont="1" applyFill="1" applyBorder="1" applyAlignment="1">
      <alignment horizontal="center" vertical="center" wrapText="1"/>
    </xf>
    <xf numFmtId="44" fontId="43" fillId="0" borderId="0" xfId="1" applyFont="1" applyFill="1" applyAlignment="1">
      <alignment horizontal="center"/>
    </xf>
    <xf numFmtId="0" fontId="48" fillId="0" borderId="22" xfId="0" applyFont="1" applyBorder="1" applyAlignment="1">
      <alignment horizontal="center" vertical="center"/>
    </xf>
    <xf numFmtId="44" fontId="4" fillId="0" borderId="23" xfId="1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44" fontId="32" fillId="0" borderId="12" xfId="2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165" fontId="33" fillId="0" borderId="12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3" fontId="33" fillId="0" borderId="12" xfId="0" applyNumberFormat="1" applyFont="1" applyBorder="1" applyAlignment="1">
      <alignment horizontal="center" vertical="center" wrapText="1"/>
    </xf>
    <xf numFmtId="0" fontId="0" fillId="0" borderId="12" xfId="0" applyBorder="1"/>
    <xf numFmtId="165" fontId="33" fillId="0" borderId="14" xfId="0" applyNumberFormat="1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0" fillId="0" borderId="14" xfId="0" applyBorder="1"/>
    <xf numFmtId="3" fontId="33" fillId="0" borderId="14" xfId="0" applyNumberFormat="1" applyFont="1" applyBorder="1" applyAlignment="1">
      <alignment horizontal="center" vertical="center" wrapText="1"/>
    </xf>
    <xf numFmtId="44" fontId="32" fillId="0" borderId="14" xfId="2" applyFont="1" applyFill="1" applyBorder="1" applyAlignment="1">
      <alignment horizontal="center" vertical="center"/>
    </xf>
    <xf numFmtId="44" fontId="32" fillId="0" borderId="0" xfId="2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12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0" borderId="0" xfId="19" applyNumberFormat="1" applyFont="1" applyAlignment="1">
      <alignment horizontal="center" vertical="center" wrapText="1"/>
    </xf>
    <xf numFmtId="164" fontId="0" fillId="0" borderId="4" xfId="19" applyNumberFormat="1" applyFont="1" applyBorder="1" applyAlignment="1">
      <alignment horizontal="center" vertical="center" wrapText="1"/>
    </xf>
    <xf numFmtId="164" fontId="0" fillId="0" borderId="1" xfId="19" applyNumberFormat="1" applyFont="1" applyBorder="1" applyAlignment="1">
      <alignment horizontal="center" vertical="center" wrapText="1"/>
    </xf>
    <xf numFmtId="164" fontId="0" fillId="0" borderId="3" xfId="19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3" fontId="33" fillId="0" borderId="0" xfId="0" applyNumberFormat="1" applyFont="1" applyAlignment="1">
      <alignment horizontal="center" vertical="center" wrapText="1"/>
    </xf>
    <xf numFmtId="165" fontId="33" fillId="0" borderId="0" xfId="0" applyNumberFormat="1" applyFont="1" applyAlignment="1">
      <alignment horizontal="center" vertical="center" wrapText="1"/>
    </xf>
    <xf numFmtId="44" fontId="32" fillId="0" borderId="2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164" fontId="0" fillId="0" borderId="0" xfId="0" applyNumberFormat="1"/>
    <xf numFmtId="0" fontId="8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</cellXfs>
  <cellStyles count="20">
    <cellStyle name="Incorrecto" xfId="4" builtinId="27"/>
    <cellStyle name="Millares" xfId="19" builtinId="3"/>
    <cellStyle name="Millares 2" xfId="13" xr:uid="{8FB54378-D904-4556-B799-ED6A3E2E9D7B}"/>
    <cellStyle name="Millares 2 2" xfId="18" xr:uid="{D809C8F8-1BDA-46B2-A036-B7E46B96FB88}"/>
    <cellStyle name="Millares 3" xfId="12" xr:uid="{2440446F-750D-463A-8646-B61F7C49E9DA}"/>
    <cellStyle name="Millares 3 2" xfId="17" xr:uid="{2A9EF1A8-9A72-4EBD-A31A-FD6010949A16}"/>
    <cellStyle name="Millares 4" xfId="11" xr:uid="{624B915E-1342-4230-91D2-0006FC95A119}"/>
    <cellStyle name="Millares 4 2" xfId="16" xr:uid="{8EAAF07E-FD24-4432-874D-5D76356B78C7}"/>
    <cellStyle name="Millares 5" xfId="3" xr:uid="{1D060C9E-4CF3-4688-B41C-9E8A69CB644C}"/>
    <cellStyle name="Millares 5 2" xfId="15" xr:uid="{DE7CB1F0-A00C-4119-84FD-24952CAFF323}"/>
    <cellStyle name="Millares 6" xfId="9" xr:uid="{5D3FA5C5-1DFD-4BE9-9B7B-2AA968E2ADB3}"/>
    <cellStyle name="Moneda" xfId="1" builtinId="4"/>
    <cellStyle name="Moneda 2" xfId="2" xr:uid="{A4844159-F1D0-4AE2-A7AC-3DB71773378B}"/>
    <cellStyle name="Moneda 2 2" xfId="14" xr:uid="{41314F1C-0D4C-473E-9B21-387A25222C6C}"/>
    <cellStyle name="Moneda 3" xfId="8" xr:uid="{645BB274-39E0-4AE8-8591-9ED6DBB85350}"/>
    <cellStyle name="Neutral" xfId="7" builtinId="28"/>
    <cellStyle name="Normal" xfId="0" builtinId="0"/>
    <cellStyle name="Normal 2" xfId="5" xr:uid="{45857CD4-A67B-48CA-9E72-E35FFB79F30E}"/>
    <cellStyle name="Normal 2 2" xfId="10" xr:uid="{002CA856-6D4D-43A5-BA9A-23AC3539105C}"/>
    <cellStyle name="Normal 3" xfId="6" xr:uid="{02EA96B6-0542-4405-9B95-8B84C380310E}"/>
  </cellStyles>
  <dxfs count="18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5" formatCode="0\ &quot;pzs&quot;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_-* #,##0_-;\-* #,##0_-;_-* &quot;-&quot;??_-;_-@_-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ont>
        <b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A1885DC3-6241-4DE9-9B82-1F97791D8AFC}">
      <tableStyleElement type="wholeTable" dxfId="183"/>
      <tableStyleElement type="headerRow" dxfId="182"/>
      <tableStyleElement type="firstRowStripe" dxfId="181"/>
    </tableStyle>
    <tableStyle name="TableStyleQueryResult" pivot="0" count="3" xr9:uid="{8E5C937D-8B6F-4D7B-8B1C-5BC540247540}">
      <tableStyleElement type="wholeTable" dxfId="180"/>
      <tableStyleElement type="headerRow" dxfId="179"/>
      <tableStyleElement type="firstRowStripe" dxfId="1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10</xdr:row>
      <xdr:rowOff>161925</xdr:rowOff>
    </xdr:from>
    <xdr:to>
      <xdr:col>2</xdr:col>
      <xdr:colOff>1600200</xdr:colOff>
      <xdr:row>10</xdr:row>
      <xdr:rowOff>771525</xdr:rowOff>
    </xdr:to>
    <xdr:pic>
      <xdr:nvPicPr>
        <xdr:cNvPr id="29" name="4 Imagen">
          <a:extLst>
            <a:ext uri="{FF2B5EF4-FFF2-40B4-BE49-F238E27FC236}">
              <a16:creationId xmlns:a16="http://schemas.microsoft.com/office/drawing/2014/main" id="{2F4DC635-970D-485F-B371-974F4DE6BC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71" r="40461" b="47052"/>
        <a:stretch/>
      </xdr:blipFill>
      <xdr:spPr>
        <a:xfrm>
          <a:off x="2867025" y="9620250"/>
          <a:ext cx="1171575" cy="609600"/>
        </a:xfrm>
        <a:prstGeom prst="rect">
          <a:avLst/>
        </a:prstGeom>
      </xdr:spPr>
    </xdr:pic>
    <xdr:clientData/>
  </xdr:twoCellAnchor>
  <xdr:twoCellAnchor>
    <xdr:from>
      <xdr:col>2</xdr:col>
      <xdr:colOff>333376</xdr:colOff>
      <xdr:row>21</xdr:row>
      <xdr:rowOff>257175</xdr:rowOff>
    </xdr:from>
    <xdr:to>
      <xdr:col>2</xdr:col>
      <xdr:colOff>1714500</xdr:colOff>
      <xdr:row>21</xdr:row>
      <xdr:rowOff>1009651</xdr:rowOff>
    </xdr:to>
    <xdr:pic>
      <xdr:nvPicPr>
        <xdr:cNvPr id="30" name="2 Imagen">
          <a:extLst>
            <a:ext uri="{FF2B5EF4-FFF2-40B4-BE49-F238E27FC236}">
              <a16:creationId xmlns:a16="http://schemas.microsoft.com/office/drawing/2014/main" id="{88FEDB18-EEFA-4AC0-A2A2-5AE07B794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69" t="1" r="41508" b="-871"/>
        <a:stretch/>
      </xdr:blipFill>
      <xdr:spPr>
        <a:xfrm>
          <a:off x="2771776" y="21878925"/>
          <a:ext cx="1381124" cy="752476"/>
        </a:xfrm>
        <a:prstGeom prst="rect">
          <a:avLst/>
        </a:prstGeom>
      </xdr:spPr>
    </xdr:pic>
    <xdr:clientData/>
  </xdr:twoCellAnchor>
  <xdr:twoCellAnchor>
    <xdr:from>
      <xdr:col>2</xdr:col>
      <xdr:colOff>559174</xdr:colOff>
      <xdr:row>22</xdr:row>
      <xdr:rowOff>76201</xdr:rowOff>
    </xdr:from>
    <xdr:to>
      <xdr:col>2</xdr:col>
      <xdr:colOff>1362075</xdr:colOff>
      <xdr:row>22</xdr:row>
      <xdr:rowOff>808671</xdr:rowOff>
    </xdr:to>
    <xdr:pic>
      <xdr:nvPicPr>
        <xdr:cNvPr id="31" name="3 Imagen">
          <a:extLst>
            <a:ext uri="{FF2B5EF4-FFF2-40B4-BE49-F238E27FC236}">
              <a16:creationId xmlns:a16="http://schemas.microsoft.com/office/drawing/2014/main" id="{662F9C7F-7ADA-4AB1-B3CB-91D16BF14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20" r="41699" b="33791"/>
        <a:stretch/>
      </xdr:blipFill>
      <xdr:spPr>
        <a:xfrm>
          <a:off x="2997574" y="23183851"/>
          <a:ext cx="802901" cy="73247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5</xdr:row>
      <xdr:rowOff>19050</xdr:rowOff>
    </xdr:from>
    <xdr:to>
      <xdr:col>2</xdr:col>
      <xdr:colOff>1564470</xdr:colOff>
      <xdr:row>5</xdr:row>
      <xdr:rowOff>1085850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E10D22D-FBBB-4E68-9D9C-DCE049B8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1800" y="4657725"/>
          <a:ext cx="1031070" cy="104775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6</xdr:row>
      <xdr:rowOff>219075</xdr:rowOff>
    </xdr:from>
    <xdr:to>
      <xdr:col>2</xdr:col>
      <xdr:colOff>1895475</xdr:colOff>
      <xdr:row>6</xdr:row>
      <xdr:rowOff>1137314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E18A6609-B8C0-4539-A81F-0712E6510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1275" y="5924550"/>
          <a:ext cx="1752600" cy="861089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7</xdr:row>
      <xdr:rowOff>104776</xdr:rowOff>
    </xdr:from>
    <xdr:to>
      <xdr:col>2</xdr:col>
      <xdr:colOff>1800225</xdr:colOff>
      <xdr:row>7</xdr:row>
      <xdr:rowOff>760888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99413872-C85E-44F9-8C9F-1EAEC2E6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52725" y="6886576"/>
          <a:ext cx="1485900" cy="656112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8</xdr:row>
      <xdr:rowOff>28575</xdr:rowOff>
    </xdr:from>
    <xdr:to>
      <xdr:col>2</xdr:col>
      <xdr:colOff>1695450</xdr:colOff>
      <xdr:row>8</xdr:row>
      <xdr:rowOff>951304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79A9B723-6C27-4163-B3B6-887F4B0BF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00" y="7734300"/>
          <a:ext cx="1276350" cy="922729"/>
        </a:xfrm>
        <a:prstGeom prst="rect">
          <a:avLst/>
        </a:prstGeom>
      </xdr:spPr>
    </xdr:pic>
    <xdr:clientData/>
  </xdr:twoCellAnchor>
  <xdr:twoCellAnchor>
    <xdr:from>
      <xdr:col>2</xdr:col>
      <xdr:colOff>609600</xdr:colOff>
      <xdr:row>9</xdr:row>
      <xdr:rowOff>76201</xdr:rowOff>
    </xdr:from>
    <xdr:to>
      <xdr:col>2</xdr:col>
      <xdr:colOff>1457325</xdr:colOff>
      <xdr:row>9</xdr:row>
      <xdr:rowOff>746481</xdr:rowOff>
    </xdr:to>
    <xdr:pic>
      <xdr:nvPicPr>
        <xdr:cNvPr id="36" name="Picture 448">
          <a:extLst>
            <a:ext uri="{FF2B5EF4-FFF2-40B4-BE49-F238E27FC236}">
              <a16:creationId xmlns:a16="http://schemas.microsoft.com/office/drawing/2014/main" id="{59D28801-2BDB-4BFA-98E9-D1BE4FFF1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048000" y="8810626"/>
          <a:ext cx="847725" cy="65123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571500</xdr:colOff>
      <xdr:row>12</xdr:row>
      <xdr:rowOff>133350</xdr:rowOff>
    </xdr:from>
    <xdr:to>
      <xdr:col>2</xdr:col>
      <xdr:colOff>1562100</xdr:colOff>
      <xdr:row>12</xdr:row>
      <xdr:rowOff>1224903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E7B41DE-4504-4E28-8903-7F0F1E69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9900" y="11515725"/>
          <a:ext cx="990600" cy="958203"/>
        </a:xfrm>
        <a:prstGeom prst="rect">
          <a:avLst/>
        </a:prstGeom>
      </xdr:spPr>
    </xdr:pic>
    <xdr:clientData/>
  </xdr:twoCellAnchor>
  <xdr:twoCellAnchor>
    <xdr:from>
      <xdr:col>2</xdr:col>
      <xdr:colOff>657225</xdr:colOff>
      <xdr:row>11</xdr:row>
      <xdr:rowOff>95250</xdr:rowOff>
    </xdr:from>
    <xdr:to>
      <xdr:col>2</xdr:col>
      <xdr:colOff>1428750</xdr:colOff>
      <xdr:row>11</xdr:row>
      <xdr:rowOff>1016984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0542A88-1D56-403D-9A2B-AB4DFB426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5625" y="10544175"/>
          <a:ext cx="771525" cy="836009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13</xdr:row>
      <xdr:rowOff>95251</xdr:rowOff>
    </xdr:from>
    <xdr:to>
      <xdr:col>2</xdr:col>
      <xdr:colOff>1533525</xdr:colOff>
      <xdr:row>13</xdr:row>
      <xdr:rowOff>1170967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8901A51-7EBD-4360-97FD-4575EA911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14650" y="12573001"/>
          <a:ext cx="1057275" cy="951891"/>
        </a:xfrm>
        <a:prstGeom prst="rect">
          <a:avLst/>
        </a:prstGeom>
      </xdr:spPr>
    </xdr:pic>
    <xdr:clientData/>
  </xdr:twoCellAnchor>
  <xdr:twoCellAnchor>
    <xdr:from>
      <xdr:col>2</xdr:col>
      <xdr:colOff>47626</xdr:colOff>
      <xdr:row>14</xdr:row>
      <xdr:rowOff>190501</xdr:rowOff>
    </xdr:from>
    <xdr:to>
      <xdr:col>2</xdr:col>
      <xdr:colOff>1933576</xdr:colOff>
      <xdr:row>14</xdr:row>
      <xdr:rowOff>1114133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49383629-6CEA-492F-94BC-41A1B8BF8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86026" y="13716001"/>
          <a:ext cx="1885950" cy="923632"/>
        </a:xfrm>
        <a:prstGeom prst="rect">
          <a:avLst/>
        </a:prstGeom>
      </xdr:spPr>
    </xdr:pic>
    <xdr:clientData/>
  </xdr:twoCellAnchor>
  <xdr:twoCellAnchor>
    <xdr:from>
      <xdr:col>2</xdr:col>
      <xdr:colOff>514350</xdr:colOff>
      <xdr:row>15</xdr:row>
      <xdr:rowOff>133350</xdr:rowOff>
    </xdr:from>
    <xdr:to>
      <xdr:col>2</xdr:col>
      <xdr:colOff>1504949</xdr:colOff>
      <xdr:row>15</xdr:row>
      <xdr:rowOff>1183534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7A162B10-1814-4944-9207-6C58C9874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52750" y="14792325"/>
          <a:ext cx="990599" cy="897784"/>
        </a:xfrm>
        <a:prstGeom prst="rect">
          <a:avLst/>
        </a:prstGeom>
      </xdr:spPr>
    </xdr:pic>
    <xdr:clientData/>
  </xdr:twoCellAnchor>
  <xdr:twoCellAnchor>
    <xdr:from>
      <xdr:col>2</xdr:col>
      <xdr:colOff>295275</xdr:colOff>
      <xdr:row>16</xdr:row>
      <xdr:rowOff>219075</xdr:rowOff>
    </xdr:from>
    <xdr:to>
      <xdr:col>2</xdr:col>
      <xdr:colOff>1828608</xdr:colOff>
      <xdr:row>16</xdr:row>
      <xdr:rowOff>952408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5668B23-48FE-418F-903E-95958ED8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33675" y="15906750"/>
          <a:ext cx="1533333" cy="733333"/>
        </a:xfrm>
        <a:prstGeom prst="rect">
          <a:avLst/>
        </a:prstGeom>
      </xdr:spPr>
    </xdr:pic>
    <xdr:clientData/>
  </xdr:twoCellAnchor>
  <xdr:twoCellAnchor>
    <xdr:from>
      <xdr:col>2</xdr:col>
      <xdr:colOff>514350</xdr:colOff>
      <xdr:row>17</xdr:row>
      <xdr:rowOff>66675</xdr:rowOff>
    </xdr:from>
    <xdr:to>
      <xdr:col>2</xdr:col>
      <xdr:colOff>1504950</xdr:colOff>
      <xdr:row>17</xdr:row>
      <xdr:rowOff>919452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BC6D1C7-9432-42DD-8D9D-F65A8FC4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2750" y="16821150"/>
          <a:ext cx="990600" cy="852777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18</xdr:row>
      <xdr:rowOff>295275</xdr:rowOff>
    </xdr:from>
    <xdr:to>
      <xdr:col>2</xdr:col>
      <xdr:colOff>1857183</xdr:colOff>
      <xdr:row>18</xdr:row>
      <xdr:rowOff>1028608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6D89A2D7-F042-4915-A0E7-C505226D1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62250" y="17992725"/>
          <a:ext cx="1533333" cy="733333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19</xdr:row>
      <xdr:rowOff>161925</xdr:rowOff>
    </xdr:from>
    <xdr:to>
      <xdr:col>2</xdr:col>
      <xdr:colOff>1466850</xdr:colOff>
      <xdr:row>19</xdr:row>
      <xdr:rowOff>1014702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BA4194A-8D8F-4A55-A2DC-565BB1011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14650" y="19364325"/>
          <a:ext cx="990600" cy="852777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20</xdr:row>
      <xdr:rowOff>161925</xdr:rowOff>
    </xdr:from>
    <xdr:to>
      <xdr:col>2</xdr:col>
      <xdr:colOff>1590675</xdr:colOff>
      <xdr:row>20</xdr:row>
      <xdr:rowOff>1285874</xdr:rowOff>
    </xdr:to>
    <xdr:pic>
      <xdr:nvPicPr>
        <xdr:cNvPr id="46" name="1 Imagen">
          <a:extLst>
            <a:ext uri="{FF2B5EF4-FFF2-40B4-BE49-F238E27FC236}">
              <a16:creationId xmlns:a16="http://schemas.microsoft.com/office/drawing/2014/main" id="{5D8B9628-803B-49D0-A5E7-5982CB5FDB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r="40846" b="22899"/>
        <a:stretch/>
      </xdr:blipFill>
      <xdr:spPr>
        <a:xfrm>
          <a:off x="2705100" y="20421600"/>
          <a:ext cx="1323975" cy="1123949"/>
        </a:xfrm>
        <a:prstGeom prst="rect">
          <a:avLst/>
        </a:prstGeom>
      </xdr:spPr>
    </xdr:pic>
    <xdr:clientData/>
  </xdr:twoCellAnchor>
  <xdr:twoCellAnchor>
    <xdr:from>
      <xdr:col>2</xdr:col>
      <xdr:colOff>366993</xdr:colOff>
      <xdr:row>23</xdr:row>
      <xdr:rowOff>294154</xdr:rowOff>
    </xdr:from>
    <xdr:to>
      <xdr:col>2</xdr:col>
      <xdr:colOff>1657350</xdr:colOff>
      <xdr:row>23</xdr:row>
      <xdr:rowOff>1143155</xdr:rowOff>
    </xdr:to>
    <xdr:pic>
      <xdr:nvPicPr>
        <xdr:cNvPr id="47" name="5 Imagen">
          <a:extLst>
            <a:ext uri="{FF2B5EF4-FFF2-40B4-BE49-F238E27FC236}">
              <a16:creationId xmlns:a16="http://schemas.microsoft.com/office/drawing/2014/main" id="{430EA37E-959E-4636-BD4A-E7B839533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946" r="40904" b="51230"/>
        <a:stretch/>
      </xdr:blipFill>
      <xdr:spPr>
        <a:xfrm>
          <a:off x="2805393" y="24801979"/>
          <a:ext cx="1290357" cy="849001"/>
        </a:xfrm>
        <a:prstGeom prst="rect">
          <a:avLst/>
        </a:prstGeom>
      </xdr:spPr>
    </xdr:pic>
    <xdr:clientData/>
  </xdr:twoCellAnchor>
  <xdr:twoCellAnchor>
    <xdr:from>
      <xdr:col>2</xdr:col>
      <xdr:colOff>563094</xdr:colOff>
      <xdr:row>24</xdr:row>
      <xdr:rowOff>115980</xdr:rowOff>
    </xdr:from>
    <xdr:to>
      <xdr:col>2</xdr:col>
      <xdr:colOff>1657350</xdr:colOff>
      <xdr:row>24</xdr:row>
      <xdr:rowOff>1379029</xdr:rowOff>
    </xdr:to>
    <xdr:pic>
      <xdr:nvPicPr>
        <xdr:cNvPr id="48" name="6 Imagen">
          <a:extLst>
            <a:ext uri="{FF2B5EF4-FFF2-40B4-BE49-F238E27FC236}">
              <a16:creationId xmlns:a16="http://schemas.microsoft.com/office/drawing/2014/main" id="{B61F2028-C032-4E2E-851D-0971171CFB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5017" r="39345" b="36375"/>
        <a:stretch/>
      </xdr:blipFill>
      <xdr:spPr>
        <a:xfrm>
          <a:off x="3001494" y="26128755"/>
          <a:ext cx="1094256" cy="1110649"/>
        </a:xfrm>
        <a:prstGeom prst="rect">
          <a:avLst/>
        </a:prstGeom>
      </xdr:spPr>
    </xdr:pic>
    <xdr:clientData/>
  </xdr:twoCellAnchor>
  <xdr:twoCellAnchor>
    <xdr:from>
      <xdr:col>2</xdr:col>
      <xdr:colOff>379638</xdr:colOff>
      <xdr:row>25</xdr:row>
      <xdr:rowOff>159203</xdr:rowOff>
    </xdr:from>
    <xdr:to>
      <xdr:col>2</xdr:col>
      <xdr:colOff>1524000</xdr:colOff>
      <xdr:row>25</xdr:row>
      <xdr:rowOff>1228725</xdr:rowOff>
    </xdr:to>
    <xdr:pic>
      <xdr:nvPicPr>
        <xdr:cNvPr id="49" name="9 Imagen">
          <a:extLst>
            <a:ext uri="{FF2B5EF4-FFF2-40B4-BE49-F238E27FC236}">
              <a16:creationId xmlns:a16="http://schemas.microsoft.com/office/drawing/2014/main" id="{0C594A8A-ECF5-45B0-B0DC-B7AA00336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105" r="41807" b="45299"/>
        <a:stretch/>
      </xdr:blipFill>
      <xdr:spPr>
        <a:xfrm>
          <a:off x="2818038" y="27400703"/>
          <a:ext cx="1144362" cy="983797"/>
        </a:xfrm>
        <a:prstGeom prst="rect">
          <a:avLst/>
        </a:prstGeom>
      </xdr:spPr>
    </xdr:pic>
    <xdr:clientData/>
  </xdr:twoCellAnchor>
  <xdr:twoCellAnchor>
    <xdr:from>
      <xdr:col>2</xdr:col>
      <xdr:colOff>276225</xdr:colOff>
      <xdr:row>1</xdr:row>
      <xdr:rowOff>161925</xdr:rowOff>
    </xdr:from>
    <xdr:to>
      <xdr:col>2</xdr:col>
      <xdr:colOff>1724025</xdr:colOff>
      <xdr:row>1</xdr:row>
      <xdr:rowOff>1428203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F76EF5C-1ECF-4311-A677-9D79DD66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14625" y="1171575"/>
          <a:ext cx="1447800" cy="1266278"/>
        </a:xfrm>
        <a:prstGeom prst="rect">
          <a:avLst/>
        </a:prstGeom>
      </xdr:spPr>
    </xdr:pic>
    <xdr:clientData/>
  </xdr:twoCellAnchor>
  <xdr:twoCellAnchor>
    <xdr:from>
      <xdr:col>2</xdr:col>
      <xdr:colOff>85726</xdr:colOff>
      <xdr:row>2</xdr:row>
      <xdr:rowOff>152400</xdr:rowOff>
    </xdr:from>
    <xdr:to>
      <xdr:col>2</xdr:col>
      <xdr:colOff>1876426</xdr:colOff>
      <xdr:row>2</xdr:row>
      <xdr:rowOff>773859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135FC87C-F26A-4696-BFDE-87B5C5C5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24126" y="2828925"/>
          <a:ext cx="1790700" cy="621459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26</xdr:row>
      <xdr:rowOff>200025</xdr:rowOff>
    </xdr:from>
    <xdr:to>
      <xdr:col>2</xdr:col>
      <xdr:colOff>1556497</xdr:colOff>
      <xdr:row>26</xdr:row>
      <xdr:rowOff>1059516</xdr:rowOff>
    </xdr:to>
    <xdr:pic>
      <xdr:nvPicPr>
        <xdr:cNvPr id="52" name="Picture 2" descr="cid:_Foxmail.1@377dfd36-347d-d12d-6490-318e27e00aa0">
          <a:extLst>
            <a:ext uri="{FF2B5EF4-FFF2-40B4-BE49-F238E27FC236}">
              <a16:creationId xmlns:a16="http://schemas.microsoft.com/office/drawing/2014/main" id="{371282CA-3929-42CE-B7EA-3913E0DE1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781300" y="28584525"/>
          <a:ext cx="1213597" cy="8594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381001</xdr:colOff>
      <xdr:row>3</xdr:row>
      <xdr:rowOff>57150</xdr:rowOff>
    </xdr:from>
    <xdr:to>
      <xdr:col>2</xdr:col>
      <xdr:colOff>1314451</xdr:colOff>
      <xdr:row>3</xdr:row>
      <xdr:rowOff>903923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B08B37F-4844-422C-9EE1-D5D6EB41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19401" y="3714750"/>
          <a:ext cx="933450" cy="846773"/>
        </a:xfrm>
        <a:prstGeom prst="rect">
          <a:avLst/>
        </a:prstGeom>
      </xdr:spPr>
    </xdr:pic>
    <xdr:clientData/>
  </xdr:twoCellAnchor>
  <xdr:twoCellAnchor>
    <xdr:from>
      <xdr:col>2</xdr:col>
      <xdr:colOff>180976</xdr:colOff>
      <xdr:row>31</xdr:row>
      <xdr:rowOff>257175</xdr:rowOff>
    </xdr:from>
    <xdr:to>
      <xdr:col>2</xdr:col>
      <xdr:colOff>1914526</xdr:colOff>
      <xdr:row>31</xdr:row>
      <xdr:rowOff>781050</xdr:rowOff>
    </xdr:to>
    <xdr:sp macro="" textlink="">
      <xdr:nvSpPr>
        <xdr:cNvPr id="54" name="object 10">
          <a:extLst>
            <a:ext uri="{FF2B5EF4-FFF2-40B4-BE49-F238E27FC236}">
              <a16:creationId xmlns:a16="http://schemas.microsoft.com/office/drawing/2014/main" id="{4FBCA081-BAC5-43F1-81C6-097A5E301B7A}"/>
            </a:ext>
          </a:extLst>
        </xdr:cNvPr>
        <xdr:cNvSpPr>
          <a:spLocks noChangeAspect="1"/>
        </xdr:cNvSpPr>
      </xdr:nvSpPr>
      <xdr:spPr>
        <a:xfrm>
          <a:off x="2619376" y="33213675"/>
          <a:ext cx="1733550" cy="523875"/>
        </a:xfrm>
        <a:prstGeom prst="rect">
          <a:avLst/>
        </a:prstGeom>
        <a:blipFill>
          <a:blip xmlns:r="http://schemas.openxmlformats.org/officeDocument/2006/relationships" r:embed="rId24" cstate="print"/>
          <a:stretch>
            <a:fillRect/>
          </a:stretch>
        </a:blipFill>
      </xdr:spPr>
      <xdr:txBody>
        <a:bodyPr wrap="square" lIns="0" tIns="0" rIns="0" bIns="0" rtlCol="0">
          <a:noAutofit/>
        </a:bodyPr>
        <a:lstStyle>
          <a:defPPr>
            <a:defRPr lang="es-P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2</xdr:col>
      <xdr:colOff>381000</xdr:colOff>
      <xdr:row>27</xdr:row>
      <xdr:rowOff>28574</xdr:rowOff>
    </xdr:from>
    <xdr:to>
      <xdr:col>3</xdr:col>
      <xdr:colOff>1</xdr:colOff>
      <xdr:row>28</xdr:row>
      <xdr:rowOff>0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FF883066-352B-4F1F-9DC4-E80CF8B19DCB}"/>
            </a:ext>
          </a:extLst>
        </xdr:cNvPr>
        <xdr:cNvGrpSpPr>
          <a:grpSpLocks noChangeAspect="1"/>
        </xdr:cNvGrpSpPr>
      </xdr:nvGrpSpPr>
      <xdr:grpSpPr>
        <a:xfrm>
          <a:off x="2925536" y="31447467"/>
          <a:ext cx="1605644" cy="1087212"/>
          <a:chOff x="4734441" y="824648"/>
          <a:chExt cx="6952734" cy="6024029"/>
        </a:xfrm>
      </xdr:grpSpPr>
      <xdr:pic>
        <xdr:nvPicPr>
          <xdr:cNvPr id="56" name="Imagen 55">
            <a:extLst>
              <a:ext uri="{FF2B5EF4-FFF2-40B4-BE49-F238E27FC236}">
                <a16:creationId xmlns:a16="http://schemas.microsoft.com/office/drawing/2014/main" id="{23A4CC57-F703-A56B-889B-36BFAFE0B7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6651625" y="4269965"/>
            <a:ext cx="2235200" cy="1445373"/>
          </a:xfrm>
          <a:prstGeom prst="rect">
            <a:avLst/>
          </a:prstGeom>
        </xdr:spPr>
      </xdr:pic>
      <xdr:pic>
        <xdr:nvPicPr>
          <xdr:cNvPr id="57" name="Imagen 56">
            <a:extLst>
              <a:ext uri="{FF2B5EF4-FFF2-40B4-BE49-F238E27FC236}">
                <a16:creationId xmlns:a16="http://schemas.microsoft.com/office/drawing/2014/main" id="{9CEFDEFF-1062-B5AF-9B75-A49E40A224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4734441" y="824648"/>
            <a:ext cx="6952734" cy="6024029"/>
          </a:xfrm>
          <a:prstGeom prst="rect">
            <a:avLst/>
          </a:prstGeom>
        </xdr:spPr>
      </xdr:pic>
      <xdr:pic>
        <xdr:nvPicPr>
          <xdr:cNvPr id="58" name="Imagen 57">
            <a:extLst>
              <a:ext uri="{FF2B5EF4-FFF2-40B4-BE49-F238E27FC236}">
                <a16:creationId xmlns:a16="http://schemas.microsoft.com/office/drawing/2014/main" id="{46194E3B-10D0-32D8-BD8C-F88090CC21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5581651" y="4225925"/>
            <a:ext cx="673100" cy="1489413"/>
          </a:xfrm>
          <a:prstGeom prst="rect">
            <a:avLst/>
          </a:prstGeom>
        </xdr:spPr>
      </xdr:pic>
      <xdr:pic>
        <xdr:nvPicPr>
          <xdr:cNvPr id="59" name="Imagen 58">
            <a:extLst>
              <a:ext uri="{FF2B5EF4-FFF2-40B4-BE49-F238E27FC236}">
                <a16:creationId xmlns:a16="http://schemas.microsoft.com/office/drawing/2014/main" id="{CDD884B3-1594-215B-6D96-9DA38D4BB3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5943600" y="1726608"/>
            <a:ext cx="3335868" cy="6810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400050</xdr:colOff>
      <xdr:row>29</xdr:row>
      <xdr:rowOff>9525</xdr:rowOff>
    </xdr:from>
    <xdr:to>
      <xdr:col>3</xdr:col>
      <xdr:colOff>0</xdr:colOff>
      <xdr:row>30</xdr:row>
      <xdr:rowOff>0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9A3A6377-3BB7-45DE-ACFE-87615753131F}"/>
            </a:ext>
          </a:extLst>
        </xdr:cNvPr>
        <xdr:cNvGrpSpPr/>
      </xdr:nvGrpSpPr>
      <xdr:grpSpPr>
        <a:xfrm>
          <a:off x="2944586" y="33659989"/>
          <a:ext cx="1586593" cy="1500868"/>
          <a:chOff x="2438400" y="33089850"/>
          <a:chExt cx="4191621" cy="4943437"/>
        </a:xfrm>
      </xdr:grpSpPr>
      <xdr:pic>
        <xdr:nvPicPr>
          <xdr:cNvPr id="61" name="Imagen 60">
            <a:extLst>
              <a:ext uri="{FF2B5EF4-FFF2-40B4-BE49-F238E27FC236}">
                <a16:creationId xmlns:a16="http://schemas.microsoft.com/office/drawing/2014/main" id="{58968EAC-5662-3321-0667-874796CE627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9"/>
          <a:srcRect t="1691"/>
          <a:stretch/>
        </xdr:blipFill>
        <xdr:spPr>
          <a:xfrm>
            <a:off x="2438400" y="33137977"/>
            <a:ext cx="1907482" cy="4859863"/>
          </a:xfrm>
          <a:prstGeom prst="rect">
            <a:avLst/>
          </a:prstGeom>
        </xdr:spPr>
      </xdr:pic>
      <xdr:pic>
        <xdr:nvPicPr>
          <xdr:cNvPr id="62" name="Imagen 61">
            <a:extLst>
              <a:ext uri="{FF2B5EF4-FFF2-40B4-BE49-F238E27FC236}">
                <a16:creationId xmlns:a16="http://schemas.microsoft.com/office/drawing/2014/main" id="{C23329D5-5AC0-4845-0744-AC1AB3D352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4742659" y="33089850"/>
            <a:ext cx="1887362" cy="494343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381000</xdr:colOff>
      <xdr:row>28</xdr:row>
      <xdr:rowOff>28574</xdr:rowOff>
    </xdr:from>
    <xdr:to>
      <xdr:col>3</xdr:col>
      <xdr:colOff>1</xdr:colOff>
      <xdr:row>29</xdr:row>
      <xdr:rowOff>0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951D2947-BCB7-4D85-A155-DAA8A0FF3DF6}"/>
            </a:ext>
          </a:extLst>
        </xdr:cNvPr>
        <xdr:cNvGrpSpPr>
          <a:grpSpLocks noChangeAspect="1"/>
        </xdr:cNvGrpSpPr>
      </xdr:nvGrpSpPr>
      <xdr:grpSpPr>
        <a:xfrm>
          <a:off x="2925536" y="32563253"/>
          <a:ext cx="1605644" cy="1087211"/>
          <a:chOff x="4734441" y="824648"/>
          <a:chExt cx="6952734" cy="6024029"/>
        </a:xfrm>
      </xdr:grpSpPr>
      <xdr:pic>
        <xdr:nvPicPr>
          <xdr:cNvPr id="64" name="Imagen 63">
            <a:extLst>
              <a:ext uri="{FF2B5EF4-FFF2-40B4-BE49-F238E27FC236}">
                <a16:creationId xmlns:a16="http://schemas.microsoft.com/office/drawing/2014/main" id="{B4668CB6-1472-18D9-65BA-B7B2AAEEEF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6651625" y="4269965"/>
            <a:ext cx="2235200" cy="1445373"/>
          </a:xfrm>
          <a:prstGeom prst="rect">
            <a:avLst/>
          </a:prstGeom>
        </xdr:spPr>
      </xdr:pic>
      <xdr:pic>
        <xdr:nvPicPr>
          <xdr:cNvPr id="65" name="Imagen 64">
            <a:extLst>
              <a:ext uri="{FF2B5EF4-FFF2-40B4-BE49-F238E27FC236}">
                <a16:creationId xmlns:a16="http://schemas.microsoft.com/office/drawing/2014/main" id="{47873F7E-1FB6-8C30-13AE-957100CCD3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4734441" y="824648"/>
            <a:ext cx="6952734" cy="6024029"/>
          </a:xfrm>
          <a:prstGeom prst="rect">
            <a:avLst/>
          </a:prstGeom>
        </xdr:spPr>
      </xdr:pic>
      <xdr:pic>
        <xdr:nvPicPr>
          <xdr:cNvPr id="66" name="Imagen 65">
            <a:extLst>
              <a:ext uri="{FF2B5EF4-FFF2-40B4-BE49-F238E27FC236}">
                <a16:creationId xmlns:a16="http://schemas.microsoft.com/office/drawing/2014/main" id="{B9FAAF52-5CC6-AB2D-749F-C2D089F1ED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5581651" y="4225925"/>
            <a:ext cx="673100" cy="1489413"/>
          </a:xfrm>
          <a:prstGeom prst="rect">
            <a:avLst/>
          </a:prstGeom>
        </xdr:spPr>
      </xdr:pic>
      <xdr:pic>
        <xdr:nvPicPr>
          <xdr:cNvPr id="67" name="Imagen 66">
            <a:extLst>
              <a:ext uri="{FF2B5EF4-FFF2-40B4-BE49-F238E27FC236}">
                <a16:creationId xmlns:a16="http://schemas.microsoft.com/office/drawing/2014/main" id="{A1C84787-EDA1-6724-0E8C-0E616F08C7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5943600" y="1726608"/>
            <a:ext cx="3335868" cy="6810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180976</xdr:colOff>
      <xdr:row>32</xdr:row>
      <xdr:rowOff>257175</xdr:rowOff>
    </xdr:from>
    <xdr:to>
      <xdr:col>2</xdr:col>
      <xdr:colOff>1914526</xdr:colOff>
      <xdr:row>32</xdr:row>
      <xdr:rowOff>781050</xdr:rowOff>
    </xdr:to>
    <xdr:sp macro="" textlink="">
      <xdr:nvSpPr>
        <xdr:cNvPr id="68" name="object 10">
          <a:extLst>
            <a:ext uri="{FF2B5EF4-FFF2-40B4-BE49-F238E27FC236}">
              <a16:creationId xmlns:a16="http://schemas.microsoft.com/office/drawing/2014/main" id="{7329343C-6090-47BA-8CF2-B84E46D05A01}"/>
            </a:ext>
          </a:extLst>
        </xdr:cNvPr>
        <xdr:cNvSpPr>
          <a:spLocks noChangeAspect="1"/>
        </xdr:cNvSpPr>
      </xdr:nvSpPr>
      <xdr:spPr>
        <a:xfrm>
          <a:off x="2619376" y="34328100"/>
          <a:ext cx="1733550" cy="523875"/>
        </a:xfrm>
        <a:prstGeom prst="rect">
          <a:avLst/>
        </a:prstGeom>
        <a:blipFill>
          <a:blip xmlns:r="http://schemas.openxmlformats.org/officeDocument/2006/relationships" r:embed="rId24" cstate="print"/>
          <a:stretch>
            <a:fillRect/>
          </a:stretch>
        </a:blipFill>
      </xdr:spPr>
      <xdr:txBody>
        <a:bodyPr wrap="square" lIns="0" tIns="0" rIns="0" bIns="0" rtlCol="0">
          <a:noAutofit/>
        </a:bodyPr>
        <a:lstStyle>
          <a:defPPr>
            <a:defRPr lang="es-PA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2</xdr:col>
      <xdr:colOff>104775</xdr:colOff>
      <xdr:row>34</xdr:row>
      <xdr:rowOff>0</xdr:rowOff>
    </xdr:from>
    <xdr:to>
      <xdr:col>3</xdr:col>
      <xdr:colOff>0</xdr:colOff>
      <xdr:row>34</xdr:row>
      <xdr:rowOff>0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01B29C3D-B779-41E4-B7B0-31C62997B8BA}"/>
            </a:ext>
          </a:extLst>
        </xdr:cNvPr>
        <xdr:cNvGrpSpPr>
          <a:grpSpLocks noChangeAspect="1"/>
        </xdr:cNvGrpSpPr>
      </xdr:nvGrpSpPr>
      <xdr:grpSpPr>
        <a:xfrm>
          <a:off x="2649311" y="39487929"/>
          <a:ext cx="1881868" cy="0"/>
          <a:chOff x="1565069" y="2552525"/>
          <a:chExt cx="7079101" cy="3162300"/>
        </a:xfrm>
      </xdr:grpSpPr>
      <xdr:pic>
        <xdr:nvPicPr>
          <xdr:cNvPr id="70" name="Imagen 69">
            <a:extLst>
              <a:ext uri="{FF2B5EF4-FFF2-40B4-BE49-F238E27FC236}">
                <a16:creationId xmlns:a16="http://schemas.microsoft.com/office/drawing/2014/main" id="{22C70F3C-1F9E-F781-73FC-1BD0FAF5E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138970" y="2552525"/>
            <a:ext cx="3505200" cy="3162300"/>
          </a:xfrm>
          <a:prstGeom prst="rect">
            <a:avLst/>
          </a:prstGeom>
        </xdr:spPr>
      </xdr:pic>
      <xdr:pic>
        <xdr:nvPicPr>
          <xdr:cNvPr id="71" name="Imagen 70">
            <a:extLst>
              <a:ext uri="{FF2B5EF4-FFF2-40B4-BE49-F238E27FC236}">
                <a16:creationId xmlns:a16="http://schemas.microsoft.com/office/drawing/2014/main" id="{F9D85FF6-9F86-914D-A3E3-D01CCEB9BE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565069" y="2552525"/>
            <a:ext cx="3573901" cy="31623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276225</xdr:colOff>
      <xdr:row>34</xdr:row>
      <xdr:rowOff>76200</xdr:rowOff>
    </xdr:from>
    <xdr:to>
      <xdr:col>2</xdr:col>
      <xdr:colOff>1612982</xdr:colOff>
      <xdr:row>34</xdr:row>
      <xdr:rowOff>914400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7F2AA823-63DB-439C-A076-93A02AC57D55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0" r="1978" b="53459"/>
        <a:stretch/>
      </xdr:blipFill>
      <xdr:spPr>
        <a:xfrm>
          <a:off x="2714625" y="36242625"/>
          <a:ext cx="1336757" cy="809625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35</xdr:row>
      <xdr:rowOff>104775</xdr:rowOff>
    </xdr:from>
    <xdr:to>
      <xdr:col>2</xdr:col>
      <xdr:colOff>1586436</xdr:colOff>
      <xdr:row>35</xdr:row>
      <xdr:rowOff>959464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816DC3D2-74F9-4459-A199-4792B6CF60F8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7" t="50588" b="848"/>
        <a:stretch/>
      </xdr:blipFill>
      <xdr:spPr>
        <a:xfrm>
          <a:off x="2752725" y="37157025"/>
          <a:ext cx="1272111" cy="778489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33</xdr:row>
      <xdr:rowOff>104775</xdr:rowOff>
    </xdr:from>
    <xdr:to>
      <xdr:col>2</xdr:col>
      <xdr:colOff>1876425</xdr:colOff>
      <xdr:row>33</xdr:row>
      <xdr:rowOff>847725</xdr:rowOff>
    </xdr:to>
    <xdr:grpSp>
      <xdr:nvGrpSpPr>
        <xdr:cNvPr id="74" name="Grupo 73">
          <a:extLst>
            <a:ext uri="{FF2B5EF4-FFF2-40B4-BE49-F238E27FC236}">
              <a16:creationId xmlns:a16="http://schemas.microsoft.com/office/drawing/2014/main" id="{6E70FAB7-11BB-43D6-8BBA-7C8715F6B20C}"/>
            </a:ext>
          </a:extLst>
        </xdr:cNvPr>
        <xdr:cNvGrpSpPr>
          <a:grpSpLocks noChangeAspect="1"/>
        </xdr:cNvGrpSpPr>
      </xdr:nvGrpSpPr>
      <xdr:grpSpPr>
        <a:xfrm>
          <a:off x="2677886" y="38612989"/>
          <a:ext cx="1743075" cy="742950"/>
          <a:chOff x="1565069" y="2552525"/>
          <a:chExt cx="7079101" cy="3162300"/>
        </a:xfrm>
      </xdr:grpSpPr>
      <xdr:pic>
        <xdr:nvPicPr>
          <xdr:cNvPr id="75" name="Imagen 74">
            <a:extLst>
              <a:ext uri="{FF2B5EF4-FFF2-40B4-BE49-F238E27FC236}">
                <a16:creationId xmlns:a16="http://schemas.microsoft.com/office/drawing/2014/main" id="{9ABE725A-FBA2-851C-9E15-0A2AD13A5E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5138970" y="2552525"/>
            <a:ext cx="3505200" cy="3162300"/>
          </a:xfrm>
          <a:prstGeom prst="rect">
            <a:avLst/>
          </a:prstGeom>
        </xdr:spPr>
      </xdr:pic>
      <xdr:pic>
        <xdr:nvPicPr>
          <xdr:cNvPr id="76" name="Imagen 75">
            <a:extLst>
              <a:ext uri="{FF2B5EF4-FFF2-40B4-BE49-F238E27FC236}">
                <a16:creationId xmlns:a16="http://schemas.microsoft.com/office/drawing/2014/main" id="{427E7A07-C6D9-C269-1883-EE79AC0662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565069" y="2552525"/>
            <a:ext cx="3573901" cy="31623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308881</xdr:colOff>
      <xdr:row>37</xdr:row>
      <xdr:rowOff>215019</xdr:rowOff>
    </xdr:from>
    <xdr:to>
      <xdr:col>2</xdr:col>
      <xdr:colOff>1771032</xdr:colOff>
      <xdr:row>37</xdr:row>
      <xdr:rowOff>780460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76DCC-766A-44BF-8B2D-5A7B1780E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853417" y="39961483"/>
          <a:ext cx="1462151" cy="565441"/>
        </a:xfrm>
        <a:prstGeom prst="rect">
          <a:avLst/>
        </a:prstGeom>
      </xdr:spPr>
    </xdr:pic>
    <xdr:clientData/>
  </xdr:twoCellAnchor>
  <xdr:twoCellAnchor>
    <xdr:from>
      <xdr:col>2</xdr:col>
      <xdr:colOff>435428</xdr:colOff>
      <xdr:row>38</xdr:row>
      <xdr:rowOff>149680</xdr:rowOff>
    </xdr:from>
    <xdr:to>
      <xdr:col>2</xdr:col>
      <xdr:colOff>1589127</xdr:colOff>
      <xdr:row>38</xdr:row>
      <xdr:rowOff>721180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FDC9BD-8969-8E0F-83E3-41F60BF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964" y="37950323"/>
          <a:ext cx="1153699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394608</xdr:colOff>
      <xdr:row>39</xdr:row>
      <xdr:rowOff>122354</xdr:rowOff>
    </xdr:from>
    <xdr:to>
      <xdr:col>2</xdr:col>
      <xdr:colOff>1773010</xdr:colOff>
      <xdr:row>39</xdr:row>
      <xdr:rowOff>849085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AABA8E-34B9-771E-7A13-132031E4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9144" y="38807461"/>
          <a:ext cx="1378402" cy="726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598715</xdr:colOff>
      <xdr:row>40</xdr:row>
      <xdr:rowOff>204108</xdr:rowOff>
    </xdr:from>
    <xdr:to>
      <xdr:col>2</xdr:col>
      <xdr:colOff>1469572</xdr:colOff>
      <xdr:row>40</xdr:row>
      <xdr:rowOff>1080335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7DDC0C9-6175-CBC3-0CB8-7D945673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1" y="39773679"/>
          <a:ext cx="870857" cy="87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326571</xdr:colOff>
      <xdr:row>4</xdr:row>
      <xdr:rowOff>136775</xdr:rowOff>
    </xdr:from>
    <xdr:to>
      <xdr:col>2</xdr:col>
      <xdr:colOff>1728795</xdr:colOff>
      <xdr:row>4</xdr:row>
      <xdr:rowOff>1333501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05A32C3-6BB0-AE18-052D-3C6CC3FD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871107" y="4776811"/>
          <a:ext cx="1402224" cy="1196726"/>
        </a:xfrm>
        <a:prstGeom prst="rect">
          <a:avLst/>
        </a:prstGeom>
      </xdr:spPr>
    </xdr:pic>
    <xdr:clientData/>
  </xdr:twoCellAnchor>
  <xdr:twoCellAnchor>
    <xdr:from>
      <xdr:col>2</xdr:col>
      <xdr:colOff>517071</xdr:colOff>
      <xdr:row>30</xdr:row>
      <xdr:rowOff>312964</xdr:rowOff>
    </xdr:from>
    <xdr:to>
      <xdr:col>2</xdr:col>
      <xdr:colOff>1498023</xdr:colOff>
      <xdr:row>30</xdr:row>
      <xdr:rowOff>779631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2A8DE7-651A-AB4C-081E-89BA58132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61607" y="35079214"/>
          <a:ext cx="980952" cy="466667"/>
        </a:xfrm>
        <a:prstGeom prst="rect">
          <a:avLst/>
        </a:prstGeom>
      </xdr:spPr>
    </xdr:pic>
    <xdr:clientData/>
  </xdr:twoCellAnchor>
  <xdr:twoCellAnchor>
    <xdr:from>
      <xdr:col>2</xdr:col>
      <xdr:colOff>136071</xdr:colOff>
      <xdr:row>36</xdr:row>
      <xdr:rowOff>95250</xdr:rowOff>
    </xdr:from>
    <xdr:to>
      <xdr:col>2</xdr:col>
      <xdr:colOff>1859291</xdr:colOff>
      <xdr:row>36</xdr:row>
      <xdr:rowOff>1088571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31A2AFF-43D5-A872-F60F-3B3054C0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680607" y="40957500"/>
          <a:ext cx="1723220" cy="9933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81D430-9547-4958-AC53-D3A0D4C401E7}" name="Tabla6" displayName="Tabla6" ref="A1:E40" totalsRowShown="0" headerRowDxfId="177" dataDxfId="175" headerRowBorderDxfId="176">
  <autoFilter ref="A1:E40" xr:uid="{6681D430-9547-4958-AC53-D3A0D4C401E7}"/>
  <tableColumns count="5">
    <tableColumn id="1" xr3:uid="{DCFE040B-F333-4880-815D-4A53B03729B0}" name="CÓDIGO" dataDxfId="174"/>
    <tableColumn id="2" xr3:uid="{38833232-DF86-44BB-B355-816754BDAD9E}" name="DESCRIPCIÓN" dataDxfId="173"/>
    <tableColumn id="3" xr3:uid="{F982AC1B-3C99-4F3F-BEA2-76DEF9D4157F}" name="METROS" dataDxfId="172"/>
    <tableColumn id="4" xr3:uid="{4A199BD1-6E59-441D-A4D6-C7A0B182DF17}" name="PRECIO_x000a_X_x000a_METRO" dataDxfId="171"/>
    <tableColumn id="5" xr3:uid="{C90A3AD2-0BA6-471B-81A2-CDD5238D2B28}" name="TOTAL" dataDxfId="170" dataCellStyle="Moneda">
      <calculatedColumnFormula>Tabla6[[#This Row],[METROS]]*Tabla6[[#This Row],[PRECIO
X
METRO]]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2CF6BA-9B5B-4270-982E-19EB8DC81F43}" name="Tabla7" displayName="Tabla7" ref="A1:G180" totalsRowCount="1" headerRowDxfId="169" dataDxfId="167" headerRowBorderDxfId="168">
  <autoFilter ref="A1:G179" xr:uid="{252CF6BA-9B5B-4270-982E-19EB8DC81F43}"/>
  <tableColumns count="7">
    <tableColumn id="1" xr3:uid="{789B3AB3-217C-40B2-9630-457276A462AF}" name="CÓDIGO" dataDxfId="166" totalsRowDxfId="165"/>
    <tableColumn id="2" xr3:uid="{F82B2172-F23F-4BF3-BBAD-A28C0B722E13}" name="DESCRIPCIÓN" dataDxfId="164" totalsRowDxfId="163"/>
    <tableColumn id="3" xr3:uid="{9F772A65-EF31-4554-9B3E-D1830B9B7642}" name="METROS_x000a_FISCAL" dataDxfId="162" totalsRowDxfId="161"/>
    <tableColumn id="7" xr3:uid="{C581FD8A-F2C4-4E30-929F-B4C472574E97}" name="METROS_x000a_REAL" dataDxfId="160" totalsRowDxfId="159"/>
    <tableColumn id="4" xr3:uid="{EB66C05A-BC6B-4C19-B534-E28A4D633F2F}" name="PRECIO_x000a_X_x000a_METROS" dataDxfId="158" totalsRowDxfId="157" dataCellStyle="Moneda"/>
    <tableColumn id="5" xr3:uid="{4E91C59B-FBB2-43F2-95EE-547B6C3DC692}" name="TOTAL" totalsRowFunction="sum" dataDxfId="156" totalsRowDxfId="155" dataCellStyle="Moneda">
      <calculatedColumnFormula>Tabla7[[#This Row],[METROS
FISCAL]]*Tabla7[[#This Row],[PRECIO
X
METROS]]</calculatedColumnFormula>
    </tableColumn>
    <tableColumn id="6" xr3:uid="{C53E4678-0F94-4BFF-9807-B94E1FFAC66F}" name="OBS" dataDxfId="1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C5686-84FA-4E94-8D4B-B9A9B0D79A4E}" name="Tabla2" displayName="Tabla2" ref="A1:G19" totalsRowShown="0" headerRowDxfId="153" dataDxfId="151" headerRowBorderDxfId="152">
  <autoFilter ref="A1:G19" xr:uid="{B40C5686-84FA-4E94-8D4B-B9A9B0D79A4E}"/>
  <tableColumns count="7">
    <tableColumn id="1" xr3:uid="{018357C9-ECCF-48C2-9200-526988668AFA}" name="CÓDIGO" dataDxfId="150"/>
    <tableColumn id="2" xr3:uid="{FA480DCB-7129-46D5-AEC0-AD4C52CE0E26}" name="DESCRIPCIÓN" dataDxfId="149"/>
    <tableColumn id="3" xr3:uid="{1C812E4B-B3DD-422D-A984-CB23ECAE441B}" name="METROS" dataDxfId="148"/>
    <tableColumn id="4" xr3:uid="{C9FF8C35-F929-4140-A4A2-F1EAFE7E1DF8}" name="PRECIO_x000a_X_x000a_METROS" dataDxfId="147"/>
    <tableColumn id="5" xr3:uid="{C6BB200A-B0D3-4422-9262-286E020FD5C8}" name="TOTAL" dataDxfId="146" dataCellStyle="Moneda">
      <calculatedColumnFormula>D2*C2</calculatedColumnFormula>
    </tableColumn>
    <tableColumn id="6" xr3:uid="{1A740139-2476-4572-B721-78BA13ECA000}" name="Obervaciones" dataDxfId="145"/>
    <tableColumn id="7" xr3:uid="{D2EC4B98-F537-45D9-A2AF-C37BAD0537F8}" name="Fecha_x000a_última compra localizada" dataDxfId="14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A9BF60-35C5-457A-A32F-EB88FBDC233D}" name="Tabla1" displayName="Tabla1" ref="A2:J50" totalsRowShown="0" headerRowDxfId="143" tableBorderDxfId="142" headerRowCellStyle="Moneda">
  <autoFilter ref="A2:J50" xr:uid="{91A9BF60-35C5-457A-A32F-EB88FBDC233D}"/>
  <tableColumns count="10">
    <tableColumn id="1" xr3:uid="{04352A74-12BC-41D1-9681-F3A26754623B}" name="Materiales" dataDxfId="141"/>
    <tableColumn id="2" xr3:uid="{0BD1EA5A-02D3-4155-85CE-4686990F3DF0}" name="NOMBRE_x000a_SIMPLE" dataDxfId="140"/>
    <tableColumn id="3" xr3:uid="{30092051-E07F-4A69-BD78-C79213FE11B4}" name="CANTIDAD" dataDxfId="139"/>
    <tableColumn id="4" xr3:uid="{9E06A847-114C-4E78-890B-54BD72382ACF}" name="COSTO" dataDxfId="138" dataCellStyle="Moneda">
      <calculatedColumnFormula>+IF(Tabla1[[#This Row],[OBSERVACIONES]]="Dólares",Tabla1[[#This Row],[Cost/dls  o Pesos]]*$I$1,Tabla1[[#This Row],[Cost/dls  o Pesos]])</calculatedColumnFormula>
    </tableColumn>
    <tableColumn id="5" xr3:uid="{818B73CD-AB65-41DE-847B-06DBA639FAC9}" name="Unidad" dataDxfId="137"/>
    <tableColumn id="6" xr3:uid="{808EB213-831A-46AF-9FE2-EC8735A1CEB8}" name="Importe" dataDxfId="136" dataCellStyle="Moneda">
      <calculatedColumnFormula>+Tabla1[[#This Row],[CANTIDAD]]*Tabla1[[#This Row],[COSTO]]</calculatedColumnFormula>
    </tableColumn>
    <tableColumn id="7" xr3:uid="{F245C648-5CB8-4577-98FE-B54FF0A1FFDD}" name="OBSERVACIONES" dataDxfId="135"/>
    <tableColumn id="8" xr3:uid="{2C0136CF-0FF4-4475-A3E8-7CE8E40A7DC7}" name="ÚLTIMA COMPRA" dataDxfId="134"/>
    <tableColumn id="9" xr3:uid="{F81725DA-A4A3-4E81-8CBE-7226CE0DD6F2}" name="PROVEEDOR" dataDxfId="133"/>
    <tableColumn id="10" xr3:uid="{3EE6E89B-576D-46AC-9608-4190D37639B2}" name="Cost/dls  o Pesos" dataDxfId="132" dataCellStyle="Moneda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62EE5D-2A94-4C17-AD09-F7441AB4AF3A}" name="ROLLOS" displayName="ROLLOS" ref="A1:I32" totalsRowCount="1" headerRowDxfId="131" dataDxfId="130" tableBorderDxfId="129">
  <autoFilter ref="A1:I31" xr:uid="{E562EE5D-2A94-4C17-AD09-F7441AB4AF3A}"/>
  <tableColumns count="9">
    <tableColumn id="1" xr3:uid="{2C5347A2-7F00-4AA9-9FEA-ABB816B1C011}" name="MATERIAL" dataDxfId="128" totalsRowDxfId="127"/>
    <tableColumn id="2" xr3:uid="{5242F43C-A319-49EE-A12D-0B80DC1B9965}" name="COLOR" dataDxfId="126" totalsRowDxfId="125"/>
    <tableColumn id="3" xr3:uid="{FD9CD7DF-625C-487F-A216-233BCD413227}" name="CANTIDAD" totalsRowFunction="sum" dataDxfId="124" totalsRowDxfId="123"/>
    <tableColumn id="13" xr3:uid="{23C5CCF8-61BE-47B1-ACFA-E885AE0CEE1C}" name="Comentarios" dataDxfId="122" totalsRowDxfId="121"/>
    <tableColumn id="7" xr3:uid="{D8283727-4DAC-4483-A567-C2D76603C98A}" name="PESO X ROLLO_x000a_(KG)" totalsRowFunction="sum" dataDxfId="120" totalsRowDxfId="119"/>
    <tableColumn id="52" xr3:uid="{9FB4152A-6266-4AF9-9F1D-92C831C0B7B7}" name="19/12/2025" dataDxfId="118"/>
    <tableColumn id="11" xr3:uid="{FE9203D9-F5B7-4CC8-A58C-B81E87A60027}" name="OBS" dataDxfId="117"/>
    <tableColumn id="4" xr3:uid="{42BB2C7D-CE3E-4C4C-BE8B-E30617893B29}" name="Precio" dataDxfId="116"/>
    <tableColumn id="5" xr3:uid="{8447F987-4687-4CC5-A833-19B7DAE3202C}" name="Total" totalsRowFunction="sum" dataDxfId="115" totalsRowDxfId="114">
      <calculatedColumnFormula>+ROLLOS[[#This Row],[Precio]]*ROLLOS[[#This Row],[CANTIDAD]]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317737C-99BB-48B1-8C63-7486AE025359}" name="Tabla11312" displayName="Tabla11312" ref="A2:G9" totalsRowCount="1" headerRowDxfId="113" dataDxfId="112" totalsRowDxfId="111">
  <autoFilter ref="A2:G8" xr:uid="{1317737C-99BB-48B1-8C63-7486AE025359}"/>
  <sortState xmlns:xlrd2="http://schemas.microsoft.com/office/spreadsheetml/2017/richdata2" ref="A3:E8">
    <sortCondition ref="A5:A8"/>
  </sortState>
  <tableColumns count="7">
    <tableColumn id="1" xr3:uid="{F7F05ECD-6BC4-408B-81B8-5A002A09FB61}" name="ESTILO" dataDxfId="110" totalsRowDxfId="109"/>
    <tableColumn id="2" xr3:uid="{C191CA6B-A35F-4F14-BC74-55A6DF2BE600}" name="COLOR" dataDxfId="108" totalsRowDxfId="107"/>
    <tableColumn id="3" xr3:uid="{8083CB4F-4402-4E0D-9A7D-A8932DEA7B8A}" name="TALLA" dataDxfId="106" totalsRowDxfId="105"/>
    <tableColumn id="4" xr3:uid="{F1557D81-5401-4153-8C40-9AC49CB4447D}" name="CANTIDAD" totalsRowFunction="sum" dataDxfId="104" totalsRowDxfId="103"/>
    <tableColumn id="5" xr3:uid="{80B4BADD-B06D-4D1A-97FF-BF27DFF4F1D1}" name="PARES/NONES" dataDxfId="102" totalsRowDxfId="101"/>
    <tableColumn id="7" xr3:uid="{8B37365A-48AD-4339-9CDC-2052A3BEEBFC}" name="PRECIO" dataDxfId="100" totalsRowDxfId="99" dataCellStyle="Moneda"/>
    <tableColumn id="8" xr3:uid="{C8406856-EEF3-4AE4-99B1-4E1E8055C06A}" name="TOTAL" totalsRowFunction="sum" dataDxfId="98" totalsRowDxfId="97" dataCellStyle="Moneda">
      <calculatedColumnFormula>+Tabla11312[[#This Row],[PRECIO]]*Tabla11312[[#This Row],[CANTIDAD]]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151AB3-5969-480C-9E78-6CDFC7A14947}" name="Tabla113" displayName="Tabla113" ref="B2:J35" totalsRowCount="1" headerRowDxfId="18" dataDxfId="17">
  <autoFilter ref="B2:J34" xr:uid="{7C151AB3-5969-480C-9E78-6CDFC7A14947}"/>
  <sortState xmlns:xlrd2="http://schemas.microsoft.com/office/spreadsheetml/2017/richdata2" ref="B3:F30">
    <sortCondition ref="B3:B30"/>
  </sortState>
  <tableColumns count="9">
    <tableColumn id="1" xr3:uid="{882CEA72-A738-4FEB-B376-FF7513174CC5}" name="ESTILO" dataDxfId="15" totalsRowDxfId="16"/>
    <tableColumn id="2" xr3:uid="{B1D9DA38-C528-4BFE-A781-B5D110324388}" name="COLOR" dataDxfId="13" totalsRowDxfId="14"/>
    <tableColumn id="3" xr3:uid="{48ED84E3-6970-4648-84E4-1D0527399937}" name="TALLA" dataDxfId="11" totalsRowDxfId="12"/>
    <tableColumn id="4" xr3:uid="{CBD2EC88-9D48-4A0F-B605-EB666C238FB5}" name="CANTIDAD" totalsRowFunction="sum" dataDxfId="9" totalsRowDxfId="10"/>
    <tableColumn id="5" xr3:uid="{56D408CF-5AF0-43FD-808D-4811C317A6FE}" name="PARES/NONES" dataDxfId="7" totalsRowDxfId="8"/>
    <tableColumn id="6" xr3:uid="{B50B88DB-5A8F-4D44-B808-0B3EBE283FF3}" name="STATUS" dataDxfId="5" totalsRowDxfId="6"/>
    <tableColumn id="7" xr3:uid="{F7F860E8-E63D-4B55-84D7-BE7109A0030F}" name="PRECIO" dataDxfId="3" totalsRowDxfId="4" dataCellStyle="Moneda">
      <calculatedColumnFormula>0.98*20</calculatedColumnFormula>
    </tableColumn>
    <tableColumn id="8" xr3:uid="{BEF81809-782E-42A8-AEE5-DF609836FF70}" name="TOTAL" totalsRowFunction="sum" dataDxfId="1" totalsRowDxfId="2" dataCellStyle="Moneda">
      <calculatedColumnFormula>+Tabla113[[#This Row],[CANTIDAD]]*Tabla113[[#This Row],[PRECIO]]</calculatedColumnFormula>
    </tableColumn>
    <tableColumn id="9" xr3:uid="{C6AC26FD-C27D-4006-8762-1CC2BDE9C99C}" name="OBS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BBE49F-05E7-4710-940E-7F7ACE6708AF}" name="Tabla8" displayName="Tabla8" ref="A2:F148" totalsRowShown="0" tableBorderDxfId="96">
  <autoFilter ref="A2:F148" xr:uid="{88BBE49F-05E7-4710-940E-7F7ACE6708AF}"/>
  <tableColumns count="6">
    <tableColumn id="1" xr3:uid="{1306C45E-9EF1-4793-9684-7DEB1905D497}" name="INVENTARIO" dataDxfId="95"/>
    <tableColumn id="2" xr3:uid="{57375EFD-07A3-484C-8110-C438801B8AAB}" name="CANTIDAD" dataDxfId="94"/>
    <tableColumn id="3" xr3:uid="{9A519209-A4D9-49E3-BF4A-71E059BC41A9}" name="PRECIO" dataDxfId="93" dataCellStyle="Moneda"/>
    <tableColumn id="4" xr3:uid="{3FED7792-DA6B-4EEF-A9D2-A021D10DC221}" name="UNIDAD" dataDxfId="92"/>
    <tableColumn id="5" xr3:uid="{326ABC60-9936-4F6A-BF1F-E1D8B379E477}" name="Importe" dataDxfId="91" dataCellStyle="Moneda">
      <calculatedColumnFormula>Tabla8[[#This Row],[CANTIDAD]]*Tabla8[[#This Row],[PRECIO]]</calculatedColumnFormula>
    </tableColumn>
    <tableColumn id="6" xr3:uid="{D9EFCD4F-5425-4D41-9618-1358C720880C}" name="OBSERVACIONE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E384FB-673E-460A-ACC8-E1A1C40B0485}" name="Tabla4" displayName="Tabla4" ref="A1:G54" totalsRowCount="1" headerRowDxfId="89" dataDxfId="88">
  <autoFilter ref="A1:G53" xr:uid="{ACE384FB-673E-460A-ACC8-E1A1C40B0485}"/>
  <tableColumns count="7">
    <tableColumn id="1" xr3:uid="{4C361295-1F7E-4C34-94C6-D20432260721}" name="CODIGO" dataDxfId="87" totalsRowDxfId="86"/>
    <tableColumn id="2" xr3:uid="{BBEB547D-AD03-4702-87B6-F0704143BE83}" name="MARCA" dataDxfId="85" totalsRowDxfId="84"/>
    <tableColumn id="3" xr3:uid="{B370A99E-925B-4AB0-A206-58550876C032}" name="MEDIDA" dataDxfId="83" totalsRowDxfId="82"/>
    <tableColumn id="4" xr3:uid="{9D4801D5-9CB1-4246-9F86-66B9AD8AF2E6}" name="CANTIDAD" dataDxfId="81" totalsRowDxfId="80"/>
    <tableColumn id="6" xr3:uid="{DED7075F-40DE-48B6-ACF1-5B0698ADB5B7}" name="Costo _x000a_Unitario" dataDxfId="79" totalsRowDxfId="78"/>
    <tableColumn id="7" xr3:uid="{E58BDA02-9151-41C9-9ADD-36250EA80EDA}" name="Importe" totalsRowFunction="sum" dataDxfId="77" totalsRowDxfId="76" dataCellStyle="Moneda 2">
      <calculatedColumnFormula>Tabla4[[#This Row],[CANTIDAD]]*Tabla4[[#This Row],[Costo 
Unitario]]</calculatedColumnFormula>
    </tableColumn>
    <tableColumn id="8" xr3:uid="{00ECD194-0AA1-48FB-BB4E-97969C0BA64B}" name="OBS" dataDxfId="75" totalsRowDxfId="7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9F001B-2083-42DD-8AE9-C7C69BCB63D5}" name="Tabla10" displayName="Tabla10" ref="A1:J164" totalsRowCount="1" headerRowDxfId="73">
  <autoFilter ref="A1:J163" xr:uid="{8F9F001B-2083-42DD-8AE9-C7C69BCB63D5}"/>
  <tableColumns count="10">
    <tableColumn id="1" xr3:uid="{1C8419A4-9333-4BF8-996F-D9B417239FC0}" name="MATERIAL " dataDxfId="72" totalsRowDxfId="71"/>
    <tableColumn id="2" xr3:uid="{C828DA0B-CFE0-4964-B6E8-38FA9A0198FB}" name="MARCA" dataDxfId="70" totalsRowDxfId="69"/>
    <tableColumn id="3" xr3:uid="{19D75E7D-F1BE-4CDE-818E-824B13B0BEE2}" name="CODIGO" dataDxfId="68" totalsRowDxfId="67"/>
    <tableColumn id="4" xr3:uid="{FC9DCBE9-B2C6-48EC-9B2A-B80CCCA7B300}" name="MEDIDA" dataDxfId="66" totalsRowDxfId="65"/>
    <tableColumn id="5" xr3:uid="{685629F7-1507-4DBC-9B62-9473A406CB6A}" name="COLOR" dataDxfId="64" totalsRowDxfId="63"/>
    <tableColumn id="6" xr3:uid="{D592AB24-5126-40D0-8C34-7F090FABE8A9}" name="CANTIDAD_x000a_FISCAL" dataDxfId="62" totalsRowDxfId="61"/>
    <tableColumn id="8" xr3:uid="{FA70FC65-A53F-423D-B861-1A80C74FC0E4}" name="CANTIDAD" dataDxfId="60" totalsRowDxfId="59"/>
    <tableColumn id="9" xr3:uid="{73A2F123-97D0-4F3D-B3D5-3F778F95B7EC}" name="Costo " dataDxfId="58" totalsRowDxfId="57"/>
    <tableColumn id="10" xr3:uid="{AC923054-051B-4D9C-BD48-A1658EA5DA33}" name=" Importe " totalsRowFunction="sum" dataDxfId="56" totalsRowDxfId="55">
      <calculatedColumnFormula>Tabla10[[#This Row],[CANTIDAD
FISCAL]]*Tabla10[[#This Row],[Costo ]]</calculatedColumnFormula>
    </tableColumn>
    <tableColumn id="7" xr3:uid="{A53D943D-1D6F-4F15-ABDB-505BC01AEFAF}" name="OBS" dataDxfId="54" totalsRowDxfId="5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D162A2-EC15-4841-8771-3E40CCCCA4F6}" name="Tabla5" displayName="Tabla5" ref="A2:K46" totalsRowShown="0" headerRowDxfId="52" dataDxfId="50" headerRowBorderDxfId="51" tableBorderDxfId="49">
  <autoFilter ref="A2:K46" xr:uid="{B4D162A2-EC15-4841-8771-3E40CCCCA4F6}">
    <filterColumn colId="6">
      <filters>
        <filter val="12"/>
        <filter val="120"/>
        <filter val="134"/>
        <filter val="135"/>
        <filter val="136"/>
        <filter val="14"/>
        <filter val="15"/>
        <filter val="16"/>
        <filter val="163"/>
        <filter val="19"/>
        <filter val="20"/>
        <filter val="24"/>
        <filter val="264"/>
        <filter val="270"/>
        <filter val="29"/>
        <filter val="31"/>
        <filter val="35"/>
        <filter val="39"/>
        <filter val="40"/>
        <filter val="41"/>
        <filter val="423"/>
        <filter val="43"/>
        <filter val="44"/>
        <filter val="45"/>
        <filter val="46"/>
        <filter val="52"/>
        <filter val="590"/>
        <filter val="60"/>
        <filter val="63"/>
        <filter val="7"/>
        <filter val="73"/>
        <filter val="76"/>
        <filter val="77"/>
        <filter val="81"/>
        <filter val="90"/>
        <filter val="95"/>
        <filter val="98"/>
      </filters>
    </filterColumn>
  </autoFilter>
  <tableColumns count="11">
    <tableColumn id="1" xr3:uid="{50721F76-7D8A-4981-9BC3-1D9D7C8B266C}" name="# Material" dataDxfId="48"/>
    <tableColumn id="2" xr3:uid="{A6F4004C-E049-4DA1-A076-613F5F6477BE}" name="Proveedor" dataDxfId="47"/>
    <tableColumn id="3" xr3:uid="{5BA8C1DD-7CA9-4FA5-9BFD-08D23E86AD1E}" name="CAJA" dataDxfId="46"/>
    <tableColumn id="11" xr3:uid="{3111481C-9F18-4580-9CA2-4A19E2B06E93}" name="MEDIDAS" dataDxfId="45"/>
    <tableColumn id="4" xr3:uid="{BFBD132B-0E29-4E2E-A27A-3FAED456EA9D}" name="COSTO" dataDxfId="44" dataCellStyle="Moneda 2"/>
    <tableColumn id="5" xr3:uid="{2ADB1C7C-9533-4750-8752-C6EE180C900E}" name="USADA EN:" dataDxfId="43"/>
    <tableColumn id="6" xr3:uid="{DE0C4AC5-F88F-4439-828D-300CBFF3E555}" name="CANTIDAD" dataDxfId="42"/>
    <tableColumn id="7" xr3:uid="{51C7F50C-B1E1-4ABF-A31D-EC99D50BC835}" name="Prs/Caja" dataDxfId="41"/>
    <tableColumn id="8" xr3:uid="{997FCF15-F8BF-4936-B9D8-B6970505695E}" name="En Pares" dataDxfId="40">
      <calculatedColumnFormula>Tabla5[[#This Row],[CANTIDAD]]*Tabla5[[#This Row],[Prs/Caja]]</calculatedColumnFormula>
    </tableColumn>
    <tableColumn id="9" xr3:uid="{AD772301-9F8D-455A-9C4F-63C23A2F2A3E}" name="Importe" dataDxfId="39">
      <calculatedColumnFormula>Tabla5[[#This Row],[COSTO]]*Tabla5[[#This Row],[CANTIDAD]]</calculatedColumnFormula>
    </tableColumn>
    <tableColumn id="10" xr3:uid="{4EA4CA38-0A2A-4725-910A-D69637E7E191}" name="OB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5EC0D-41A2-40FD-81D4-4D5AC6A577B4}" name="Tabla3" displayName="Tabla3" ref="A1:I42" totalsRowCount="1" headerRowDxfId="38" dataDxfId="37" headerRowCellStyle="Moneda 2">
  <autoFilter ref="A1:I41" xr:uid="{4BC5EC0D-41A2-40FD-81D4-4D5AC6A577B4}"/>
  <tableColumns count="9">
    <tableColumn id="1" xr3:uid="{A716BE45-EC06-4B4A-9F28-3951ED9861C0}" name="Descripción" totalsRowLabel="Total" dataDxfId="36" totalsRowDxfId="35"/>
    <tableColumn id="2" xr3:uid="{6B4D2840-C0A0-4DC4-A23B-580246D33322}" name="No. Ref" dataDxfId="34" totalsRowDxfId="33"/>
    <tableColumn id="3" xr3:uid="{C9079357-C22D-4DC9-9359-3348854BF5BF}" name="Imagen" dataDxfId="32" totalsRowDxfId="31"/>
    <tableColumn id="4" xr3:uid="{D55E3C31-F522-4548-BE26-E298097308D9}" name="Inventario_x000a_19.12.25_x000a_(pzs)" dataDxfId="30" totalsRowDxfId="29"/>
    <tableColumn id="5" xr3:uid="{26ED3269-59E3-4173-BA33-542884940D30}" name="Tipo" dataDxfId="28" totalsRowDxfId="27"/>
    <tableColumn id="6" xr3:uid="{7DFDFB22-8F2C-4834-8C50-745968DDA797}" name="Costo x pieza" dataDxfId="26" totalsRowDxfId="25"/>
    <tableColumn id="7" xr3:uid="{5EA0921E-011F-453B-8E6A-58EA5D12B5E0}" name="Total" totalsRowFunction="sum" dataDxfId="24" totalsRowDxfId="23" dataCellStyle="Moneda 2">
      <calculatedColumnFormula>+Tabla3[[#This Row],[Costo x pieza]]*Tabla3[[#This Row],[Inventario
19.12.25
(pzs)]]</calculatedColumnFormula>
    </tableColumn>
    <tableColumn id="8" xr3:uid="{146EB280-7BD3-4646-A537-D4D7A045FD94}" name="TIPO DE STOCK" totalsRowFunction="count" dataDxfId="22" totalsRowDxfId="21"/>
    <tableColumn id="9" xr3:uid="{09BC2E6D-9A65-4284-AF3D-981CA7C35A45}" name="OBS" dataDxfId="20" totalsRow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9941-5400-4628-A749-7703283DFA92}">
  <sheetPr codeName="Hoja1"/>
  <dimension ref="A1:D18"/>
  <sheetViews>
    <sheetView workbookViewId="0">
      <selection activeCell="B16" sqref="B16"/>
    </sheetView>
  </sheetViews>
  <sheetFormatPr baseColWidth="10" defaultRowHeight="15" x14ac:dyDescent="0.25"/>
  <cols>
    <col min="1" max="1" width="31" bestFit="1" customWidth="1"/>
    <col min="2" max="2" width="14.140625" bestFit="1" customWidth="1"/>
    <col min="3" max="3" width="15.42578125" customWidth="1"/>
  </cols>
  <sheetData>
    <row r="1" spans="1:4" x14ac:dyDescent="0.25">
      <c r="B1" s="68">
        <v>45809</v>
      </c>
      <c r="C1" s="173" t="s">
        <v>893</v>
      </c>
    </row>
    <row r="2" spans="1:4" x14ac:dyDescent="0.25">
      <c r="A2" s="139" t="s">
        <v>416</v>
      </c>
      <c r="B2" s="140">
        <f>Almacén_MateriaPrima!E150</f>
        <v>142797.7935</v>
      </c>
    </row>
    <row r="3" spans="1:4" x14ac:dyDescent="0.25">
      <c r="A3" s="139" t="s">
        <v>900</v>
      </c>
      <c r="B3" s="140">
        <f>+Agujeta!I168</f>
        <v>525808.14999999991</v>
      </c>
    </row>
    <row r="4" spans="1:4" x14ac:dyDescent="0.25">
      <c r="A4" s="168" t="s">
        <v>901</v>
      </c>
      <c r="B4" s="169">
        <f>Agujeta!I169</f>
        <v>223244.91999999981</v>
      </c>
    </row>
    <row r="5" spans="1:4" x14ac:dyDescent="0.25">
      <c r="A5" s="139" t="s">
        <v>873</v>
      </c>
      <c r="B5" s="140">
        <f>'Caja Individual'!E57</f>
        <v>135552.40000000008</v>
      </c>
    </row>
    <row r="6" spans="1:4" x14ac:dyDescent="0.25">
      <c r="A6" s="168" t="s">
        <v>872</v>
      </c>
      <c r="B6" s="169">
        <f>'Caja Individual'!E58</f>
        <v>328142.7</v>
      </c>
    </row>
    <row r="7" spans="1:4" x14ac:dyDescent="0.25">
      <c r="A7" s="139" t="s">
        <v>417</v>
      </c>
      <c r="B7" s="140">
        <f>+Caja_Embarque!J48</f>
        <v>73467.378000000012</v>
      </c>
    </row>
    <row r="8" spans="1:4" x14ac:dyDescent="0.25">
      <c r="A8" s="139" t="s">
        <v>418</v>
      </c>
      <c r="B8" s="140">
        <f>+Tabla3[[#Totals],[Total]]</f>
        <v>63647.385999999999</v>
      </c>
    </row>
    <row r="9" spans="1:4" x14ac:dyDescent="0.25">
      <c r="A9" s="139" t="s">
        <v>870</v>
      </c>
      <c r="B9" s="140">
        <f>+Hulera!F55</f>
        <v>199063.94280000002</v>
      </c>
    </row>
    <row r="10" spans="1:4" x14ac:dyDescent="0.25">
      <c r="A10" s="168" t="s">
        <v>871</v>
      </c>
      <c r="B10" s="169">
        <f>Hulera!F56</f>
        <v>76760.92</v>
      </c>
    </row>
    <row r="11" spans="1:4" x14ac:dyDescent="0.25">
      <c r="A11" s="139" t="s">
        <v>680</v>
      </c>
      <c r="B11" s="140">
        <f>+ROLLOS[[#Totals],[Total]]</f>
        <v>142656</v>
      </c>
    </row>
    <row r="12" spans="1:4" x14ac:dyDescent="0.25">
      <c r="A12" s="139" t="s">
        <v>968</v>
      </c>
      <c r="B12" s="140">
        <f>+Tabla11312[[#Totals],[TOTAL]]</f>
        <v>18620.650000000001</v>
      </c>
    </row>
    <row r="13" spans="1:4" x14ac:dyDescent="0.25">
      <c r="A13" s="168" t="s">
        <v>678</v>
      </c>
      <c r="B13" s="169">
        <f>+Tabla113[[#Totals],[TOTAL]]</f>
        <v>664417.85000000009</v>
      </c>
      <c r="D13" t="s">
        <v>679</v>
      </c>
    </row>
    <row r="14" spans="1:4" x14ac:dyDescent="0.25">
      <c r="A14" s="139" t="s">
        <v>874</v>
      </c>
      <c r="B14" s="140">
        <f>Inv_TelaVirgenMov!E43</f>
        <v>967492.29149999993</v>
      </c>
      <c r="D14" s="174" t="s">
        <v>934</v>
      </c>
    </row>
    <row r="15" spans="1:4" x14ac:dyDescent="0.25">
      <c r="A15" s="168" t="s">
        <v>875</v>
      </c>
      <c r="B15" s="169">
        <f>+Tabla7[[#Totals],[TOTAL]]</f>
        <v>3797454.8914000005</v>
      </c>
      <c r="C15" s="2"/>
      <c r="D15" s="174" t="s">
        <v>894</v>
      </c>
    </row>
    <row r="16" spans="1:4" x14ac:dyDescent="0.25">
      <c r="A16" s="168" t="s">
        <v>892</v>
      </c>
      <c r="B16" s="169">
        <f>+TelaNoUtilizable!E22</f>
        <v>0</v>
      </c>
      <c r="C16" s="2">
        <f>TelaNoUtilizable!C22</f>
        <v>1757</v>
      </c>
      <c r="D16" s="174" t="s">
        <v>894</v>
      </c>
    </row>
    <row r="18" spans="2:3" x14ac:dyDescent="0.25">
      <c r="B18" s="80">
        <f>SUM(B2:B17)</f>
        <v>7359127.2731999997</v>
      </c>
      <c r="C18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6742-87F1-4611-AB37-DD36DD524E19}">
  <sheetPr codeName="Hoja2">
    <tabColor theme="8" tint="0.39997558519241921"/>
  </sheetPr>
  <dimension ref="A1:H46"/>
  <sheetViews>
    <sheetView topLeftCell="A31" workbookViewId="0">
      <selection activeCell="E43" sqref="E43"/>
    </sheetView>
  </sheetViews>
  <sheetFormatPr baseColWidth="10" defaultRowHeight="15" x14ac:dyDescent="0.25"/>
  <cols>
    <col min="1" max="1" width="11.7109375" style="2" bestFit="1" customWidth="1"/>
    <col min="2" max="2" width="40.85546875" style="2" bestFit="1" customWidth="1"/>
    <col min="3" max="3" width="22.5703125" style="2" bestFit="1" customWidth="1"/>
    <col min="4" max="4" width="18.42578125" style="2" bestFit="1" customWidth="1"/>
    <col min="5" max="5" width="24.85546875" style="2" customWidth="1"/>
    <col min="6" max="16384" width="11.42578125" style="2"/>
  </cols>
  <sheetData>
    <row r="1" spans="1:8" ht="45.75" thickBot="1" x14ac:dyDescent="0.3">
      <c r="A1" s="146" t="s">
        <v>711</v>
      </c>
      <c r="B1" s="147" t="s">
        <v>496</v>
      </c>
      <c r="C1" s="148" t="s">
        <v>712</v>
      </c>
      <c r="D1" s="147" t="s">
        <v>905</v>
      </c>
      <c r="E1" s="149" t="s">
        <v>531</v>
      </c>
      <c r="F1" s="242" t="s">
        <v>0</v>
      </c>
      <c r="G1" s="242"/>
      <c r="H1" s="242"/>
    </row>
    <row r="2" spans="1:8" ht="15.75" thickTop="1" x14ac:dyDescent="0.25">
      <c r="A2" s="150">
        <v>511</v>
      </c>
      <c r="B2" s="151" t="s">
        <v>716</v>
      </c>
      <c r="C2" s="152">
        <v>108</v>
      </c>
      <c r="D2" s="153">
        <v>67.89</v>
      </c>
      <c r="E2" s="154">
        <f>Tabla6[[#This Row],[METROS]]*Tabla6[[#This Row],[PRECIO
X
METRO]]</f>
        <v>7332.12</v>
      </c>
    </row>
    <row r="3" spans="1:8" x14ac:dyDescent="0.25">
      <c r="A3" s="150">
        <v>511</v>
      </c>
      <c r="B3" s="151" t="s">
        <v>902</v>
      </c>
      <c r="C3" s="152">
        <v>305</v>
      </c>
      <c r="D3" s="153">
        <v>67.89</v>
      </c>
      <c r="E3" s="154">
        <f>Tabla6[[#This Row],[METROS]]*Tabla6[[#This Row],[PRECIO
X
METRO]]</f>
        <v>20706.45</v>
      </c>
    </row>
    <row r="4" spans="1:8" x14ac:dyDescent="0.25">
      <c r="A4" s="150">
        <v>511</v>
      </c>
      <c r="B4" s="151" t="s">
        <v>715</v>
      </c>
      <c r="C4" s="152">
        <v>92</v>
      </c>
      <c r="D4" s="153">
        <v>67.89</v>
      </c>
      <c r="E4" s="154">
        <f>Tabla6[[#This Row],[METROS]]*Tabla6[[#This Row],[PRECIO
X
METRO]]</f>
        <v>6245.88</v>
      </c>
    </row>
    <row r="5" spans="1:8" x14ac:dyDescent="0.25">
      <c r="A5" s="150">
        <v>511</v>
      </c>
      <c r="B5" s="151" t="s">
        <v>719</v>
      </c>
      <c r="C5" s="152">
        <v>104</v>
      </c>
      <c r="D5" s="153">
        <v>67.89</v>
      </c>
      <c r="E5" s="154">
        <f>Tabla6[[#This Row],[METROS]]*Tabla6[[#This Row],[PRECIO
X
METRO]]</f>
        <v>7060.56</v>
      </c>
    </row>
    <row r="6" spans="1:8" x14ac:dyDescent="0.25">
      <c r="A6" s="150">
        <v>511</v>
      </c>
      <c r="B6" s="151" t="s">
        <v>494</v>
      </c>
      <c r="C6" s="152">
        <v>512</v>
      </c>
      <c r="D6" s="153">
        <v>81.78</v>
      </c>
      <c r="E6" s="154">
        <f>Tabla6[[#This Row],[METROS]]*Tabla6[[#This Row],[PRECIO
X
METRO]]</f>
        <v>41871.360000000001</v>
      </c>
    </row>
    <row r="7" spans="1:8" x14ac:dyDescent="0.25">
      <c r="A7" s="150">
        <v>511</v>
      </c>
      <c r="B7" s="151" t="s">
        <v>495</v>
      </c>
      <c r="C7" s="152">
        <v>892</v>
      </c>
      <c r="D7" s="153">
        <v>86.49</v>
      </c>
      <c r="E7" s="154">
        <f>Tabla6[[#This Row],[METROS]]*Tabla6[[#This Row],[PRECIO
X
METRO]]</f>
        <v>77149.08</v>
      </c>
    </row>
    <row r="8" spans="1:8" x14ac:dyDescent="0.25">
      <c r="A8" s="2">
        <v>511</v>
      </c>
      <c r="B8" s="2" t="s">
        <v>904</v>
      </c>
      <c r="C8" s="2">
        <v>195</v>
      </c>
      <c r="D8" s="166">
        <v>67.89</v>
      </c>
      <c r="E8" s="154">
        <f>Tabla6[[#This Row],[METROS]]*Tabla6[[#This Row],[PRECIO
X
METRO]]</f>
        <v>13238.55</v>
      </c>
    </row>
    <row r="9" spans="1:8" x14ac:dyDescent="0.25">
      <c r="A9" s="150">
        <v>582</v>
      </c>
      <c r="B9" s="151" t="s">
        <v>691</v>
      </c>
      <c r="C9" s="152">
        <v>252</v>
      </c>
      <c r="D9" s="153">
        <v>85.5</v>
      </c>
      <c r="E9" s="154">
        <f>Tabla6[[#This Row],[METROS]]*Tabla6[[#This Row],[PRECIO
X
METRO]]</f>
        <v>21546</v>
      </c>
    </row>
    <row r="10" spans="1:8" x14ac:dyDescent="0.25">
      <c r="A10" s="150">
        <v>633</v>
      </c>
      <c r="B10" s="151" t="s">
        <v>903</v>
      </c>
      <c r="C10" s="152">
        <v>266</v>
      </c>
      <c r="D10" s="153">
        <v>57.85</v>
      </c>
      <c r="E10" s="154">
        <f>Tabla6[[#This Row],[METROS]]*Tabla6[[#This Row],[PRECIO
X
METRO]]</f>
        <v>15388.1</v>
      </c>
    </row>
    <row r="11" spans="1:8" x14ac:dyDescent="0.25">
      <c r="A11" s="150">
        <v>633</v>
      </c>
      <c r="B11" s="151" t="s">
        <v>728</v>
      </c>
      <c r="C11" s="152">
        <v>494</v>
      </c>
      <c r="D11" s="153">
        <v>57.85</v>
      </c>
      <c r="E11" s="154">
        <f>Tabla6[[#This Row],[METROS]]*Tabla6[[#This Row],[PRECIO
X
METRO]]</f>
        <v>28577.9</v>
      </c>
    </row>
    <row r="12" spans="1:8" x14ac:dyDescent="0.25">
      <c r="A12" s="2">
        <v>633</v>
      </c>
      <c r="B12" s="2" t="s">
        <v>906</v>
      </c>
      <c r="C12" s="2">
        <v>1061</v>
      </c>
      <c r="D12" s="166">
        <v>57.85</v>
      </c>
      <c r="E12" s="154">
        <f>Tabla6[[#This Row],[METROS]]*Tabla6[[#This Row],[PRECIO
X
METRO]]</f>
        <v>61378.85</v>
      </c>
    </row>
    <row r="13" spans="1:8" x14ac:dyDescent="0.25">
      <c r="A13" s="150">
        <v>633</v>
      </c>
      <c r="B13" s="151" t="s">
        <v>730</v>
      </c>
      <c r="C13" s="152">
        <v>308</v>
      </c>
      <c r="D13" s="153">
        <v>57.85</v>
      </c>
      <c r="E13" s="154">
        <f>Tabla6[[#This Row],[METROS]]*Tabla6[[#This Row],[PRECIO
X
METRO]]</f>
        <v>17817.8</v>
      </c>
    </row>
    <row r="14" spans="1:8" x14ac:dyDescent="0.25">
      <c r="A14" s="150">
        <v>633</v>
      </c>
      <c r="B14" s="151" t="s">
        <v>731</v>
      </c>
      <c r="C14" s="152">
        <v>152</v>
      </c>
      <c r="D14" s="153">
        <v>57.85</v>
      </c>
      <c r="E14" s="154">
        <f>Tabla6[[#This Row],[METROS]]*Tabla6[[#This Row],[PRECIO
X
METRO]]</f>
        <v>8793.2000000000007</v>
      </c>
    </row>
    <row r="15" spans="1:8" x14ac:dyDescent="0.25">
      <c r="A15" s="150">
        <v>651</v>
      </c>
      <c r="B15" s="151" t="s">
        <v>750</v>
      </c>
      <c r="C15" s="152">
        <v>570</v>
      </c>
      <c r="D15" s="153">
        <v>79.05</v>
      </c>
      <c r="E15" s="154">
        <f>Tabla6[[#This Row],[METROS]]*Tabla6[[#This Row],[PRECIO
X
METRO]]</f>
        <v>45058.5</v>
      </c>
    </row>
    <row r="16" spans="1:8" x14ac:dyDescent="0.25">
      <c r="A16" s="150">
        <v>651</v>
      </c>
      <c r="B16" s="151" t="s">
        <v>763</v>
      </c>
      <c r="C16" s="152">
        <f>15+1176</f>
        <v>1191</v>
      </c>
      <c r="D16" s="153">
        <v>79.05</v>
      </c>
      <c r="E16" s="154">
        <f>Tabla6[[#This Row],[METROS]]*Tabla6[[#This Row],[PRECIO
X
METRO]]</f>
        <v>94148.55</v>
      </c>
    </row>
    <row r="17" spans="1:5" x14ac:dyDescent="0.25">
      <c r="A17" s="150">
        <v>651</v>
      </c>
      <c r="B17" s="151" t="s">
        <v>744</v>
      </c>
      <c r="C17" s="152">
        <v>3</v>
      </c>
      <c r="D17" s="153">
        <v>79.05</v>
      </c>
      <c r="E17" s="154">
        <f>Tabla6[[#This Row],[METROS]]*Tabla6[[#This Row],[PRECIO
X
METRO]]</f>
        <v>237.14999999999998</v>
      </c>
    </row>
    <row r="18" spans="1:5" x14ac:dyDescent="0.25">
      <c r="A18" s="150">
        <v>651</v>
      </c>
      <c r="B18" s="151" t="s">
        <v>745</v>
      </c>
      <c r="C18" s="152">
        <v>717</v>
      </c>
      <c r="D18" s="153">
        <v>79.05</v>
      </c>
      <c r="E18" s="154">
        <f>Tabla6[[#This Row],[METROS]]*Tabla6[[#This Row],[PRECIO
X
METRO]]</f>
        <v>56678.85</v>
      </c>
    </row>
    <row r="19" spans="1:5" x14ac:dyDescent="0.25">
      <c r="A19" s="150">
        <v>651</v>
      </c>
      <c r="B19" s="151" t="s">
        <v>749</v>
      </c>
      <c r="C19" s="152">
        <v>82</v>
      </c>
      <c r="D19" s="153">
        <v>79.05</v>
      </c>
      <c r="E19" s="154">
        <f>Tabla6[[#This Row],[METROS]]*Tabla6[[#This Row],[PRECIO
X
METRO]]</f>
        <v>6482.0999999999995</v>
      </c>
    </row>
    <row r="20" spans="1:5" x14ac:dyDescent="0.25">
      <c r="A20" s="150">
        <v>651</v>
      </c>
      <c r="B20" s="151" t="s">
        <v>760</v>
      </c>
      <c r="C20" s="152">
        <v>225</v>
      </c>
      <c r="D20" s="153">
        <v>86.49</v>
      </c>
      <c r="E20" s="154">
        <f>Tabla6[[#This Row],[METROS]]*Tabla6[[#This Row],[PRECIO
X
METRO]]</f>
        <v>19460.25</v>
      </c>
    </row>
    <row r="21" spans="1:5" x14ac:dyDescent="0.25">
      <c r="A21" s="150">
        <v>668</v>
      </c>
      <c r="B21" s="151" t="s">
        <v>777</v>
      </c>
      <c r="C21" s="152">
        <v>20</v>
      </c>
      <c r="D21" s="153">
        <v>80.75</v>
      </c>
      <c r="E21" s="154">
        <f>Tabla6[[#This Row],[METROS]]*Tabla6[[#This Row],[PRECIO
X
METRO]]</f>
        <v>1615</v>
      </c>
    </row>
    <row r="22" spans="1:5" x14ac:dyDescent="0.25">
      <c r="A22" s="150">
        <v>668</v>
      </c>
      <c r="B22" s="151" t="s">
        <v>780</v>
      </c>
      <c r="C22" s="152">
        <v>74</v>
      </c>
      <c r="D22" s="153">
        <v>80.75</v>
      </c>
      <c r="E22" s="154">
        <f>Tabla6[[#This Row],[METROS]]*Tabla6[[#This Row],[PRECIO
X
METRO]]</f>
        <v>5975.5</v>
      </c>
    </row>
    <row r="23" spans="1:5" x14ac:dyDescent="0.25">
      <c r="A23" s="150">
        <v>668</v>
      </c>
      <c r="B23" s="151" t="s">
        <v>784</v>
      </c>
      <c r="C23" s="152">
        <v>30</v>
      </c>
      <c r="D23" s="153">
        <v>80.75</v>
      </c>
      <c r="E23" s="154">
        <f>Tabla6[[#This Row],[METROS]]*Tabla6[[#This Row],[PRECIO
X
METRO]]</f>
        <v>2422.5</v>
      </c>
    </row>
    <row r="24" spans="1:5" x14ac:dyDescent="0.25">
      <c r="A24" s="2">
        <v>668</v>
      </c>
      <c r="B24" s="2" t="s">
        <v>909</v>
      </c>
      <c r="C24" s="2">
        <v>15</v>
      </c>
      <c r="D24" s="166">
        <v>80.75</v>
      </c>
      <c r="E24" s="154">
        <f>Tabla6[[#This Row],[METROS]]*Tabla6[[#This Row],[PRECIO
X
METRO]]</f>
        <v>1211.25</v>
      </c>
    </row>
    <row r="25" spans="1:5" x14ac:dyDescent="0.25">
      <c r="A25" s="150">
        <v>668</v>
      </c>
      <c r="B25" s="151" t="s">
        <v>785</v>
      </c>
      <c r="C25" s="152">
        <v>100</v>
      </c>
      <c r="D25" s="153">
        <v>84.89</v>
      </c>
      <c r="E25" s="154">
        <f>Tabla6[[#This Row],[METROS]]*Tabla6[[#This Row],[PRECIO
X
METRO]]</f>
        <v>8489</v>
      </c>
    </row>
    <row r="26" spans="1:5" x14ac:dyDescent="0.25">
      <c r="A26" s="150">
        <v>668</v>
      </c>
      <c r="B26" s="151" t="s">
        <v>800</v>
      </c>
      <c r="C26" s="152">
        <v>75</v>
      </c>
      <c r="D26" s="153">
        <v>80.75</v>
      </c>
      <c r="E26" s="154">
        <f>Tabla6[[#This Row],[METROS]]*Tabla6[[#This Row],[PRECIO
X
METRO]]</f>
        <v>6056.25</v>
      </c>
    </row>
    <row r="27" spans="1:5" x14ac:dyDescent="0.25">
      <c r="A27" s="150">
        <v>668</v>
      </c>
      <c r="B27" s="151" t="s">
        <v>493</v>
      </c>
      <c r="C27" s="152">
        <v>822</v>
      </c>
      <c r="D27" s="153">
        <v>80.75</v>
      </c>
      <c r="E27" s="154">
        <f>Tabla6[[#This Row],[METROS]]*Tabla6[[#This Row],[PRECIO
X
METRO]]</f>
        <v>66376.5</v>
      </c>
    </row>
    <row r="28" spans="1:5" x14ac:dyDescent="0.25">
      <c r="A28" s="150">
        <v>674</v>
      </c>
      <c r="B28" s="151" t="s">
        <v>812</v>
      </c>
      <c r="C28" s="152">
        <v>1525</v>
      </c>
      <c r="D28" s="153">
        <v>45.38</v>
      </c>
      <c r="E28" s="154">
        <f>Tabla6[[#This Row],[METROS]]*Tabla6[[#This Row],[PRECIO
X
METRO]]</f>
        <v>69204.5</v>
      </c>
    </row>
    <row r="29" spans="1:5" x14ac:dyDescent="0.25">
      <c r="A29" s="150" t="s">
        <v>928</v>
      </c>
      <c r="B29" s="155" t="s">
        <v>929</v>
      </c>
      <c r="C29" s="2">
        <v>30</v>
      </c>
      <c r="D29" s="184"/>
      <c r="E29" s="154">
        <f>Tabla6[[#This Row],[METROS]]*Tabla6[[#This Row],[PRECIO
X
METRO]]</f>
        <v>0</v>
      </c>
    </row>
    <row r="30" spans="1:5" x14ac:dyDescent="0.25">
      <c r="A30" s="150" t="s">
        <v>845</v>
      </c>
      <c r="B30" s="155" t="s">
        <v>846</v>
      </c>
      <c r="C30" s="156">
        <f>(22)*35</f>
        <v>770</v>
      </c>
      <c r="D30" s="157">
        <v>114.73</v>
      </c>
      <c r="E30" s="154">
        <f>Tabla6[[#This Row],[METROS]]*Tabla6[[#This Row],[PRECIO
X
METRO]]</f>
        <v>88342.1</v>
      </c>
    </row>
    <row r="31" spans="1:5" x14ac:dyDescent="0.25">
      <c r="A31" s="150" t="s">
        <v>851</v>
      </c>
      <c r="B31" s="151" t="s">
        <v>697</v>
      </c>
      <c r="C31" s="152">
        <v>125</v>
      </c>
      <c r="D31" s="153">
        <v>26.7241</v>
      </c>
      <c r="E31" s="154">
        <f>Tabla6[[#This Row],[METROS]]*Tabla6[[#This Row],[PRECIO
X
METRO]]</f>
        <v>3340.5124999999998</v>
      </c>
    </row>
    <row r="32" spans="1:5" x14ac:dyDescent="0.25">
      <c r="A32" s="150" t="s">
        <v>851</v>
      </c>
      <c r="B32" s="155" t="s">
        <v>852</v>
      </c>
      <c r="C32" s="152">
        <v>50</v>
      </c>
      <c r="D32" s="153">
        <v>57.1</v>
      </c>
      <c r="E32" s="154">
        <f>Tabla6[[#This Row],[METROS]]*Tabla6[[#This Row],[PRECIO
X
METRO]]</f>
        <v>2855</v>
      </c>
    </row>
    <row r="33" spans="1:5" x14ac:dyDescent="0.25">
      <c r="A33" s="150" t="s">
        <v>851</v>
      </c>
      <c r="B33" s="155" t="s">
        <v>854</v>
      </c>
      <c r="C33" s="158">
        <v>170</v>
      </c>
      <c r="D33" s="153">
        <v>64.209999999999994</v>
      </c>
      <c r="E33" s="154">
        <f>Tabla6[[#This Row],[METROS]]*Tabla6[[#This Row],[PRECIO
X
METRO]]</f>
        <v>10915.699999999999</v>
      </c>
    </row>
    <row r="34" spans="1:5" x14ac:dyDescent="0.25">
      <c r="A34" s="159" t="s">
        <v>851</v>
      </c>
      <c r="B34" s="160" t="s">
        <v>855</v>
      </c>
      <c r="C34" s="197">
        <v>500</v>
      </c>
      <c r="D34" s="161">
        <v>61.47</v>
      </c>
      <c r="E34" s="154">
        <f>Tabla6[[#This Row],[METROS]]*Tabla6[[#This Row],[PRECIO
X
METRO]]</f>
        <v>30735</v>
      </c>
    </row>
    <row r="35" spans="1:5" x14ac:dyDescent="0.25">
      <c r="A35" s="150" t="s">
        <v>851</v>
      </c>
      <c r="B35" s="155" t="s">
        <v>937</v>
      </c>
      <c r="C35" s="197">
        <v>300</v>
      </c>
      <c r="D35" s="166">
        <v>43.64</v>
      </c>
      <c r="E35" s="154">
        <f>Tabla6[[#This Row],[METROS]]*Tabla6[[#This Row],[PRECIO
X
METRO]]</f>
        <v>13092</v>
      </c>
    </row>
    <row r="36" spans="1:5" x14ac:dyDescent="0.25">
      <c r="A36" s="159" t="s">
        <v>851</v>
      </c>
      <c r="B36" s="155" t="s">
        <v>930</v>
      </c>
      <c r="C36" s="183">
        <v>0</v>
      </c>
      <c r="D36" s="166">
        <v>31.034400000000002</v>
      </c>
      <c r="E36" s="154">
        <f>Tabla6[[#This Row],[METROS]]*Tabla6[[#This Row],[PRECIO
X
METRO]]</f>
        <v>0</v>
      </c>
    </row>
    <row r="37" spans="1:5" x14ac:dyDescent="0.25">
      <c r="A37" s="150" t="s">
        <v>851</v>
      </c>
      <c r="B37" s="155" t="s">
        <v>935</v>
      </c>
      <c r="C37" s="183">
        <v>59</v>
      </c>
      <c r="D37" s="166">
        <v>12.930999999999999</v>
      </c>
      <c r="E37" s="154">
        <f>Tabla6[[#This Row],[METROS]]*Tabla6[[#This Row],[PRECIO
X
METRO]]</f>
        <v>762.92899999999997</v>
      </c>
    </row>
    <row r="38" spans="1:5" x14ac:dyDescent="0.25">
      <c r="A38" s="150" t="s">
        <v>851</v>
      </c>
      <c r="B38" s="155" t="s">
        <v>936</v>
      </c>
      <c r="C38" s="183">
        <v>300</v>
      </c>
      <c r="D38" s="166">
        <v>27.756</v>
      </c>
      <c r="E38" s="154">
        <f>Tabla6[[#This Row],[METROS]]*Tabla6[[#This Row],[PRECIO
X
METRO]]</f>
        <v>8326.7999999999993</v>
      </c>
    </row>
    <row r="39" spans="1:5" x14ac:dyDescent="0.25">
      <c r="A39" s="159" t="s">
        <v>845</v>
      </c>
      <c r="B39" s="160" t="s">
        <v>867</v>
      </c>
      <c r="C39" s="2">
        <v>0</v>
      </c>
      <c r="D39" s="166">
        <v>190.2</v>
      </c>
      <c r="E39" s="154">
        <f>Tabla6[[#This Row],[METROS]]*Tabla6[[#This Row],[PRECIO
X
METRO]]</f>
        <v>0</v>
      </c>
    </row>
    <row r="40" spans="1:5" x14ac:dyDescent="0.25">
      <c r="A40" s="159" t="s">
        <v>845</v>
      </c>
      <c r="B40" s="160" t="s">
        <v>434</v>
      </c>
      <c r="C40" s="2">
        <v>475</v>
      </c>
      <c r="D40" s="166">
        <v>207.58</v>
      </c>
      <c r="E40" s="154">
        <f>Tabla6[[#This Row],[METROS]]*Tabla6[[#This Row],[PRECIO
X
METRO]]</f>
        <v>98600.5</v>
      </c>
    </row>
    <row r="41" spans="1:5" x14ac:dyDescent="0.25">
      <c r="B41" s="165"/>
      <c r="E41" s="166"/>
    </row>
    <row r="42" spans="1:5" x14ac:dyDescent="0.25">
      <c r="B42" s="165"/>
      <c r="E42" s="166"/>
    </row>
    <row r="43" spans="1:5" x14ac:dyDescent="0.25">
      <c r="C43" s="187">
        <f>SUM(C2:C40)</f>
        <v>12969</v>
      </c>
      <c r="E43" s="38">
        <f>SUM(E2:E40)</f>
        <v>967492.29149999993</v>
      </c>
    </row>
    <row r="46" spans="1:5" x14ac:dyDescent="0.25">
      <c r="C46" s="2">
        <f>21*35</f>
        <v>735</v>
      </c>
    </row>
  </sheetData>
  <mergeCells count="1">
    <mergeCell ref="F1:H1"/>
  </mergeCells>
  <phoneticPr fontId="3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79F2-4E79-4EF6-966E-8FC9E65DD646}">
  <sheetPr codeName="Hoja3">
    <tabColor theme="8" tint="0.39997558519241921"/>
  </sheetPr>
  <dimension ref="A1:I183"/>
  <sheetViews>
    <sheetView topLeftCell="A155" workbookViewId="0">
      <selection activeCell="H104" sqref="H104"/>
    </sheetView>
  </sheetViews>
  <sheetFormatPr baseColWidth="10" defaultRowHeight="15" x14ac:dyDescent="0.25"/>
  <cols>
    <col min="1" max="1" width="12.85546875" bestFit="1" customWidth="1"/>
    <col min="2" max="2" width="25.85546875" customWidth="1"/>
    <col min="3" max="4" width="19.42578125" customWidth="1"/>
    <col min="6" max="6" width="14.140625" bestFit="1" customWidth="1"/>
    <col min="7" max="7" width="21" customWidth="1"/>
  </cols>
  <sheetData>
    <row r="1" spans="1:7" ht="45.75" thickBot="1" x14ac:dyDescent="0.3">
      <c r="A1" s="146" t="s">
        <v>711</v>
      </c>
      <c r="B1" s="147" t="s">
        <v>496</v>
      </c>
      <c r="C1" s="147" t="s">
        <v>983</v>
      </c>
      <c r="D1" s="147" t="s">
        <v>984</v>
      </c>
      <c r="E1" s="147" t="s">
        <v>713</v>
      </c>
      <c r="F1" s="149" t="s">
        <v>531</v>
      </c>
      <c r="G1" s="148" t="s">
        <v>154</v>
      </c>
    </row>
    <row r="2" spans="1:7" ht="15.75" thickTop="1" x14ac:dyDescent="0.25">
      <c r="A2" s="150">
        <v>511</v>
      </c>
      <c r="B2" s="151" t="s">
        <v>714</v>
      </c>
      <c r="C2" s="152">
        <v>41</v>
      </c>
      <c r="D2" s="152"/>
      <c r="E2" s="153">
        <v>67.89</v>
      </c>
      <c r="F2" s="154">
        <f>Tabla7[[#This Row],[METROS
FISCAL]]*Tabla7[[#This Row],[PRECIO
X
METROS]]</f>
        <v>2783.4900000000002</v>
      </c>
    </row>
    <row r="3" spans="1:7" ht="30" x14ac:dyDescent="0.25">
      <c r="A3" s="150">
        <v>511</v>
      </c>
      <c r="B3" s="151" t="s">
        <v>718</v>
      </c>
      <c r="C3" s="152">
        <v>79</v>
      </c>
      <c r="D3" s="152"/>
      <c r="E3" s="153">
        <v>67.89</v>
      </c>
      <c r="F3" s="154">
        <f>Tabla7[[#This Row],[METROS
FISCAL]]*Tabla7[[#This Row],[PRECIO
X
METROS]]</f>
        <v>5363.31</v>
      </c>
    </row>
    <row r="4" spans="1:7" x14ac:dyDescent="0.25">
      <c r="A4" s="150">
        <v>511</v>
      </c>
      <c r="B4" s="151" t="s">
        <v>720</v>
      </c>
      <c r="C4" s="152">
        <v>110</v>
      </c>
      <c r="D4" s="152"/>
      <c r="E4" s="153">
        <v>67.89</v>
      </c>
      <c r="F4" s="154">
        <f>Tabla7[[#This Row],[METROS
FISCAL]]*Tabla7[[#This Row],[PRECIO
X
METROS]]</f>
        <v>7467.9</v>
      </c>
    </row>
    <row r="5" spans="1:7" x14ac:dyDescent="0.25">
      <c r="A5" s="150">
        <v>511</v>
      </c>
      <c r="B5" s="151" t="s">
        <v>717</v>
      </c>
      <c r="C5" s="152">
        <v>150</v>
      </c>
      <c r="D5" s="152"/>
      <c r="E5" s="153">
        <v>67.89</v>
      </c>
      <c r="F5" s="154">
        <f>Tabla7[[#This Row],[METROS
FISCAL]]*Tabla7[[#This Row],[PRECIO
X
METROS]]</f>
        <v>10183.5</v>
      </c>
    </row>
    <row r="6" spans="1:7" x14ac:dyDescent="0.25">
      <c r="A6" s="150">
        <v>511</v>
      </c>
      <c r="B6" s="151" t="s">
        <v>721</v>
      </c>
      <c r="C6" s="152">
        <v>68</v>
      </c>
      <c r="D6" s="152"/>
      <c r="E6" s="153">
        <v>67.89</v>
      </c>
      <c r="F6" s="154">
        <f>Tabla7[[#This Row],[METROS
FISCAL]]*Tabla7[[#This Row],[PRECIO
X
METROS]]</f>
        <v>4616.5200000000004</v>
      </c>
    </row>
    <row r="7" spans="1:7" x14ac:dyDescent="0.25">
      <c r="A7" s="150">
        <v>511</v>
      </c>
      <c r="B7" s="151" t="s">
        <v>722</v>
      </c>
      <c r="C7" s="152">
        <v>319</v>
      </c>
      <c r="D7" s="152"/>
      <c r="E7" s="153">
        <v>79.271000000000001</v>
      </c>
      <c r="F7" s="154">
        <f>Tabla7[[#This Row],[METROS
FISCAL]]*Tabla7[[#This Row],[PRECIO
X
METROS]]</f>
        <v>25287.449000000001</v>
      </c>
    </row>
    <row r="8" spans="1:7" x14ac:dyDescent="0.25">
      <c r="A8" s="150">
        <v>511</v>
      </c>
      <c r="B8" s="151" t="s">
        <v>723</v>
      </c>
      <c r="C8" s="152">
        <v>25</v>
      </c>
      <c r="D8" s="152"/>
      <c r="E8" s="153">
        <v>67.89</v>
      </c>
      <c r="F8" s="154">
        <f>Tabla7[[#This Row],[METROS
FISCAL]]*Tabla7[[#This Row],[PRECIO
X
METROS]]</f>
        <v>1697.25</v>
      </c>
    </row>
    <row r="9" spans="1:7" x14ac:dyDescent="0.25">
      <c r="A9" s="150">
        <v>511</v>
      </c>
      <c r="B9" s="151" t="s">
        <v>725</v>
      </c>
      <c r="C9" s="152">
        <v>20</v>
      </c>
      <c r="D9" s="152"/>
      <c r="E9" s="153">
        <v>67.89</v>
      </c>
      <c r="F9" s="154">
        <f>Tabla7[[#This Row],[METROS
FISCAL]]*Tabla7[[#This Row],[PRECIO
X
METROS]]</f>
        <v>1357.8</v>
      </c>
    </row>
    <row r="10" spans="1:7" x14ac:dyDescent="0.25">
      <c r="A10" s="150">
        <v>511</v>
      </c>
      <c r="B10" s="151" t="s">
        <v>473</v>
      </c>
      <c r="C10" s="152">
        <v>70</v>
      </c>
      <c r="D10" s="152"/>
      <c r="E10" s="153">
        <v>67.89</v>
      </c>
      <c r="F10" s="154">
        <f>Tabla7[[#This Row],[METROS
FISCAL]]*Tabla7[[#This Row],[PRECIO
X
METROS]]</f>
        <v>4752.3</v>
      </c>
    </row>
    <row r="11" spans="1:7" x14ac:dyDescent="0.25">
      <c r="A11" s="150">
        <v>582</v>
      </c>
      <c r="B11" s="155" t="s">
        <v>726</v>
      </c>
      <c r="C11" s="152">
        <v>256</v>
      </c>
      <c r="D11" s="152"/>
      <c r="E11" s="157">
        <v>78</v>
      </c>
      <c r="F11" s="154">
        <f>Tabla7[[#This Row],[METROS
FISCAL]]*Tabla7[[#This Row],[PRECIO
X
METROS]]</f>
        <v>19968</v>
      </c>
    </row>
    <row r="12" spans="1:7" x14ac:dyDescent="0.25">
      <c r="A12" s="150">
        <v>633</v>
      </c>
      <c r="B12" s="151" t="s">
        <v>727</v>
      </c>
      <c r="C12" s="152">
        <v>234</v>
      </c>
      <c r="D12" s="152"/>
      <c r="E12" s="153">
        <v>57.85</v>
      </c>
      <c r="F12" s="154">
        <f>Tabla7[[#This Row],[METROS
FISCAL]]*Tabla7[[#This Row],[PRECIO
X
METROS]]</f>
        <v>13536.9</v>
      </c>
    </row>
    <row r="13" spans="1:7" ht="30" x14ac:dyDescent="0.25">
      <c r="A13" s="150">
        <v>633</v>
      </c>
      <c r="B13" s="151" t="s">
        <v>729</v>
      </c>
      <c r="C13" s="152">
        <v>143</v>
      </c>
      <c r="D13" s="152"/>
      <c r="E13" s="153">
        <v>57.85</v>
      </c>
      <c r="F13" s="154">
        <f>Tabla7[[#This Row],[METROS
FISCAL]]*Tabla7[[#This Row],[PRECIO
X
METROS]]</f>
        <v>8272.5500000000011</v>
      </c>
    </row>
    <row r="14" spans="1:7" x14ac:dyDescent="0.25">
      <c r="A14" s="150">
        <v>633</v>
      </c>
      <c r="B14" s="151" t="s">
        <v>732</v>
      </c>
      <c r="C14" s="152">
        <v>149</v>
      </c>
      <c r="D14" s="152"/>
      <c r="E14" s="153">
        <v>57.85</v>
      </c>
      <c r="F14" s="154">
        <f>Tabla7[[#This Row],[METROS
FISCAL]]*Tabla7[[#This Row],[PRECIO
X
METROS]]</f>
        <v>8619.65</v>
      </c>
    </row>
    <row r="15" spans="1:7" x14ac:dyDescent="0.25">
      <c r="A15" s="150">
        <v>633</v>
      </c>
      <c r="B15" s="151" t="s">
        <v>733</v>
      </c>
      <c r="C15" s="152">
        <v>299</v>
      </c>
      <c r="D15" s="152"/>
      <c r="E15" s="153">
        <v>57.85</v>
      </c>
      <c r="F15" s="154">
        <f>Tabla7[[#This Row],[METROS
FISCAL]]*Tabla7[[#This Row],[PRECIO
X
METROS]]</f>
        <v>17297.150000000001</v>
      </c>
    </row>
    <row r="16" spans="1:7" x14ac:dyDescent="0.25">
      <c r="A16" s="150">
        <v>633</v>
      </c>
      <c r="B16" s="151" t="s">
        <v>588</v>
      </c>
      <c r="C16" s="152">
        <v>3</v>
      </c>
      <c r="D16" s="152"/>
      <c r="E16" s="153">
        <v>57.85</v>
      </c>
      <c r="F16" s="154">
        <f>Tabla7[[#This Row],[METROS
FISCAL]]*Tabla7[[#This Row],[PRECIO
X
METROS]]</f>
        <v>173.55</v>
      </c>
    </row>
    <row r="17" spans="1:6" x14ac:dyDescent="0.25">
      <c r="A17" s="150">
        <v>633</v>
      </c>
      <c r="B17" s="151" t="s">
        <v>724</v>
      </c>
      <c r="C17" s="152">
        <v>15</v>
      </c>
      <c r="D17" s="152"/>
      <c r="E17" s="153">
        <v>57.85</v>
      </c>
      <c r="F17" s="154">
        <f>Tabla7[[#This Row],[METROS
FISCAL]]*Tabla7[[#This Row],[PRECIO
X
METROS]]</f>
        <v>867.75</v>
      </c>
    </row>
    <row r="18" spans="1:6" x14ac:dyDescent="0.25">
      <c r="A18" s="150">
        <v>633</v>
      </c>
      <c r="B18" s="151" t="s">
        <v>734</v>
      </c>
      <c r="C18" s="152">
        <v>80</v>
      </c>
      <c r="D18" s="152"/>
      <c r="E18" s="153">
        <v>57.85</v>
      </c>
      <c r="F18" s="154">
        <f>Tabla7[[#This Row],[METROS
FISCAL]]*Tabla7[[#This Row],[PRECIO
X
METROS]]</f>
        <v>4628</v>
      </c>
    </row>
    <row r="19" spans="1:6" x14ac:dyDescent="0.25">
      <c r="A19" s="150">
        <v>633</v>
      </c>
      <c r="B19" s="151" t="s">
        <v>735</v>
      </c>
      <c r="C19" s="152">
        <v>40</v>
      </c>
      <c r="D19" s="152"/>
      <c r="E19" s="153">
        <v>57.85</v>
      </c>
      <c r="F19" s="154">
        <f>Tabla7[[#This Row],[METROS
FISCAL]]*Tabla7[[#This Row],[PRECIO
X
METROS]]</f>
        <v>2314</v>
      </c>
    </row>
    <row r="20" spans="1:6" x14ac:dyDescent="0.25">
      <c r="A20" s="150">
        <v>633</v>
      </c>
      <c r="B20" s="151" t="s">
        <v>736</v>
      </c>
      <c r="C20" s="152">
        <v>18</v>
      </c>
      <c r="D20" s="152"/>
      <c r="E20" s="153">
        <v>57.85</v>
      </c>
      <c r="F20" s="154">
        <f>Tabla7[[#This Row],[METROS
FISCAL]]*Tabla7[[#This Row],[PRECIO
X
METROS]]</f>
        <v>1041.3</v>
      </c>
    </row>
    <row r="21" spans="1:6" ht="30" x14ac:dyDescent="0.25">
      <c r="A21" s="150">
        <v>633</v>
      </c>
      <c r="B21" s="151" t="s">
        <v>737</v>
      </c>
      <c r="C21" s="152">
        <v>76</v>
      </c>
      <c r="D21" s="152"/>
      <c r="E21" s="153">
        <v>57.85</v>
      </c>
      <c r="F21" s="154">
        <f>Tabla7[[#This Row],[METROS
FISCAL]]*Tabla7[[#This Row],[PRECIO
X
METROS]]</f>
        <v>4396.6000000000004</v>
      </c>
    </row>
    <row r="22" spans="1:6" x14ac:dyDescent="0.25">
      <c r="A22" s="150">
        <v>633</v>
      </c>
      <c r="B22" s="151" t="s">
        <v>473</v>
      </c>
      <c r="C22" s="152">
        <v>92</v>
      </c>
      <c r="D22" s="152"/>
      <c r="E22" s="153">
        <v>57.85</v>
      </c>
      <c r="F22" s="154">
        <f>Tabla7[[#This Row],[METROS
FISCAL]]*Tabla7[[#This Row],[PRECIO
X
METROS]]</f>
        <v>5322.2</v>
      </c>
    </row>
    <row r="23" spans="1:6" x14ac:dyDescent="0.25">
      <c r="A23" s="150">
        <v>651</v>
      </c>
      <c r="B23" s="151" t="s">
        <v>738</v>
      </c>
      <c r="C23" s="152">
        <v>116</v>
      </c>
      <c r="D23" s="152"/>
      <c r="E23" s="153">
        <v>79.05</v>
      </c>
      <c r="F23" s="154">
        <f>Tabla7[[#This Row],[METROS
FISCAL]]*Tabla7[[#This Row],[PRECIO
X
METROS]]</f>
        <v>9169.7999999999993</v>
      </c>
    </row>
    <row r="24" spans="1:6" x14ac:dyDescent="0.25">
      <c r="A24" s="150">
        <v>651</v>
      </c>
      <c r="B24" s="151" t="s">
        <v>739</v>
      </c>
      <c r="C24" s="152">
        <v>70</v>
      </c>
      <c r="D24" s="152"/>
      <c r="E24" s="153">
        <v>79.05</v>
      </c>
      <c r="F24" s="154">
        <f>Tabla7[[#This Row],[METROS
FISCAL]]*Tabla7[[#This Row],[PRECIO
X
METROS]]</f>
        <v>5533.5</v>
      </c>
    </row>
    <row r="25" spans="1:6" x14ac:dyDescent="0.25">
      <c r="A25" s="150">
        <v>651</v>
      </c>
      <c r="B25" s="151" t="s">
        <v>740</v>
      </c>
      <c r="C25" s="152">
        <v>80</v>
      </c>
      <c r="D25" s="152"/>
      <c r="E25" s="153">
        <v>79.05</v>
      </c>
      <c r="F25" s="154">
        <f>Tabla7[[#This Row],[METROS
FISCAL]]*Tabla7[[#This Row],[PRECIO
X
METROS]]</f>
        <v>6324</v>
      </c>
    </row>
    <row r="26" spans="1:6" x14ac:dyDescent="0.25">
      <c r="A26" s="150">
        <v>651</v>
      </c>
      <c r="B26" s="151" t="s">
        <v>741</v>
      </c>
      <c r="C26" s="152">
        <v>23</v>
      </c>
      <c r="D26" s="152"/>
      <c r="E26" s="153">
        <v>79.05</v>
      </c>
      <c r="F26" s="154">
        <f>Tabla7[[#This Row],[METROS
FISCAL]]*Tabla7[[#This Row],[PRECIO
X
METROS]]</f>
        <v>1818.1499999999999</v>
      </c>
    </row>
    <row r="27" spans="1:6" x14ac:dyDescent="0.25">
      <c r="A27" s="150">
        <v>651</v>
      </c>
      <c r="B27" s="151" t="s">
        <v>742</v>
      </c>
      <c r="C27" s="152">
        <v>37</v>
      </c>
      <c r="D27" s="152"/>
      <c r="E27" s="153">
        <v>79.05</v>
      </c>
      <c r="F27" s="154">
        <f>Tabla7[[#This Row],[METROS
FISCAL]]*Tabla7[[#This Row],[PRECIO
X
METROS]]</f>
        <v>2924.85</v>
      </c>
    </row>
    <row r="28" spans="1:6" x14ac:dyDescent="0.25">
      <c r="A28" s="150">
        <v>651</v>
      </c>
      <c r="B28" s="151" t="s">
        <v>743</v>
      </c>
      <c r="C28" s="152">
        <v>71</v>
      </c>
      <c r="D28" s="152"/>
      <c r="E28" s="153">
        <v>79.05</v>
      </c>
      <c r="F28" s="154">
        <f>Tabla7[[#This Row],[METROS
FISCAL]]*Tabla7[[#This Row],[PRECIO
X
METROS]]</f>
        <v>5612.55</v>
      </c>
    </row>
    <row r="29" spans="1:6" x14ac:dyDescent="0.25">
      <c r="A29" s="150">
        <v>651</v>
      </c>
      <c r="B29" s="151" t="s">
        <v>746</v>
      </c>
      <c r="C29" s="152">
        <v>104</v>
      </c>
      <c r="D29" s="152"/>
      <c r="E29" s="153">
        <v>79.05</v>
      </c>
      <c r="F29" s="154">
        <f>Tabla7[[#This Row],[METROS
FISCAL]]*Tabla7[[#This Row],[PRECIO
X
METROS]]</f>
        <v>8221.1999999999989</v>
      </c>
    </row>
    <row r="30" spans="1:6" x14ac:dyDescent="0.25">
      <c r="A30" s="150">
        <v>651</v>
      </c>
      <c r="B30" s="151" t="s">
        <v>747</v>
      </c>
      <c r="C30" s="152">
        <v>27</v>
      </c>
      <c r="D30" s="152"/>
      <c r="E30" s="153">
        <v>79.05</v>
      </c>
      <c r="F30" s="154">
        <f>Tabla7[[#This Row],[METROS
FISCAL]]*Tabla7[[#This Row],[PRECIO
X
METROS]]</f>
        <v>2134.35</v>
      </c>
    </row>
    <row r="31" spans="1:6" x14ac:dyDescent="0.25">
      <c r="A31" s="150">
        <v>651</v>
      </c>
      <c r="B31" s="151" t="s">
        <v>748</v>
      </c>
      <c r="C31" s="152">
        <v>109</v>
      </c>
      <c r="D31" s="152"/>
      <c r="E31" s="153">
        <v>79.05</v>
      </c>
      <c r="F31" s="154">
        <f>Tabla7[[#This Row],[METROS
FISCAL]]*Tabla7[[#This Row],[PRECIO
X
METROS]]</f>
        <v>8616.4499999999989</v>
      </c>
    </row>
    <row r="32" spans="1:6" x14ac:dyDescent="0.25">
      <c r="A32" s="150">
        <v>651</v>
      </c>
      <c r="B32" s="151" t="s">
        <v>751</v>
      </c>
      <c r="C32" s="152">
        <f>119+30</f>
        <v>149</v>
      </c>
      <c r="D32" s="152"/>
      <c r="E32" s="153">
        <v>79.05</v>
      </c>
      <c r="F32" s="154">
        <f>Tabla7[[#This Row],[METROS
FISCAL]]*Tabla7[[#This Row],[PRECIO
X
METROS]]</f>
        <v>11778.449999999999</v>
      </c>
    </row>
    <row r="33" spans="1:6" x14ac:dyDescent="0.25">
      <c r="A33" s="150">
        <v>651</v>
      </c>
      <c r="B33" s="151" t="s">
        <v>752</v>
      </c>
      <c r="C33" s="152">
        <v>53</v>
      </c>
      <c r="D33" s="152"/>
      <c r="E33" s="153">
        <v>79.05</v>
      </c>
      <c r="F33" s="154">
        <f>Tabla7[[#This Row],[METROS
FISCAL]]*Tabla7[[#This Row],[PRECIO
X
METROS]]</f>
        <v>4189.6499999999996</v>
      </c>
    </row>
    <row r="34" spans="1:6" x14ac:dyDescent="0.25">
      <c r="A34" s="150">
        <v>651</v>
      </c>
      <c r="B34" s="151" t="s">
        <v>753</v>
      </c>
      <c r="C34" s="152">
        <v>116</v>
      </c>
      <c r="D34" s="152"/>
      <c r="E34" s="153">
        <v>79.05</v>
      </c>
      <c r="F34" s="154">
        <f>Tabla7[[#This Row],[METROS
FISCAL]]*Tabla7[[#This Row],[PRECIO
X
METROS]]</f>
        <v>9169.7999999999993</v>
      </c>
    </row>
    <row r="35" spans="1:6" x14ac:dyDescent="0.25">
      <c r="A35" s="150">
        <v>651</v>
      </c>
      <c r="B35" s="151" t="s">
        <v>754</v>
      </c>
      <c r="C35" s="152">
        <v>5</v>
      </c>
      <c r="D35" s="152"/>
      <c r="E35" s="153">
        <v>79.05</v>
      </c>
      <c r="F35" s="154">
        <f>Tabla7[[#This Row],[METROS
FISCAL]]*Tabla7[[#This Row],[PRECIO
X
METROS]]</f>
        <v>395.25</v>
      </c>
    </row>
    <row r="36" spans="1:6" x14ac:dyDescent="0.25">
      <c r="A36" s="150">
        <v>651</v>
      </c>
      <c r="B36" s="151" t="s">
        <v>755</v>
      </c>
      <c r="C36" s="152">
        <v>15</v>
      </c>
      <c r="D36" s="152"/>
      <c r="E36" s="153">
        <v>79.05</v>
      </c>
      <c r="F36" s="154">
        <f>Tabla7[[#This Row],[METROS
FISCAL]]*Tabla7[[#This Row],[PRECIO
X
METROS]]</f>
        <v>1185.75</v>
      </c>
    </row>
    <row r="37" spans="1:6" x14ac:dyDescent="0.25">
      <c r="A37" s="150">
        <v>651</v>
      </c>
      <c r="B37" s="151" t="s">
        <v>756</v>
      </c>
      <c r="C37" s="152">
        <v>106</v>
      </c>
      <c r="D37" s="152"/>
      <c r="E37" s="153">
        <v>79.05</v>
      </c>
      <c r="F37" s="154">
        <f>Tabla7[[#This Row],[METROS
FISCAL]]*Tabla7[[#This Row],[PRECIO
X
METROS]]</f>
        <v>8379.2999999999993</v>
      </c>
    </row>
    <row r="38" spans="1:6" x14ac:dyDescent="0.25">
      <c r="A38" s="150">
        <v>651</v>
      </c>
      <c r="B38" s="151" t="s">
        <v>757</v>
      </c>
      <c r="C38" s="152">
        <v>1487</v>
      </c>
      <c r="D38" s="152"/>
      <c r="E38" s="153">
        <v>79.05</v>
      </c>
      <c r="F38" s="154">
        <f>Tabla7[[#This Row],[METROS
FISCAL]]*Tabla7[[#This Row],[PRECIO
X
METROS]]</f>
        <v>117547.34999999999</v>
      </c>
    </row>
    <row r="39" spans="1:6" ht="30" x14ac:dyDescent="0.25">
      <c r="A39" s="150">
        <v>651</v>
      </c>
      <c r="B39" s="151" t="s">
        <v>758</v>
      </c>
      <c r="C39" s="152">
        <v>48</v>
      </c>
      <c r="D39" s="152"/>
      <c r="E39" s="153">
        <v>79.05</v>
      </c>
      <c r="F39" s="154">
        <f>Tabla7[[#This Row],[METROS
FISCAL]]*Tabla7[[#This Row],[PRECIO
X
METROS]]</f>
        <v>3794.3999999999996</v>
      </c>
    </row>
    <row r="40" spans="1:6" x14ac:dyDescent="0.25">
      <c r="A40" s="150">
        <v>651</v>
      </c>
      <c r="B40" s="151" t="s">
        <v>759</v>
      </c>
      <c r="C40" s="152">
        <v>30</v>
      </c>
      <c r="D40" s="152"/>
      <c r="E40" s="153">
        <v>79.05</v>
      </c>
      <c r="F40" s="154">
        <f>Tabla7[[#This Row],[METROS
FISCAL]]*Tabla7[[#This Row],[PRECIO
X
METROS]]</f>
        <v>2371.5</v>
      </c>
    </row>
    <row r="41" spans="1:6" x14ac:dyDescent="0.25">
      <c r="A41" s="150">
        <v>651</v>
      </c>
      <c r="B41" s="151" t="s">
        <v>761</v>
      </c>
      <c r="C41" s="152">
        <v>80</v>
      </c>
      <c r="D41" s="152"/>
      <c r="E41" s="153">
        <v>79.05</v>
      </c>
      <c r="F41" s="154">
        <f>Tabla7[[#This Row],[METROS
FISCAL]]*Tabla7[[#This Row],[PRECIO
X
METROS]]</f>
        <v>6324</v>
      </c>
    </row>
    <row r="42" spans="1:6" ht="30" x14ac:dyDescent="0.25">
      <c r="A42" s="150">
        <v>651</v>
      </c>
      <c r="B42" s="151" t="s">
        <v>762</v>
      </c>
      <c r="C42" s="152">
        <v>82</v>
      </c>
      <c r="D42" s="152"/>
      <c r="E42" s="153">
        <v>65.004900000000006</v>
      </c>
      <c r="F42" s="154">
        <f>Tabla7[[#This Row],[METROS
FISCAL]]*Tabla7[[#This Row],[PRECIO
X
METROS]]</f>
        <v>5330.4018000000005</v>
      </c>
    </row>
    <row r="43" spans="1:6" x14ac:dyDescent="0.25">
      <c r="A43" s="150">
        <v>651</v>
      </c>
      <c r="B43" s="151" t="s">
        <v>764</v>
      </c>
      <c r="C43" s="152">
        <v>10</v>
      </c>
      <c r="D43" s="152"/>
      <c r="E43" s="153">
        <v>79.05</v>
      </c>
      <c r="F43" s="154">
        <f>Tabla7[[#This Row],[METROS
FISCAL]]*Tabla7[[#This Row],[PRECIO
X
METROS]]</f>
        <v>790.5</v>
      </c>
    </row>
    <row r="44" spans="1:6" x14ac:dyDescent="0.25">
      <c r="A44" s="150">
        <v>651</v>
      </c>
      <c r="B44" s="151" t="s">
        <v>765</v>
      </c>
      <c r="C44" s="152">
        <v>1902</v>
      </c>
      <c r="D44" s="152"/>
      <c r="E44" s="153">
        <v>79.05</v>
      </c>
      <c r="F44" s="154">
        <f>Tabla7[[#This Row],[METROS
FISCAL]]*Tabla7[[#This Row],[PRECIO
X
METROS]]</f>
        <v>150353.1</v>
      </c>
    </row>
    <row r="45" spans="1:6" x14ac:dyDescent="0.25">
      <c r="A45" s="150">
        <v>651</v>
      </c>
      <c r="B45" s="151" t="s">
        <v>766</v>
      </c>
      <c r="C45" s="152">
        <v>20</v>
      </c>
      <c r="D45" s="152"/>
      <c r="E45" s="153">
        <v>79.05</v>
      </c>
      <c r="F45" s="154">
        <f>Tabla7[[#This Row],[METROS
FISCAL]]*Tabla7[[#This Row],[PRECIO
X
METROS]]</f>
        <v>1581</v>
      </c>
    </row>
    <row r="46" spans="1:6" x14ac:dyDescent="0.25">
      <c r="A46" s="150">
        <v>651</v>
      </c>
      <c r="B46" s="151" t="s">
        <v>767</v>
      </c>
      <c r="C46" s="152">
        <v>78</v>
      </c>
      <c r="D46" s="152"/>
      <c r="E46" s="153">
        <v>79.05</v>
      </c>
      <c r="F46" s="154">
        <f>Tabla7[[#This Row],[METROS
FISCAL]]*Tabla7[[#This Row],[PRECIO
X
METROS]]</f>
        <v>6165.9</v>
      </c>
    </row>
    <row r="47" spans="1:6" x14ac:dyDescent="0.25">
      <c r="A47" s="150">
        <v>651</v>
      </c>
      <c r="B47" s="151" t="s">
        <v>768</v>
      </c>
      <c r="C47" s="152">
        <v>485</v>
      </c>
      <c r="D47" s="152"/>
      <c r="E47" s="153">
        <v>79.05</v>
      </c>
      <c r="F47" s="154">
        <f>Tabla7[[#This Row],[METROS
FISCAL]]*Tabla7[[#This Row],[PRECIO
X
METROS]]</f>
        <v>38339.25</v>
      </c>
    </row>
    <row r="48" spans="1:6" x14ac:dyDescent="0.25">
      <c r="A48" s="150">
        <v>651</v>
      </c>
      <c r="B48" s="151" t="s">
        <v>769</v>
      </c>
      <c r="C48" s="152">
        <v>1490</v>
      </c>
      <c r="D48" s="152"/>
      <c r="E48" s="153">
        <v>79.05</v>
      </c>
      <c r="F48" s="154">
        <f>Tabla7[[#This Row],[METROS
FISCAL]]*Tabla7[[#This Row],[PRECIO
X
METROS]]</f>
        <v>117784.5</v>
      </c>
    </row>
    <row r="49" spans="1:6" x14ac:dyDescent="0.25">
      <c r="A49" s="150">
        <v>651</v>
      </c>
      <c r="B49" s="151" t="s">
        <v>770</v>
      </c>
      <c r="C49" s="152">
        <v>280</v>
      </c>
      <c r="D49" s="152"/>
      <c r="E49" s="153">
        <v>79.05</v>
      </c>
      <c r="F49" s="154">
        <f>Tabla7[[#This Row],[METROS
FISCAL]]*Tabla7[[#This Row],[PRECIO
X
METROS]]</f>
        <v>22134</v>
      </c>
    </row>
    <row r="50" spans="1:6" x14ac:dyDescent="0.25">
      <c r="A50" s="150">
        <v>651</v>
      </c>
      <c r="B50" s="151" t="s">
        <v>771</v>
      </c>
      <c r="C50" s="152">
        <v>365</v>
      </c>
      <c r="D50" s="152"/>
      <c r="E50" s="153">
        <v>79.05</v>
      </c>
      <c r="F50" s="154">
        <f>Tabla7[[#This Row],[METROS
FISCAL]]*Tabla7[[#This Row],[PRECIO
X
METROS]]</f>
        <v>28853.25</v>
      </c>
    </row>
    <row r="51" spans="1:6" x14ac:dyDescent="0.25">
      <c r="A51" s="150">
        <v>651</v>
      </c>
      <c r="B51" s="151" t="s">
        <v>772</v>
      </c>
      <c r="C51" s="152">
        <v>1100</v>
      </c>
      <c r="D51" s="152"/>
      <c r="E51" s="153">
        <v>79.05</v>
      </c>
      <c r="F51" s="154">
        <f>Tabla7[[#This Row],[METROS
FISCAL]]*Tabla7[[#This Row],[PRECIO
X
METROS]]</f>
        <v>86955</v>
      </c>
    </row>
    <row r="52" spans="1:6" x14ac:dyDescent="0.25">
      <c r="A52" s="150">
        <v>651</v>
      </c>
      <c r="B52" s="151" t="s">
        <v>773</v>
      </c>
      <c r="C52" s="152">
        <v>35</v>
      </c>
      <c r="D52" s="152"/>
      <c r="E52" s="153">
        <v>79.05</v>
      </c>
      <c r="F52" s="154">
        <f>Tabla7[[#This Row],[METROS
FISCAL]]*Tabla7[[#This Row],[PRECIO
X
METROS]]</f>
        <v>2766.75</v>
      </c>
    </row>
    <row r="53" spans="1:6" x14ac:dyDescent="0.25">
      <c r="A53" s="150">
        <v>651</v>
      </c>
      <c r="B53" s="151" t="s">
        <v>774</v>
      </c>
      <c r="C53" s="152">
        <v>27</v>
      </c>
      <c r="D53" s="152"/>
      <c r="E53" s="153">
        <v>79.05</v>
      </c>
      <c r="F53" s="154">
        <f>Tabla7[[#This Row],[METROS
FISCAL]]*Tabla7[[#This Row],[PRECIO
X
METROS]]</f>
        <v>2134.35</v>
      </c>
    </row>
    <row r="54" spans="1:6" x14ac:dyDescent="0.25">
      <c r="A54" s="150">
        <v>651</v>
      </c>
      <c r="B54" s="151" t="s">
        <v>775</v>
      </c>
      <c r="C54" s="152">
        <v>27</v>
      </c>
      <c r="D54" s="152"/>
      <c r="E54" s="153">
        <v>79.05</v>
      </c>
      <c r="F54" s="154">
        <f>Tabla7[[#This Row],[METROS
FISCAL]]*Tabla7[[#This Row],[PRECIO
X
METROS]]</f>
        <v>2134.35</v>
      </c>
    </row>
    <row r="55" spans="1:6" x14ac:dyDescent="0.25">
      <c r="A55" s="150">
        <v>651</v>
      </c>
      <c r="B55" s="151" t="s">
        <v>776</v>
      </c>
      <c r="C55" s="152">
        <v>62</v>
      </c>
      <c r="D55" s="152"/>
      <c r="E55" s="153">
        <v>79.05</v>
      </c>
      <c r="F55" s="154">
        <f>Tabla7[[#This Row],[METROS
FISCAL]]*Tabla7[[#This Row],[PRECIO
X
METROS]]</f>
        <v>4901.0999999999995</v>
      </c>
    </row>
    <row r="56" spans="1:6" ht="30" x14ac:dyDescent="0.25">
      <c r="A56" s="150">
        <v>668</v>
      </c>
      <c r="B56" s="151" t="s">
        <v>778</v>
      </c>
      <c r="C56" s="152">
        <v>370</v>
      </c>
      <c r="D56" s="152"/>
      <c r="E56" s="153">
        <v>80.75</v>
      </c>
      <c r="F56" s="154">
        <f>Tabla7[[#This Row],[METROS
FISCAL]]*Tabla7[[#This Row],[PRECIO
X
METROS]]</f>
        <v>29877.5</v>
      </c>
    </row>
    <row r="57" spans="1:6" x14ac:dyDescent="0.25">
      <c r="A57" s="150">
        <v>668</v>
      </c>
      <c r="B57" s="151" t="s">
        <v>779</v>
      </c>
      <c r="C57" s="152">
        <v>869</v>
      </c>
      <c r="D57" s="152"/>
      <c r="E57" s="153">
        <v>80.75</v>
      </c>
      <c r="F57" s="154">
        <f>Tabla7[[#This Row],[METROS
FISCAL]]*Tabla7[[#This Row],[PRECIO
X
METROS]]</f>
        <v>70171.75</v>
      </c>
    </row>
    <row r="58" spans="1:6" x14ac:dyDescent="0.25">
      <c r="A58" s="150">
        <v>668</v>
      </c>
      <c r="B58" s="151" t="s">
        <v>781</v>
      </c>
      <c r="C58" s="152">
        <v>60</v>
      </c>
      <c r="D58" s="152"/>
      <c r="E58" s="153">
        <v>80.75</v>
      </c>
      <c r="F58" s="154">
        <f>Tabla7[[#This Row],[METROS
FISCAL]]*Tabla7[[#This Row],[PRECIO
X
METROS]]</f>
        <v>4845</v>
      </c>
    </row>
    <row r="59" spans="1:6" x14ac:dyDescent="0.25">
      <c r="A59" s="150">
        <v>668</v>
      </c>
      <c r="B59" s="151" t="s">
        <v>782</v>
      </c>
      <c r="C59" s="152">
        <v>25</v>
      </c>
      <c r="D59" s="152"/>
      <c r="E59" s="153">
        <v>80.75</v>
      </c>
      <c r="F59" s="154">
        <f>Tabla7[[#This Row],[METROS
FISCAL]]*Tabla7[[#This Row],[PRECIO
X
METROS]]</f>
        <v>2018.75</v>
      </c>
    </row>
    <row r="60" spans="1:6" x14ac:dyDescent="0.25">
      <c r="A60" s="150">
        <v>668</v>
      </c>
      <c r="B60" s="151" t="s">
        <v>783</v>
      </c>
      <c r="C60" s="152">
        <v>30</v>
      </c>
      <c r="D60" s="152"/>
      <c r="E60" s="153">
        <v>80.75</v>
      </c>
      <c r="F60" s="154">
        <f>Tabla7[[#This Row],[METROS
FISCAL]]*Tabla7[[#This Row],[PRECIO
X
METROS]]</f>
        <v>2422.5</v>
      </c>
    </row>
    <row r="61" spans="1:6" x14ac:dyDescent="0.25">
      <c r="A61" s="150">
        <v>668</v>
      </c>
      <c r="B61" s="151" t="s">
        <v>786</v>
      </c>
      <c r="C61" s="152">
        <v>15</v>
      </c>
      <c r="D61" s="152"/>
      <c r="E61" s="153">
        <v>80.75</v>
      </c>
      <c r="F61" s="154">
        <f>Tabla7[[#This Row],[METROS
FISCAL]]*Tabla7[[#This Row],[PRECIO
X
METROS]]</f>
        <v>1211.25</v>
      </c>
    </row>
    <row r="62" spans="1:6" ht="30" x14ac:dyDescent="0.25">
      <c r="A62" s="150">
        <v>668</v>
      </c>
      <c r="B62" s="151" t="s">
        <v>787</v>
      </c>
      <c r="C62" s="152">
        <v>3</v>
      </c>
      <c r="D62" s="152"/>
      <c r="E62" s="153">
        <v>80.75</v>
      </c>
      <c r="F62" s="154">
        <f>Tabla7[[#This Row],[METROS
FISCAL]]*Tabla7[[#This Row],[PRECIO
X
METROS]]</f>
        <v>242.25</v>
      </c>
    </row>
    <row r="63" spans="1:6" x14ac:dyDescent="0.25">
      <c r="A63" s="150">
        <v>668</v>
      </c>
      <c r="B63" s="151" t="s">
        <v>788</v>
      </c>
      <c r="C63" s="152">
        <v>50</v>
      </c>
      <c r="D63" s="152"/>
      <c r="E63" s="153">
        <v>80.75</v>
      </c>
      <c r="F63" s="154">
        <f>Tabla7[[#This Row],[METROS
FISCAL]]*Tabla7[[#This Row],[PRECIO
X
METROS]]</f>
        <v>4037.5</v>
      </c>
    </row>
    <row r="64" spans="1:6" x14ac:dyDescent="0.25">
      <c r="A64" s="150">
        <v>668</v>
      </c>
      <c r="B64" s="151" t="s">
        <v>789</v>
      </c>
      <c r="C64" s="152">
        <v>10</v>
      </c>
      <c r="D64" s="152"/>
      <c r="E64" s="153">
        <v>80.75</v>
      </c>
      <c r="F64" s="154">
        <f>Tabla7[[#This Row],[METROS
FISCAL]]*Tabla7[[#This Row],[PRECIO
X
METROS]]</f>
        <v>807.5</v>
      </c>
    </row>
    <row r="65" spans="1:6" x14ac:dyDescent="0.25">
      <c r="A65" s="150">
        <v>668</v>
      </c>
      <c r="B65" s="151" t="s">
        <v>790</v>
      </c>
      <c r="C65" s="152">
        <v>10</v>
      </c>
      <c r="D65" s="152"/>
      <c r="E65" s="153">
        <v>80.75</v>
      </c>
      <c r="F65" s="154">
        <f>Tabla7[[#This Row],[METROS
FISCAL]]*Tabla7[[#This Row],[PRECIO
X
METROS]]</f>
        <v>807.5</v>
      </c>
    </row>
    <row r="66" spans="1:6" x14ac:dyDescent="0.25">
      <c r="A66" s="150">
        <v>668</v>
      </c>
      <c r="B66" s="151" t="s">
        <v>791</v>
      </c>
      <c r="C66" s="152">
        <v>29</v>
      </c>
      <c r="D66" s="152"/>
      <c r="E66" s="153">
        <v>80.75</v>
      </c>
      <c r="F66" s="154">
        <f>Tabla7[[#This Row],[METROS
FISCAL]]*Tabla7[[#This Row],[PRECIO
X
METROS]]</f>
        <v>2341.75</v>
      </c>
    </row>
    <row r="67" spans="1:6" x14ac:dyDescent="0.25">
      <c r="A67" s="150">
        <v>668</v>
      </c>
      <c r="B67" s="151" t="s">
        <v>792</v>
      </c>
      <c r="C67" s="152">
        <v>50</v>
      </c>
      <c r="D67" s="152"/>
      <c r="E67" s="153">
        <v>80.75</v>
      </c>
      <c r="F67" s="154">
        <f>Tabla7[[#This Row],[METROS
FISCAL]]*Tabla7[[#This Row],[PRECIO
X
METROS]]</f>
        <v>4037.5</v>
      </c>
    </row>
    <row r="68" spans="1:6" x14ac:dyDescent="0.25">
      <c r="A68" s="150">
        <v>668</v>
      </c>
      <c r="B68" s="151" t="s">
        <v>793</v>
      </c>
      <c r="C68" s="152">
        <v>20</v>
      </c>
      <c r="D68" s="152"/>
      <c r="E68" s="153">
        <v>80.75</v>
      </c>
      <c r="F68" s="154">
        <f>Tabla7[[#This Row],[METROS
FISCAL]]*Tabla7[[#This Row],[PRECIO
X
METROS]]</f>
        <v>1615</v>
      </c>
    </row>
    <row r="69" spans="1:6" x14ac:dyDescent="0.25">
      <c r="A69" s="150">
        <v>668</v>
      </c>
      <c r="B69" s="151" t="s">
        <v>794</v>
      </c>
      <c r="C69" s="152">
        <v>158.43200000000002</v>
      </c>
      <c r="D69" s="152"/>
      <c r="E69" s="153">
        <v>80.75</v>
      </c>
      <c r="F69" s="154">
        <f>Tabla7[[#This Row],[METROS
FISCAL]]*Tabla7[[#This Row],[PRECIO
X
METROS]]</f>
        <v>12793.384000000002</v>
      </c>
    </row>
    <row r="70" spans="1:6" x14ac:dyDescent="0.25">
      <c r="A70" s="150">
        <v>668</v>
      </c>
      <c r="B70" s="151" t="s">
        <v>795</v>
      </c>
      <c r="C70" s="152">
        <v>13</v>
      </c>
      <c r="D70" s="152"/>
      <c r="E70" s="153">
        <v>80.75</v>
      </c>
      <c r="F70" s="154">
        <f>Tabla7[[#This Row],[METROS
FISCAL]]*Tabla7[[#This Row],[PRECIO
X
METROS]]</f>
        <v>1049.75</v>
      </c>
    </row>
    <row r="71" spans="1:6" x14ac:dyDescent="0.25">
      <c r="A71" s="150">
        <v>668</v>
      </c>
      <c r="B71" s="151" t="s">
        <v>796</v>
      </c>
      <c r="C71" s="152">
        <v>50</v>
      </c>
      <c r="D71" s="152"/>
      <c r="E71" s="153">
        <v>80.75</v>
      </c>
      <c r="F71" s="154">
        <f>Tabla7[[#This Row],[METROS
FISCAL]]*Tabla7[[#This Row],[PRECIO
X
METROS]]</f>
        <v>4037.5</v>
      </c>
    </row>
    <row r="72" spans="1:6" x14ac:dyDescent="0.25">
      <c r="A72" s="150">
        <v>668</v>
      </c>
      <c r="B72" s="151" t="s">
        <v>797</v>
      </c>
      <c r="C72" s="152">
        <v>10</v>
      </c>
      <c r="D72" s="152"/>
      <c r="E72" s="153">
        <v>80.75</v>
      </c>
      <c r="F72" s="154">
        <f>Tabla7[[#This Row],[METROS
FISCAL]]*Tabla7[[#This Row],[PRECIO
X
METROS]]</f>
        <v>807.5</v>
      </c>
    </row>
    <row r="73" spans="1:6" x14ac:dyDescent="0.25">
      <c r="A73" s="150">
        <v>668</v>
      </c>
      <c r="B73" s="151" t="s">
        <v>798</v>
      </c>
      <c r="C73" s="152">
        <v>10</v>
      </c>
      <c r="D73" s="152"/>
      <c r="E73" s="153">
        <v>80.75</v>
      </c>
      <c r="F73" s="154">
        <f>Tabla7[[#This Row],[METROS
FISCAL]]*Tabla7[[#This Row],[PRECIO
X
METROS]]</f>
        <v>807.5</v>
      </c>
    </row>
    <row r="74" spans="1:6" x14ac:dyDescent="0.25">
      <c r="A74" s="150">
        <v>668</v>
      </c>
      <c r="B74" s="151" t="s">
        <v>799</v>
      </c>
      <c r="C74" s="152">
        <v>5</v>
      </c>
      <c r="D74" s="152"/>
      <c r="E74" s="153">
        <v>80.75</v>
      </c>
      <c r="F74" s="154">
        <f>Tabla7[[#This Row],[METROS
FISCAL]]*Tabla7[[#This Row],[PRECIO
X
METROS]]</f>
        <v>403.75</v>
      </c>
    </row>
    <row r="75" spans="1:6" x14ac:dyDescent="0.25">
      <c r="A75" s="150">
        <v>668</v>
      </c>
      <c r="B75" s="151" t="s">
        <v>801</v>
      </c>
      <c r="C75" s="152">
        <v>7.3151999999999999</v>
      </c>
      <c r="D75" s="152"/>
      <c r="E75" s="153">
        <v>80.75</v>
      </c>
      <c r="F75" s="154">
        <f>Tabla7[[#This Row],[METROS
FISCAL]]*Tabla7[[#This Row],[PRECIO
X
METROS]]</f>
        <v>590.70240000000001</v>
      </c>
    </row>
    <row r="76" spans="1:6" x14ac:dyDescent="0.25">
      <c r="A76" s="2">
        <v>668</v>
      </c>
      <c r="B76" s="2" t="s">
        <v>907</v>
      </c>
      <c r="C76" s="2">
        <v>37</v>
      </c>
      <c r="D76" s="2"/>
      <c r="E76" s="166">
        <v>80.75</v>
      </c>
      <c r="F76" s="154">
        <f>Tabla7[[#This Row],[METROS
FISCAL]]*Tabla7[[#This Row],[PRECIO
X
METROS]]</f>
        <v>2987.75</v>
      </c>
    </row>
    <row r="77" spans="1:6" x14ac:dyDescent="0.25">
      <c r="A77" s="150">
        <v>668</v>
      </c>
      <c r="B77" s="151" t="s">
        <v>802</v>
      </c>
      <c r="C77" s="152">
        <v>20</v>
      </c>
      <c r="D77" s="152"/>
      <c r="E77" s="153">
        <v>80.75</v>
      </c>
      <c r="F77" s="154">
        <f>Tabla7[[#This Row],[METROS
FISCAL]]*Tabla7[[#This Row],[PRECIO
X
METROS]]</f>
        <v>1615</v>
      </c>
    </row>
    <row r="78" spans="1:6" x14ac:dyDescent="0.25">
      <c r="A78" s="150">
        <v>668</v>
      </c>
      <c r="B78" s="151" t="s">
        <v>803</v>
      </c>
      <c r="C78" s="152">
        <v>48.463200000000001</v>
      </c>
      <c r="D78" s="152"/>
      <c r="E78" s="153">
        <v>80.75</v>
      </c>
      <c r="F78" s="154">
        <f>Tabla7[[#This Row],[METROS
FISCAL]]*Tabla7[[#This Row],[PRECIO
X
METROS]]</f>
        <v>3913.4034000000001</v>
      </c>
    </row>
    <row r="79" spans="1:6" x14ac:dyDescent="0.25">
      <c r="A79" s="150">
        <v>668</v>
      </c>
      <c r="B79" s="151" t="s">
        <v>804</v>
      </c>
      <c r="C79" s="152">
        <v>20</v>
      </c>
      <c r="D79" s="152"/>
      <c r="E79" s="153">
        <v>80.75</v>
      </c>
      <c r="F79" s="154">
        <f>Tabla7[[#This Row],[METROS
FISCAL]]*Tabla7[[#This Row],[PRECIO
X
METROS]]</f>
        <v>1615</v>
      </c>
    </row>
    <row r="80" spans="1:6" x14ac:dyDescent="0.25">
      <c r="A80" s="150">
        <v>668</v>
      </c>
      <c r="B80" s="151" t="s">
        <v>805</v>
      </c>
      <c r="C80" s="152">
        <v>35</v>
      </c>
      <c r="D80" s="152"/>
      <c r="E80" s="153">
        <v>80.75</v>
      </c>
      <c r="F80" s="154">
        <f>Tabla7[[#This Row],[METROS
FISCAL]]*Tabla7[[#This Row],[PRECIO
X
METROS]]</f>
        <v>2826.25</v>
      </c>
    </row>
    <row r="81" spans="1:6" x14ac:dyDescent="0.25">
      <c r="A81" s="2">
        <v>668</v>
      </c>
      <c r="B81" s="2" t="s">
        <v>908</v>
      </c>
      <c r="C81" s="2">
        <v>20</v>
      </c>
      <c r="D81" s="2"/>
      <c r="E81" s="166">
        <v>80.75</v>
      </c>
      <c r="F81" s="154">
        <f>Tabla7[[#This Row],[METROS
FISCAL]]*Tabla7[[#This Row],[PRECIO
X
METROS]]</f>
        <v>1615</v>
      </c>
    </row>
    <row r="82" spans="1:6" x14ac:dyDescent="0.25">
      <c r="A82" s="150">
        <v>668</v>
      </c>
      <c r="B82" s="151" t="s">
        <v>806</v>
      </c>
      <c r="C82" s="152">
        <v>44.7</v>
      </c>
      <c r="D82" s="152"/>
      <c r="E82" s="153">
        <v>80.75</v>
      </c>
      <c r="F82" s="154">
        <f>Tabla7[[#This Row],[METROS
FISCAL]]*Tabla7[[#This Row],[PRECIO
X
METROS]]</f>
        <v>3609.5250000000001</v>
      </c>
    </row>
    <row r="83" spans="1:6" x14ac:dyDescent="0.25">
      <c r="A83" s="150">
        <v>668</v>
      </c>
      <c r="B83" s="151" t="s">
        <v>807</v>
      </c>
      <c r="C83" s="152">
        <v>17</v>
      </c>
      <c r="D83" s="152"/>
      <c r="E83" s="153">
        <v>80.75</v>
      </c>
      <c r="F83" s="154">
        <f>Tabla7[[#This Row],[METROS
FISCAL]]*Tabla7[[#This Row],[PRECIO
X
METROS]]</f>
        <v>1372.75</v>
      </c>
    </row>
    <row r="84" spans="1:6" ht="30" x14ac:dyDescent="0.25">
      <c r="A84" s="150">
        <v>668</v>
      </c>
      <c r="B84" s="151" t="s">
        <v>808</v>
      </c>
      <c r="C84" s="152">
        <v>182</v>
      </c>
      <c r="D84" s="152"/>
      <c r="E84" s="153">
        <v>63.06</v>
      </c>
      <c r="F84" s="154">
        <f>Tabla7[[#This Row],[METROS
FISCAL]]*Tabla7[[#This Row],[PRECIO
X
METROS]]</f>
        <v>11476.92</v>
      </c>
    </row>
    <row r="85" spans="1:6" ht="30" x14ac:dyDescent="0.25">
      <c r="A85" s="150">
        <v>668</v>
      </c>
      <c r="B85" s="151" t="s">
        <v>809</v>
      </c>
      <c r="C85" s="152">
        <v>552</v>
      </c>
      <c r="D85" s="152"/>
      <c r="E85" s="153">
        <v>60</v>
      </c>
      <c r="F85" s="154">
        <f>Tabla7[[#This Row],[METROS
FISCAL]]*Tabla7[[#This Row],[PRECIO
X
METROS]]</f>
        <v>33120</v>
      </c>
    </row>
    <row r="86" spans="1:6" x14ac:dyDescent="0.25">
      <c r="A86" s="150">
        <v>668</v>
      </c>
      <c r="B86" s="151" t="s">
        <v>757</v>
      </c>
      <c r="C86" s="152">
        <v>845.8</v>
      </c>
      <c r="D86" s="152"/>
      <c r="E86" s="153">
        <v>80.75</v>
      </c>
      <c r="F86" s="154">
        <f>Tabla7[[#This Row],[METROS
FISCAL]]*Tabla7[[#This Row],[PRECIO
X
METROS]]</f>
        <v>68298.349999999991</v>
      </c>
    </row>
    <row r="87" spans="1:6" x14ac:dyDescent="0.25">
      <c r="A87" s="150">
        <v>668</v>
      </c>
      <c r="B87" s="151" t="s">
        <v>810</v>
      </c>
      <c r="C87" s="152">
        <v>5</v>
      </c>
      <c r="D87" s="152"/>
      <c r="E87" s="153">
        <v>80.75</v>
      </c>
      <c r="F87" s="154">
        <f>Tabla7[[#This Row],[METROS
FISCAL]]*Tabla7[[#This Row],[PRECIO
X
METROS]]</f>
        <v>403.75</v>
      </c>
    </row>
    <row r="88" spans="1:6" x14ac:dyDescent="0.25">
      <c r="A88" s="150">
        <v>668</v>
      </c>
      <c r="B88" s="151" t="s">
        <v>811</v>
      </c>
      <c r="C88" s="152">
        <v>10</v>
      </c>
      <c r="D88" s="152"/>
      <c r="E88" s="153">
        <v>80.75</v>
      </c>
      <c r="F88" s="154">
        <f>Tabla7[[#This Row],[METROS
FISCAL]]*Tabla7[[#This Row],[PRECIO
X
METROS]]</f>
        <v>807.5</v>
      </c>
    </row>
    <row r="89" spans="1:6" x14ac:dyDescent="0.25">
      <c r="A89" s="150">
        <v>1000</v>
      </c>
      <c r="B89" s="151" t="s">
        <v>813</v>
      </c>
      <c r="C89" s="152">
        <v>95</v>
      </c>
      <c r="D89" s="152"/>
      <c r="E89" s="153">
        <v>110.1476</v>
      </c>
      <c r="F89" s="154">
        <f>Tabla7[[#This Row],[METROS
FISCAL]]*Tabla7[[#This Row],[PRECIO
X
METROS]]</f>
        <v>10464.021999999999</v>
      </c>
    </row>
    <row r="90" spans="1:6" x14ac:dyDescent="0.25">
      <c r="A90" s="150" t="s">
        <v>814</v>
      </c>
      <c r="B90" s="151" t="s">
        <v>815</v>
      </c>
      <c r="C90" s="152">
        <v>28</v>
      </c>
      <c r="D90" s="152"/>
      <c r="E90" s="153">
        <v>80.75</v>
      </c>
      <c r="F90" s="154">
        <f>Tabla7[[#This Row],[METROS
FISCAL]]*Tabla7[[#This Row],[PRECIO
X
METROS]]</f>
        <v>2261</v>
      </c>
    </row>
    <row r="91" spans="1:6" x14ac:dyDescent="0.25">
      <c r="A91" s="150" t="s">
        <v>814</v>
      </c>
      <c r="B91" s="151" t="s">
        <v>816</v>
      </c>
      <c r="C91" s="152">
        <v>449.72480000000002</v>
      </c>
      <c r="D91" s="152"/>
      <c r="E91" s="184"/>
      <c r="F91" s="154">
        <f>Tabla7[[#This Row],[METROS
FISCAL]]*Tabla7[[#This Row],[PRECIO
X
METROS]]</f>
        <v>0</v>
      </c>
    </row>
    <row r="92" spans="1:6" x14ac:dyDescent="0.25">
      <c r="A92" s="150" t="s">
        <v>814</v>
      </c>
      <c r="B92" s="151" t="s">
        <v>817</v>
      </c>
      <c r="C92" s="152">
        <v>80</v>
      </c>
      <c r="D92" s="152"/>
      <c r="E92" s="153">
        <v>80.75</v>
      </c>
      <c r="F92" s="154">
        <f>Tabla7[[#This Row],[METROS
FISCAL]]*Tabla7[[#This Row],[PRECIO
X
METROS]]</f>
        <v>6460</v>
      </c>
    </row>
    <row r="93" spans="1:6" x14ac:dyDescent="0.25">
      <c r="A93" s="150" t="s">
        <v>814</v>
      </c>
      <c r="B93" s="151" t="s">
        <v>818</v>
      </c>
      <c r="C93" s="152">
        <v>30</v>
      </c>
      <c r="D93" s="152"/>
      <c r="E93" s="153">
        <v>80.75</v>
      </c>
      <c r="F93" s="154">
        <f>Tabla7[[#This Row],[METROS
FISCAL]]*Tabla7[[#This Row],[PRECIO
X
METROS]]</f>
        <v>2422.5</v>
      </c>
    </row>
    <row r="94" spans="1:6" x14ac:dyDescent="0.25">
      <c r="A94" s="150" t="s">
        <v>814</v>
      </c>
      <c r="B94" s="151" t="s">
        <v>819</v>
      </c>
      <c r="C94" s="152">
        <v>162</v>
      </c>
      <c r="D94" s="152"/>
      <c r="E94" s="184"/>
      <c r="F94" s="154">
        <f>Tabla7[[#This Row],[METROS
FISCAL]]*Tabla7[[#This Row],[PRECIO
X
METROS]]</f>
        <v>0</v>
      </c>
    </row>
    <row r="95" spans="1:6" ht="30" x14ac:dyDescent="0.25">
      <c r="A95" s="150" t="s">
        <v>814</v>
      </c>
      <c r="B95" s="151" t="s">
        <v>820</v>
      </c>
      <c r="C95" s="152">
        <v>1045.5</v>
      </c>
      <c r="D95" s="152"/>
      <c r="E95" s="153">
        <v>52.535600000000002</v>
      </c>
      <c r="F95" s="154">
        <f>Tabla7[[#This Row],[METROS
FISCAL]]*Tabla7[[#This Row],[PRECIO
X
METROS]]</f>
        <v>54925.969799999999</v>
      </c>
    </row>
    <row r="96" spans="1:6" ht="30" x14ac:dyDescent="0.25">
      <c r="A96" s="150" t="s">
        <v>814</v>
      </c>
      <c r="B96" s="151" t="s">
        <v>821</v>
      </c>
      <c r="C96" s="152">
        <v>279</v>
      </c>
      <c r="D96" s="152"/>
      <c r="E96" s="184"/>
      <c r="F96" s="154">
        <f>Tabla7[[#This Row],[METROS
FISCAL]]*Tabla7[[#This Row],[PRECIO
X
METROS]]</f>
        <v>0</v>
      </c>
    </row>
    <row r="97" spans="1:7" x14ac:dyDescent="0.25">
      <c r="A97" s="150" t="s">
        <v>814</v>
      </c>
      <c r="B97" s="151" t="s">
        <v>822</v>
      </c>
      <c r="C97" s="152">
        <v>163.24160000000001</v>
      </c>
      <c r="D97" s="152"/>
      <c r="E97" s="184"/>
      <c r="F97" s="154">
        <f>Tabla7[[#This Row],[METROS
FISCAL]]*Tabla7[[#This Row],[PRECIO
X
METROS]]</f>
        <v>0</v>
      </c>
    </row>
    <row r="98" spans="1:7" x14ac:dyDescent="0.25">
      <c r="A98" s="150" t="s">
        <v>814</v>
      </c>
      <c r="B98" s="151" t="s">
        <v>823</v>
      </c>
      <c r="C98" s="152">
        <v>222.452</v>
      </c>
      <c r="D98" s="152"/>
      <c r="E98" s="184"/>
      <c r="F98" s="154">
        <f>Tabla7[[#This Row],[METROS
FISCAL]]*Tabla7[[#This Row],[PRECIO
X
METROS]]</f>
        <v>0</v>
      </c>
    </row>
    <row r="99" spans="1:7" x14ac:dyDescent="0.25">
      <c r="A99" s="150" t="s">
        <v>814</v>
      </c>
      <c r="B99" s="151" t="s">
        <v>824</v>
      </c>
      <c r="C99" s="152">
        <v>922</v>
      </c>
      <c r="D99" s="152"/>
      <c r="E99" s="184"/>
      <c r="F99" s="154">
        <f>Tabla7[[#This Row],[METROS
FISCAL]]*Tabla7[[#This Row],[PRECIO
X
METROS]]</f>
        <v>0</v>
      </c>
    </row>
    <row r="100" spans="1:7" ht="30" x14ac:dyDescent="0.25">
      <c r="A100" s="150" t="s">
        <v>814</v>
      </c>
      <c r="B100" s="151" t="s">
        <v>825</v>
      </c>
      <c r="C100" s="152">
        <v>43.8</v>
      </c>
      <c r="D100" s="152"/>
      <c r="E100" s="153">
        <v>110.89</v>
      </c>
      <c r="F100" s="154">
        <f>Tabla7[[#This Row],[METROS
FISCAL]]*Tabla7[[#This Row],[PRECIO
X
METROS]]</f>
        <v>4856.982</v>
      </c>
    </row>
    <row r="101" spans="1:7" ht="30" x14ac:dyDescent="0.25">
      <c r="A101" s="150" t="s">
        <v>814</v>
      </c>
      <c r="B101" s="151" t="s">
        <v>826</v>
      </c>
      <c r="C101" s="152">
        <v>84</v>
      </c>
      <c r="D101" s="152"/>
      <c r="E101" s="153">
        <v>42.83</v>
      </c>
      <c r="F101" s="154">
        <f>Tabla7[[#This Row],[METROS
FISCAL]]*Tabla7[[#This Row],[PRECIO
X
METROS]]</f>
        <v>3597.72</v>
      </c>
      <c r="G101" s="186">
        <v>42402</v>
      </c>
    </row>
    <row r="102" spans="1:7" x14ac:dyDescent="0.25">
      <c r="A102" s="150" t="s">
        <v>814</v>
      </c>
      <c r="B102" s="151" t="s">
        <v>827</v>
      </c>
      <c r="C102" s="152">
        <v>797</v>
      </c>
      <c r="D102" s="152"/>
      <c r="E102" s="184"/>
      <c r="F102" s="154">
        <f>Tabla7[[#This Row],[METROS
FISCAL]]*Tabla7[[#This Row],[PRECIO
X
METROS]]</f>
        <v>0</v>
      </c>
    </row>
    <row r="103" spans="1:7" x14ac:dyDescent="0.25">
      <c r="A103" s="150" t="s">
        <v>814</v>
      </c>
      <c r="B103" s="151" t="s">
        <v>828</v>
      </c>
      <c r="C103" s="152">
        <v>1080</v>
      </c>
      <c r="D103" s="152"/>
      <c r="E103" s="184"/>
      <c r="F103" s="154">
        <f>Tabla7[[#This Row],[METROS
FISCAL]]*Tabla7[[#This Row],[PRECIO
X
METROS]]</f>
        <v>0</v>
      </c>
    </row>
    <row r="104" spans="1:7" x14ac:dyDescent="0.25">
      <c r="A104" s="150" t="s">
        <v>814</v>
      </c>
      <c r="B104" s="151" t="s">
        <v>829</v>
      </c>
      <c r="C104" s="152">
        <v>1559.4</v>
      </c>
      <c r="D104" s="152"/>
      <c r="E104" s="184"/>
      <c r="F104" s="154">
        <f>Tabla7[[#This Row],[METROS
FISCAL]]*Tabla7[[#This Row],[PRECIO
X
METROS]]</f>
        <v>0</v>
      </c>
    </row>
    <row r="105" spans="1:7" x14ac:dyDescent="0.25">
      <c r="A105" s="150" t="s">
        <v>830</v>
      </c>
      <c r="B105" s="151" t="s">
        <v>831</v>
      </c>
      <c r="C105" s="152">
        <v>20</v>
      </c>
      <c r="D105" s="152"/>
      <c r="E105" s="153">
        <v>80.75</v>
      </c>
      <c r="F105" s="154">
        <f>Tabla7[[#This Row],[METROS
FISCAL]]*Tabla7[[#This Row],[PRECIO
X
METROS]]</f>
        <v>1615</v>
      </c>
    </row>
    <row r="106" spans="1:7" x14ac:dyDescent="0.25">
      <c r="A106" s="150" t="s">
        <v>830</v>
      </c>
      <c r="B106" s="151" t="s">
        <v>832</v>
      </c>
      <c r="C106" s="152">
        <v>10</v>
      </c>
      <c r="D106" s="152"/>
      <c r="E106" s="153">
        <v>80.75</v>
      </c>
      <c r="F106" s="154">
        <f>Tabla7[[#This Row],[METROS
FISCAL]]*Tabla7[[#This Row],[PRECIO
X
METROS]]</f>
        <v>807.5</v>
      </c>
    </row>
    <row r="107" spans="1:7" x14ac:dyDescent="0.25">
      <c r="A107" s="150" t="s">
        <v>830</v>
      </c>
      <c r="B107" s="151" t="s">
        <v>833</v>
      </c>
      <c r="C107" s="152">
        <v>225.56</v>
      </c>
      <c r="D107" s="152"/>
      <c r="E107" s="153">
        <v>80.75</v>
      </c>
      <c r="F107" s="154">
        <f>Tabla7[[#This Row],[METROS
FISCAL]]*Tabla7[[#This Row],[PRECIO
X
METROS]]</f>
        <v>18213.97</v>
      </c>
    </row>
    <row r="108" spans="1:7" x14ac:dyDescent="0.25">
      <c r="A108" s="150" t="s">
        <v>830</v>
      </c>
      <c r="B108" s="151" t="s">
        <v>834</v>
      </c>
      <c r="C108" s="152">
        <v>45</v>
      </c>
      <c r="D108" s="152"/>
      <c r="E108" s="153">
        <v>80.75</v>
      </c>
      <c r="F108" s="154">
        <f>Tabla7[[#This Row],[METROS
FISCAL]]*Tabla7[[#This Row],[PRECIO
X
METROS]]</f>
        <v>3633.75</v>
      </c>
    </row>
    <row r="109" spans="1:7" x14ac:dyDescent="0.25">
      <c r="A109" s="150" t="s">
        <v>830</v>
      </c>
      <c r="B109" s="151" t="s">
        <v>835</v>
      </c>
      <c r="C109" s="152">
        <v>195.15600000000001</v>
      </c>
      <c r="D109" s="152"/>
      <c r="E109" s="153">
        <v>80.75</v>
      </c>
      <c r="F109" s="154">
        <f>Tabla7[[#This Row],[METROS
FISCAL]]*Tabla7[[#This Row],[PRECIO
X
METROS]]</f>
        <v>15758.847</v>
      </c>
    </row>
    <row r="110" spans="1:7" x14ac:dyDescent="0.25">
      <c r="A110" s="150" t="s">
        <v>836</v>
      </c>
      <c r="B110" s="155" t="s">
        <v>510</v>
      </c>
      <c r="C110" s="158">
        <v>770</v>
      </c>
      <c r="D110" s="158">
        <v>770</v>
      </c>
      <c r="E110" s="157">
        <v>154.81</v>
      </c>
      <c r="F110" s="154">
        <f>Tabla7[[#This Row],[METROS
FISCAL]]*Tabla7[[#This Row],[PRECIO
X
METROS]]</f>
        <v>119203.7</v>
      </c>
      <c r="G110" t="s">
        <v>969</v>
      </c>
    </row>
    <row r="111" spans="1:7" x14ac:dyDescent="0.25">
      <c r="A111" s="150" t="s">
        <v>836</v>
      </c>
      <c r="B111" s="155" t="s">
        <v>508</v>
      </c>
      <c r="C111" s="158">
        <v>124</v>
      </c>
      <c r="D111" s="158">
        <v>124</v>
      </c>
      <c r="E111" s="157">
        <v>154.81</v>
      </c>
      <c r="F111" s="154">
        <f>Tabla7[[#This Row],[METROS
FISCAL]]*Tabla7[[#This Row],[PRECIO
X
METROS]]</f>
        <v>19196.439999999999</v>
      </c>
      <c r="G111" t="s">
        <v>969</v>
      </c>
    </row>
    <row r="112" spans="1:7" x14ac:dyDescent="0.25">
      <c r="A112" s="150" t="s">
        <v>836</v>
      </c>
      <c r="B112" s="155" t="s">
        <v>504</v>
      </c>
      <c r="C112" s="158">
        <v>4917</v>
      </c>
      <c r="D112" s="158">
        <v>4917</v>
      </c>
      <c r="E112" s="157">
        <v>137.05000000000001</v>
      </c>
      <c r="F112" s="154">
        <f>Tabla7[[#This Row],[METROS
FISCAL]]*Tabla7[[#This Row],[PRECIO
X
METROS]]</f>
        <v>673874.85000000009</v>
      </c>
      <c r="G112" t="s">
        <v>969</v>
      </c>
    </row>
    <row r="113" spans="1:7" x14ac:dyDescent="0.25">
      <c r="A113" s="150" t="s">
        <v>836</v>
      </c>
      <c r="B113" s="155" t="s">
        <v>513</v>
      </c>
      <c r="C113" s="158">
        <v>509</v>
      </c>
      <c r="D113" s="158">
        <v>509</v>
      </c>
      <c r="E113" s="157">
        <v>154.81</v>
      </c>
      <c r="F113" s="154">
        <f>Tabla7[[#This Row],[METROS
FISCAL]]*Tabla7[[#This Row],[PRECIO
X
METROS]]</f>
        <v>78798.290000000008</v>
      </c>
      <c r="G113" t="s">
        <v>969</v>
      </c>
    </row>
    <row r="114" spans="1:7" x14ac:dyDescent="0.25">
      <c r="A114" s="150" t="s">
        <v>836</v>
      </c>
      <c r="B114" s="155" t="s">
        <v>507</v>
      </c>
      <c r="C114" s="158">
        <v>91</v>
      </c>
      <c r="D114" s="158">
        <v>91</v>
      </c>
      <c r="E114" s="157">
        <v>154.81</v>
      </c>
      <c r="F114" s="154">
        <f>Tabla7[[#This Row],[METROS
FISCAL]]*Tabla7[[#This Row],[PRECIO
X
METROS]]</f>
        <v>14087.710000000001</v>
      </c>
    </row>
    <row r="115" spans="1:7" x14ac:dyDescent="0.25">
      <c r="A115" s="150" t="s">
        <v>836</v>
      </c>
      <c r="B115" s="155" t="s">
        <v>506</v>
      </c>
      <c r="C115" s="158">
        <v>198</v>
      </c>
      <c r="D115" s="158">
        <v>198</v>
      </c>
      <c r="E115" s="157">
        <v>154.81</v>
      </c>
      <c r="F115" s="154">
        <f>Tabla7[[#This Row],[METROS
FISCAL]]*Tabla7[[#This Row],[PRECIO
X
METROS]]</f>
        <v>30652.38</v>
      </c>
    </row>
    <row r="116" spans="1:7" x14ac:dyDescent="0.25">
      <c r="A116" s="150" t="s">
        <v>836</v>
      </c>
      <c r="B116" s="155" t="s">
        <v>512</v>
      </c>
      <c r="C116" s="158">
        <v>456</v>
      </c>
      <c r="D116" s="158">
        <v>456</v>
      </c>
      <c r="E116" s="157">
        <v>154.81</v>
      </c>
      <c r="F116" s="154">
        <f>Tabla7[[#This Row],[METROS
FISCAL]]*Tabla7[[#This Row],[PRECIO
X
METROS]]</f>
        <v>70593.36</v>
      </c>
      <c r="G116" t="s">
        <v>969</v>
      </c>
    </row>
    <row r="117" spans="1:7" x14ac:dyDescent="0.25">
      <c r="A117" s="150" t="s">
        <v>836</v>
      </c>
      <c r="B117" s="155" t="s">
        <v>505</v>
      </c>
      <c r="C117" s="158">
        <v>31</v>
      </c>
      <c r="D117" s="158">
        <v>31</v>
      </c>
      <c r="E117" s="157">
        <v>154.81</v>
      </c>
      <c r="F117" s="154">
        <f>Tabla7[[#This Row],[METROS
FISCAL]]*Tabla7[[#This Row],[PRECIO
X
METROS]]</f>
        <v>4799.1099999999997</v>
      </c>
    </row>
    <row r="118" spans="1:7" x14ac:dyDescent="0.25">
      <c r="A118" s="150" t="s">
        <v>836</v>
      </c>
      <c r="B118" s="155" t="s">
        <v>503</v>
      </c>
      <c r="C118" s="158">
        <v>578</v>
      </c>
      <c r="D118" s="158">
        <v>578</v>
      </c>
      <c r="E118" s="157">
        <v>154.81</v>
      </c>
      <c r="F118" s="154">
        <f>Tabla7[[#This Row],[METROS
FISCAL]]*Tabla7[[#This Row],[PRECIO
X
METROS]]</f>
        <v>89480.180000000008</v>
      </c>
      <c r="G118" t="s">
        <v>969</v>
      </c>
    </row>
    <row r="119" spans="1:7" x14ac:dyDescent="0.25">
      <c r="A119" s="150" t="s">
        <v>836</v>
      </c>
      <c r="B119" s="155" t="s">
        <v>511</v>
      </c>
      <c r="C119" s="158">
        <v>209</v>
      </c>
      <c r="D119" s="158">
        <v>209</v>
      </c>
      <c r="E119" s="157">
        <v>154.81</v>
      </c>
      <c r="F119" s="154">
        <f>Tabla7[[#This Row],[METROS
FISCAL]]*Tabla7[[#This Row],[PRECIO
X
METROS]]</f>
        <v>32355.29</v>
      </c>
    </row>
    <row r="120" spans="1:7" x14ac:dyDescent="0.25">
      <c r="A120" s="150" t="s">
        <v>836</v>
      </c>
      <c r="B120" s="155" t="s">
        <v>509</v>
      </c>
      <c r="C120" s="158">
        <v>504</v>
      </c>
      <c r="D120" s="158">
        <v>504</v>
      </c>
      <c r="E120" s="157">
        <v>154.81</v>
      </c>
      <c r="F120" s="154">
        <f>Tabla7[[#This Row],[METROS
FISCAL]]*Tabla7[[#This Row],[PRECIO
X
METROS]]</f>
        <v>78024.240000000005</v>
      </c>
    </row>
    <row r="121" spans="1:7" x14ac:dyDescent="0.25">
      <c r="A121" s="150" t="s">
        <v>837</v>
      </c>
      <c r="B121" s="155" t="s">
        <v>518</v>
      </c>
      <c r="C121" s="158">
        <v>497</v>
      </c>
      <c r="D121" s="158">
        <v>497</v>
      </c>
      <c r="E121" s="157">
        <v>70.91</v>
      </c>
      <c r="F121" s="154">
        <f>Tabla7[[#This Row],[METROS
FISCAL]]*Tabla7[[#This Row],[PRECIO
X
METROS]]</f>
        <v>35242.269999999997</v>
      </c>
    </row>
    <row r="122" spans="1:7" x14ac:dyDescent="0.25">
      <c r="A122" s="150" t="s">
        <v>837</v>
      </c>
      <c r="B122" s="155" t="s">
        <v>516</v>
      </c>
      <c r="C122" s="158">
        <v>90</v>
      </c>
      <c r="D122" s="158">
        <v>90</v>
      </c>
      <c r="E122" s="157">
        <v>70.91</v>
      </c>
      <c r="F122" s="154">
        <f>Tabla7[[#This Row],[METROS
FISCAL]]*Tabla7[[#This Row],[PRECIO
X
METROS]]</f>
        <v>6381.9</v>
      </c>
    </row>
    <row r="123" spans="1:7" x14ac:dyDescent="0.25">
      <c r="A123" s="150" t="s">
        <v>837</v>
      </c>
      <c r="B123" s="155" t="s">
        <v>514</v>
      </c>
      <c r="C123" s="158">
        <v>5068</v>
      </c>
      <c r="D123" s="158">
        <v>5068</v>
      </c>
      <c r="E123" s="157">
        <v>60.26</v>
      </c>
      <c r="F123" s="154">
        <f>Tabla7[[#This Row],[METROS
FISCAL]]*Tabla7[[#This Row],[PRECIO
X
METROS]]</f>
        <v>305397.68</v>
      </c>
    </row>
    <row r="124" spans="1:7" x14ac:dyDescent="0.25">
      <c r="A124" s="150" t="s">
        <v>837</v>
      </c>
      <c r="B124" s="155" t="s">
        <v>515</v>
      </c>
      <c r="C124" s="158">
        <v>76</v>
      </c>
      <c r="D124" s="158">
        <v>76</v>
      </c>
      <c r="E124" s="157">
        <v>70.91</v>
      </c>
      <c r="F124" s="154">
        <f>Tabla7[[#This Row],[METROS
FISCAL]]*Tabla7[[#This Row],[PRECIO
X
METROS]]</f>
        <v>5389.16</v>
      </c>
    </row>
    <row r="125" spans="1:7" x14ac:dyDescent="0.25">
      <c r="A125" s="150" t="s">
        <v>837</v>
      </c>
      <c r="B125" s="155" t="s">
        <v>520</v>
      </c>
      <c r="C125" s="158">
        <v>294</v>
      </c>
      <c r="D125" s="158">
        <v>294</v>
      </c>
      <c r="E125" s="157">
        <v>70.91</v>
      </c>
      <c r="F125" s="154">
        <f>Tabla7[[#This Row],[METROS
FISCAL]]*Tabla7[[#This Row],[PRECIO
X
METROS]]</f>
        <v>20847.539999999997</v>
      </c>
    </row>
    <row r="126" spans="1:7" x14ac:dyDescent="0.25">
      <c r="A126" s="150" t="s">
        <v>837</v>
      </c>
      <c r="B126" s="155" t="s">
        <v>519</v>
      </c>
      <c r="C126" s="158">
        <v>138</v>
      </c>
      <c r="D126" s="158">
        <v>138</v>
      </c>
      <c r="E126" s="157">
        <v>70.91</v>
      </c>
      <c r="F126" s="154">
        <f>Tabla7[[#This Row],[METROS
FISCAL]]*Tabla7[[#This Row],[PRECIO
X
METROS]]</f>
        <v>9785.58</v>
      </c>
    </row>
    <row r="127" spans="1:7" x14ac:dyDescent="0.25">
      <c r="A127" s="150" t="s">
        <v>837</v>
      </c>
      <c r="B127" s="155" t="s">
        <v>517</v>
      </c>
      <c r="C127" s="158">
        <v>287</v>
      </c>
      <c r="D127" s="158">
        <v>287</v>
      </c>
      <c r="E127" s="157">
        <v>70.91</v>
      </c>
      <c r="F127" s="154">
        <f>Tabla7[[#This Row],[METROS
FISCAL]]*Tabla7[[#This Row],[PRECIO
X
METROS]]</f>
        <v>20351.169999999998</v>
      </c>
    </row>
    <row r="128" spans="1:7" x14ac:dyDescent="0.25">
      <c r="A128" s="150" t="s">
        <v>838</v>
      </c>
      <c r="B128" s="155" t="s">
        <v>528</v>
      </c>
      <c r="C128" s="158">
        <v>484</v>
      </c>
      <c r="D128" s="158">
        <v>484</v>
      </c>
      <c r="E128" s="157">
        <v>14.95</v>
      </c>
      <c r="F128" s="154">
        <f>Tabla7[[#This Row],[METROS
FISCAL]]*Tabla7[[#This Row],[PRECIO
X
METROS]]</f>
        <v>7235.7999999999993</v>
      </c>
    </row>
    <row r="129" spans="1:7" x14ac:dyDescent="0.25">
      <c r="A129" s="150" t="s">
        <v>838</v>
      </c>
      <c r="B129" s="155" t="s">
        <v>526</v>
      </c>
      <c r="C129" s="158">
        <v>75</v>
      </c>
      <c r="D129" s="158">
        <v>75</v>
      </c>
      <c r="E129" s="157">
        <v>14.95</v>
      </c>
      <c r="F129" s="154">
        <f>Tabla7[[#This Row],[METROS
FISCAL]]*Tabla7[[#This Row],[PRECIO
X
METROS]]</f>
        <v>1121.25</v>
      </c>
    </row>
    <row r="130" spans="1:7" x14ac:dyDescent="0.25">
      <c r="A130" s="150" t="s">
        <v>838</v>
      </c>
      <c r="B130" s="155" t="s">
        <v>521</v>
      </c>
      <c r="C130" s="158">
        <v>6816</v>
      </c>
      <c r="D130" s="158">
        <v>6816</v>
      </c>
      <c r="E130" s="157">
        <v>11.32</v>
      </c>
      <c r="F130" s="154">
        <f>Tabla7[[#This Row],[METROS
FISCAL]]*Tabla7[[#This Row],[PRECIO
X
METROS]]</f>
        <v>77157.119999999995</v>
      </c>
    </row>
    <row r="131" spans="1:7" x14ac:dyDescent="0.25">
      <c r="A131" s="150" t="s">
        <v>838</v>
      </c>
      <c r="B131" s="155" t="s">
        <v>525</v>
      </c>
      <c r="C131" s="158">
        <v>43</v>
      </c>
      <c r="D131" s="158">
        <v>43</v>
      </c>
      <c r="E131" s="157">
        <v>14.95</v>
      </c>
      <c r="F131" s="154">
        <f>Tabla7[[#This Row],[METROS
FISCAL]]*Tabla7[[#This Row],[PRECIO
X
METROS]]</f>
        <v>642.85</v>
      </c>
    </row>
    <row r="132" spans="1:7" x14ac:dyDescent="0.25">
      <c r="A132" s="150" t="s">
        <v>838</v>
      </c>
      <c r="B132" s="155" t="s">
        <v>524</v>
      </c>
      <c r="C132" s="158">
        <v>100</v>
      </c>
      <c r="D132" s="158">
        <v>100</v>
      </c>
      <c r="E132" s="157">
        <v>14.95</v>
      </c>
      <c r="F132" s="154">
        <f>Tabla7[[#This Row],[METROS
FISCAL]]*Tabla7[[#This Row],[PRECIO
X
METROS]]</f>
        <v>1495</v>
      </c>
    </row>
    <row r="133" spans="1:7" x14ac:dyDescent="0.25">
      <c r="A133" s="150" t="s">
        <v>838</v>
      </c>
      <c r="B133" s="155" t="s">
        <v>530</v>
      </c>
      <c r="C133" s="158">
        <v>274</v>
      </c>
      <c r="D133" s="158">
        <v>274</v>
      </c>
      <c r="E133" s="157">
        <v>14.95</v>
      </c>
      <c r="F133" s="154">
        <f>Tabla7[[#This Row],[METROS
FISCAL]]*Tabla7[[#This Row],[PRECIO
X
METROS]]</f>
        <v>4096.3</v>
      </c>
    </row>
    <row r="134" spans="1:7" x14ac:dyDescent="0.25">
      <c r="A134" s="150" t="s">
        <v>838</v>
      </c>
      <c r="B134" s="155" t="s">
        <v>523</v>
      </c>
      <c r="C134" s="158">
        <v>957</v>
      </c>
      <c r="D134" s="158">
        <v>957</v>
      </c>
      <c r="E134" s="157">
        <v>14.95</v>
      </c>
      <c r="F134" s="154">
        <f>Tabla7[[#This Row],[METROS
FISCAL]]*Tabla7[[#This Row],[PRECIO
X
METROS]]</f>
        <v>14307.15</v>
      </c>
    </row>
    <row r="135" spans="1:7" x14ac:dyDescent="0.25">
      <c r="A135" s="150" t="s">
        <v>838</v>
      </c>
      <c r="B135" s="155" t="s">
        <v>522</v>
      </c>
      <c r="C135" s="158">
        <v>798</v>
      </c>
      <c r="D135" s="158">
        <v>798</v>
      </c>
      <c r="E135" s="157">
        <v>14.95</v>
      </c>
      <c r="F135" s="154">
        <f>Tabla7[[#This Row],[METROS
FISCAL]]*Tabla7[[#This Row],[PRECIO
X
METROS]]</f>
        <v>11930.099999999999</v>
      </c>
    </row>
    <row r="136" spans="1:7" x14ac:dyDescent="0.25">
      <c r="A136" s="150" t="s">
        <v>838</v>
      </c>
      <c r="B136" s="155" t="s">
        <v>529</v>
      </c>
      <c r="C136" s="158">
        <v>135</v>
      </c>
      <c r="D136" s="158">
        <v>135</v>
      </c>
      <c r="E136" s="157">
        <v>14.95</v>
      </c>
      <c r="F136" s="154">
        <f>Tabla7[[#This Row],[METROS
FISCAL]]*Tabla7[[#This Row],[PRECIO
X
METROS]]</f>
        <v>2018.25</v>
      </c>
    </row>
    <row r="137" spans="1:7" x14ac:dyDescent="0.25">
      <c r="A137" s="150" t="s">
        <v>838</v>
      </c>
      <c r="B137" s="155" t="s">
        <v>527</v>
      </c>
      <c r="C137" s="158">
        <v>283</v>
      </c>
      <c r="D137" s="158">
        <v>283</v>
      </c>
      <c r="E137" s="157">
        <v>14.95</v>
      </c>
      <c r="F137" s="154">
        <f>Tabla7[[#This Row],[METROS
FISCAL]]*Tabla7[[#This Row],[PRECIO
X
METROS]]</f>
        <v>4230.8499999999995</v>
      </c>
    </row>
    <row r="138" spans="1:7" ht="30" x14ac:dyDescent="0.25">
      <c r="A138" s="150" t="s">
        <v>839</v>
      </c>
      <c r="B138" s="151" t="s">
        <v>840</v>
      </c>
      <c r="C138" s="152">
        <v>988.31000000000006</v>
      </c>
      <c r="D138" s="152"/>
      <c r="E138" s="153">
        <v>118</v>
      </c>
      <c r="F138" s="154">
        <f>Tabla7[[#This Row],[METROS
FISCAL]]*Tabla7[[#This Row],[PRECIO
X
METROS]]</f>
        <v>116620.58</v>
      </c>
    </row>
    <row r="139" spans="1:7" ht="45" x14ac:dyDescent="0.25">
      <c r="A139" s="150" t="s">
        <v>839</v>
      </c>
      <c r="B139" s="151" t="s">
        <v>841</v>
      </c>
      <c r="C139" s="152">
        <v>371.6</v>
      </c>
      <c r="D139" s="152"/>
      <c r="E139" s="153">
        <v>130</v>
      </c>
      <c r="F139" s="154">
        <f>Tabla7[[#This Row],[METROS
FISCAL]]*Tabla7[[#This Row],[PRECIO
X
METROS]]</f>
        <v>48308</v>
      </c>
    </row>
    <row r="140" spans="1:7" ht="30" x14ac:dyDescent="0.25">
      <c r="A140" s="150" t="s">
        <v>839</v>
      </c>
      <c r="B140" s="151" t="s">
        <v>842</v>
      </c>
      <c r="C140" s="152">
        <v>148</v>
      </c>
      <c r="D140" s="152"/>
      <c r="E140" s="153">
        <v>125</v>
      </c>
      <c r="F140" s="154">
        <f>Tabla7[[#This Row],[METROS
FISCAL]]*Tabla7[[#This Row],[PRECIO
X
METROS]]</f>
        <v>18500</v>
      </c>
    </row>
    <row r="141" spans="1:7" ht="30" x14ac:dyDescent="0.25">
      <c r="A141" s="150" t="s">
        <v>839</v>
      </c>
      <c r="B141" s="151" t="s">
        <v>843</v>
      </c>
      <c r="C141" s="152">
        <v>106</v>
      </c>
      <c r="D141" s="152"/>
      <c r="E141" s="153">
        <v>135</v>
      </c>
      <c r="F141" s="154">
        <f>Tabla7[[#This Row],[METROS
FISCAL]]*Tabla7[[#This Row],[PRECIO
X
METROS]]</f>
        <v>14310</v>
      </c>
    </row>
    <row r="142" spans="1:7" ht="30" x14ac:dyDescent="0.25">
      <c r="A142" s="150" t="s">
        <v>839</v>
      </c>
      <c r="B142" s="151" t="s">
        <v>844</v>
      </c>
      <c r="C142" s="152">
        <v>587.9</v>
      </c>
      <c r="D142" s="152"/>
      <c r="E142" s="153">
        <v>130</v>
      </c>
      <c r="F142" s="154">
        <f>Tabla7[[#This Row],[METROS
FISCAL]]*Tabla7[[#This Row],[PRECIO
X
METROS]]</f>
        <v>76427</v>
      </c>
    </row>
    <row r="143" spans="1:7" x14ac:dyDescent="0.25">
      <c r="A143" s="150" t="s">
        <v>847</v>
      </c>
      <c r="B143" s="151" t="s">
        <v>848</v>
      </c>
      <c r="C143" s="152">
        <v>30</v>
      </c>
      <c r="D143" s="152"/>
      <c r="E143" s="184"/>
      <c r="F143" s="154">
        <f>Tabla7[[#This Row],[METROS
FISCAL]]*Tabla7[[#This Row],[PRECIO
X
METROS]]</f>
        <v>0</v>
      </c>
      <c r="G143" t="s">
        <v>932</v>
      </c>
    </row>
    <row r="144" spans="1:7" x14ac:dyDescent="0.25">
      <c r="A144" s="150" t="s">
        <v>847</v>
      </c>
      <c r="B144" s="151" t="s">
        <v>849</v>
      </c>
      <c r="C144" s="152">
        <v>10</v>
      </c>
      <c r="D144" s="152"/>
      <c r="E144" s="184"/>
      <c r="F144" s="154">
        <f>Tabla7[[#This Row],[METROS
FISCAL]]*Tabla7[[#This Row],[PRECIO
X
METROS]]</f>
        <v>0</v>
      </c>
      <c r="G144" t="s">
        <v>932</v>
      </c>
    </row>
    <row r="145" spans="1:7" x14ac:dyDescent="0.25">
      <c r="A145" s="150" t="s">
        <v>847</v>
      </c>
      <c r="B145" s="151" t="s">
        <v>850</v>
      </c>
      <c r="C145" s="152">
        <v>15</v>
      </c>
      <c r="D145" s="152"/>
      <c r="E145" s="184"/>
      <c r="F145" s="154">
        <f>Tabla7[[#This Row],[METROS
FISCAL]]*Tabla7[[#This Row],[PRECIO
X
METROS]]</f>
        <v>0</v>
      </c>
      <c r="G145" t="s">
        <v>932</v>
      </c>
    </row>
    <row r="146" spans="1:7" x14ac:dyDescent="0.25">
      <c r="A146" s="2" t="s">
        <v>847</v>
      </c>
      <c r="B146" s="17" t="s">
        <v>913</v>
      </c>
      <c r="C146" s="2">
        <v>3</v>
      </c>
      <c r="D146" s="2"/>
      <c r="E146" s="185"/>
      <c r="F146" s="154">
        <f>Tabla7[[#This Row],[METROS
FISCAL]]*Tabla7[[#This Row],[PRECIO
X
METROS]]</f>
        <v>0</v>
      </c>
      <c r="G146" t="s">
        <v>932</v>
      </c>
    </row>
    <row r="147" spans="1:7" x14ac:dyDescent="0.25">
      <c r="A147" s="2" t="s">
        <v>847</v>
      </c>
      <c r="B147" s="17" t="s">
        <v>914</v>
      </c>
      <c r="C147" s="2">
        <v>2</v>
      </c>
      <c r="D147" s="2"/>
      <c r="E147" s="185"/>
      <c r="F147" s="154">
        <f>Tabla7[[#This Row],[METROS
FISCAL]]*Tabla7[[#This Row],[PRECIO
X
METROS]]</f>
        <v>0</v>
      </c>
      <c r="G147" t="s">
        <v>932</v>
      </c>
    </row>
    <row r="148" spans="1:7" x14ac:dyDescent="0.25">
      <c r="A148" s="2" t="s">
        <v>847</v>
      </c>
      <c r="B148" s="17" t="s">
        <v>915</v>
      </c>
      <c r="C148" s="2">
        <v>60</v>
      </c>
      <c r="D148" s="2"/>
      <c r="E148" s="185"/>
      <c r="F148" s="154">
        <f>Tabla7[[#This Row],[METROS
FISCAL]]*Tabla7[[#This Row],[PRECIO
X
METROS]]</f>
        <v>0</v>
      </c>
      <c r="G148" t="s">
        <v>932</v>
      </c>
    </row>
    <row r="149" spans="1:7" x14ac:dyDescent="0.25">
      <c r="A149" s="2" t="s">
        <v>847</v>
      </c>
      <c r="B149" s="17" t="s">
        <v>916</v>
      </c>
      <c r="C149" s="2">
        <v>42</v>
      </c>
      <c r="D149" s="2"/>
      <c r="E149" s="185"/>
      <c r="F149" s="154">
        <f>Tabla7[[#This Row],[METROS
FISCAL]]*Tabla7[[#This Row],[PRECIO
X
METROS]]</f>
        <v>0</v>
      </c>
      <c r="G149" t="s">
        <v>932</v>
      </c>
    </row>
    <row r="150" spans="1:7" x14ac:dyDescent="0.25">
      <c r="A150" s="2" t="s">
        <v>847</v>
      </c>
      <c r="B150" s="17" t="s">
        <v>917</v>
      </c>
      <c r="C150" s="2">
        <v>33</v>
      </c>
      <c r="D150" s="2"/>
      <c r="E150" s="185"/>
      <c r="F150" s="154">
        <f>Tabla7[[#This Row],[METROS
FISCAL]]*Tabla7[[#This Row],[PRECIO
X
METROS]]</f>
        <v>0</v>
      </c>
      <c r="G150" t="s">
        <v>932</v>
      </c>
    </row>
    <row r="151" spans="1:7" x14ac:dyDescent="0.25">
      <c r="A151" s="2" t="s">
        <v>847</v>
      </c>
      <c r="B151" s="17" t="s">
        <v>918</v>
      </c>
      <c r="C151" s="2">
        <v>11</v>
      </c>
      <c r="D151" s="2"/>
      <c r="E151" s="185"/>
      <c r="F151" s="154">
        <f>Tabla7[[#This Row],[METROS
FISCAL]]*Tabla7[[#This Row],[PRECIO
X
METROS]]</f>
        <v>0</v>
      </c>
      <c r="G151" t="s">
        <v>932</v>
      </c>
    </row>
    <row r="152" spans="1:7" x14ac:dyDescent="0.25">
      <c r="A152" s="2" t="s">
        <v>847</v>
      </c>
      <c r="B152" s="17" t="s">
        <v>919</v>
      </c>
      <c r="C152" s="2">
        <v>27</v>
      </c>
      <c r="D152" s="2"/>
      <c r="E152" s="185"/>
      <c r="F152" s="154">
        <f>Tabla7[[#This Row],[METROS
FISCAL]]*Tabla7[[#This Row],[PRECIO
X
METROS]]</f>
        <v>0</v>
      </c>
      <c r="G152" t="s">
        <v>932</v>
      </c>
    </row>
    <row r="153" spans="1:7" x14ac:dyDescent="0.25">
      <c r="A153" s="2" t="s">
        <v>920</v>
      </c>
      <c r="B153" s="17" t="s">
        <v>921</v>
      </c>
      <c r="C153" s="2">
        <v>12</v>
      </c>
      <c r="D153" s="2"/>
      <c r="E153" s="179">
        <v>26.29</v>
      </c>
      <c r="F153" s="154">
        <f>Tabla7[[#This Row],[METROS
FISCAL]]*Tabla7[[#This Row],[PRECIO
X
METROS]]</f>
        <v>315.48</v>
      </c>
      <c r="G153" t="s">
        <v>931</v>
      </c>
    </row>
    <row r="154" spans="1:7" x14ac:dyDescent="0.25">
      <c r="A154" s="2" t="s">
        <v>920</v>
      </c>
      <c r="B154" s="17" t="s">
        <v>922</v>
      </c>
      <c r="C154" s="2">
        <v>3</v>
      </c>
      <c r="D154" s="2"/>
      <c r="E154" s="179">
        <v>26.29</v>
      </c>
      <c r="F154" s="154">
        <f>Tabla7[[#This Row],[METROS
FISCAL]]*Tabla7[[#This Row],[PRECIO
X
METROS]]</f>
        <v>78.87</v>
      </c>
      <c r="G154" t="s">
        <v>931</v>
      </c>
    </row>
    <row r="155" spans="1:7" x14ac:dyDescent="0.25">
      <c r="A155" s="2" t="s">
        <v>920</v>
      </c>
      <c r="B155" s="17" t="s">
        <v>923</v>
      </c>
      <c r="C155" s="2">
        <v>100</v>
      </c>
      <c r="D155" s="2"/>
      <c r="E155" s="179">
        <v>26.29</v>
      </c>
      <c r="F155" s="154">
        <f>Tabla7[[#This Row],[METROS
FISCAL]]*Tabla7[[#This Row],[PRECIO
X
METROS]]</f>
        <v>2629</v>
      </c>
      <c r="G155" t="s">
        <v>931</v>
      </c>
    </row>
    <row r="156" spans="1:7" x14ac:dyDescent="0.25">
      <c r="A156" s="2" t="s">
        <v>920</v>
      </c>
      <c r="B156" s="17" t="s">
        <v>924</v>
      </c>
      <c r="C156" s="2">
        <v>100</v>
      </c>
      <c r="D156" s="2"/>
      <c r="E156" s="179">
        <v>26.29</v>
      </c>
      <c r="F156" s="154">
        <f>Tabla7[[#This Row],[METROS
FISCAL]]*Tabla7[[#This Row],[PRECIO
X
METROS]]</f>
        <v>2629</v>
      </c>
      <c r="G156" t="s">
        <v>931</v>
      </c>
    </row>
    <row r="157" spans="1:7" x14ac:dyDescent="0.25">
      <c r="A157" s="2" t="s">
        <v>920</v>
      </c>
      <c r="B157" s="17" t="s">
        <v>925</v>
      </c>
      <c r="C157" s="2">
        <v>6</v>
      </c>
      <c r="D157" s="2"/>
      <c r="E157" s="179">
        <v>26.29</v>
      </c>
      <c r="F157" s="154">
        <f>Tabla7[[#This Row],[METROS
FISCAL]]*Tabla7[[#This Row],[PRECIO
X
METROS]]</f>
        <v>157.74</v>
      </c>
      <c r="G157" t="s">
        <v>931</v>
      </c>
    </row>
    <row r="158" spans="1:7" x14ac:dyDescent="0.25">
      <c r="A158" s="2" t="s">
        <v>920</v>
      </c>
      <c r="B158" s="17" t="s">
        <v>926</v>
      </c>
      <c r="C158" s="2">
        <v>120</v>
      </c>
      <c r="D158" s="2"/>
      <c r="E158" s="179">
        <v>26.29</v>
      </c>
      <c r="F158" s="154">
        <f>Tabla7[[#This Row],[METROS
FISCAL]]*Tabla7[[#This Row],[PRECIO
X
METROS]]</f>
        <v>3154.7999999999997</v>
      </c>
      <c r="G158" t="s">
        <v>931</v>
      </c>
    </row>
    <row r="159" spans="1:7" x14ac:dyDescent="0.25">
      <c r="A159" s="2" t="s">
        <v>920</v>
      </c>
      <c r="B159" s="17" t="s">
        <v>927</v>
      </c>
      <c r="C159" s="2">
        <v>90</v>
      </c>
      <c r="D159" s="2"/>
      <c r="E159" s="179">
        <v>26.29</v>
      </c>
      <c r="F159" s="154">
        <f>Tabla7[[#This Row],[METROS
FISCAL]]*Tabla7[[#This Row],[PRECIO
X
METROS]]</f>
        <v>2366.1</v>
      </c>
      <c r="G159" t="s">
        <v>931</v>
      </c>
    </row>
    <row r="160" spans="1:7" x14ac:dyDescent="0.25">
      <c r="A160" s="150" t="s">
        <v>851</v>
      </c>
      <c r="B160" s="155" t="s">
        <v>853</v>
      </c>
      <c r="C160" s="152">
        <v>40</v>
      </c>
      <c r="D160" s="152"/>
      <c r="E160" s="153">
        <v>54.25</v>
      </c>
      <c r="F160" s="154">
        <f>Tabla7[[#This Row],[METROS
FISCAL]]*Tabla7[[#This Row],[PRECIO
X
METROS]]</f>
        <v>2170</v>
      </c>
    </row>
    <row r="161" spans="1:7" x14ac:dyDescent="0.25">
      <c r="A161" s="150" t="s">
        <v>851</v>
      </c>
      <c r="B161" s="155" t="s">
        <v>499</v>
      </c>
      <c r="C161" s="162">
        <v>200</v>
      </c>
      <c r="D161" s="162"/>
      <c r="E161" s="157">
        <v>57.13</v>
      </c>
      <c r="F161" s="154">
        <f>Tabla7[[#This Row],[METROS
FISCAL]]*Tabla7[[#This Row],[PRECIO
X
METROS]]</f>
        <v>11426</v>
      </c>
    </row>
    <row r="162" spans="1:7" x14ac:dyDescent="0.25">
      <c r="A162" s="150" t="s">
        <v>851</v>
      </c>
      <c r="B162" s="155" t="s">
        <v>500</v>
      </c>
      <c r="C162" s="162">
        <v>350</v>
      </c>
      <c r="D162" s="162"/>
      <c r="E162" s="157">
        <v>54.25</v>
      </c>
      <c r="F162" s="154">
        <f>Tabla7[[#This Row],[METROS
FISCAL]]*Tabla7[[#This Row],[PRECIO
X
METROS]]</f>
        <v>18987.5</v>
      </c>
    </row>
    <row r="163" spans="1:7" x14ac:dyDescent="0.25">
      <c r="A163" s="150" t="s">
        <v>851</v>
      </c>
      <c r="B163" s="155" t="s">
        <v>497</v>
      </c>
      <c r="C163" s="162">
        <v>200</v>
      </c>
      <c r="D163" s="162"/>
      <c r="E163" s="157">
        <v>57.13</v>
      </c>
      <c r="F163" s="154">
        <f>Tabla7[[#This Row],[METROS
FISCAL]]*Tabla7[[#This Row],[PRECIO
X
METROS]]</f>
        <v>11426</v>
      </c>
    </row>
    <row r="164" spans="1:7" x14ac:dyDescent="0.25">
      <c r="A164" s="150" t="s">
        <v>851</v>
      </c>
      <c r="B164" s="155" t="s">
        <v>501</v>
      </c>
      <c r="C164" s="162">
        <v>300</v>
      </c>
      <c r="D164" s="162"/>
      <c r="E164" s="157">
        <v>54.25</v>
      </c>
      <c r="F164" s="154">
        <f>Tabla7[[#This Row],[METROS
FISCAL]]*Tabla7[[#This Row],[PRECIO
X
METROS]]</f>
        <v>16275</v>
      </c>
    </row>
    <row r="165" spans="1:7" x14ac:dyDescent="0.25">
      <c r="A165" s="150" t="s">
        <v>851</v>
      </c>
      <c r="B165" s="155" t="s">
        <v>498</v>
      </c>
      <c r="C165" s="162">
        <v>200</v>
      </c>
      <c r="D165" s="162"/>
      <c r="E165" s="157">
        <v>57.13</v>
      </c>
      <c r="F165" s="154">
        <f>Tabla7[[#This Row],[METROS
FISCAL]]*Tabla7[[#This Row],[PRECIO
X
METROS]]</f>
        <v>11426</v>
      </c>
    </row>
    <row r="166" spans="1:7" x14ac:dyDescent="0.25">
      <c r="A166" s="150" t="s">
        <v>851</v>
      </c>
      <c r="B166" s="155" t="s">
        <v>502</v>
      </c>
      <c r="C166" s="162">
        <v>120</v>
      </c>
      <c r="D166" s="162"/>
      <c r="E166" s="157">
        <v>54.25</v>
      </c>
      <c r="F166" s="154">
        <f>Tabla7[[#This Row],[METROS
FISCAL]]*Tabla7[[#This Row],[PRECIO
X
METROS]]</f>
        <v>6510</v>
      </c>
    </row>
    <row r="167" spans="1:7" x14ac:dyDescent="0.25">
      <c r="A167" s="150" t="s">
        <v>851</v>
      </c>
      <c r="B167" s="151" t="s">
        <v>856</v>
      </c>
      <c r="C167" s="152">
        <v>2</v>
      </c>
      <c r="D167" s="152"/>
      <c r="E167" s="153">
        <v>43.17</v>
      </c>
      <c r="F167" s="154">
        <f>Tabla7[[#This Row],[METROS
FISCAL]]*Tabla7[[#This Row],[PRECIO
X
METROS]]</f>
        <v>86.34</v>
      </c>
    </row>
    <row r="168" spans="1:7" ht="30" x14ac:dyDescent="0.25">
      <c r="A168" s="150" t="s">
        <v>851</v>
      </c>
      <c r="B168" s="151" t="s">
        <v>910</v>
      </c>
      <c r="C168" s="152">
        <v>298</v>
      </c>
      <c r="D168" s="152"/>
      <c r="E168" s="153">
        <v>47.56</v>
      </c>
      <c r="F168" s="154">
        <f>Tabla7[[#This Row],[METROS
FISCAL]]*Tabla7[[#This Row],[PRECIO
X
METROS]]</f>
        <v>14172.880000000001</v>
      </c>
      <c r="G168" t="s">
        <v>933</v>
      </c>
    </row>
    <row r="169" spans="1:7" x14ac:dyDescent="0.25">
      <c r="A169" s="150" t="s">
        <v>407</v>
      </c>
      <c r="B169" s="151" t="s">
        <v>857</v>
      </c>
      <c r="C169" s="152">
        <v>8</v>
      </c>
      <c r="D169" s="152"/>
      <c r="E169" s="184"/>
      <c r="F169" s="154">
        <f>Tabla7[[#This Row],[METROS
FISCAL]]*Tabla7[[#This Row],[PRECIO
X
METROS]]</f>
        <v>0</v>
      </c>
      <c r="G169" t="s">
        <v>932</v>
      </c>
    </row>
    <row r="170" spans="1:7" ht="30" x14ac:dyDescent="0.25">
      <c r="A170" s="150" t="s">
        <v>407</v>
      </c>
      <c r="B170" s="151" t="s">
        <v>858</v>
      </c>
      <c r="C170" s="152">
        <v>15</v>
      </c>
      <c r="D170" s="152"/>
      <c r="E170" s="153">
        <v>110.89</v>
      </c>
      <c r="F170" s="154">
        <f>Tabla7[[#This Row],[METROS
FISCAL]]*Tabla7[[#This Row],[PRECIO
X
METROS]]</f>
        <v>1663.35</v>
      </c>
    </row>
    <row r="171" spans="1:7" x14ac:dyDescent="0.25">
      <c r="A171" s="150" t="s">
        <v>407</v>
      </c>
      <c r="B171" s="151" t="s">
        <v>859</v>
      </c>
      <c r="C171" s="152">
        <v>45.72</v>
      </c>
      <c r="D171" s="152"/>
      <c r="E171" s="184"/>
      <c r="F171" s="154">
        <f>Tabla7[[#This Row],[METROS
FISCAL]]*Tabla7[[#This Row],[PRECIO
X
METROS]]</f>
        <v>0</v>
      </c>
      <c r="G171" t="s">
        <v>932</v>
      </c>
    </row>
    <row r="172" spans="1:7" x14ac:dyDescent="0.25">
      <c r="A172" s="150" t="s">
        <v>407</v>
      </c>
      <c r="B172" s="151" t="s">
        <v>860</v>
      </c>
      <c r="C172" s="152">
        <v>84.72</v>
      </c>
      <c r="D172" s="152"/>
      <c r="E172" s="184"/>
      <c r="F172" s="154">
        <f>Tabla7[[#This Row],[METROS
FISCAL]]*Tabla7[[#This Row],[PRECIO
X
METROS]]</f>
        <v>0</v>
      </c>
      <c r="G172" t="s">
        <v>932</v>
      </c>
    </row>
    <row r="173" spans="1:7" x14ac:dyDescent="0.25">
      <c r="A173" s="150" t="s">
        <v>407</v>
      </c>
      <c r="B173" s="151" t="s">
        <v>861</v>
      </c>
      <c r="C173" s="152">
        <v>117.0432</v>
      </c>
      <c r="D173" s="152"/>
      <c r="E173" s="184"/>
      <c r="F173" s="154">
        <f>Tabla7[[#This Row],[METROS
FISCAL]]*Tabla7[[#This Row],[PRECIO
X
METROS]]</f>
        <v>0</v>
      </c>
      <c r="G173" t="s">
        <v>932</v>
      </c>
    </row>
    <row r="174" spans="1:7" x14ac:dyDescent="0.25">
      <c r="A174" s="150" t="s">
        <v>407</v>
      </c>
      <c r="B174" s="151" t="s">
        <v>862</v>
      </c>
      <c r="C174" s="152">
        <v>45.72</v>
      </c>
      <c r="D174" s="152"/>
      <c r="E174" s="184"/>
      <c r="F174" s="154">
        <f>Tabla7[[#This Row],[METROS
FISCAL]]*Tabla7[[#This Row],[PRECIO
X
METROS]]</f>
        <v>0</v>
      </c>
      <c r="G174" t="s">
        <v>932</v>
      </c>
    </row>
    <row r="175" spans="1:7" x14ac:dyDescent="0.25">
      <c r="A175" s="150" t="s">
        <v>407</v>
      </c>
      <c r="B175" s="151" t="s">
        <v>863</v>
      </c>
      <c r="C175" s="152">
        <v>45.72</v>
      </c>
      <c r="D175" s="152"/>
      <c r="E175" s="184"/>
      <c r="F175" s="154">
        <f>Tabla7[[#This Row],[METROS
FISCAL]]*Tabla7[[#This Row],[PRECIO
X
METROS]]</f>
        <v>0</v>
      </c>
      <c r="G175" t="s">
        <v>932</v>
      </c>
    </row>
    <row r="176" spans="1:7" x14ac:dyDescent="0.25">
      <c r="A176" s="150" t="s">
        <v>407</v>
      </c>
      <c r="B176" s="151" t="s">
        <v>864</v>
      </c>
      <c r="C176" s="152">
        <v>520</v>
      </c>
      <c r="D176" s="152"/>
      <c r="E176" s="184"/>
      <c r="F176" s="154">
        <f>Tabla7[[#This Row],[METROS
FISCAL]]*Tabla7[[#This Row],[PRECIO
X
METROS]]</f>
        <v>0</v>
      </c>
      <c r="G176" t="s">
        <v>932</v>
      </c>
    </row>
    <row r="177" spans="1:9" ht="30" x14ac:dyDescent="0.25">
      <c r="A177" s="159" t="s">
        <v>865</v>
      </c>
      <c r="B177" s="163" t="s">
        <v>866</v>
      </c>
      <c r="C177" s="164">
        <v>50</v>
      </c>
      <c r="D177" s="164"/>
      <c r="E177" s="161">
        <v>78.632300000000001</v>
      </c>
      <c r="F177" s="154">
        <f>Tabla7[[#This Row],[METROS
FISCAL]]*Tabla7[[#This Row],[PRECIO
X
METROS]]</f>
        <v>3931.6150000000002</v>
      </c>
    </row>
    <row r="178" spans="1:9" ht="30" x14ac:dyDescent="0.25">
      <c r="A178" s="180" t="s">
        <v>911</v>
      </c>
      <c r="B178" s="181" t="s">
        <v>912</v>
      </c>
      <c r="C178" s="180">
        <v>10</v>
      </c>
      <c r="D178" s="180"/>
      <c r="E178" s="182"/>
      <c r="F178" s="154">
        <f>Tabla7[[#This Row],[METROS
FISCAL]]*Tabla7[[#This Row],[PRECIO
X
METROS]]</f>
        <v>0</v>
      </c>
    </row>
    <row r="179" spans="1:9" x14ac:dyDescent="0.25">
      <c r="A179" s="159" t="s">
        <v>845</v>
      </c>
      <c r="B179" s="160" t="s">
        <v>380</v>
      </c>
      <c r="C179" s="2">
        <f>74*35</f>
        <v>2590</v>
      </c>
      <c r="D179" s="2"/>
      <c r="E179" s="166">
        <v>168.31</v>
      </c>
      <c r="F179" s="154">
        <f>Tabla7[[#This Row],[METROS
FISCAL]]*Tabla7[[#This Row],[PRECIO
X
METROS]]</f>
        <v>435922.9</v>
      </c>
    </row>
    <row r="180" spans="1:9" x14ac:dyDescent="0.25">
      <c r="A180" s="159"/>
      <c r="B180" s="163"/>
      <c r="C180" s="164"/>
      <c r="D180" s="164"/>
      <c r="E180" s="188"/>
      <c r="F180" s="189">
        <f>SUBTOTAL(109,Tabla7[TOTAL])</f>
        <v>3797454.8914000005</v>
      </c>
    </row>
    <row r="181" spans="1:9" x14ac:dyDescent="0.25">
      <c r="C181" s="112">
        <f>SUM(C2:C180)</f>
        <v>55054.278000000006</v>
      </c>
      <c r="D181" s="112"/>
      <c r="F181" s="80"/>
    </row>
    <row r="182" spans="1:9" x14ac:dyDescent="0.25">
      <c r="I182" s="80"/>
    </row>
    <row r="183" spans="1:9" x14ac:dyDescent="0.25">
      <c r="I183" s="80"/>
    </row>
  </sheetData>
  <phoneticPr fontId="3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7CE5-07F4-4D2A-BA93-0CA63BA7917B}">
  <sheetPr codeName="Hoja4">
    <tabColor theme="8" tint="0.39997558519241921"/>
  </sheetPr>
  <dimension ref="A1:G22"/>
  <sheetViews>
    <sheetView workbookViewId="0">
      <selection activeCell="D8" sqref="D8"/>
    </sheetView>
  </sheetViews>
  <sheetFormatPr baseColWidth="10" defaultRowHeight="15" x14ac:dyDescent="0.25"/>
  <cols>
    <col min="2" max="2" width="19.42578125" customWidth="1"/>
    <col min="6" max="6" width="33.42578125" bestFit="1" customWidth="1"/>
    <col min="7" max="7" width="18.85546875" customWidth="1"/>
  </cols>
  <sheetData>
    <row r="1" spans="1:7" ht="45.75" thickBot="1" x14ac:dyDescent="0.3">
      <c r="A1" s="171" t="s">
        <v>711</v>
      </c>
      <c r="B1" s="170" t="s">
        <v>496</v>
      </c>
      <c r="C1" s="170" t="s">
        <v>712</v>
      </c>
      <c r="D1" s="170" t="s">
        <v>713</v>
      </c>
      <c r="E1" s="172" t="s">
        <v>531</v>
      </c>
      <c r="F1" s="170" t="s">
        <v>877</v>
      </c>
      <c r="G1" s="170" t="s">
        <v>895</v>
      </c>
    </row>
    <row r="2" spans="1:7" ht="45.75" thickTop="1" x14ac:dyDescent="0.25">
      <c r="A2" s="17" t="s">
        <v>677</v>
      </c>
      <c r="B2" s="17" t="s">
        <v>896</v>
      </c>
      <c r="C2" s="17">
        <f>20*50</f>
        <v>1000</v>
      </c>
      <c r="D2" s="5"/>
      <c r="E2" s="5">
        <f t="shared" ref="E2:E8" si="0">D2*C2</f>
        <v>0</v>
      </c>
      <c r="F2" s="17" t="s">
        <v>879</v>
      </c>
      <c r="G2" s="17"/>
    </row>
    <row r="3" spans="1:7" ht="30" x14ac:dyDescent="0.25">
      <c r="A3" s="17" t="s">
        <v>677</v>
      </c>
      <c r="B3" s="17" t="s">
        <v>876</v>
      </c>
      <c r="C3" s="17">
        <v>40</v>
      </c>
      <c r="D3" s="5">
        <v>0</v>
      </c>
      <c r="E3" s="5">
        <f t="shared" si="0"/>
        <v>0</v>
      </c>
      <c r="F3" s="17" t="s">
        <v>878</v>
      </c>
      <c r="G3" s="4">
        <v>42402</v>
      </c>
    </row>
    <row r="4" spans="1:7" x14ac:dyDescent="0.25">
      <c r="A4" s="17" t="s">
        <v>677</v>
      </c>
      <c r="B4" s="17" t="s">
        <v>880</v>
      </c>
      <c r="C4" s="17">
        <v>196</v>
      </c>
      <c r="D4" s="5"/>
      <c r="E4" s="5">
        <f t="shared" si="0"/>
        <v>0</v>
      </c>
      <c r="F4" s="17" t="s">
        <v>881</v>
      </c>
      <c r="G4" s="17"/>
    </row>
    <row r="5" spans="1:7" x14ac:dyDescent="0.25">
      <c r="A5" s="17" t="s">
        <v>677</v>
      </c>
      <c r="B5" s="17" t="s">
        <v>880</v>
      </c>
      <c r="C5" s="17">
        <v>118</v>
      </c>
      <c r="D5" s="5"/>
      <c r="E5" s="5">
        <f t="shared" si="0"/>
        <v>0</v>
      </c>
      <c r="F5" s="17" t="s">
        <v>882</v>
      </c>
      <c r="G5" s="17"/>
    </row>
    <row r="6" spans="1:7" x14ac:dyDescent="0.25">
      <c r="A6" s="17" t="s">
        <v>677</v>
      </c>
      <c r="B6" s="17" t="s">
        <v>880</v>
      </c>
      <c r="C6" s="17">
        <v>100</v>
      </c>
      <c r="D6" s="5"/>
      <c r="E6" s="5">
        <f t="shared" si="0"/>
        <v>0</v>
      </c>
      <c r="F6" s="17" t="s">
        <v>882</v>
      </c>
      <c r="G6" s="17"/>
    </row>
    <row r="7" spans="1:7" x14ac:dyDescent="0.25">
      <c r="A7" s="17" t="s">
        <v>677</v>
      </c>
      <c r="B7" s="17" t="s">
        <v>880</v>
      </c>
      <c r="C7" s="17">
        <v>50</v>
      </c>
      <c r="D7" s="5"/>
      <c r="E7" s="5">
        <f t="shared" si="0"/>
        <v>0</v>
      </c>
      <c r="F7" s="17" t="s">
        <v>882</v>
      </c>
      <c r="G7" s="17"/>
    </row>
    <row r="8" spans="1:7" x14ac:dyDescent="0.25">
      <c r="A8" s="17" t="s">
        <v>677</v>
      </c>
      <c r="B8" s="17" t="s">
        <v>880</v>
      </c>
      <c r="C8" s="17">
        <v>20</v>
      </c>
      <c r="D8" s="5"/>
      <c r="E8" s="5">
        <f t="shared" si="0"/>
        <v>0</v>
      </c>
      <c r="F8" s="17" t="s">
        <v>882</v>
      </c>
      <c r="G8" s="17"/>
    </row>
    <row r="9" spans="1:7" ht="30" x14ac:dyDescent="0.25">
      <c r="A9" s="17" t="s">
        <v>677</v>
      </c>
      <c r="B9" s="17" t="s">
        <v>883</v>
      </c>
      <c r="C9" s="17">
        <v>10</v>
      </c>
      <c r="D9" s="5"/>
      <c r="E9" s="5">
        <f t="shared" ref="E9:E19" si="1">D9*C9</f>
        <v>0</v>
      </c>
      <c r="F9" s="17" t="s">
        <v>879</v>
      </c>
      <c r="G9" s="17"/>
    </row>
    <row r="10" spans="1:7" ht="30" x14ac:dyDescent="0.25">
      <c r="A10" s="17" t="s">
        <v>677</v>
      </c>
      <c r="B10" s="17" t="s">
        <v>883</v>
      </c>
      <c r="C10" s="17">
        <v>50</v>
      </c>
      <c r="D10" s="5"/>
      <c r="E10" s="5">
        <f t="shared" si="1"/>
        <v>0</v>
      </c>
      <c r="F10" s="17" t="s">
        <v>879</v>
      </c>
      <c r="G10" s="17"/>
    </row>
    <row r="11" spans="1:7" ht="30" x14ac:dyDescent="0.25">
      <c r="A11" s="17" t="s">
        <v>677</v>
      </c>
      <c r="B11" s="17" t="s">
        <v>883</v>
      </c>
      <c r="C11" s="17">
        <v>50</v>
      </c>
      <c r="D11" s="5"/>
      <c r="E11" s="5">
        <f t="shared" si="1"/>
        <v>0</v>
      </c>
      <c r="F11" s="17" t="s">
        <v>879</v>
      </c>
      <c r="G11" s="17"/>
    </row>
    <row r="12" spans="1:7" ht="30" x14ac:dyDescent="0.25">
      <c r="A12" s="17" t="s">
        <v>677</v>
      </c>
      <c r="B12" s="17" t="s">
        <v>883</v>
      </c>
      <c r="C12" s="17">
        <v>30</v>
      </c>
      <c r="D12" s="5"/>
      <c r="E12" s="5">
        <f t="shared" si="1"/>
        <v>0</v>
      </c>
      <c r="F12" s="17" t="s">
        <v>879</v>
      </c>
      <c r="G12" s="17"/>
    </row>
    <row r="13" spans="1:7" x14ac:dyDescent="0.25">
      <c r="A13" s="17" t="s">
        <v>677</v>
      </c>
      <c r="B13" s="17" t="s">
        <v>884</v>
      </c>
      <c r="C13" s="17">
        <v>10</v>
      </c>
      <c r="D13" s="5"/>
      <c r="E13" s="5">
        <f t="shared" si="1"/>
        <v>0</v>
      </c>
      <c r="F13" s="17" t="s">
        <v>878</v>
      </c>
      <c r="G13" s="17"/>
    </row>
    <row r="14" spans="1:7" x14ac:dyDescent="0.25">
      <c r="A14" s="17" t="s">
        <v>677</v>
      </c>
      <c r="B14" s="17" t="s">
        <v>885</v>
      </c>
      <c r="C14" s="17">
        <v>10</v>
      </c>
      <c r="D14" s="5"/>
      <c r="E14" s="5">
        <f t="shared" si="1"/>
        <v>0</v>
      </c>
      <c r="F14" s="17" t="s">
        <v>878</v>
      </c>
      <c r="G14" s="17"/>
    </row>
    <row r="15" spans="1:7" ht="30" x14ac:dyDescent="0.25">
      <c r="A15" s="17" t="s">
        <v>677</v>
      </c>
      <c r="B15" s="17" t="s">
        <v>886</v>
      </c>
      <c r="C15" s="17">
        <v>40</v>
      </c>
      <c r="D15" s="5"/>
      <c r="E15" s="5">
        <f t="shared" si="1"/>
        <v>0</v>
      </c>
      <c r="F15" s="17" t="s">
        <v>887</v>
      </c>
      <c r="G15" s="17"/>
    </row>
    <row r="16" spans="1:7" x14ac:dyDescent="0.25">
      <c r="A16" s="17" t="s">
        <v>677</v>
      </c>
      <c r="B16" s="17" t="s">
        <v>888</v>
      </c>
      <c r="C16" s="17">
        <v>10</v>
      </c>
      <c r="D16" s="5"/>
      <c r="E16" s="5">
        <f t="shared" si="1"/>
        <v>0</v>
      </c>
      <c r="F16" s="17" t="s">
        <v>879</v>
      </c>
      <c r="G16" s="17"/>
    </row>
    <row r="17" spans="1:7" x14ac:dyDescent="0.25">
      <c r="A17" s="17" t="s">
        <v>677</v>
      </c>
      <c r="B17" s="17" t="s">
        <v>889</v>
      </c>
      <c r="C17" s="17">
        <v>3</v>
      </c>
      <c r="D17" s="5">
        <v>0</v>
      </c>
      <c r="E17" s="5">
        <f t="shared" si="1"/>
        <v>0</v>
      </c>
      <c r="F17" s="17" t="s">
        <v>882</v>
      </c>
      <c r="G17" s="17"/>
    </row>
    <row r="18" spans="1:7" x14ac:dyDescent="0.25">
      <c r="A18" s="17" t="s">
        <v>677</v>
      </c>
      <c r="B18" s="17" t="s">
        <v>890</v>
      </c>
      <c r="C18" s="17">
        <v>10</v>
      </c>
      <c r="D18" s="5">
        <v>0</v>
      </c>
      <c r="E18" s="5">
        <f t="shared" si="1"/>
        <v>0</v>
      </c>
      <c r="F18" s="17" t="s">
        <v>882</v>
      </c>
      <c r="G18" s="17"/>
    </row>
    <row r="19" spans="1:7" x14ac:dyDescent="0.25">
      <c r="A19" s="17" t="s">
        <v>677</v>
      </c>
      <c r="B19" s="17" t="s">
        <v>891</v>
      </c>
      <c r="C19" s="17">
        <v>10</v>
      </c>
      <c r="D19" s="5"/>
      <c r="E19" s="5">
        <f t="shared" si="1"/>
        <v>0</v>
      </c>
      <c r="F19" s="17" t="s">
        <v>879</v>
      </c>
      <c r="G19" s="17"/>
    </row>
    <row r="22" spans="1:7" x14ac:dyDescent="0.25">
      <c r="C22" s="2">
        <f>SUM(C2:C21)</f>
        <v>1757</v>
      </c>
      <c r="E22" s="79">
        <f>SUM(E2:E21)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0578-49F2-4A73-8DA2-8DAB925DE1C2}">
  <sheetPr codeName="Hoja5">
    <tabColor theme="8" tint="0.39997558519241921"/>
  </sheetPr>
  <dimension ref="A1:N56"/>
  <sheetViews>
    <sheetView zoomScale="80" zoomScaleNormal="80" workbookViewId="0">
      <selection activeCell="F55" sqref="F55:F56"/>
    </sheetView>
  </sheetViews>
  <sheetFormatPr baseColWidth="10" defaultRowHeight="15" x14ac:dyDescent="0.25"/>
  <cols>
    <col min="1" max="1" width="22.140625" style="17" bestFit="1" customWidth="1"/>
    <col min="2" max="2" width="17" style="17" bestFit="1" customWidth="1"/>
    <col min="3" max="3" width="14.85546875" style="17" bestFit="1" customWidth="1"/>
    <col min="4" max="4" width="12" style="127" bestFit="1" customWidth="1"/>
    <col min="5" max="5" width="12" style="2" bestFit="1" customWidth="1"/>
    <col min="6" max="6" width="16.7109375" style="47" customWidth="1"/>
    <col min="7" max="7" width="21" style="17" bestFit="1" customWidth="1"/>
    <col min="8" max="8" width="15.85546875" style="2" customWidth="1"/>
    <col min="9" max="9" width="17.28515625" style="2" bestFit="1" customWidth="1"/>
  </cols>
  <sheetData>
    <row r="1" spans="1:11" ht="30" x14ac:dyDescent="0.25">
      <c r="A1" s="52"/>
      <c r="B1" s="52"/>
      <c r="D1" s="120"/>
      <c r="F1" s="53"/>
      <c r="H1" s="17" t="s">
        <v>938</v>
      </c>
      <c r="I1" s="202">
        <v>18.02</v>
      </c>
      <c r="J1" s="4">
        <v>46010</v>
      </c>
      <c r="K1" s="17" t="s">
        <v>693</v>
      </c>
    </row>
    <row r="2" spans="1:11" ht="30" x14ac:dyDescent="0.25">
      <c r="A2" s="54" t="s">
        <v>277</v>
      </c>
      <c r="B2" s="10" t="s">
        <v>278</v>
      </c>
      <c r="C2" s="8" t="s">
        <v>279</v>
      </c>
      <c r="D2" s="121" t="s">
        <v>150</v>
      </c>
      <c r="E2" s="8" t="s">
        <v>280</v>
      </c>
      <c r="F2" s="55" t="s">
        <v>4</v>
      </c>
      <c r="G2" s="56" t="s">
        <v>5</v>
      </c>
      <c r="H2" s="201" t="s">
        <v>972</v>
      </c>
      <c r="I2" s="201" t="s">
        <v>974</v>
      </c>
      <c r="J2" s="201" t="s">
        <v>1008</v>
      </c>
    </row>
    <row r="3" spans="1:11" ht="30" x14ac:dyDescent="0.25">
      <c r="A3" s="57" t="s">
        <v>648</v>
      </c>
      <c r="B3" s="58" t="s">
        <v>281</v>
      </c>
      <c r="C3" s="116">
        <v>50</v>
      </c>
      <c r="D3" s="122">
        <f>+IF(Tabla1[[#This Row],[OBSERVACIONES]]="Dólares",Tabla1[[#This Row],[Cost/dls  o Pesos]]*$I$1,Tabla1[[#This Row],[Cost/dls  o Pesos]])</f>
        <v>171.19</v>
      </c>
      <c r="E3" s="11" t="s">
        <v>282</v>
      </c>
      <c r="F3" s="40">
        <f>+Tabla1[[#This Row],[CANTIDAD]]*Tabla1[[#This Row],[COSTO]]</f>
        <v>8559.5</v>
      </c>
      <c r="G3" s="59" t="s">
        <v>283</v>
      </c>
      <c r="H3" s="186">
        <v>45973</v>
      </c>
      <c r="I3" s="2" t="s">
        <v>973</v>
      </c>
      <c r="J3" s="122">
        <v>9.5</v>
      </c>
    </row>
    <row r="4" spans="1:11" ht="30" x14ac:dyDescent="0.25">
      <c r="A4" s="62" t="s">
        <v>704</v>
      </c>
      <c r="B4" s="58" t="s">
        <v>281</v>
      </c>
      <c r="C4" s="119">
        <v>0</v>
      </c>
      <c r="D4" s="122">
        <f>+IF(Tabla1[[#This Row],[OBSERVACIONES]]="Dólares",Tabla1[[#This Row],[Cost/dls  o Pesos]]*$I$1,Tabla1[[#This Row],[Cost/dls  o Pesos]])</f>
        <v>10</v>
      </c>
      <c r="E4" s="11" t="s">
        <v>282</v>
      </c>
      <c r="F4" s="40">
        <f>+Tabla1[[#This Row],[CANTIDAD]]*Tabla1[[#This Row],[COSTO]]</f>
        <v>0</v>
      </c>
      <c r="G4" s="59"/>
      <c r="J4" s="124">
        <v>10</v>
      </c>
    </row>
    <row r="5" spans="1:11" ht="30" x14ac:dyDescent="0.25">
      <c r="A5" s="57" t="s">
        <v>284</v>
      </c>
      <c r="B5" s="60" t="s">
        <v>285</v>
      </c>
      <c r="C5" s="117">
        <v>0</v>
      </c>
      <c r="D5" s="122">
        <f>+IF(Tabla1[[#This Row],[OBSERVACIONES]]="Dólares",Tabla1[[#This Row],[Cost/dls  o Pesos]]*$I$1,Tabla1[[#This Row],[Cost/dls  o Pesos]])</f>
        <v>6</v>
      </c>
      <c r="E5" s="11" t="s">
        <v>282</v>
      </c>
      <c r="F5" s="40">
        <f>+Tabla1[[#This Row],[CANTIDAD]]*Tabla1[[#This Row],[COSTO]]</f>
        <v>0</v>
      </c>
      <c r="G5" s="59"/>
      <c r="J5" s="123">
        <v>6</v>
      </c>
    </row>
    <row r="6" spans="1:11" ht="30" x14ac:dyDescent="0.25">
      <c r="A6" s="57" t="s">
        <v>286</v>
      </c>
      <c r="B6" s="61" t="s">
        <v>287</v>
      </c>
      <c r="C6" s="118">
        <v>400</v>
      </c>
      <c r="D6" s="122">
        <f>+IF(Tabla1[[#This Row],[OBSERVACIONES]]="Dólares",Tabla1[[#This Row],[Cost/dls  o Pesos]]*$I$1,Tabla1[[#This Row],[Cost/dls  o Pesos]])</f>
        <v>18.5</v>
      </c>
      <c r="E6" s="11" t="s">
        <v>282</v>
      </c>
      <c r="F6" s="40">
        <f>+Tabla1[[#This Row],[CANTIDAD]]*Tabla1[[#This Row],[COSTO]]</f>
        <v>7400</v>
      </c>
      <c r="G6" s="59"/>
      <c r="H6" s="186">
        <v>45973</v>
      </c>
      <c r="I6" s="2" t="s">
        <v>973</v>
      </c>
      <c r="J6" s="198">
        <v>18.5</v>
      </c>
    </row>
    <row r="7" spans="1:11" ht="45" x14ac:dyDescent="0.25">
      <c r="A7" s="57" t="s">
        <v>288</v>
      </c>
      <c r="B7" s="58" t="s">
        <v>289</v>
      </c>
      <c r="C7" s="116">
        <v>50</v>
      </c>
      <c r="D7" s="122">
        <f>+IF(Tabla1[[#This Row],[OBSERVACIONES]]="Dólares",Tabla1[[#This Row],[Cost/dls  o Pesos]]*$I$1,Tabla1[[#This Row],[Cost/dls  o Pesos]])</f>
        <v>29.0122</v>
      </c>
      <c r="E7" s="11" t="s">
        <v>282</v>
      </c>
      <c r="F7" s="40">
        <f>+Tabla1[[#This Row],[CANTIDAD]]*Tabla1[[#This Row],[COSTO]]</f>
        <v>1450.61</v>
      </c>
      <c r="G7" s="59" t="s">
        <v>283</v>
      </c>
      <c r="H7" s="186">
        <v>45980</v>
      </c>
      <c r="I7" s="2" t="s">
        <v>975</v>
      </c>
      <c r="J7" s="122">
        <v>1.61</v>
      </c>
    </row>
    <row r="8" spans="1:11" ht="30" x14ac:dyDescent="0.25">
      <c r="A8" s="57" t="s">
        <v>290</v>
      </c>
      <c r="B8" s="58" t="s">
        <v>291</v>
      </c>
      <c r="C8" s="116">
        <v>80</v>
      </c>
      <c r="D8" s="122">
        <f>+IF(Tabla1[[#This Row],[OBSERVACIONES]]="Dólares",Tabla1[[#This Row],[Cost/dls  o Pesos]]*$I$1,Tabla1[[#This Row],[Cost/dls  o Pesos]])</f>
        <v>111.00320000000001</v>
      </c>
      <c r="E8" s="11" t="s">
        <v>282</v>
      </c>
      <c r="F8" s="40">
        <f>+Tabla1[[#This Row],[CANTIDAD]]*Tabla1[[#This Row],[COSTO]]</f>
        <v>8880.2560000000012</v>
      </c>
      <c r="G8" s="59" t="s">
        <v>283</v>
      </c>
      <c r="H8" s="186">
        <v>45979</v>
      </c>
      <c r="I8" s="2" t="s">
        <v>976</v>
      </c>
      <c r="J8" s="122">
        <v>6.16</v>
      </c>
    </row>
    <row r="9" spans="1:11" ht="30" x14ac:dyDescent="0.25">
      <c r="A9" s="57" t="s">
        <v>292</v>
      </c>
      <c r="B9" s="58" t="s">
        <v>293</v>
      </c>
      <c r="C9" s="116">
        <v>0</v>
      </c>
      <c r="D9" s="122">
        <f>+IF(Tabla1[[#This Row],[OBSERVACIONES]]="Dólares",Tabla1[[#This Row],[Cost/dls  o Pesos]]*$I$1,Tabla1[[#This Row],[Cost/dls  o Pesos]])</f>
        <v>99.11</v>
      </c>
      <c r="E9" s="11" t="s">
        <v>282</v>
      </c>
      <c r="F9" s="40">
        <f>+Tabla1[[#This Row],[CANTIDAD]]*Tabla1[[#This Row],[COSTO]]</f>
        <v>0</v>
      </c>
      <c r="G9" s="59" t="s">
        <v>283</v>
      </c>
      <c r="J9" s="122">
        <v>5.5</v>
      </c>
    </row>
    <row r="10" spans="1:11" ht="30" x14ac:dyDescent="0.25">
      <c r="A10" s="57" t="s">
        <v>294</v>
      </c>
      <c r="B10" s="58" t="s">
        <v>295</v>
      </c>
      <c r="C10" s="116">
        <v>75</v>
      </c>
      <c r="D10" s="122">
        <f>+IF(Tabla1[[#This Row],[OBSERVACIONES]]="Dólares",Tabla1[[#This Row],[Cost/dls  o Pesos]]*$I$1,Tabla1[[#This Row],[Cost/dls  o Pesos]])</f>
        <v>68.900000000000006</v>
      </c>
      <c r="E10" s="11" t="s">
        <v>282</v>
      </c>
      <c r="F10" s="40">
        <f>+Tabla1[[#This Row],[CANTIDAD]]*Tabla1[[#This Row],[COSTO]]</f>
        <v>5167.5</v>
      </c>
      <c r="G10" s="59"/>
      <c r="H10" s="186">
        <v>45981</v>
      </c>
      <c r="I10" s="2" t="s">
        <v>977</v>
      </c>
      <c r="J10" s="122">
        <v>68.900000000000006</v>
      </c>
    </row>
    <row r="11" spans="1:11" ht="27.75" customHeight="1" x14ac:dyDescent="0.25">
      <c r="A11" s="62" t="s">
        <v>421</v>
      </c>
      <c r="B11" s="63" t="s">
        <v>422</v>
      </c>
      <c r="C11" s="119">
        <v>13</v>
      </c>
      <c r="D11" s="122">
        <f>+IF(Tabla1[[#This Row],[OBSERVACIONES]]="Dólares",Tabla1[[#This Row],[Cost/dls  o Pesos]]*$I$1,Tabla1[[#This Row],[Cost/dls  o Pesos]])</f>
        <v>390</v>
      </c>
      <c r="E11" s="11" t="s">
        <v>282</v>
      </c>
      <c r="F11" s="40">
        <f>+Tabla1[[#This Row],[CANTIDAD]]*Tabla1[[#This Row],[COSTO]]</f>
        <v>5070</v>
      </c>
      <c r="G11" s="59"/>
      <c r="H11" s="186">
        <v>45791</v>
      </c>
      <c r="I11" s="2" t="s">
        <v>978</v>
      </c>
      <c r="J11" s="124">
        <v>390</v>
      </c>
    </row>
    <row r="12" spans="1:11" ht="45" x14ac:dyDescent="0.25">
      <c r="A12" s="57" t="s">
        <v>296</v>
      </c>
      <c r="B12" s="58" t="s">
        <v>297</v>
      </c>
      <c r="C12" s="116">
        <v>50</v>
      </c>
      <c r="D12" s="122">
        <f>+IF(Tabla1[[#This Row],[OBSERVACIONES]]="Dólares",Tabla1[[#This Row],[Cost/dls  o Pesos]]*$I$1,Tabla1[[#This Row],[Cost/dls  o Pesos]])</f>
        <v>34.958799999999997</v>
      </c>
      <c r="E12" s="11" t="s">
        <v>282</v>
      </c>
      <c r="F12" s="40">
        <f>+Tabla1[[#This Row],[CANTIDAD]]*Tabla1[[#This Row],[COSTO]]</f>
        <v>1747.9399999999998</v>
      </c>
      <c r="G12" s="59" t="s">
        <v>283</v>
      </c>
      <c r="H12" s="186">
        <v>45980</v>
      </c>
      <c r="I12" s="2" t="s">
        <v>975</v>
      </c>
      <c r="J12" s="122">
        <v>1.94</v>
      </c>
    </row>
    <row r="13" spans="1:11" ht="45" x14ac:dyDescent="0.25">
      <c r="A13" s="57" t="s">
        <v>298</v>
      </c>
      <c r="B13" s="58" t="s">
        <v>299</v>
      </c>
      <c r="C13" s="116">
        <v>0</v>
      </c>
      <c r="D13" s="122">
        <f>+IF(Tabla1[[#This Row],[OBSERVACIONES]]="Dólares",Tabla1[[#This Row],[Cost/dls  o Pesos]]*$I$1,Tabla1[[#This Row],[Cost/dls  o Pesos]])</f>
        <v>95.506</v>
      </c>
      <c r="E13" s="11" t="s">
        <v>282</v>
      </c>
      <c r="F13" s="40">
        <f>+Tabla1[[#This Row],[CANTIDAD]]*Tabla1[[#This Row],[COSTO]]</f>
        <v>0</v>
      </c>
      <c r="G13" s="59" t="s">
        <v>283</v>
      </c>
      <c r="J13" s="122">
        <v>5.3</v>
      </c>
    </row>
    <row r="14" spans="1:11" ht="45" x14ac:dyDescent="0.25">
      <c r="A14" s="57" t="s">
        <v>300</v>
      </c>
      <c r="B14" s="58" t="s">
        <v>301</v>
      </c>
      <c r="C14" s="116">
        <v>20</v>
      </c>
      <c r="D14" s="122">
        <f>+IF(Tabla1[[#This Row],[OBSERVACIONES]]="Dólares",Tabla1[[#This Row],[Cost/dls  o Pesos]]*$I$1,Tabla1[[#This Row],[Cost/dls  o Pesos]])</f>
        <v>127.94199999999999</v>
      </c>
      <c r="E14" s="11" t="s">
        <v>282</v>
      </c>
      <c r="F14" s="40">
        <f>+Tabla1[[#This Row],[CANTIDAD]]*Tabla1[[#This Row],[COSTO]]</f>
        <v>2558.8399999999997</v>
      </c>
      <c r="G14" s="59" t="s">
        <v>283</v>
      </c>
      <c r="H14" s="186">
        <v>45972</v>
      </c>
      <c r="I14" s="2" t="s">
        <v>976</v>
      </c>
      <c r="J14" s="122">
        <v>7.1</v>
      </c>
    </row>
    <row r="15" spans="1:11" ht="30" x14ac:dyDescent="0.25">
      <c r="A15" s="57" t="s">
        <v>302</v>
      </c>
      <c r="B15" s="11"/>
      <c r="C15" s="116">
        <v>40</v>
      </c>
      <c r="D15" s="122">
        <f>+IF(Tabla1[[#This Row],[OBSERVACIONES]]="Dólares",Tabla1[[#This Row],[Cost/dls  o Pesos]]*$I$1,Tabla1[[#This Row],[Cost/dls  o Pesos]])</f>
        <v>68.78</v>
      </c>
      <c r="E15" s="11" t="s">
        <v>282</v>
      </c>
      <c r="F15" s="40">
        <f>+Tabla1[[#This Row],[CANTIDAD]]*Tabla1[[#This Row],[COSTO]]</f>
        <v>2751.2</v>
      </c>
      <c r="G15" s="59"/>
      <c r="H15" s="186">
        <v>45947</v>
      </c>
      <c r="I15" s="2" t="s">
        <v>979</v>
      </c>
      <c r="J15" s="122">
        <v>68.78</v>
      </c>
    </row>
    <row r="16" spans="1:11" ht="25.5" x14ac:dyDescent="0.25">
      <c r="A16" s="57" t="s">
        <v>303</v>
      </c>
      <c r="B16" s="61" t="s">
        <v>303</v>
      </c>
      <c r="C16" s="118">
        <f>180*2</f>
        <v>360</v>
      </c>
      <c r="D16" s="122">
        <f>+IF(Tabla1[[#This Row],[OBSERVACIONES]]="Dólares",Tabla1[[#This Row],[Cost/dls  o Pesos]]*$I$1,Tabla1[[#This Row],[Cost/dls  o Pesos]])</f>
        <v>26.5</v>
      </c>
      <c r="E16" s="11" t="s">
        <v>282</v>
      </c>
      <c r="F16" s="40">
        <f>+Tabla1[[#This Row],[CANTIDAD]]*Tabla1[[#This Row],[COSTO]]</f>
        <v>9540</v>
      </c>
      <c r="G16" s="59"/>
      <c r="H16" s="186">
        <v>45980</v>
      </c>
      <c r="I16" s="2" t="s">
        <v>978</v>
      </c>
      <c r="J16" s="198">
        <v>26.5</v>
      </c>
    </row>
    <row r="17" spans="1:10" ht="30" x14ac:dyDescent="0.25">
      <c r="A17" s="57" t="s">
        <v>305</v>
      </c>
      <c r="B17" s="58" t="s">
        <v>306</v>
      </c>
      <c r="C17" s="116">
        <v>5</v>
      </c>
      <c r="D17" s="122">
        <f>+IF(Tabla1[[#This Row],[OBSERVACIONES]]="Dólares",Tabla1[[#This Row],[Cost/dls  o Pesos]]*$I$1,Tabla1[[#This Row],[Cost/dls  o Pesos]])</f>
        <v>24.5</v>
      </c>
      <c r="E17" s="11" t="s">
        <v>282</v>
      </c>
      <c r="F17" s="40">
        <f>+Tabla1[[#This Row],[CANTIDAD]]*Tabla1[[#This Row],[COSTO]]</f>
        <v>122.5</v>
      </c>
      <c r="G17" s="59" t="s">
        <v>651</v>
      </c>
      <c r="H17" s="2" t="s">
        <v>814</v>
      </c>
      <c r="I17" s="2" t="s">
        <v>814</v>
      </c>
      <c r="J17" s="122">
        <v>24.5</v>
      </c>
    </row>
    <row r="18" spans="1:10" x14ac:dyDescent="0.25">
      <c r="A18" s="57" t="s">
        <v>706</v>
      </c>
      <c r="B18" s="58" t="s">
        <v>707</v>
      </c>
      <c r="C18" s="116">
        <v>30</v>
      </c>
      <c r="D18" s="122">
        <f>+IF(Tabla1[[#This Row],[OBSERVACIONES]]="Dólares",Tabla1[[#This Row],[Cost/dls  o Pesos]]*$I$1,Tabla1[[#This Row],[Cost/dls  o Pesos]])</f>
        <v>124.46</v>
      </c>
      <c r="E18" s="11" t="s">
        <v>282</v>
      </c>
      <c r="F18" s="40">
        <f>+Tabla1[[#This Row],[CANTIDAD]]*Tabla1[[#This Row],[COSTO]]</f>
        <v>3733.7999999999997</v>
      </c>
      <c r="G18" s="59"/>
      <c r="H18" s="186">
        <v>45771</v>
      </c>
      <c r="I18" s="2" t="s">
        <v>977</v>
      </c>
      <c r="J18" s="122">
        <v>124.46</v>
      </c>
    </row>
    <row r="19" spans="1:10" ht="45" x14ac:dyDescent="0.25">
      <c r="A19" s="57" t="s">
        <v>307</v>
      </c>
      <c r="B19" s="58" t="s">
        <v>307</v>
      </c>
      <c r="C19" s="116">
        <v>7</v>
      </c>
      <c r="D19" s="122">
        <f>+IF(Tabla1[[#This Row],[OBSERVACIONES]]="Dólares",Tabla1[[#This Row],[Cost/dls  o Pesos]]*$I$1,Tabla1[[#This Row],[Cost/dls  o Pesos]])</f>
        <v>48.86</v>
      </c>
      <c r="E19" s="11" t="s">
        <v>282</v>
      </c>
      <c r="F19" s="40">
        <f>+Tabla1[[#This Row],[CANTIDAD]]*Tabla1[[#This Row],[COSTO]]</f>
        <v>342.02</v>
      </c>
      <c r="G19" s="59" t="s">
        <v>308</v>
      </c>
      <c r="H19" s="2" t="s">
        <v>814</v>
      </c>
      <c r="I19" s="2" t="s">
        <v>814</v>
      </c>
      <c r="J19" s="122">
        <v>48.86</v>
      </c>
    </row>
    <row r="20" spans="1:10" ht="30" x14ac:dyDescent="0.25">
      <c r="A20" s="57" t="s">
        <v>309</v>
      </c>
      <c r="B20" s="58" t="s">
        <v>310</v>
      </c>
      <c r="C20" s="116">
        <v>10</v>
      </c>
      <c r="D20" s="122">
        <f>+IF(Tabla1[[#This Row],[OBSERVACIONES]]="Dólares",Tabla1[[#This Row],[Cost/dls  o Pesos]]*$I$1,Tabla1[[#This Row],[Cost/dls  o Pesos]])</f>
        <v>48</v>
      </c>
      <c r="E20" s="11" t="s">
        <v>282</v>
      </c>
      <c r="F20" s="40">
        <f>+Tabla1[[#This Row],[CANTIDAD]]*Tabla1[[#This Row],[COSTO]]</f>
        <v>480</v>
      </c>
      <c r="G20" s="59"/>
      <c r="H20" s="186">
        <v>45973</v>
      </c>
      <c r="I20" s="2" t="s">
        <v>973</v>
      </c>
      <c r="J20" s="122">
        <v>48</v>
      </c>
    </row>
    <row r="21" spans="1:10" x14ac:dyDescent="0.25">
      <c r="A21" s="57" t="s">
        <v>423</v>
      </c>
      <c r="B21" s="58" t="s">
        <v>424</v>
      </c>
      <c r="C21" s="116">
        <v>25</v>
      </c>
      <c r="D21" s="122">
        <f>+IF(Tabla1[[#This Row],[OBSERVACIONES]]="Dólares",Tabla1[[#This Row],[Cost/dls  o Pesos]]*$I$1,Tabla1[[#This Row],[Cost/dls  o Pesos]])</f>
        <v>46</v>
      </c>
      <c r="E21" s="11" t="s">
        <v>282</v>
      </c>
      <c r="F21" s="40">
        <f>+Tabla1[[#This Row],[CANTIDAD]]*Tabla1[[#This Row],[COSTO]]</f>
        <v>1150</v>
      </c>
      <c r="G21" s="59"/>
      <c r="H21" s="186">
        <v>45972</v>
      </c>
      <c r="I21" s="2" t="s">
        <v>978</v>
      </c>
      <c r="J21" s="122">
        <v>46</v>
      </c>
    </row>
    <row r="22" spans="1:10" ht="45" x14ac:dyDescent="0.25">
      <c r="A22" s="57" t="s">
        <v>311</v>
      </c>
      <c r="B22" s="58" t="s">
        <v>312</v>
      </c>
      <c r="C22" s="116">
        <v>20</v>
      </c>
      <c r="D22" s="122">
        <f>+IF(Tabla1[[#This Row],[OBSERVACIONES]]="Dólares",Tabla1[[#This Row],[Cost/dls  o Pesos]]*$I$1,Tabla1[[#This Row],[Cost/dls  o Pesos]])</f>
        <v>75.503799999999998</v>
      </c>
      <c r="E22" s="11" t="s">
        <v>282</v>
      </c>
      <c r="F22" s="40">
        <f>+Tabla1[[#This Row],[CANTIDAD]]*Tabla1[[#This Row],[COSTO]]</f>
        <v>1510.076</v>
      </c>
      <c r="G22" s="59" t="s">
        <v>283</v>
      </c>
      <c r="H22" s="186">
        <v>45966</v>
      </c>
      <c r="I22" s="2" t="s">
        <v>979</v>
      </c>
      <c r="J22" s="122">
        <v>4.1900000000000004</v>
      </c>
    </row>
    <row r="23" spans="1:10" ht="30" x14ac:dyDescent="0.25">
      <c r="A23" s="57" t="s">
        <v>313</v>
      </c>
      <c r="B23" s="58" t="s">
        <v>313</v>
      </c>
      <c r="C23" s="116">
        <v>10</v>
      </c>
      <c r="D23" s="122">
        <f>+IF(Tabla1[[#This Row],[OBSERVACIONES]]="Dólares",Tabla1[[#This Row],[Cost/dls  o Pesos]]*$I$1,Tabla1[[#This Row],[Cost/dls  o Pesos]])</f>
        <v>77.48599999999999</v>
      </c>
      <c r="E23" s="11" t="s">
        <v>282</v>
      </c>
      <c r="F23" s="40">
        <f>+Tabla1[[#This Row],[CANTIDAD]]*Tabla1[[#This Row],[COSTO]]</f>
        <v>774.8599999999999</v>
      </c>
      <c r="G23" s="59" t="s">
        <v>283</v>
      </c>
      <c r="H23" s="186">
        <v>45868</v>
      </c>
      <c r="I23" s="2" t="s">
        <v>979</v>
      </c>
      <c r="J23" s="122">
        <v>4.3</v>
      </c>
    </row>
    <row r="24" spans="1:10" ht="45" x14ac:dyDescent="0.25">
      <c r="A24" s="57" t="s">
        <v>314</v>
      </c>
      <c r="B24" s="58" t="s">
        <v>314</v>
      </c>
      <c r="C24" s="116">
        <v>20</v>
      </c>
      <c r="D24" s="122">
        <f>+IF(Tabla1[[#This Row],[OBSERVACIONES]]="Dólares",Tabla1[[#This Row],[Cost/dls  o Pesos]]*$I$1,Tabla1[[#This Row],[Cost/dls  o Pesos]])</f>
        <v>78.5</v>
      </c>
      <c r="E24" s="11" t="s">
        <v>304</v>
      </c>
      <c r="F24" s="40">
        <f>+Tabla1[[#This Row],[CANTIDAD]]*Tabla1[[#This Row],[COSTO]]</f>
        <v>1570</v>
      </c>
      <c r="G24" s="59" t="s">
        <v>708</v>
      </c>
      <c r="H24" s="2" t="s">
        <v>814</v>
      </c>
      <c r="I24" s="2" t="s">
        <v>814</v>
      </c>
      <c r="J24" s="122">
        <v>78.5</v>
      </c>
    </row>
    <row r="25" spans="1:10" x14ac:dyDescent="0.25">
      <c r="A25" s="57" t="s">
        <v>315</v>
      </c>
      <c r="B25" s="58" t="s">
        <v>315</v>
      </c>
      <c r="C25" s="116">
        <v>25</v>
      </c>
      <c r="D25" s="122">
        <f>+IF(Tabla1[[#This Row],[OBSERVACIONES]]="Dólares",Tabla1[[#This Row],[Cost/dls  o Pesos]]*$I$1,Tabla1[[#This Row],[Cost/dls  o Pesos]])</f>
        <v>87.396999999999991</v>
      </c>
      <c r="E25" s="11" t="s">
        <v>282</v>
      </c>
      <c r="F25" s="40">
        <f>+Tabla1[[#This Row],[CANTIDAD]]*Tabla1[[#This Row],[COSTO]]</f>
        <v>2184.9249999999997</v>
      </c>
      <c r="G25" s="59" t="s">
        <v>283</v>
      </c>
      <c r="H25" s="186">
        <v>45965</v>
      </c>
      <c r="I25" s="2" t="s">
        <v>976</v>
      </c>
      <c r="J25" s="122">
        <v>4.8499999999999996</v>
      </c>
    </row>
    <row r="26" spans="1:10" ht="30" x14ac:dyDescent="0.25">
      <c r="A26" s="57" t="s">
        <v>316</v>
      </c>
      <c r="B26" s="58" t="s">
        <v>316</v>
      </c>
      <c r="C26" s="116">
        <f>14.88*2</f>
        <v>29.76</v>
      </c>
      <c r="D26" s="122">
        <f>+IF(Tabla1[[#This Row],[OBSERVACIONES]]="Dólares",Tabla1[[#This Row],[Cost/dls  o Pesos]]*$I$1,Tabla1[[#This Row],[Cost/dls  o Pesos]])</f>
        <v>522.58000000000004</v>
      </c>
      <c r="E26" s="11" t="s">
        <v>282</v>
      </c>
      <c r="F26" s="40">
        <f>+Tabla1[[#This Row],[CANTIDAD]]*Tabla1[[#This Row],[COSTO]]</f>
        <v>15551.980800000001</v>
      </c>
      <c r="G26" s="59" t="s">
        <v>283</v>
      </c>
      <c r="H26" s="186">
        <v>45959</v>
      </c>
      <c r="I26" s="2" t="s">
        <v>973</v>
      </c>
      <c r="J26" s="122">
        <v>29</v>
      </c>
    </row>
    <row r="27" spans="1:10" ht="46.5" customHeight="1" x14ac:dyDescent="0.25">
      <c r="A27" s="57" t="s">
        <v>317</v>
      </c>
      <c r="B27" s="58" t="s">
        <v>317</v>
      </c>
      <c r="C27" s="116">
        <v>0</v>
      </c>
      <c r="D27" s="122">
        <f>+IF(Tabla1[[#This Row],[OBSERVACIONES]]="Dólares",Tabla1[[#This Row],[Cost/dls  o Pesos]]*$I$1,Tabla1[[#This Row],[Cost/dls  o Pesos]])</f>
        <v>84.05</v>
      </c>
      <c r="E27" s="11" t="s">
        <v>282</v>
      </c>
      <c r="F27" s="40">
        <f>+Tabla1[[#This Row],[CANTIDAD]]*Tabla1[[#This Row],[COSTO]]</f>
        <v>0</v>
      </c>
      <c r="G27" s="59"/>
      <c r="J27" s="122">
        <v>84.05</v>
      </c>
    </row>
    <row r="28" spans="1:10" ht="45" x14ac:dyDescent="0.25">
      <c r="A28" s="57" t="s">
        <v>318</v>
      </c>
      <c r="B28" s="58" t="s">
        <v>318</v>
      </c>
      <c r="C28" s="116">
        <v>100</v>
      </c>
      <c r="D28" s="122">
        <f>+IF(Tabla1[[#This Row],[OBSERVACIONES]]="Dólares",Tabla1[[#This Row],[Cost/dls  o Pesos]]*$I$1,Tabla1[[#This Row],[Cost/dls  o Pesos]])</f>
        <v>51.356999999999999</v>
      </c>
      <c r="E28" s="11" t="s">
        <v>282</v>
      </c>
      <c r="F28" s="40">
        <f>+Tabla1[[#This Row],[CANTIDAD]]*Tabla1[[#This Row],[COSTO]]</f>
        <v>5135.7</v>
      </c>
      <c r="G28" s="59" t="s">
        <v>283</v>
      </c>
      <c r="H28" s="186">
        <v>45966</v>
      </c>
      <c r="I28" s="2" t="s">
        <v>979</v>
      </c>
      <c r="J28" s="122">
        <v>2.85</v>
      </c>
    </row>
    <row r="29" spans="1:10" x14ac:dyDescent="0.25">
      <c r="A29" s="57" t="s">
        <v>319</v>
      </c>
      <c r="B29" s="58" t="s">
        <v>685</v>
      </c>
      <c r="C29" s="116">
        <v>100</v>
      </c>
      <c r="D29" s="122">
        <f>+IF(Tabla1[[#This Row],[OBSERVACIONES]]="Dólares",Tabla1[[#This Row],[Cost/dls  o Pesos]]*$I$1,Tabla1[[#This Row],[Cost/dls  o Pesos]])</f>
        <v>40</v>
      </c>
      <c r="E29" s="11" t="s">
        <v>282</v>
      </c>
      <c r="F29" s="40">
        <f>+Tabla1[[#This Row],[CANTIDAD]]*Tabla1[[#This Row],[COSTO]]</f>
        <v>4000</v>
      </c>
      <c r="G29" s="59"/>
      <c r="H29" s="186">
        <v>45980</v>
      </c>
      <c r="I29" s="2" t="s">
        <v>978</v>
      </c>
      <c r="J29" s="122">
        <v>40</v>
      </c>
    </row>
    <row r="30" spans="1:10" ht="30" x14ac:dyDescent="0.25">
      <c r="A30" s="57" t="s">
        <v>320</v>
      </c>
      <c r="B30" s="58" t="s">
        <v>321</v>
      </c>
      <c r="C30" s="116">
        <v>1900</v>
      </c>
      <c r="D30" s="122">
        <f>+IF(Tabla1[[#This Row],[OBSERVACIONES]]="Dólares",Tabla1[[#This Row],[Cost/dls  o Pesos]]*$I$1,Tabla1[[#This Row],[Cost/dls  o Pesos]])</f>
        <v>18.02</v>
      </c>
      <c r="E30" s="11" t="s">
        <v>282</v>
      </c>
      <c r="F30" s="40">
        <f>+Tabla1[[#This Row],[CANTIDAD]]*Tabla1[[#This Row],[COSTO]]</f>
        <v>34238</v>
      </c>
      <c r="G30" s="59" t="s">
        <v>283</v>
      </c>
      <c r="H30" s="190">
        <v>45992</v>
      </c>
      <c r="I30" s="2" t="s">
        <v>980</v>
      </c>
      <c r="J30" s="122">
        <v>1</v>
      </c>
    </row>
    <row r="31" spans="1:10" ht="45" x14ac:dyDescent="0.25">
      <c r="A31" s="57" t="s">
        <v>322</v>
      </c>
      <c r="B31" s="58" t="s">
        <v>322</v>
      </c>
      <c r="C31" s="116">
        <v>20</v>
      </c>
      <c r="D31" s="122">
        <f>+IF(Tabla1[[#This Row],[OBSERVACIONES]]="Dólares",Tabla1[[#This Row],[Cost/dls  o Pesos]]*$I$1,Tabla1[[#This Row],[Cost/dls  o Pesos]])</f>
        <v>14.58</v>
      </c>
      <c r="E31" s="11" t="s">
        <v>282</v>
      </c>
      <c r="F31" s="40">
        <f>+Tabla1[[#This Row],[CANTIDAD]]*Tabla1[[#This Row],[COSTO]]</f>
        <v>291.60000000000002</v>
      </c>
      <c r="G31" s="59" t="s">
        <v>323</v>
      </c>
      <c r="H31" s="2" t="s">
        <v>814</v>
      </c>
      <c r="I31" s="2" t="s">
        <v>814</v>
      </c>
      <c r="J31" s="122">
        <v>14.58</v>
      </c>
    </row>
    <row r="32" spans="1:10" x14ac:dyDescent="0.25">
      <c r="A32" s="57" t="s">
        <v>324</v>
      </c>
      <c r="B32" s="58" t="s">
        <v>325</v>
      </c>
      <c r="C32" s="116">
        <v>25</v>
      </c>
      <c r="D32" s="122">
        <f>+IF(Tabla1[[#This Row],[OBSERVACIONES]]="Dólares",Tabla1[[#This Row],[Cost/dls  o Pesos]]*$I$1,Tabla1[[#This Row],[Cost/dls  o Pesos]])</f>
        <v>53.158999999999999</v>
      </c>
      <c r="E32" s="11" t="s">
        <v>282</v>
      </c>
      <c r="F32" s="40">
        <f>+Tabla1[[#This Row],[CANTIDAD]]*Tabla1[[#This Row],[COSTO]]</f>
        <v>1328.9749999999999</v>
      </c>
      <c r="G32" s="59" t="s">
        <v>283</v>
      </c>
      <c r="H32" s="186">
        <v>45965</v>
      </c>
      <c r="I32" s="2" t="s">
        <v>976</v>
      </c>
      <c r="J32" s="122">
        <v>2.95</v>
      </c>
    </row>
    <row r="33" spans="1:14" ht="30" x14ac:dyDescent="0.25">
      <c r="A33" s="57" t="s">
        <v>326</v>
      </c>
      <c r="B33" s="58" t="s">
        <v>326</v>
      </c>
      <c r="C33" s="116">
        <v>40</v>
      </c>
      <c r="D33" s="122">
        <f>+IF(Tabla1[[#This Row],[OBSERVACIONES]]="Dólares",Tabla1[[#This Row],[Cost/dls  o Pesos]]*$I$1,Tabla1[[#This Row],[Cost/dls  o Pesos]])</f>
        <v>28.832000000000001</v>
      </c>
      <c r="E33" s="11" t="s">
        <v>282</v>
      </c>
      <c r="F33" s="40">
        <f>+Tabla1[[#This Row],[CANTIDAD]]*Tabla1[[#This Row],[COSTO]]</f>
        <v>1153.28</v>
      </c>
      <c r="G33" s="59" t="s">
        <v>283</v>
      </c>
      <c r="H33" s="186">
        <v>45966</v>
      </c>
      <c r="I33" s="2" t="s">
        <v>979</v>
      </c>
      <c r="J33" s="122">
        <v>1.6</v>
      </c>
    </row>
    <row r="34" spans="1:14" ht="45" x14ac:dyDescent="0.25">
      <c r="A34" s="57" t="s">
        <v>327</v>
      </c>
      <c r="B34" s="58" t="s">
        <v>327</v>
      </c>
      <c r="C34" s="116">
        <v>30</v>
      </c>
      <c r="D34" s="122">
        <f>+IF(Tabla1[[#This Row],[OBSERVACIONES]]="Dólares",Tabla1[[#This Row],[Cost/dls  o Pesos]]*$I$1,Tabla1[[#This Row],[Cost/dls  o Pesos]])</f>
        <v>494</v>
      </c>
      <c r="E34" s="11" t="s">
        <v>282</v>
      </c>
      <c r="F34" s="40">
        <f>+Tabla1[[#This Row],[CANTIDAD]]*Tabla1[[#This Row],[COSTO]]</f>
        <v>14820</v>
      </c>
      <c r="G34" s="59" t="s">
        <v>328</v>
      </c>
      <c r="H34" s="2" t="s">
        <v>814</v>
      </c>
      <c r="I34" s="2" t="s">
        <v>814</v>
      </c>
      <c r="J34" s="122">
        <v>494</v>
      </c>
    </row>
    <row r="35" spans="1:14" ht="30" x14ac:dyDescent="0.25">
      <c r="A35" s="57" t="s">
        <v>329</v>
      </c>
      <c r="B35" s="58" t="s">
        <v>329</v>
      </c>
      <c r="C35" s="116">
        <v>50</v>
      </c>
      <c r="D35" s="122">
        <f>+IF(Tabla1[[#This Row],[OBSERVACIONES]]="Dólares",Tabla1[[#This Row],[Cost/dls  o Pesos]]*$I$1,Tabla1[[#This Row],[Cost/dls  o Pesos]])</f>
        <v>1055</v>
      </c>
      <c r="E35" s="11" t="s">
        <v>282</v>
      </c>
      <c r="F35" s="40">
        <f>+Tabla1[[#This Row],[CANTIDAD]]*Tabla1[[#This Row],[COSTO]]</f>
        <v>52750</v>
      </c>
      <c r="G35" s="59"/>
      <c r="H35" s="2" t="s">
        <v>814</v>
      </c>
      <c r="I35" s="2" t="s">
        <v>814</v>
      </c>
      <c r="J35" s="122">
        <v>1055</v>
      </c>
    </row>
    <row r="36" spans="1:14" ht="30" x14ac:dyDescent="0.25">
      <c r="A36" s="57" t="s">
        <v>330</v>
      </c>
      <c r="B36" s="58" t="s">
        <v>330</v>
      </c>
      <c r="C36" s="116">
        <v>20</v>
      </c>
      <c r="D36" s="122">
        <f>+IF(Tabla1[[#This Row],[OBSERVACIONES]]="Dólares",Tabla1[[#This Row],[Cost/dls  o Pesos]]*$I$1,Tabla1[[#This Row],[Cost/dls  o Pesos]])</f>
        <v>145</v>
      </c>
      <c r="E36" s="11" t="s">
        <v>282</v>
      </c>
      <c r="F36" s="40">
        <f>+Tabla1[[#This Row],[CANTIDAD]]*Tabla1[[#This Row],[COSTO]]</f>
        <v>2900</v>
      </c>
      <c r="G36" s="59"/>
      <c r="H36" s="2" t="s">
        <v>814</v>
      </c>
      <c r="I36" s="2" t="s">
        <v>814</v>
      </c>
      <c r="J36" s="122">
        <v>145</v>
      </c>
    </row>
    <row r="37" spans="1:14" ht="30" x14ac:dyDescent="0.25">
      <c r="A37" s="57" t="s">
        <v>331</v>
      </c>
      <c r="B37" s="58" t="s">
        <v>331</v>
      </c>
      <c r="C37" s="116">
        <v>4</v>
      </c>
      <c r="D37" s="122">
        <f>+IF(Tabla1[[#This Row],[OBSERVACIONES]]="Dólares",Tabla1[[#This Row],[Cost/dls  o Pesos]]*$I$1,Tabla1[[#This Row],[Cost/dls  o Pesos]])</f>
        <v>514</v>
      </c>
      <c r="E37" s="11" t="s">
        <v>282</v>
      </c>
      <c r="F37" s="40">
        <f>+Tabla1[[#This Row],[CANTIDAD]]*Tabla1[[#This Row],[COSTO]]</f>
        <v>2056</v>
      </c>
      <c r="G37" s="59"/>
      <c r="H37" s="2" t="s">
        <v>814</v>
      </c>
      <c r="I37" s="2" t="s">
        <v>814</v>
      </c>
      <c r="J37" s="122">
        <v>514</v>
      </c>
    </row>
    <row r="38" spans="1:14" ht="30" x14ac:dyDescent="0.25">
      <c r="A38" s="57" t="s">
        <v>949</v>
      </c>
      <c r="B38" s="58" t="s">
        <v>950</v>
      </c>
      <c r="C38" s="119">
        <v>10</v>
      </c>
      <c r="D38" s="122">
        <f>+IF(Tabla1[[#This Row],[OBSERVACIONES]]="Dólares",Tabla1[[#This Row],[Cost/dls  o Pesos]]*$I$1,Tabla1[[#This Row],[Cost/dls  o Pesos]])</f>
        <v>944</v>
      </c>
      <c r="E38" s="11" t="s">
        <v>282</v>
      </c>
      <c r="F38" s="40">
        <f>+Tabla1[[#This Row],[CANTIDAD]]*Tabla1[[#This Row],[COSTO]]</f>
        <v>9440</v>
      </c>
      <c r="G38" s="59"/>
      <c r="H38" s="186">
        <v>45840</v>
      </c>
      <c r="I38" s="2" t="s">
        <v>981</v>
      </c>
      <c r="J38" s="122">
        <v>944</v>
      </c>
    </row>
    <row r="39" spans="1:14" ht="30" x14ac:dyDescent="0.25">
      <c r="A39" s="57" t="s">
        <v>951</v>
      </c>
      <c r="B39" s="58" t="s">
        <v>951</v>
      </c>
      <c r="C39" s="119">
        <v>10</v>
      </c>
      <c r="D39" s="122">
        <f>+IF(Tabla1[[#This Row],[OBSERVACIONES]]="Dólares",Tabla1[[#This Row],[Cost/dls  o Pesos]]*$I$1,Tabla1[[#This Row],[Cost/dls  o Pesos]])</f>
        <v>944</v>
      </c>
      <c r="E39" s="11" t="s">
        <v>282</v>
      </c>
      <c r="F39" s="40">
        <f>+Tabla1[[#This Row],[CANTIDAD]]*Tabla1[[#This Row],[COSTO]]</f>
        <v>9440</v>
      </c>
      <c r="G39" s="59" t="s">
        <v>952</v>
      </c>
      <c r="H39" s="2" t="s">
        <v>814</v>
      </c>
      <c r="I39" s="2" t="s">
        <v>814</v>
      </c>
      <c r="J39" s="122">
        <v>944</v>
      </c>
    </row>
    <row r="40" spans="1:14" ht="45" x14ac:dyDescent="0.25">
      <c r="A40" s="57" t="s">
        <v>332</v>
      </c>
      <c r="B40" s="58" t="s">
        <v>333</v>
      </c>
      <c r="C40" s="116">
        <v>80</v>
      </c>
      <c r="D40" s="122">
        <f>+IF(Tabla1[[#This Row],[OBSERVACIONES]]="Dólares",Tabla1[[#This Row],[Cost/dls  o Pesos]]*$I$1,Tabla1[[#This Row],[Cost/dls  o Pesos]])</f>
        <v>49.56</v>
      </c>
      <c r="E40" s="11" t="s">
        <v>304</v>
      </c>
      <c r="F40" s="40">
        <f>+Tabla1[[#This Row],[CANTIDAD]]*Tabla1[[#This Row],[COSTO]]</f>
        <v>3964.8</v>
      </c>
      <c r="G40" s="59" t="s">
        <v>334</v>
      </c>
      <c r="H40" s="2" t="s">
        <v>814</v>
      </c>
      <c r="I40" s="2" t="s">
        <v>814</v>
      </c>
      <c r="J40" s="122">
        <v>49.56</v>
      </c>
    </row>
    <row r="41" spans="1:14" ht="30" x14ac:dyDescent="0.25">
      <c r="A41" s="57" t="s">
        <v>335</v>
      </c>
      <c r="B41" s="58" t="s">
        <v>335</v>
      </c>
      <c r="C41" s="116">
        <v>100</v>
      </c>
      <c r="D41" s="122">
        <f>+IF(Tabla1[[#This Row],[OBSERVACIONES]]="Dólares",Tabla1[[#This Row],[Cost/dls  o Pesos]]*$I$1,Tabla1[[#This Row],[Cost/dls  o Pesos]])</f>
        <v>73.599999999999994</v>
      </c>
      <c r="E41" s="11" t="s">
        <v>282</v>
      </c>
      <c r="F41" s="40">
        <f>+Tabla1[[#This Row],[CANTIDAD]]*Tabla1[[#This Row],[COSTO]]</f>
        <v>7359.9999999999991</v>
      </c>
      <c r="G41" s="59"/>
      <c r="H41" s="186">
        <v>45981</v>
      </c>
      <c r="I41" s="2" t="s">
        <v>977</v>
      </c>
      <c r="J41" s="122">
        <v>73.599999999999994</v>
      </c>
    </row>
    <row r="42" spans="1:14" ht="30" x14ac:dyDescent="0.25">
      <c r="A42" s="62" t="s">
        <v>336</v>
      </c>
      <c r="B42" s="63" t="s">
        <v>337</v>
      </c>
      <c r="C42" s="119">
        <f>2*12</f>
        <v>24</v>
      </c>
      <c r="D42" s="122">
        <f>+IF(Tabla1[[#This Row],[OBSERVACIONES]]="Dólares",Tabla1[[#This Row],[Cost/dls  o Pesos]]*$I$1,Tabla1[[#This Row],[Cost/dls  o Pesos]])</f>
        <v>42.5</v>
      </c>
      <c r="E42" s="11" t="s">
        <v>338</v>
      </c>
      <c r="F42" s="40">
        <f>+Tabla1[[#This Row],[CANTIDAD]]*Tabla1[[#This Row],[COSTO]]</f>
        <v>1020</v>
      </c>
      <c r="G42" s="59"/>
      <c r="H42" s="186">
        <v>45972</v>
      </c>
      <c r="I42" s="2" t="s">
        <v>977</v>
      </c>
      <c r="J42" s="122">
        <v>42.5</v>
      </c>
    </row>
    <row r="43" spans="1:14" ht="30" x14ac:dyDescent="0.25">
      <c r="A43" s="62" t="s">
        <v>339</v>
      </c>
      <c r="B43" s="63" t="s">
        <v>340</v>
      </c>
      <c r="C43" s="119">
        <v>60</v>
      </c>
      <c r="D43" s="122">
        <f>+IF(Tabla1[[#This Row],[OBSERVACIONES]]="Dólares",Tabla1[[#This Row],[Cost/dls  o Pesos]]*$I$1,Tabla1[[#This Row],[Cost/dls  o Pesos]])</f>
        <v>10.925000000000001</v>
      </c>
      <c r="E43" s="64" t="s">
        <v>282</v>
      </c>
      <c r="F43" s="40">
        <f>+Tabla1[[#This Row],[CANTIDAD]]*Tabla1[[#This Row],[COSTO]]</f>
        <v>655.5</v>
      </c>
      <c r="G43" s="65"/>
      <c r="H43" s="186">
        <v>46005</v>
      </c>
      <c r="I43" s="2" t="s">
        <v>982</v>
      </c>
      <c r="J43" s="125">
        <v>10.925000000000001</v>
      </c>
    </row>
    <row r="44" spans="1:14" ht="45.75" customHeight="1" x14ac:dyDescent="0.25">
      <c r="A44" s="62" t="s">
        <v>341</v>
      </c>
      <c r="B44" s="63" t="s">
        <v>341</v>
      </c>
      <c r="C44" s="119">
        <v>315</v>
      </c>
      <c r="D44" s="122">
        <f>+IF(Tabla1[[#This Row],[OBSERVACIONES]]="Dólares",Tabla1[[#This Row],[Cost/dls  o Pesos]]*$I$1,Tabla1[[#This Row],[Cost/dls  o Pesos]])</f>
        <v>55</v>
      </c>
      <c r="E44" s="64" t="s">
        <v>282</v>
      </c>
      <c r="F44" s="40">
        <f>+Tabla1[[#This Row],[CANTIDAD]]*Tabla1[[#This Row],[COSTO]]</f>
        <v>17325</v>
      </c>
      <c r="G44" s="65"/>
      <c r="J44" s="125">
        <v>55</v>
      </c>
    </row>
    <row r="45" spans="1:14" ht="30" x14ac:dyDescent="0.25">
      <c r="A45" s="62" t="s">
        <v>649</v>
      </c>
      <c r="B45" s="63" t="s">
        <v>650</v>
      </c>
      <c r="C45" s="119">
        <v>500</v>
      </c>
      <c r="D45" s="122">
        <f>+IF(Tabla1[[#This Row],[OBSERVACIONES]]="Dólares",Tabla1[[#This Row],[Cost/dls  o Pesos]]*$I$1,Tabla1[[#This Row],[Cost/dls  o Pesos]])</f>
        <v>44</v>
      </c>
      <c r="E45" s="64" t="s">
        <v>282</v>
      </c>
      <c r="F45" s="40">
        <f>+Tabla1[[#This Row],[CANTIDAD]]*Tabla1[[#This Row],[COSTO]]</f>
        <v>22000</v>
      </c>
      <c r="G45" s="65" t="s">
        <v>939</v>
      </c>
      <c r="J45" s="125">
        <v>44</v>
      </c>
      <c r="M45">
        <v>37</v>
      </c>
      <c r="N45">
        <v>62</v>
      </c>
    </row>
    <row r="46" spans="1:14" ht="30" x14ac:dyDescent="0.25">
      <c r="A46" s="62" t="s">
        <v>342</v>
      </c>
      <c r="B46" s="63" t="s">
        <v>343</v>
      </c>
      <c r="C46" s="119">
        <v>0</v>
      </c>
      <c r="D46" s="122">
        <f>+IF(Tabla1[[#This Row],[OBSERVACIONES]]="Dólares",Tabla1[[#This Row],[Cost/dls  o Pesos]]*$I$1,Tabla1[[#This Row],[Cost/dls  o Pesos]])</f>
        <v>62</v>
      </c>
      <c r="E46" s="11" t="s">
        <v>282</v>
      </c>
      <c r="F46" s="40">
        <f>+Tabla1[[#This Row],[CANTIDAD]]*Tabla1[[#This Row],[COSTO]]</f>
        <v>0</v>
      </c>
      <c r="G46" s="59" t="s">
        <v>686</v>
      </c>
      <c r="J46" s="122">
        <v>62</v>
      </c>
    </row>
    <row r="47" spans="1:14" ht="42" customHeight="1" x14ac:dyDescent="0.25">
      <c r="A47" s="62" t="s">
        <v>344</v>
      </c>
      <c r="B47" s="63" t="s">
        <v>344</v>
      </c>
      <c r="C47" s="119">
        <v>0</v>
      </c>
      <c r="D47" s="122">
        <f>+IF(Tabla1[[#This Row],[OBSERVACIONES]]="Dólares",Tabla1[[#This Row],[Cost/dls  o Pesos]]*$I$1,Tabla1[[#This Row],[Cost/dls  o Pesos]])</f>
        <v>45</v>
      </c>
      <c r="E47" s="64" t="s">
        <v>282</v>
      </c>
      <c r="F47" s="40">
        <f>+Tabla1[[#This Row],[CANTIDAD]]*Tabla1[[#This Row],[COSTO]]</f>
        <v>0</v>
      </c>
      <c r="G47" s="65" t="s">
        <v>686</v>
      </c>
      <c r="J47" s="125">
        <v>45</v>
      </c>
    </row>
    <row r="48" spans="1:14" ht="45" x14ac:dyDescent="0.25">
      <c r="A48" s="62" t="s">
        <v>345</v>
      </c>
      <c r="B48" s="63" t="s">
        <v>346</v>
      </c>
      <c r="C48" s="119">
        <v>90</v>
      </c>
      <c r="D48" s="122">
        <f>+IF(Tabla1[[#This Row],[OBSERVACIONES]]="Dólares",Tabla1[[#This Row],[Cost/dls  o Pesos]]*$I$1,Tabla1[[#This Row],[Cost/dls  o Pesos]])</f>
        <v>60</v>
      </c>
      <c r="E48" s="64" t="s">
        <v>282</v>
      </c>
      <c r="F48" s="40">
        <f>+Tabla1[[#This Row],[CANTIDAD]]*Tabla1[[#This Row],[COSTO]]</f>
        <v>5400</v>
      </c>
      <c r="G48" s="59" t="s">
        <v>347</v>
      </c>
      <c r="J48" s="125">
        <v>60</v>
      </c>
    </row>
    <row r="49" spans="1:10" ht="45" customHeight="1" x14ac:dyDescent="0.25">
      <c r="A49" s="62" t="s">
        <v>955</v>
      </c>
      <c r="B49" s="63" t="s">
        <v>348</v>
      </c>
      <c r="C49" s="119">
        <v>0</v>
      </c>
      <c r="D49" s="122">
        <f>+IF(Tabla1[[#This Row],[OBSERVACIONES]]="Dólares",Tabla1[[#This Row],[Cost/dls  o Pesos]]*$I$1,Tabla1[[#This Row],[Cost/dls  o Pesos]])</f>
        <v>40</v>
      </c>
      <c r="E49" s="64" t="s">
        <v>282</v>
      </c>
      <c r="F49" s="40">
        <f>+Tabla1[[#This Row],[CANTIDAD]]*Tabla1[[#This Row],[COSTO]]</f>
        <v>0</v>
      </c>
      <c r="G49" s="65" t="s">
        <v>705</v>
      </c>
      <c r="J49" s="125">
        <v>40</v>
      </c>
    </row>
    <row r="50" spans="1:10" ht="42.75" customHeight="1" x14ac:dyDescent="0.25">
      <c r="A50" s="62" t="s">
        <v>532</v>
      </c>
      <c r="B50" s="63" t="s">
        <v>532</v>
      </c>
      <c r="C50" s="119">
        <v>0</v>
      </c>
      <c r="D50" s="122">
        <f>+IF(Tabla1[[#This Row],[OBSERVACIONES]]="Dólares",Tabla1[[#This Row],[Cost/dls  o Pesos]]*$I$1,Tabla1[[#This Row],[Cost/dls  o Pesos]])</f>
        <v>49</v>
      </c>
      <c r="E50" s="64" t="s">
        <v>533</v>
      </c>
      <c r="F50" s="40">
        <f>+Tabla1[[#This Row],[CANTIDAD]]*Tabla1[[#This Row],[COSTO]]</f>
        <v>0</v>
      </c>
      <c r="G50" s="65" t="s">
        <v>534</v>
      </c>
      <c r="J50" s="126">
        <v>49</v>
      </c>
    </row>
    <row r="51" spans="1:10" x14ac:dyDescent="0.25">
      <c r="E51" s="17"/>
    </row>
    <row r="52" spans="1:10" x14ac:dyDescent="0.25">
      <c r="E52" s="17"/>
      <c r="F52" s="82">
        <f>SUM(F3:F51)</f>
        <v>275824.8628</v>
      </c>
    </row>
    <row r="55" spans="1:10" ht="30" x14ac:dyDescent="0.25">
      <c r="D55" s="167" t="s">
        <v>868</v>
      </c>
      <c r="F55" s="47">
        <f>F52-F56</f>
        <v>199063.94280000002</v>
      </c>
    </row>
    <row r="56" spans="1:10" ht="30" x14ac:dyDescent="0.25">
      <c r="D56" s="167" t="s">
        <v>869</v>
      </c>
      <c r="F56" s="47">
        <f>F17+F19+F24+F31+F34+F35+F36+F40</f>
        <v>76760.92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7D79-DE26-4EF7-BE80-3ED186E16B9A}">
  <sheetPr codeName="Hoja6">
    <tabColor theme="8" tint="0.39997558519241921"/>
  </sheetPr>
  <dimension ref="A1:I34"/>
  <sheetViews>
    <sheetView workbookViewId="0">
      <selection activeCell="C2" sqref="C2"/>
    </sheetView>
  </sheetViews>
  <sheetFormatPr baseColWidth="10" defaultRowHeight="15" x14ac:dyDescent="0.25"/>
  <cols>
    <col min="1" max="1" width="13" style="78" customWidth="1"/>
    <col min="2" max="2" width="16.28515625" bestFit="1" customWidth="1"/>
    <col min="3" max="3" width="13" customWidth="1"/>
    <col min="4" max="4" width="28.7109375" style="78" customWidth="1"/>
  </cols>
  <sheetData>
    <row r="1" spans="1:9" s="17" customFormat="1" ht="45" x14ac:dyDescent="0.25">
      <c r="A1" s="102" t="s">
        <v>570</v>
      </c>
      <c r="B1" s="103" t="s">
        <v>352</v>
      </c>
      <c r="C1" s="17" t="s">
        <v>279</v>
      </c>
      <c r="D1" s="17" t="s">
        <v>571</v>
      </c>
      <c r="E1" s="17" t="s">
        <v>572</v>
      </c>
      <c r="F1" s="4" t="s">
        <v>940</v>
      </c>
      <c r="G1" s="17" t="s">
        <v>154</v>
      </c>
      <c r="H1" s="17" t="s">
        <v>992</v>
      </c>
      <c r="I1" s="224" t="s">
        <v>225</v>
      </c>
    </row>
    <row r="2" spans="1:9" x14ac:dyDescent="0.25">
      <c r="A2" s="104" t="s">
        <v>573</v>
      </c>
      <c r="B2" s="104"/>
      <c r="C2" s="85">
        <f>ROLLOS[[#This Row],[19/12/2025]]*ROLLOS[[#This Row],[PESO X ROLLO
(KG)]]</f>
        <v>180</v>
      </c>
      <c r="D2" s="16" t="s">
        <v>574</v>
      </c>
      <c r="E2" s="85">
        <v>90</v>
      </c>
      <c r="F2" s="16">
        <v>2</v>
      </c>
      <c r="G2" s="85"/>
      <c r="H2" s="85">
        <v>36.1</v>
      </c>
      <c r="I2" s="225">
        <f>+ROLLOS[[#This Row],[Precio]]*ROLLOS[[#This Row],[CANTIDAD]]</f>
        <v>6498</v>
      </c>
    </row>
    <row r="3" spans="1:9" ht="30" x14ac:dyDescent="0.25">
      <c r="A3" s="105" t="s">
        <v>575</v>
      </c>
      <c r="B3" s="105"/>
      <c r="C3" s="85">
        <f>ROLLOS[[#This Row],[19/12/2025]]*ROLLOS[[#This Row],[PESO X ROLLO
(KG)]]</f>
        <v>180</v>
      </c>
      <c r="D3" s="16"/>
      <c r="E3" s="16">
        <v>90</v>
      </c>
      <c r="F3" s="16">
        <v>2</v>
      </c>
      <c r="G3" s="16"/>
      <c r="H3" s="16">
        <v>39.799999999999997</v>
      </c>
      <c r="I3" s="226">
        <f>+ROLLOS[[#This Row],[Precio]]*ROLLOS[[#This Row],[CANTIDAD]]</f>
        <v>7163.9999999999991</v>
      </c>
    </row>
    <row r="4" spans="1:9" ht="90" x14ac:dyDescent="0.25">
      <c r="A4" s="104" t="s">
        <v>576</v>
      </c>
      <c r="B4" s="104"/>
      <c r="C4" s="85">
        <f>ROLLOS[[#This Row],[19/12/2025]]*ROLLOS[[#This Row],[PESO X ROLLO
(KG)]]</f>
        <v>180</v>
      </c>
      <c r="D4" s="16" t="s">
        <v>577</v>
      </c>
      <c r="E4" s="16">
        <v>60</v>
      </c>
      <c r="F4" s="16">
        <v>3</v>
      </c>
      <c r="G4" s="16" t="s">
        <v>578</v>
      </c>
      <c r="H4" s="16">
        <v>39.799999999999997</v>
      </c>
      <c r="I4" s="226">
        <f>+ROLLOS[[#This Row],[Precio]]*ROLLOS[[#This Row],[CANTIDAD]]</f>
        <v>7163.9999999999991</v>
      </c>
    </row>
    <row r="5" spans="1:9" x14ac:dyDescent="0.25">
      <c r="A5" s="105" t="s">
        <v>579</v>
      </c>
      <c r="B5" s="105" t="s">
        <v>580</v>
      </c>
      <c r="C5" s="85">
        <f>ROLLOS[[#This Row],[19/12/2025]]*ROLLOS[[#This Row],[PESO X ROLLO
(KG)]]</f>
        <v>630</v>
      </c>
      <c r="D5" s="16" t="s">
        <v>581</v>
      </c>
      <c r="E5" s="16">
        <v>90</v>
      </c>
      <c r="F5" s="16">
        <v>7</v>
      </c>
      <c r="G5" s="16"/>
      <c r="H5" s="16">
        <v>42.9</v>
      </c>
      <c r="I5" s="226">
        <f>+ROLLOS[[#This Row],[Precio]]*ROLLOS[[#This Row],[CANTIDAD]]</f>
        <v>27027</v>
      </c>
    </row>
    <row r="6" spans="1:9" x14ac:dyDescent="0.25">
      <c r="A6" s="104" t="s">
        <v>579</v>
      </c>
      <c r="B6" s="104" t="s">
        <v>582</v>
      </c>
      <c r="C6" s="85">
        <f>ROLLOS[[#This Row],[19/12/2025]]*ROLLOS[[#This Row],[PESO X ROLLO
(KG)]]</f>
        <v>360</v>
      </c>
      <c r="D6" s="16" t="s">
        <v>583</v>
      </c>
      <c r="E6" s="16">
        <v>90</v>
      </c>
      <c r="F6" s="16">
        <v>4</v>
      </c>
      <c r="G6" s="16"/>
      <c r="H6" s="16">
        <v>42.9</v>
      </c>
      <c r="I6" s="226">
        <f>+ROLLOS[[#This Row],[Precio]]*ROLLOS[[#This Row],[CANTIDAD]]</f>
        <v>15444</v>
      </c>
    </row>
    <row r="7" spans="1:9" ht="30" x14ac:dyDescent="0.25">
      <c r="A7" s="104" t="s">
        <v>579</v>
      </c>
      <c r="B7" s="104" t="s">
        <v>942</v>
      </c>
      <c r="C7" s="16"/>
      <c r="D7" s="16" t="s">
        <v>583</v>
      </c>
      <c r="E7" s="16">
        <v>90</v>
      </c>
      <c r="F7" s="16">
        <v>0</v>
      </c>
      <c r="G7" s="16"/>
      <c r="H7" s="16"/>
      <c r="I7" s="16">
        <f>+ROLLOS[[#This Row],[Precio]]*ROLLOS[[#This Row],[CANTIDAD]]</f>
        <v>0</v>
      </c>
    </row>
    <row r="8" spans="1:9" x14ac:dyDescent="0.25">
      <c r="A8" s="105" t="s">
        <v>579</v>
      </c>
      <c r="B8" s="105" t="s">
        <v>584</v>
      </c>
      <c r="C8" s="16"/>
      <c r="D8" s="16" t="s">
        <v>583</v>
      </c>
      <c r="E8" s="16">
        <v>90</v>
      </c>
      <c r="F8" s="16">
        <v>0</v>
      </c>
      <c r="G8" s="16"/>
      <c r="H8" s="16"/>
      <c r="I8" s="16">
        <f>+ROLLOS[[#This Row],[Precio]]*ROLLOS[[#This Row],[CANTIDAD]]</f>
        <v>0</v>
      </c>
    </row>
    <row r="9" spans="1:9" ht="30" x14ac:dyDescent="0.25">
      <c r="A9" s="104" t="s">
        <v>579</v>
      </c>
      <c r="B9" s="104" t="s">
        <v>585</v>
      </c>
      <c r="C9" s="16"/>
      <c r="D9" s="16" t="s">
        <v>586</v>
      </c>
      <c r="E9" s="16">
        <v>90</v>
      </c>
      <c r="F9" s="16">
        <v>0</v>
      </c>
      <c r="G9" s="16"/>
      <c r="H9" s="16"/>
      <c r="I9" s="16">
        <f>+ROLLOS[[#This Row],[Precio]]*ROLLOS[[#This Row],[CANTIDAD]]</f>
        <v>0</v>
      </c>
    </row>
    <row r="10" spans="1:9" x14ac:dyDescent="0.25">
      <c r="A10" s="105" t="s">
        <v>587</v>
      </c>
      <c r="B10" s="105" t="s">
        <v>588</v>
      </c>
      <c r="C10" s="16"/>
      <c r="D10" s="16" t="s">
        <v>589</v>
      </c>
      <c r="E10" s="16"/>
      <c r="F10" s="16">
        <v>0</v>
      </c>
      <c r="G10" s="16"/>
      <c r="H10" s="16"/>
      <c r="I10" s="16">
        <f>+ROLLOS[[#This Row],[Precio]]*ROLLOS[[#This Row],[CANTIDAD]]</f>
        <v>0</v>
      </c>
    </row>
    <row r="11" spans="1:9" x14ac:dyDescent="0.25">
      <c r="A11" s="220" t="s">
        <v>587</v>
      </c>
      <c r="B11" s="220" t="s">
        <v>590</v>
      </c>
      <c r="C11" s="223">
        <f>ROLLOS[[#This Row],[19/12/2025]]*ROLLOS[[#This Row],[PESO X ROLLO
(KG)]]</f>
        <v>0</v>
      </c>
      <c r="D11" s="222" t="s">
        <v>591</v>
      </c>
      <c r="E11" s="222"/>
      <c r="F11" s="221">
        <v>0.5</v>
      </c>
      <c r="G11" s="222"/>
      <c r="H11" s="16">
        <v>49.5</v>
      </c>
      <c r="I11" s="226">
        <f>+ROLLOS[[#This Row],[Precio]]*ROLLOS[[#This Row],[CANTIDAD]]</f>
        <v>0</v>
      </c>
    </row>
    <row r="12" spans="1:9" ht="30" x14ac:dyDescent="0.25">
      <c r="A12" s="104" t="s">
        <v>592</v>
      </c>
      <c r="B12" s="104" t="s">
        <v>593</v>
      </c>
      <c r="C12" s="16"/>
      <c r="D12" s="16" t="s">
        <v>594</v>
      </c>
      <c r="E12" s="16">
        <v>90</v>
      </c>
      <c r="F12" s="16">
        <v>0</v>
      </c>
      <c r="G12" s="16"/>
      <c r="H12" s="16"/>
      <c r="I12" s="16">
        <f>+ROLLOS[[#This Row],[Precio]]*ROLLOS[[#This Row],[CANTIDAD]]</f>
        <v>0</v>
      </c>
    </row>
    <row r="13" spans="1:9" x14ac:dyDescent="0.25">
      <c r="A13" s="105" t="s">
        <v>595</v>
      </c>
      <c r="B13" s="105" t="s">
        <v>709</v>
      </c>
      <c r="C13" s="85">
        <f>ROLLOS[[#This Row],[19/12/2025]]*ROLLOS[[#This Row],[PESO X ROLLO
(KG)]]</f>
        <v>810</v>
      </c>
      <c r="D13" s="16"/>
      <c r="E13" s="16">
        <v>90</v>
      </c>
      <c r="F13" s="16">
        <v>9</v>
      </c>
      <c r="G13" s="16"/>
      <c r="H13" s="16">
        <v>39.799999999999997</v>
      </c>
      <c r="I13" s="226">
        <f>+ROLLOS[[#This Row],[Precio]]*ROLLOS[[#This Row],[CANTIDAD]]</f>
        <v>32237.999999999996</v>
      </c>
    </row>
    <row r="14" spans="1:9" x14ac:dyDescent="0.25">
      <c r="A14" s="105" t="s">
        <v>595</v>
      </c>
      <c r="B14" s="105" t="s">
        <v>943</v>
      </c>
      <c r="C14" s="16"/>
      <c r="D14" s="16"/>
      <c r="E14" s="16"/>
      <c r="F14" s="16">
        <v>0</v>
      </c>
      <c r="G14" s="16"/>
      <c r="H14" s="16"/>
      <c r="I14" s="16">
        <f>+ROLLOS[[#This Row],[Precio]]*ROLLOS[[#This Row],[CANTIDAD]]</f>
        <v>0</v>
      </c>
    </row>
    <row r="15" spans="1:9" ht="30" x14ac:dyDescent="0.25">
      <c r="A15" s="104" t="s">
        <v>595</v>
      </c>
      <c r="B15" s="104" t="s">
        <v>375</v>
      </c>
      <c r="C15" s="16"/>
      <c r="D15" s="16" t="s">
        <v>596</v>
      </c>
      <c r="E15" s="16">
        <v>90</v>
      </c>
      <c r="F15" s="16">
        <v>0</v>
      </c>
      <c r="G15" s="16"/>
      <c r="H15" s="16"/>
      <c r="I15" s="16">
        <f>+ROLLOS[[#This Row],[Precio]]*ROLLOS[[#This Row],[CANTIDAD]]</f>
        <v>0</v>
      </c>
    </row>
    <row r="16" spans="1:9" x14ac:dyDescent="0.25">
      <c r="A16" s="105" t="s">
        <v>595</v>
      </c>
      <c r="B16" s="105" t="s">
        <v>597</v>
      </c>
      <c r="C16" s="85">
        <f>ROLLOS[[#This Row],[19/12/2025]]*ROLLOS[[#This Row],[PESO X ROLLO
(KG)]]</f>
        <v>90</v>
      </c>
      <c r="D16" s="16" t="s">
        <v>598</v>
      </c>
      <c r="E16" s="16">
        <v>90</v>
      </c>
      <c r="F16" s="16">
        <v>1</v>
      </c>
      <c r="G16" s="16"/>
      <c r="H16" s="16">
        <v>39.799999999999997</v>
      </c>
      <c r="I16" s="226">
        <f>+ROLLOS[[#This Row],[Precio]]*ROLLOS[[#This Row],[CANTIDAD]]</f>
        <v>3581.9999999999995</v>
      </c>
    </row>
    <row r="17" spans="1:9" ht="30" x14ac:dyDescent="0.25">
      <c r="A17" s="104" t="s">
        <v>595</v>
      </c>
      <c r="B17" s="104" t="s">
        <v>584</v>
      </c>
      <c r="C17" s="16"/>
      <c r="D17" s="16" t="s">
        <v>599</v>
      </c>
      <c r="E17" s="16">
        <v>60</v>
      </c>
      <c r="F17" s="16">
        <v>0</v>
      </c>
      <c r="G17" s="16" t="s">
        <v>600</v>
      </c>
      <c r="H17" s="16"/>
      <c r="I17" s="16">
        <f>+ROLLOS[[#This Row],[Precio]]*ROLLOS[[#This Row],[CANTIDAD]]</f>
        <v>0</v>
      </c>
    </row>
    <row r="18" spans="1:9" x14ac:dyDescent="0.25">
      <c r="A18" s="105" t="s">
        <v>595</v>
      </c>
      <c r="B18" s="105" t="s">
        <v>601</v>
      </c>
      <c r="C18" s="85">
        <f>ROLLOS[[#This Row],[19/12/2025]]*ROLLOS[[#This Row],[PESO X ROLLO
(KG)]]</f>
        <v>90</v>
      </c>
      <c r="D18" s="16" t="s">
        <v>602</v>
      </c>
      <c r="E18" s="16">
        <v>90</v>
      </c>
      <c r="F18" s="106">
        <v>1</v>
      </c>
      <c r="G18" s="16"/>
      <c r="H18" s="16">
        <v>39.799999999999997</v>
      </c>
      <c r="I18" s="226">
        <f>+ROLLOS[[#This Row],[Precio]]*ROLLOS[[#This Row],[CANTIDAD]]</f>
        <v>3581.9999999999995</v>
      </c>
    </row>
    <row r="19" spans="1:9" x14ac:dyDescent="0.25">
      <c r="A19" s="104" t="s">
        <v>595</v>
      </c>
      <c r="B19" s="104" t="s">
        <v>434</v>
      </c>
      <c r="C19" s="85">
        <f>ROLLOS[[#This Row],[19/12/2025]]*ROLLOS[[#This Row],[PESO X ROLLO
(KG)]]</f>
        <v>990</v>
      </c>
      <c r="D19" s="16"/>
      <c r="E19" s="16">
        <v>90</v>
      </c>
      <c r="F19" s="16">
        <v>11</v>
      </c>
      <c r="G19" s="16"/>
      <c r="H19" s="16">
        <v>38.799999999999997</v>
      </c>
      <c r="I19" s="226">
        <f>+ROLLOS[[#This Row],[Precio]]*ROLLOS[[#This Row],[CANTIDAD]]</f>
        <v>38412</v>
      </c>
    </row>
    <row r="20" spans="1:9" x14ac:dyDescent="0.25">
      <c r="A20" s="105" t="s">
        <v>595</v>
      </c>
      <c r="B20" s="105" t="s">
        <v>396</v>
      </c>
      <c r="C20" s="16"/>
      <c r="D20" s="16" t="s">
        <v>603</v>
      </c>
      <c r="E20" s="16">
        <v>90</v>
      </c>
      <c r="F20" s="16">
        <v>0</v>
      </c>
      <c r="G20" s="16"/>
      <c r="H20" s="16"/>
      <c r="I20" s="16">
        <f>+ROLLOS[[#This Row],[Precio]]*ROLLOS[[#This Row],[CANTIDAD]]</f>
        <v>0</v>
      </c>
    </row>
    <row r="21" spans="1:9" x14ac:dyDescent="0.25">
      <c r="A21" s="104" t="s">
        <v>595</v>
      </c>
      <c r="B21" s="104" t="s">
        <v>604</v>
      </c>
      <c r="C21" s="16"/>
      <c r="D21" s="16" t="s">
        <v>603</v>
      </c>
      <c r="E21" s="16">
        <v>90</v>
      </c>
      <c r="F21" s="16">
        <v>0</v>
      </c>
      <c r="G21" s="16"/>
      <c r="H21" s="16"/>
      <c r="I21" s="16">
        <f>+ROLLOS[[#This Row],[Precio]]*ROLLOS[[#This Row],[CANTIDAD]]</f>
        <v>0</v>
      </c>
    </row>
    <row r="22" spans="1:9" x14ac:dyDescent="0.25">
      <c r="A22" s="105" t="s">
        <v>595</v>
      </c>
      <c r="B22" s="105" t="s">
        <v>436</v>
      </c>
      <c r="C22" s="16"/>
      <c r="D22" s="16" t="s">
        <v>603</v>
      </c>
      <c r="E22" s="16">
        <v>90</v>
      </c>
      <c r="F22" s="16">
        <v>0</v>
      </c>
      <c r="G22" s="16"/>
      <c r="H22" s="16"/>
      <c r="I22" s="16">
        <f>+ROLLOS[[#This Row],[Precio]]*ROLLOS[[#This Row],[CANTIDAD]]</f>
        <v>0</v>
      </c>
    </row>
    <row r="23" spans="1:9" x14ac:dyDescent="0.25">
      <c r="A23" s="104" t="s">
        <v>595</v>
      </c>
      <c r="B23" s="104" t="s">
        <v>473</v>
      </c>
      <c r="C23" s="16"/>
      <c r="D23" s="16" t="s">
        <v>603</v>
      </c>
      <c r="E23" s="16">
        <v>90</v>
      </c>
      <c r="F23" s="16">
        <v>0</v>
      </c>
      <c r="G23" s="16"/>
      <c r="H23" s="16"/>
      <c r="I23" s="16">
        <f>+ROLLOS[[#This Row],[Precio]]*ROLLOS[[#This Row],[CANTIDAD]]</f>
        <v>0</v>
      </c>
    </row>
    <row r="24" spans="1:9" x14ac:dyDescent="0.25">
      <c r="A24" s="105" t="s">
        <v>595</v>
      </c>
      <c r="B24" s="105" t="s">
        <v>605</v>
      </c>
      <c r="C24" s="16"/>
      <c r="D24" s="16" t="s">
        <v>603</v>
      </c>
      <c r="E24" s="16">
        <v>90</v>
      </c>
      <c r="F24" s="16">
        <v>0</v>
      </c>
      <c r="G24" s="16"/>
      <c r="H24" s="16"/>
      <c r="I24" s="16">
        <f>+ROLLOS[[#This Row],[Precio]]*ROLLOS[[#This Row],[CANTIDAD]]</f>
        <v>0</v>
      </c>
    </row>
    <row r="25" spans="1:9" x14ac:dyDescent="0.25">
      <c r="A25" s="104" t="s">
        <v>595</v>
      </c>
      <c r="B25" s="104" t="s">
        <v>606</v>
      </c>
      <c r="C25" s="16"/>
      <c r="D25" s="16" t="s">
        <v>603</v>
      </c>
      <c r="E25" s="16">
        <v>90</v>
      </c>
      <c r="F25" s="16">
        <v>0</v>
      </c>
      <c r="G25" s="16"/>
      <c r="H25" s="16"/>
      <c r="I25" s="16">
        <f>+ROLLOS[[#This Row],[Precio]]*ROLLOS[[#This Row],[CANTIDAD]]</f>
        <v>0</v>
      </c>
    </row>
    <row r="26" spans="1:9" x14ac:dyDescent="0.25">
      <c r="A26" s="105" t="s">
        <v>595</v>
      </c>
      <c r="B26" s="105" t="s">
        <v>607</v>
      </c>
      <c r="C26" s="16"/>
      <c r="D26" s="16" t="s">
        <v>603</v>
      </c>
      <c r="E26" s="16">
        <v>90</v>
      </c>
      <c r="F26" s="16">
        <v>0</v>
      </c>
      <c r="G26" s="16"/>
      <c r="H26" s="16"/>
      <c r="I26" s="16">
        <f>+ROLLOS[[#This Row],[Precio]]*ROLLOS[[#This Row],[CANTIDAD]]</f>
        <v>0</v>
      </c>
    </row>
    <row r="27" spans="1:9" x14ac:dyDescent="0.25">
      <c r="A27" s="104" t="s">
        <v>595</v>
      </c>
      <c r="B27" s="104" t="s">
        <v>608</v>
      </c>
      <c r="C27" s="16"/>
      <c r="D27" s="16" t="s">
        <v>603</v>
      </c>
      <c r="E27" s="16">
        <v>90</v>
      </c>
      <c r="F27" s="16">
        <v>0</v>
      </c>
      <c r="G27" s="16"/>
      <c r="H27" s="16"/>
      <c r="I27" s="16">
        <f>+ROLLOS[[#This Row],[Precio]]*ROLLOS[[#This Row],[CANTIDAD]]</f>
        <v>0</v>
      </c>
    </row>
    <row r="28" spans="1:9" x14ac:dyDescent="0.25">
      <c r="A28" s="105" t="s">
        <v>595</v>
      </c>
      <c r="B28" s="105" t="s">
        <v>609</v>
      </c>
      <c r="C28" s="16"/>
      <c r="D28" s="16" t="s">
        <v>603</v>
      </c>
      <c r="E28" s="16">
        <v>90</v>
      </c>
      <c r="F28" s="16">
        <v>0</v>
      </c>
      <c r="G28" s="16"/>
      <c r="H28" s="16"/>
      <c r="I28" s="16">
        <f>+ROLLOS[[#This Row],[Precio]]*ROLLOS[[#This Row],[CANTIDAD]]</f>
        <v>0</v>
      </c>
    </row>
    <row r="29" spans="1:9" x14ac:dyDescent="0.25">
      <c r="A29" s="104" t="s">
        <v>595</v>
      </c>
      <c r="B29" s="104" t="s">
        <v>610</v>
      </c>
      <c r="C29" s="16"/>
      <c r="D29" s="16" t="s">
        <v>611</v>
      </c>
      <c r="E29" s="16">
        <v>90</v>
      </c>
      <c r="F29" s="16">
        <v>0</v>
      </c>
      <c r="G29" s="16"/>
      <c r="H29" s="16"/>
      <c r="I29" s="16">
        <f>+ROLLOS[[#This Row],[Precio]]*ROLLOS[[#This Row],[CANTIDAD]]</f>
        <v>0</v>
      </c>
    </row>
    <row r="30" spans="1:9" x14ac:dyDescent="0.25">
      <c r="A30" s="105" t="s">
        <v>595</v>
      </c>
      <c r="B30" s="105" t="s">
        <v>475</v>
      </c>
      <c r="C30" s="84"/>
      <c r="D30" s="16" t="s">
        <v>603</v>
      </c>
      <c r="E30" s="84">
        <v>90</v>
      </c>
      <c r="F30" s="106">
        <v>0</v>
      </c>
      <c r="G30" s="84"/>
      <c r="H30" s="16"/>
      <c r="I30" s="16">
        <f>+ROLLOS[[#This Row],[Precio]]*ROLLOS[[#This Row],[CANTIDAD]]</f>
        <v>0</v>
      </c>
    </row>
    <row r="31" spans="1:9" ht="30" x14ac:dyDescent="0.25">
      <c r="A31" s="105" t="s">
        <v>694</v>
      </c>
      <c r="B31" s="105" t="s">
        <v>695</v>
      </c>
      <c r="C31" s="85">
        <f>ROLLOS[[#This Row],[19/12/2025]]*ROLLOS[[#This Row],[PESO X ROLLO
(KG)]]</f>
        <v>30</v>
      </c>
      <c r="D31" s="16" t="s">
        <v>696</v>
      </c>
      <c r="E31" s="16">
        <v>60</v>
      </c>
      <c r="F31" s="106">
        <v>0.5</v>
      </c>
      <c r="G31" s="16"/>
      <c r="H31" s="84">
        <v>51.5</v>
      </c>
      <c r="I31" s="227">
        <f>+ROLLOS[[#This Row],[Precio]]*ROLLOS[[#This Row],[CANTIDAD]]</f>
        <v>1545</v>
      </c>
    </row>
    <row r="32" spans="1:9" x14ac:dyDescent="0.25">
      <c r="A32" s="107"/>
      <c r="B32" s="108"/>
      <c r="C32" s="109">
        <f>SUBTOTAL(109,ROLLOS[CANTIDAD])</f>
        <v>3540</v>
      </c>
      <c r="E32" s="109">
        <f>SUBTOTAL(109,ROLLOS[PESO X ROLLO
(KG)])</f>
        <v>2340</v>
      </c>
      <c r="I32" s="241">
        <f>SUBTOTAL(109,ROLLOS[Total])</f>
        <v>142656</v>
      </c>
    </row>
    <row r="34" spans="3:3" x14ac:dyDescent="0.25">
      <c r="C34">
        <f>SUM(C33:C33)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7076-A4A2-4F77-9A70-D3194452F34C}">
  <sheetPr codeName="Hoja7">
    <tabColor theme="8" tint="0.39997558519241921"/>
  </sheetPr>
  <dimension ref="A1:G9"/>
  <sheetViews>
    <sheetView workbookViewId="0">
      <selection activeCell="G3" sqref="G3"/>
    </sheetView>
  </sheetViews>
  <sheetFormatPr baseColWidth="10" defaultRowHeight="15" x14ac:dyDescent="0.25"/>
  <cols>
    <col min="1" max="1" width="18.7109375" customWidth="1"/>
    <col min="2" max="2" width="21.5703125" customWidth="1"/>
    <col min="3" max="3" width="15.28515625" customWidth="1"/>
    <col min="4" max="4" width="14.140625" customWidth="1"/>
    <col min="5" max="5" width="15.5703125" customWidth="1"/>
    <col min="7" max="7" width="18.5703125" customWidth="1"/>
  </cols>
  <sheetData>
    <row r="1" spans="1:7" ht="23.25" x14ac:dyDescent="0.35">
      <c r="A1" s="243" t="s">
        <v>612</v>
      </c>
      <c r="B1" s="243"/>
      <c r="C1" s="243"/>
      <c r="D1" s="243"/>
      <c r="E1" s="243"/>
      <c r="F1" s="79"/>
      <c r="G1" s="79"/>
    </row>
    <row r="2" spans="1:7" ht="15.75" x14ac:dyDescent="0.25">
      <c r="A2" s="110" t="s">
        <v>613</v>
      </c>
      <c r="B2" s="111" t="s">
        <v>352</v>
      </c>
      <c r="C2" s="110" t="s">
        <v>614</v>
      </c>
      <c r="D2" s="110" t="s">
        <v>279</v>
      </c>
      <c r="E2" s="110" t="s">
        <v>615</v>
      </c>
      <c r="F2" s="199" t="s">
        <v>2</v>
      </c>
      <c r="G2" s="199" t="s">
        <v>531</v>
      </c>
    </row>
    <row r="3" spans="1:7" x14ac:dyDescent="0.25">
      <c r="A3" s="2" t="s">
        <v>957</v>
      </c>
      <c r="B3" s="17" t="s">
        <v>958</v>
      </c>
      <c r="C3" s="2" t="s">
        <v>959</v>
      </c>
      <c r="D3" s="112">
        <f>10+10+10+10+35+4+15+10+8+4+5+8</f>
        <v>129</v>
      </c>
      <c r="E3" s="2" t="s">
        <v>960</v>
      </c>
      <c r="F3" s="179">
        <v>12.69</v>
      </c>
      <c r="G3" s="179">
        <f>+Tabla11312[[#This Row],[PRECIO]]*Tabla11312[[#This Row],[CANTIDAD]]</f>
        <v>1637.01</v>
      </c>
    </row>
    <row r="4" spans="1:7" x14ac:dyDescent="0.25">
      <c r="A4" s="2" t="s">
        <v>961</v>
      </c>
      <c r="B4" s="17" t="s">
        <v>958</v>
      </c>
      <c r="C4" s="2" t="s">
        <v>959</v>
      </c>
      <c r="D4" s="112">
        <f>30+40+40+40+40+40+40+40+40+45+40</f>
        <v>435</v>
      </c>
      <c r="E4" s="2" t="s">
        <v>960</v>
      </c>
      <c r="F4" s="179">
        <v>15.11</v>
      </c>
      <c r="G4" s="179">
        <f>+Tabla11312[[#This Row],[PRECIO]]*Tabla11312[[#This Row],[CANTIDAD]]</f>
        <v>6572.8499999999995</v>
      </c>
    </row>
    <row r="5" spans="1:7" x14ac:dyDescent="0.25">
      <c r="A5" s="2" t="s">
        <v>669</v>
      </c>
      <c r="B5" s="17" t="s">
        <v>962</v>
      </c>
      <c r="C5" s="2" t="s">
        <v>959</v>
      </c>
      <c r="D5" s="112">
        <f>25+32+45+90</f>
        <v>192</v>
      </c>
      <c r="E5" s="2" t="s">
        <v>960</v>
      </c>
      <c r="F5" s="179">
        <v>15.11</v>
      </c>
      <c r="G5" s="179">
        <f>+Tabla11312[[#This Row],[PRECIO]]*Tabla11312[[#This Row],[CANTIDAD]]</f>
        <v>2901.12</v>
      </c>
    </row>
    <row r="6" spans="1:7" x14ac:dyDescent="0.25">
      <c r="A6" s="2" t="s">
        <v>669</v>
      </c>
      <c r="B6" s="17" t="s">
        <v>963</v>
      </c>
      <c r="C6" s="2" t="s">
        <v>959</v>
      </c>
      <c r="D6" s="112">
        <f>35+25+20+20+45+8+10+51</f>
        <v>214</v>
      </c>
      <c r="E6" s="2" t="s">
        <v>960</v>
      </c>
      <c r="F6" s="179">
        <v>15.11</v>
      </c>
      <c r="G6" s="179">
        <f>+Tabla11312[[#This Row],[PRECIO]]*Tabla11312[[#This Row],[CANTIDAD]]</f>
        <v>3233.54</v>
      </c>
    </row>
    <row r="7" spans="1:7" x14ac:dyDescent="0.25">
      <c r="A7" s="2" t="s">
        <v>964</v>
      </c>
      <c r="B7" s="17" t="s">
        <v>965</v>
      </c>
      <c r="C7" s="2" t="s">
        <v>959</v>
      </c>
      <c r="D7" s="112">
        <f>13+12+5+14</f>
        <v>44</v>
      </c>
      <c r="E7" s="2" t="s">
        <v>960</v>
      </c>
      <c r="F7" s="179">
        <v>15.11</v>
      </c>
      <c r="G7" s="179">
        <f>+Tabla11312[[#This Row],[PRECIO]]*Tabla11312[[#This Row],[CANTIDAD]]</f>
        <v>664.83999999999992</v>
      </c>
    </row>
    <row r="8" spans="1:7" x14ac:dyDescent="0.25">
      <c r="A8" s="2" t="s">
        <v>966</v>
      </c>
      <c r="B8" s="17" t="s">
        <v>967</v>
      </c>
      <c r="C8" s="2" t="s">
        <v>959</v>
      </c>
      <c r="D8" s="112">
        <f>10+13+10+2+3+10+10+14+15+10+10+10+10+10+10+10+10+10+10+10+25+5+12</f>
        <v>239</v>
      </c>
      <c r="E8" s="2" t="s">
        <v>960</v>
      </c>
      <c r="F8" s="179">
        <v>15.11</v>
      </c>
      <c r="G8" s="179">
        <f>+Tabla11312[[#This Row],[PRECIO]]*Tabla11312[[#This Row],[CANTIDAD]]</f>
        <v>3611.29</v>
      </c>
    </row>
    <row r="9" spans="1:7" x14ac:dyDescent="0.25">
      <c r="A9" s="26"/>
      <c r="B9" s="113"/>
      <c r="C9" s="26"/>
      <c r="D9" s="114">
        <f>SUBTOTAL(109,Tabla11312[CANTIDAD])</f>
        <v>1253</v>
      </c>
      <c r="E9" s="26"/>
      <c r="F9" s="128"/>
      <c r="G9" s="128">
        <f>SUBTOTAL(109,Tabla11312[TOTAL])</f>
        <v>18620.650000000001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9567-4F1E-40D2-A12F-CAB93A74D936}">
  <sheetPr codeName="Hoja8">
    <tabColor theme="8" tint="0.39997558519241921"/>
  </sheetPr>
  <dimension ref="B1:J35"/>
  <sheetViews>
    <sheetView tabSelected="1" workbookViewId="0">
      <selection activeCell="N11" sqref="N11"/>
    </sheetView>
  </sheetViews>
  <sheetFormatPr baseColWidth="10" defaultRowHeight="15" x14ac:dyDescent="0.25"/>
  <cols>
    <col min="2" max="2" width="12.85546875" customWidth="1"/>
    <col min="3" max="3" width="23.28515625" style="78" bestFit="1" customWidth="1"/>
    <col min="4" max="4" width="12.85546875" customWidth="1"/>
    <col min="5" max="5" width="12.85546875" style="109" customWidth="1"/>
    <col min="6" max="6" width="15.28515625" bestFit="1" customWidth="1"/>
    <col min="7" max="7" width="19.5703125" customWidth="1"/>
    <col min="8" max="8" width="11.5703125" style="79" bestFit="1" customWidth="1"/>
    <col min="9" max="9" width="12.5703125" style="79" bestFit="1" customWidth="1"/>
    <col min="10" max="10" width="28.5703125" customWidth="1"/>
  </cols>
  <sheetData>
    <row r="1" spans="2:10" ht="23.25" x14ac:dyDescent="0.35">
      <c r="B1" s="243" t="s">
        <v>612</v>
      </c>
      <c r="C1" s="243"/>
      <c r="D1" s="243"/>
      <c r="E1" s="243"/>
      <c r="F1" s="243"/>
      <c r="G1" s="243"/>
    </row>
    <row r="2" spans="2:10" ht="15.75" x14ac:dyDescent="0.25">
      <c r="B2" s="110" t="s">
        <v>613</v>
      </c>
      <c r="C2" s="111" t="s">
        <v>352</v>
      </c>
      <c r="D2" s="110" t="s">
        <v>614</v>
      </c>
      <c r="E2" s="110" t="s">
        <v>279</v>
      </c>
      <c r="F2" s="110" t="s">
        <v>615</v>
      </c>
      <c r="G2" s="110" t="s">
        <v>616</v>
      </c>
      <c r="H2" s="115" t="s">
        <v>2</v>
      </c>
      <c r="I2" s="115" t="s">
        <v>531</v>
      </c>
      <c r="J2" s="110" t="s">
        <v>154</v>
      </c>
    </row>
    <row r="3" spans="2:10" x14ac:dyDescent="0.25">
      <c r="B3" s="142" t="s">
        <v>617</v>
      </c>
      <c r="C3" s="17" t="s">
        <v>380</v>
      </c>
      <c r="D3" s="2" t="s">
        <v>618</v>
      </c>
      <c r="E3" s="112">
        <v>1775</v>
      </c>
      <c r="F3" s="2" t="s">
        <v>619</v>
      </c>
      <c r="G3" s="2" t="s">
        <v>620</v>
      </c>
      <c r="H3" s="81">
        <v>9.68</v>
      </c>
      <c r="I3" s="81">
        <f>+Tabla113[[#This Row],[CANTIDAD]]*Tabla113[[#This Row],[PRECIO]]</f>
        <v>17182</v>
      </c>
      <c r="J3" s="2"/>
    </row>
    <row r="4" spans="2:10" x14ac:dyDescent="0.25">
      <c r="B4" s="192" t="s">
        <v>621</v>
      </c>
      <c r="C4" s="193" t="s">
        <v>622</v>
      </c>
      <c r="D4" s="192" t="s">
        <v>623</v>
      </c>
      <c r="E4" s="194">
        <f>895-895</f>
        <v>0</v>
      </c>
      <c r="F4" s="192" t="s">
        <v>619</v>
      </c>
      <c r="G4" s="192" t="s">
        <v>620</v>
      </c>
      <c r="H4" s="195">
        <v>9.68</v>
      </c>
      <c r="I4" s="195">
        <f>+Tabla113[[#This Row],[CANTIDAD]]*Tabla113[[#This Row],[PRECIO]]</f>
        <v>0</v>
      </c>
      <c r="J4" s="192" t="s">
        <v>944</v>
      </c>
    </row>
    <row r="5" spans="2:10" x14ac:dyDescent="0.25">
      <c r="B5" s="192" t="s">
        <v>624</v>
      </c>
      <c r="C5" s="193" t="s">
        <v>622</v>
      </c>
      <c r="D5" s="192" t="s">
        <v>618</v>
      </c>
      <c r="E5" s="194">
        <f>2900-2900</f>
        <v>0</v>
      </c>
      <c r="F5" s="192" t="s">
        <v>619</v>
      </c>
      <c r="G5" s="192" t="s">
        <v>620</v>
      </c>
      <c r="H5" s="195">
        <v>9.68</v>
      </c>
      <c r="I5" s="195">
        <f>+Tabla113[[#This Row],[CANTIDAD]]*Tabla113[[#This Row],[PRECIO]]</f>
        <v>0</v>
      </c>
      <c r="J5" s="192" t="s">
        <v>945</v>
      </c>
    </row>
    <row r="6" spans="2:10" x14ac:dyDescent="0.25">
      <c r="B6" s="2" t="s">
        <v>625</v>
      </c>
      <c r="C6" s="17" t="s">
        <v>622</v>
      </c>
      <c r="D6" s="2" t="s">
        <v>623</v>
      </c>
      <c r="E6" s="112">
        <v>1600</v>
      </c>
      <c r="F6" s="2" t="s">
        <v>619</v>
      </c>
      <c r="G6" s="2" t="s">
        <v>620</v>
      </c>
      <c r="H6" s="81">
        <v>15.11</v>
      </c>
      <c r="I6" s="81">
        <f>+Tabla113[[#This Row],[CANTIDAD]]*Tabla113[[#This Row],[PRECIO]]</f>
        <v>24176</v>
      </c>
      <c r="J6" s="2"/>
    </row>
    <row r="7" spans="2:10" x14ac:dyDescent="0.25">
      <c r="B7" s="2" t="s">
        <v>626</v>
      </c>
      <c r="C7" s="17" t="s">
        <v>622</v>
      </c>
      <c r="D7" s="2" t="s">
        <v>623</v>
      </c>
      <c r="E7" s="112">
        <v>3155</v>
      </c>
      <c r="F7" s="2" t="s">
        <v>627</v>
      </c>
      <c r="G7" s="2" t="s">
        <v>620</v>
      </c>
      <c r="H7" s="81">
        <v>12.69</v>
      </c>
      <c r="I7" s="81">
        <f>+Tabla113[[#This Row],[CANTIDAD]]*Tabla113[[#This Row],[PRECIO]]</f>
        <v>40036.949999999997</v>
      </c>
      <c r="J7" s="2"/>
    </row>
    <row r="8" spans="2:10" x14ac:dyDescent="0.25">
      <c r="B8" s="2" t="s">
        <v>626</v>
      </c>
      <c r="C8" s="17" t="s">
        <v>380</v>
      </c>
      <c r="D8" s="2" t="s">
        <v>623</v>
      </c>
      <c r="E8" s="112">
        <v>1205</v>
      </c>
      <c r="F8" s="2" t="s">
        <v>619</v>
      </c>
      <c r="G8" s="2" t="s">
        <v>620</v>
      </c>
      <c r="H8" s="81">
        <v>12.69</v>
      </c>
      <c r="I8" s="81">
        <f>+Tabla113[[#This Row],[CANTIDAD]]*Tabla113[[#This Row],[PRECIO]]</f>
        <v>15291.449999999999</v>
      </c>
      <c r="J8" s="2" t="s">
        <v>956</v>
      </c>
    </row>
    <row r="9" spans="2:10" x14ac:dyDescent="0.25">
      <c r="B9" s="2" t="s">
        <v>626</v>
      </c>
      <c r="C9" s="17" t="s">
        <v>434</v>
      </c>
      <c r="D9" s="2" t="s">
        <v>623</v>
      </c>
      <c r="E9" s="112">
        <v>3090</v>
      </c>
      <c r="F9" s="2" t="s">
        <v>619</v>
      </c>
      <c r="G9" s="2" t="s">
        <v>620</v>
      </c>
      <c r="H9" s="81">
        <v>12.69</v>
      </c>
      <c r="I9" s="81">
        <f>+Tabla113[[#This Row],[CANTIDAD]]*Tabla113[[#This Row],[PRECIO]]</f>
        <v>39212.1</v>
      </c>
      <c r="J9" s="2"/>
    </row>
    <row r="10" spans="2:10" ht="30" x14ac:dyDescent="0.25">
      <c r="B10" s="2" t="s">
        <v>365</v>
      </c>
      <c r="C10" s="17" t="s">
        <v>652</v>
      </c>
      <c r="D10" s="2" t="s">
        <v>623</v>
      </c>
      <c r="E10" s="112">
        <v>296</v>
      </c>
      <c r="F10" s="2" t="s">
        <v>619</v>
      </c>
      <c r="G10" s="2" t="s">
        <v>620</v>
      </c>
      <c r="H10" s="81">
        <v>14.31</v>
      </c>
      <c r="I10" s="81">
        <f>+Tabla113[[#This Row],[CANTIDAD]]*Tabla113[[#This Row],[PRECIO]]</f>
        <v>4235.76</v>
      </c>
      <c r="J10" s="2"/>
    </row>
    <row r="11" spans="2:10" x14ac:dyDescent="0.25">
      <c r="B11" s="2" t="s">
        <v>365</v>
      </c>
      <c r="C11" s="17" t="s">
        <v>653</v>
      </c>
      <c r="D11" s="2" t="s">
        <v>623</v>
      </c>
      <c r="E11" s="112">
        <v>793</v>
      </c>
      <c r="F11" s="2" t="s">
        <v>619</v>
      </c>
      <c r="G11" s="2" t="s">
        <v>620</v>
      </c>
      <c r="H11" s="81">
        <v>14.31</v>
      </c>
      <c r="I11" s="81">
        <f>+Tabla113[[#This Row],[CANTIDAD]]*Tabla113[[#This Row],[PRECIO]]</f>
        <v>11347.83</v>
      </c>
      <c r="J11" s="2"/>
    </row>
    <row r="12" spans="2:10" x14ac:dyDescent="0.25">
      <c r="B12" s="2" t="s">
        <v>365</v>
      </c>
      <c r="C12" s="17" t="s">
        <v>654</v>
      </c>
      <c r="D12" s="2" t="s">
        <v>623</v>
      </c>
      <c r="E12" s="112">
        <v>881</v>
      </c>
      <c r="F12" s="2" t="s">
        <v>619</v>
      </c>
      <c r="G12" s="2" t="s">
        <v>620</v>
      </c>
      <c r="H12" s="81">
        <v>14.31</v>
      </c>
      <c r="I12" s="81">
        <f>+Tabla113[[#This Row],[CANTIDAD]]*Tabla113[[#This Row],[PRECIO]]</f>
        <v>12607.11</v>
      </c>
      <c r="J12" s="2"/>
    </row>
    <row r="13" spans="2:10" x14ac:dyDescent="0.25">
      <c r="B13" s="2" t="s">
        <v>365</v>
      </c>
      <c r="C13" s="17" t="s">
        <v>655</v>
      </c>
      <c r="D13" s="2" t="s">
        <v>623</v>
      </c>
      <c r="E13" s="112">
        <v>459</v>
      </c>
      <c r="F13" s="2" t="s">
        <v>619</v>
      </c>
      <c r="G13" s="2" t="s">
        <v>620</v>
      </c>
      <c r="H13" s="81">
        <v>14.31</v>
      </c>
      <c r="I13" s="81">
        <f>+Tabla113[[#This Row],[CANTIDAD]]*Tabla113[[#This Row],[PRECIO]]</f>
        <v>6568.29</v>
      </c>
      <c r="J13" s="2"/>
    </row>
    <row r="14" spans="2:10" ht="30" x14ac:dyDescent="0.25">
      <c r="B14" s="2" t="s">
        <v>365</v>
      </c>
      <c r="C14" s="17" t="s">
        <v>652</v>
      </c>
      <c r="D14" s="2" t="s">
        <v>628</v>
      </c>
      <c r="E14" s="112">
        <v>20</v>
      </c>
      <c r="F14" s="2" t="s">
        <v>619</v>
      </c>
      <c r="G14" s="2" t="s">
        <v>620</v>
      </c>
      <c r="H14" s="81">
        <v>14.31</v>
      </c>
      <c r="I14" s="81">
        <f>+Tabla113[[#This Row],[CANTIDAD]]*Tabla113[[#This Row],[PRECIO]]</f>
        <v>286.2</v>
      </c>
      <c r="J14" s="2"/>
    </row>
    <row r="15" spans="2:10" x14ac:dyDescent="0.25">
      <c r="B15" s="2" t="s">
        <v>365</v>
      </c>
      <c r="C15" s="17" t="s">
        <v>653</v>
      </c>
      <c r="D15" s="2" t="s">
        <v>628</v>
      </c>
      <c r="E15" s="112">
        <v>5</v>
      </c>
      <c r="F15" s="2" t="s">
        <v>619</v>
      </c>
      <c r="G15" s="2" t="s">
        <v>620</v>
      </c>
      <c r="H15" s="81">
        <v>14.31</v>
      </c>
      <c r="I15" s="81">
        <f>+Tabla113[[#This Row],[CANTIDAD]]*Tabla113[[#This Row],[PRECIO]]</f>
        <v>71.55</v>
      </c>
      <c r="J15" s="2"/>
    </row>
    <row r="16" spans="2:10" x14ac:dyDescent="0.25">
      <c r="B16" s="2" t="s">
        <v>365</v>
      </c>
      <c r="C16" s="17" t="s">
        <v>654</v>
      </c>
      <c r="D16" s="2" t="s">
        <v>628</v>
      </c>
      <c r="E16" s="112">
        <v>56</v>
      </c>
      <c r="F16" s="2" t="s">
        <v>619</v>
      </c>
      <c r="G16" s="2" t="s">
        <v>620</v>
      </c>
      <c r="H16" s="81">
        <v>14.31</v>
      </c>
      <c r="I16" s="81">
        <f>+Tabla113[[#This Row],[CANTIDAD]]*Tabla113[[#This Row],[PRECIO]]</f>
        <v>801.36</v>
      </c>
      <c r="J16" s="2"/>
    </row>
    <row r="17" spans="2:10" x14ac:dyDescent="0.25">
      <c r="B17" s="2" t="s">
        <v>365</v>
      </c>
      <c r="C17" s="17" t="s">
        <v>655</v>
      </c>
      <c r="D17" s="2" t="s">
        <v>628</v>
      </c>
      <c r="E17" s="112">
        <v>10</v>
      </c>
      <c r="F17" s="2" t="s">
        <v>619</v>
      </c>
      <c r="G17" s="2" t="s">
        <v>620</v>
      </c>
      <c r="H17" s="81">
        <v>14.31</v>
      </c>
      <c r="I17" s="81">
        <f>+Tabla113[[#This Row],[CANTIDAD]]*Tabla113[[#This Row],[PRECIO]]</f>
        <v>143.1</v>
      </c>
      <c r="J17" s="2"/>
    </row>
    <row r="18" spans="2:10" x14ac:dyDescent="0.25">
      <c r="B18" s="2" t="s">
        <v>629</v>
      </c>
      <c r="C18" s="17" t="s">
        <v>630</v>
      </c>
      <c r="D18" s="2" t="s">
        <v>631</v>
      </c>
      <c r="E18" s="112">
        <v>675</v>
      </c>
      <c r="F18" s="2" t="s">
        <v>619</v>
      </c>
      <c r="G18" s="2" t="s">
        <v>620</v>
      </c>
      <c r="H18" s="81">
        <v>14.31</v>
      </c>
      <c r="I18" s="81">
        <f>+Tabla113[[#This Row],[CANTIDAD]]*Tabla113[[#This Row],[PRECIO]]</f>
        <v>9659.25</v>
      </c>
      <c r="J18" s="2"/>
    </row>
    <row r="19" spans="2:10" x14ac:dyDescent="0.25">
      <c r="B19" s="2" t="s">
        <v>629</v>
      </c>
      <c r="C19" s="17" t="s">
        <v>630</v>
      </c>
      <c r="D19" s="2" t="s">
        <v>632</v>
      </c>
      <c r="E19" s="112">
        <v>152</v>
      </c>
      <c r="F19" s="2" t="s">
        <v>619</v>
      </c>
      <c r="G19" s="2" t="s">
        <v>620</v>
      </c>
      <c r="H19" s="81">
        <v>14.31</v>
      </c>
      <c r="I19" s="81">
        <f>+Tabla113[[#This Row],[CANTIDAD]]*Tabla113[[#This Row],[PRECIO]]</f>
        <v>2175.12</v>
      </c>
      <c r="J19" s="2"/>
    </row>
    <row r="20" spans="2:10" x14ac:dyDescent="0.25">
      <c r="B20" s="2" t="s">
        <v>633</v>
      </c>
      <c r="C20" s="17" t="s">
        <v>622</v>
      </c>
      <c r="D20" s="2" t="s">
        <v>623</v>
      </c>
      <c r="E20" s="112">
        <v>464</v>
      </c>
      <c r="F20" s="2" t="s">
        <v>619</v>
      </c>
      <c r="G20" s="2" t="s">
        <v>620</v>
      </c>
      <c r="H20" s="81">
        <v>14.31</v>
      </c>
      <c r="I20" s="81">
        <f>+Tabla113[[#This Row],[CANTIDAD]]*Tabla113[[#This Row],[PRECIO]]</f>
        <v>6639.84</v>
      </c>
      <c r="J20" s="2"/>
    </row>
    <row r="21" spans="2:10" x14ac:dyDescent="0.25">
      <c r="B21" s="2" t="s">
        <v>633</v>
      </c>
      <c r="C21" s="17" t="s">
        <v>440</v>
      </c>
      <c r="D21" s="2" t="s">
        <v>623</v>
      </c>
      <c r="E21" s="112">
        <v>60</v>
      </c>
      <c r="F21" s="2" t="s">
        <v>619</v>
      </c>
      <c r="G21" s="2" t="s">
        <v>620</v>
      </c>
      <c r="H21" s="81">
        <v>14.31</v>
      </c>
      <c r="I21" s="81">
        <f>+Tabla113[[#This Row],[CANTIDAD]]*Tabla113[[#This Row],[PRECIO]]</f>
        <v>858.6</v>
      </c>
      <c r="J21" s="2"/>
    </row>
    <row r="22" spans="2:10" x14ac:dyDescent="0.25">
      <c r="B22" s="142" t="s">
        <v>634</v>
      </c>
      <c r="C22" s="17" t="s">
        <v>635</v>
      </c>
      <c r="D22" s="2" t="s">
        <v>623</v>
      </c>
      <c r="E22" s="112">
        <v>3750</v>
      </c>
      <c r="F22" s="2" t="s">
        <v>619</v>
      </c>
      <c r="G22" s="2" t="s">
        <v>620</v>
      </c>
      <c r="H22" s="81">
        <v>9.68</v>
      </c>
      <c r="I22" s="81">
        <f>+Tabla113[[#This Row],[CANTIDAD]]*Tabla113[[#This Row],[PRECIO]]</f>
        <v>36300</v>
      </c>
      <c r="J22" s="2"/>
    </row>
    <row r="23" spans="2:10" x14ac:dyDescent="0.25">
      <c r="B23" s="2" t="s">
        <v>636</v>
      </c>
      <c r="C23" s="17" t="s">
        <v>622</v>
      </c>
      <c r="D23" s="2" t="s">
        <v>637</v>
      </c>
      <c r="E23" s="112">
        <v>2104</v>
      </c>
      <c r="F23" s="2" t="s">
        <v>619</v>
      </c>
      <c r="G23" s="2" t="s">
        <v>620</v>
      </c>
      <c r="H23" s="81">
        <v>9.68</v>
      </c>
      <c r="I23" s="81">
        <f>+Tabla113[[#This Row],[CANTIDAD]]*Tabla113[[#This Row],[PRECIO]]</f>
        <v>20366.72</v>
      </c>
      <c r="J23" s="2"/>
    </row>
    <row r="24" spans="2:10" x14ac:dyDescent="0.25">
      <c r="B24" s="2" t="s">
        <v>636</v>
      </c>
      <c r="C24" s="17" t="s">
        <v>622</v>
      </c>
      <c r="D24" s="2" t="s">
        <v>400</v>
      </c>
      <c r="E24" s="112">
        <v>3754</v>
      </c>
      <c r="F24" s="2" t="s">
        <v>619</v>
      </c>
      <c r="G24" s="2" t="s">
        <v>620</v>
      </c>
      <c r="H24" s="81">
        <v>9.68</v>
      </c>
      <c r="I24" s="81">
        <f>+Tabla113[[#This Row],[CANTIDAD]]*Tabla113[[#This Row],[PRECIO]]</f>
        <v>36338.720000000001</v>
      </c>
      <c r="J24" s="2"/>
    </row>
    <row r="25" spans="2:10" x14ac:dyDescent="0.25">
      <c r="B25" s="192" t="s">
        <v>636</v>
      </c>
      <c r="C25" s="193" t="s">
        <v>622</v>
      </c>
      <c r="D25" s="192" t="s">
        <v>638</v>
      </c>
      <c r="E25" s="194">
        <f>4980-4980</f>
        <v>0</v>
      </c>
      <c r="F25" s="192" t="s">
        <v>619</v>
      </c>
      <c r="G25" s="192" t="s">
        <v>620</v>
      </c>
      <c r="H25" s="81">
        <v>9.68</v>
      </c>
      <c r="I25" s="195">
        <f>+Tabla113[[#This Row],[CANTIDAD]]*Tabla113[[#This Row],[PRECIO]]</f>
        <v>0</v>
      </c>
      <c r="J25" s="192" t="s">
        <v>946</v>
      </c>
    </row>
    <row r="26" spans="2:10" x14ac:dyDescent="0.25">
      <c r="B26" s="142" t="s">
        <v>639</v>
      </c>
      <c r="C26" s="17" t="s">
        <v>640</v>
      </c>
      <c r="D26" s="2" t="s">
        <v>623</v>
      </c>
      <c r="E26" s="112">
        <v>1120</v>
      </c>
      <c r="F26" s="2" t="s">
        <v>619</v>
      </c>
      <c r="G26" s="2" t="s">
        <v>620</v>
      </c>
      <c r="H26" s="81">
        <v>15.11</v>
      </c>
      <c r="I26" s="81">
        <f>+Tabla113[[#This Row],[CANTIDAD]]*Tabla113[[#This Row],[PRECIO]]</f>
        <v>16923.2</v>
      </c>
      <c r="J26" s="2"/>
    </row>
    <row r="27" spans="2:10" x14ac:dyDescent="0.25">
      <c r="B27" s="142" t="s">
        <v>641</v>
      </c>
      <c r="C27" s="17" t="s">
        <v>622</v>
      </c>
      <c r="D27" s="2" t="s">
        <v>623</v>
      </c>
      <c r="E27" s="112">
        <v>1422</v>
      </c>
      <c r="F27" s="2" t="s">
        <v>619</v>
      </c>
      <c r="G27" s="2" t="s">
        <v>620</v>
      </c>
      <c r="H27" s="81">
        <v>15.11</v>
      </c>
      <c r="I27" s="81">
        <f>+Tabla113[[#This Row],[CANTIDAD]]*Tabla113[[#This Row],[PRECIO]]</f>
        <v>21486.42</v>
      </c>
      <c r="J27" s="2"/>
    </row>
    <row r="28" spans="2:10" x14ac:dyDescent="0.25">
      <c r="B28" s="142" t="s">
        <v>383</v>
      </c>
      <c r="C28" s="17" t="s">
        <v>642</v>
      </c>
      <c r="D28" s="2" t="s">
        <v>638</v>
      </c>
      <c r="E28" s="112">
        <v>1130</v>
      </c>
      <c r="F28" s="2" t="s">
        <v>619</v>
      </c>
      <c r="G28" s="2" t="s">
        <v>620</v>
      </c>
      <c r="H28" s="81">
        <v>9.68</v>
      </c>
      <c r="I28" s="81">
        <f>+Tabla113[[#This Row],[CANTIDAD]]*Tabla113[[#This Row],[PRECIO]]</f>
        <v>10938.4</v>
      </c>
      <c r="J28" s="2"/>
    </row>
    <row r="29" spans="2:10" x14ac:dyDescent="0.25">
      <c r="B29" s="142" t="s">
        <v>383</v>
      </c>
      <c r="C29" s="17" t="s">
        <v>642</v>
      </c>
      <c r="D29" s="2" t="s">
        <v>643</v>
      </c>
      <c r="E29" s="112">
        <v>1458</v>
      </c>
      <c r="F29" s="2" t="s">
        <v>619</v>
      </c>
      <c r="G29" s="2" t="s">
        <v>620</v>
      </c>
      <c r="H29" s="81">
        <v>9.68</v>
      </c>
      <c r="I29" s="81">
        <f>+Tabla113[[#This Row],[CANTIDAD]]*Tabla113[[#This Row],[PRECIO]]</f>
        <v>14113.439999999999</v>
      </c>
      <c r="J29" s="2"/>
    </row>
    <row r="30" spans="2:10" x14ac:dyDescent="0.25">
      <c r="B30" s="2" t="s">
        <v>383</v>
      </c>
      <c r="C30" s="17" t="s">
        <v>434</v>
      </c>
      <c r="D30" s="2" t="s">
        <v>644</v>
      </c>
      <c r="E30" s="112">
        <v>823</v>
      </c>
      <c r="F30" s="2" t="s">
        <v>619</v>
      </c>
      <c r="G30" s="2" t="s">
        <v>620</v>
      </c>
      <c r="H30" s="81">
        <v>9.68</v>
      </c>
      <c r="I30" s="81">
        <f>+Tabla113[[#This Row],[CANTIDAD]]*Tabla113[[#This Row],[PRECIO]]</f>
        <v>7966.6399999999994</v>
      </c>
      <c r="J30" s="2"/>
    </row>
    <row r="31" spans="2:10" x14ac:dyDescent="0.25">
      <c r="B31" s="142" t="s">
        <v>645</v>
      </c>
      <c r="C31" s="17" t="s">
        <v>622</v>
      </c>
      <c r="D31" s="2" t="s">
        <v>623</v>
      </c>
      <c r="E31" s="112">
        <v>1910</v>
      </c>
      <c r="F31" s="2" t="s">
        <v>619</v>
      </c>
      <c r="G31" s="2" t="s">
        <v>620</v>
      </c>
      <c r="H31" s="81">
        <v>15.06</v>
      </c>
      <c r="I31" s="81">
        <f>+Tabla113[[#This Row],[CANTIDAD]]*Tabla113[[#This Row],[PRECIO]]</f>
        <v>28764.600000000002</v>
      </c>
      <c r="J31" s="2"/>
    </row>
    <row r="32" spans="2:10" x14ac:dyDescent="0.25">
      <c r="B32" s="142" t="s">
        <v>209</v>
      </c>
      <c r="C32" s="17" t="s">
        <v>584</v>
      </c>
      <c r="D32" s="2" t="s">
        <v>623</v>
      </c>
      <c r="E32" s="112">
        <v>5069</v>
      </c>
      <c r="F32" s="2" t="s">
        <v>619</v>
      </c>
      <c r="G32" s="2" t="s">
        <v>620</v>
      </c>
      <c r="H32" s="81">
        <f t="shared" ref="H32:H34" si="0">0.98*20</f>
        <v>19.600000000000001</v>
      </c>
      <c r="I32" s="81">
        <f>+Tabla113[[#This Row],[CANTIDAD]]*Tabla113[[#This Row],[PRECIO]]</f>
        <v>99352.400000000009</v>
      </c>
      <c r="J32" s="2"/>
    </row>
    <row r="33" spans="2:10" x14ac:dyDescent="0.25">
      <c r="B33" s="142" t="s">
        <v>209</v>
      </c>
      <c r="C33" s="17" t="s">
        <v>646</v>
      </c>
      <c r="D33" s="2" t="s">
        <v>623</v>
      </c>
      <c r="E33" s="112">
        <v>4174</v>
      </c>
      <c r="F33" s="2" t="s">
        <v>619</v>
      </c>
      <c r="G33" s="2" t="s">
        <v>620</v>
      </c>
      <c r="H33" s="81">
        <f t="shared" si="0"/>
        <v>19.600000000000001</v>
      </c>
      <c r="I33" s="81">
        <f>+Tabla113[[#This Row],[CANTIDAD]]*Tabla113[[#This Row],[PRECIO]]</f>
        <v>81810.400000000009</v>
      </c>
      <c r="J33" s="2"/>
    </row>
    <row r="34" spans="2:10" x14ac:dyDescent="0.25">
      <c r="B34" s="142" t="s">
        <v>209</v>
      </c>
      <c r="C34" s="17" t="s">
        <v>647</v>
      </c>
      <c r="D34" s="2" t="s">
        <v>623</v>
      </c>
      <c r="E34" s="112">
        <v>5039</v>
      </c>
      <c r="F34" s="2" t="s">
        <v>619</v>
      </c>
      <c r="G34" s="2" t="s">
        <v>620</v>
      </c>
      <c r="H34" s="81">
        <f t="shared" si="0"/>
        <v>19.600000000000001</v>
      </c>
      <c r="I34" s="81">
        <f>+Tabla113[[#This Row],[CANTIDAD]]*Tabla113[[#This Row],[PRECIO]]</f>
        <v>98764.400000000009</v>
      </c>
      <c r="J34" s="2"/>
    </row>
    <row r="35" spans="2:10" x14ac:dyDescent="0.25">
      <c r="B35" s="26"/>
      <c r="C35" s="113"/>
      <c r="D35" s="26"/>
      <c r="E35" s="114">
        <f>SUBTOTAL(109,Tabla113[CANTIDAD])</f>
        <v>46449</v>
      </c>
      <c r="F35" s="26"/>
      <c r="G35" s="26"/>
      <c r="H35" s="240"/>
      <c r="I35" s="240">
        <f>SUBTOTAL(109,Tabla113[TOTAL])</f>
        <v>664417.85000000009</v>
      </c>
    </row>
  </sheetData>
  <mergeCells count="1">
    <mergeCell ref="B1:G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EC18-F9BE-4922-8790-54432ADB2555}">
  <sheetPr codeName="Hoja9">
    <tabColor theme="8" tint="0.39997558519241921"/>
    <pageSetUpPr fitToPage="1"/>
  </sheetPr>
  <dimension ref="A1:H176"/>
  <sheetViews>
    <sheetView topLeftCell="A140" workbookViewId="0">
      <selection activeCell="E150" sqref="E150"/>
    </sheetView>
  </sheetViews>
  <sheetFormatPr baseColWidth="10" defaultRowHeight="15" x14ac:dyDescent="0.25"/>
  <cols>
    <col min="1" max="1" width="48.28515625" style="1" customWidth="1"/>
    <col min="2" max="2" width="15.28515625" style="2" bestFit="1" customWidth="1"/>
    <col min="3" max="3" width="12.42578125" style="2" bestFit="1" customWidth="1"/>
    <col min="4" max="4" width="16" style="17" customWidth="1"/>
    <col min="5" max="5" width="13.42578125" style="5" customWidth="1"/>
    <col min="6" max="6" width="36.42578125" bestFit="1" customWidth="1"/>
  </cols>
  <sheetData>
    <row r="1" spans="1:8" ht="39" customHeight="1" x14ac:dyDescent="0.25">
      <c r="B1" s="17" t="s">
        <v>938</v>
      </c>
      <c r="C1" s="3">
        <v>18.02</v>
      </c>
      <c r="D1" s="4">
        <v>46010</v>
      </c>
      <c r="E1" s="17" t="s">
        <v>693</v>
      </c>
      <c r="F1" s="242" t="s">
        <v>0</v>
      </c>
      <c r="G1" s="242"/>
      <c r="H1" s="242"/>
    </row>
    <row r="2" spans="1:8" ht="30" customHeight="1" x14ac:dyDescent="0.25">
      <c r="A2" s="86" t="s">
        <v>1</v>
      </c>
      <c r="B2" s="6" t="s">
        <v>279</v>
      </c>
      <c r="C2" s="7" t="s">
        <v>2</v>
      </c>
      <c r="D2" s="8" t="s">
        <v>3</v>
      </c>
      <c r="E2" s="9" t="s">
        <v>4</v>
      </c>
      <c r="F2" s="233" t="s">
        <v>5</v>
      </c>
      <c r="G2" s="234"/>
      <c r="H2" s="234"/>
    </row>
    <row r="3" spans="1:8" ht="30" customHeight="1" x14ac:dyDescent="0.25">
      <c r="A3" s="87" t="s">
        <v>425</v>
      </c>
      <c r="B3" s="11">
        <f>3*2.5</f>
        <v>7.5</v>
      </c>
      <c r="C3" s="130">
        <v>76</v>
      </c>
      <c r="D3" s="84" t="s">
        <v>6</v>
      </c>
      <c r="E3" s="12">
        <f>Tabla8[[#This Row],[CANTIDAD]]*Tabla8[[#This Row],[PRECIO]]</f>
        <v>570</v>
      </c>
      <c r="F3" s="13"/>
      <c r="G3" s="14"/>
      <c r="H3" s="14"/>
    </row>
    <row r="4" spans="1:8" ht="30" customHeight="1" x14ac:dyDescent="0.25">
      <c r="A4" s="87" t="s">
        <v>426</v>
      </c>
      <c r="B4" s="11">
        <f>5*2.5</f>
        <v>12.5</v>
      </c>
      <c r="C4" s="130">
        <v>76</v>
      </c>
      <c r="D4" s="84" t="s">
        <v>6</v>
      </c>
      <c r="E4" s="12">
        <f>Tabla8[[#This Row],[CANTIDAD]]*Tabla8[[#This Row],[PRECIO]]</f>
        <v>950</v>
      </c>
      <c r="F4" s="13"/>
      <c r="G4" s="14"/>
      <c r="H4" s="14"/>
    </row>
    <row r="5" spans="1:8" ht="30" customHeight="1" x14ac:dyDescent="0.25">
      <c r="A5" s="87" t="s">
        <v>12</v>
      </c>
      <c r="B5" s="11">
        <f>11*2.5</f>
        <v>27.5</v>
      </c>
      <c r="C5" s="130">
        <v>85</v>
      </c>
      <c r="D5" s="84" t="s">
        <v>6</v>
      </c>
      <c r="E5" s="12">
        <f>Tabla8[[#This Row],[CANTIDAD]]*Tabla8[[#This Row],[PRECIO]]</f>
        <v>2337.5</v>
      </c>
      <c r="F5" s="13"/>
      <c r="G5" s="14"/>
      <c r="H5" s="14"/>
    </row>
    <row r="6" spans="1:8" ht="30" customHeight="1" x14ac:dyDescent="0.25">
      <c r="A6" s="87" t="s">
        <v>11</v>
      </c>
      <c r="B6" s="11">
        <f>4*2.5</f>
        <v>10</v>
      </c>
      <c r="C6" s="130">
        <v>106.8965</v>
      </c>
      <c r="D6" s="84" t="s">
        <v>6</v>
      </c>
      <c r="E6" s="12">
        <f>Tabla8[[#This Row],[CANTIDAD]]*Tabla8[[#This Row],[PRECIO]]</f>
        <v>1068.9650000000001</v>
      </c>
      <c r="F6" s="13"/>
      <c r="G6" s="14"/>
      <c r="H6" s="14"/>
    </row>
    <row r="7" spans="1:8" ht="30" customHeight="1" x14ac:dyDescent="0.25">
      <c r="A7" s="87" t="s">
        <v>427</v>
      </c>
      <c r="B7" s="11">
        <f>3*2.5</f>
        <v>7.5</v>
      </c>
      <c r="C7" s="130">
        <v>63.44</v>
      </c>
      <c r="D7" s="84" t="s">
        <v>6</v>
      </c>
      <c r="E7" s="12">
        <f>Tabla8[[#This Row],[CANTIDAD]]*Tabla8[[#This Row],[PRECIO]]</f>
        <v>475.79999999999995</v>
      </c>
      <c r="F7" s="13"/>
      <c r="G7" s="14"/>
      <c r="H7" s="14"/>
    </row>
    <row r="8" spans="1:8" ht="30" customHeight="1" x14ac:dyDescent="0.25">
      <c r="A8" s="87" t="s">
        <v>656</v>
      </c>
      <c r="B8" s="11">
        <f>3*2.5</f>
        <v>7.5</v>
      </c>
      <c r="C8" s="130">
        <v>63.44</v>
      </c>
      <c r="D8" s="84" t="s">
        <v>6</v>
      </c>
      <c r="E8" s="12">
        <f>Tabla8[[#This Row],[CANTIDAD]]*Tabla8[[#This Row],[PRECIO]]</f>
        <v>475.79999999999995</v>
      </c>
      <c r="F8" s="13"/>
      <c r="G8" s="14"/>
      <c r="H8" s="14"/>
    </row>
    <row r="9" spans="1:8" ht="30" customHeight="1" x14ac:dyDescent="0.25">
      <c r="A9" s="87" t="s">
        <v>7</v>
      </c>
      <c r="B9" s="11">
        <f>6*2.5</f>
        <v>15</v>
      </c>
      <c r="C9" s="130">
        <v>63.44</v>
      </c>
      <c r="D9" s="84" t="s">
        <v>6</v>
      </c>
      <c r="E9" s="12">
        <f>Tabla8[[#This Row],[CANTIDAD]]*Tabla8[[#This Row],[PRECIO]]</f>
        <v>951.59999999999991</v>
      </c>
      <c r="F9" s="13"/>
      <c r="G9" s="14"/>
      <c r="H9" s="14"/>
    </row>
    <row r="10" spans="1:8" ht="30" customHeight="1" x14ac:dyDescent="0.25">
      <c r="A10" s="87" t="s">
        <v>10</v>
      </c>
      <c r="B10" s="11">
        <v>0</v>
      </c>
      <c r="C10" s="130">
        <v>199</v>
      </c>
      <c r="D10" s="84" t="s">
        <v>6</v>
      </c>
      <c r="E10" s="12">
        <f>Tabla8[[#This Row],[CANTIDAD]]*Tabla8[[#This Row],[PRECIO]]</f>
        <v>0</v>
      </c>
      <c r="F10" s="13"/>
      <c r="G10" s="14"/>
      <c r="H10" s="14"/>
    </row>
    <row r="11" spans="1:8" ht="30" customHeight="1" x14ac:dyDescent="0.25">
      <c r="A11" s="87" t="s">
        <v>428</v>
      </c>
      <c r="B11" s="11">
        <f>5*2.5</f>
        <v>12.5</v>
      </c>
      <c r="C11" s="130">
        <v>63.444000000000003</v>
      </c>
      <c r="D11" s="84" t="s">
        <v>6</v>
      </c>
      <c r="E11" s="12">
        <f>Tabla8[[#This Row],[CANTIDAD]]*Tabla8[[#This Row],[PRECIO]]</f>
        <v>793.05000000000007</v>
      </c>
      <c r="F11" s="13"/>
      <c r="G11" s="14"/>
      <c r="H11" s="14"/>
    </row>
    <row r="12" spans="1:8" ht="30" customHeight="1" x14ac:dyDescent="0.25">
      <c r="A12" s="87" t="s">
        <v>429</v>
      </c>
      <c r="B12" s="11">
        <v>0</v>
      </c>
      <c r="C12" s="130">
        <v>63.444000000000003</v>
      </c>
      <c r="D12" s="84" t="s">
        <v>6</v>
      </c>
      <c r="E12" s="12">
        <f>Tabla8[[#This Row],[CANTIDAD]]*Tabla8[[#This Row],[PRECIO]]</f>
        <v>0</v>
      </c>
      <c r="F12" s="13"/>
      <c r="G12" s="14"/>
      <c r="H12" s="14"/>
    </row>
    <row r="13" spans="1:8" ht="30" customHeight="1" x14ac:dyDescent="0.25">
      <c r="A13" s="87" t="s">
        <v>657</v>
      </c>
      <c r="B13" s="11">
        <f>3*2.5</f>
        <v>7.5</v>
      </c>
      <c r="C13" s="130">
        <v>76</v>
      </c>
      <c r="D13" s="84" t="s">
        <v>6</v>
      </c>
      <c r="E13" s="12">
        <f>Tabla8[[#This Row],[CANTIDAD]]*Tabla8[[#This Row],[PRECIO]]</f>
        <v>570</v>
      </c>
      <c r="F13" s="13"/>
      <c r="G13" s="14"/>
      <c r="H13" s="14"/>
    </row>
    <row r="14" spans="1:8" ht="30" customHeight="1" x14ac:dyDescent="0.25">
      <c r="A14" s="87" t="s">
        <v>8</v>
      </c>
      <c r="B14" s="11">
        <f>2*2.5</f>
        <v>5</v>
      </c>
      <c r="C14" s="130">
        <v>76</v>
      </c>
      <c r="D14" s="84" t="s">
        <v>6</v>
      </c>
      <c r="E14" s="12">
        <f>Tabla8[[#This Row],[CANTIDAD]]*Tabla8[[#This Row],[PRECIO]]</f>
        <v>380</v>
      </c>
      <c r="F14" s="13"/>
      <c r="G14" s="14"/>
      <c r="H14" s="14"/>
    </row>
    <row r="15" spans="1:8" ht="30" customHeight="1" x14ac:dyDescent="0.25">
      <c r="A15" s="87" t="s">
        <v>9</v>
      </c>
      <c r="B15" s="11">
        <v>0</v>
      </c>
      <c r="C15" s="130">
        <v>76</v>
      </c>
      <c r="D15" s="84" t="s">
        <v>6</v>
      </c>
      <c r="E15" s="12">
        <f>Tabla8[[#This Row],[CANTIDAD]]*Tabla8[[#This Row],[PRECIO]]</f>
        <v>0</v>
      </c>
      <c r="F15" s="13"/>
      <c r="G15" s="14"/>
      <c r="H15" s="14"/>
    </row>
    <row r="16" spans="1:8" ht="30" customHeight="1" x14ac:dyDescent="0.25">
      <c r="A16" s="88" t="s">
        <v>13</v>
      </c>
      <c r="B16" s="11">
        <v>1</v>
      </c>
      <c r="C16" s="130">
        <v>54.37</v>
      </c>
      <c r="D16" s="16" t="s">
        <v>14</v>
      </c>
      <c r="E16" s="12">
        <f>Tabla8[[#This Row],[CANTIDAD]]*Tabla8[[#This Row],[PRECIO]]</f>
        <v>54.37</v>
      </c>
      <c r="F16" s="13"/>
      <c r="G16" s="14"/>
      <c r="H16" s="14"/>
    </row>
    <row r="17" spans="1:8" ht="30" customHeight="1" x14ac:dyDescent="0.25">
      <c r="A17" s="88" t="s">
        <v>1007</v>
      </c>
      <c r="B17" s="11"/>
      <c r="C17" s="130"/>
      <c r="D17" s="16" t="s">
        <v>14</v>
      </c>
      <c r="E17" s="12">
        <f>Tabla8[[#This Row],[CANTIDAD]]*Tabla8[[#This Row],[PRECIO]]</f>
        <v>0</v>
      </c>
      <c r="F17" s="239" t="s">
        <v>71</v>
      </c>
      <c r="G17" s="14"/>
      <c r="H17" s="14"/>
    </row>
    <row r="18" spans="1:8" ht="30" customHeight="1" x14ac:dyDescent="0.25">
      <c r="A18" s="88" t="s">
        <v>15</v>
      </c>
      <c r="B18" s="11">
        <v>1</v>
      </c>
      <c r="C18" s="131">
        <v>189.24</v>
      </c>
      <c r="D18" s="16" t="s">
        <v>14</v>
      </c>
      <c r="E18" s="12">
        <f>Tabla8[[#This Row],[CANTIDAD]]*Tabla8[[#This Row],[PRECIO]]</f>
        <v>189.24</v>
      </c>
      <c r="F18" s="13"/>
      <c r="G18" s="14"/>
      <c r="H18" s="14"/>
    </row>
    <row r="19" spans="1:8" ht="30" customHeight="1" x14ac:dyDescent="0.25">
      <c r="A19" s="88" t="s">
        <v>659</v>
      </c>
      <c r="B19" s="11">
        <f>2+2</f>
        <v>4</v>
      </c>
      <c r="C19" s="130">
        <v>106.27</v>
      </c>
      <c r="D19" s="16" t="s">
        <v>33</v>
      </c>
      <c r="E19" s="12">
        <f>Tabla8[[#This Row],[CANTIDAD]]*Tabla8[[#This Row],[PRECIO]]</f>
        <v>425.08</v>
      </c>
      <c r="F19" s="13"/>
      <c r="G19" s="14"/>
      <c r="H19" s="14"/>
    </row>
    <row r="20" spans="1:8" ht="30" customHeight="1" x14ac:dyDescent="0.25">
      <c r="A20" s="87" t="s">
        <v>16</v>
      </c>
      <c r="B20" s="141">
        <v>3</v>
      </c>
      <c r="C20" s="131">
        <v>505.82</v>
      </c>
      <c r="D20" s="84" t="s">
        <v>6</v>
      </c>
      <c r="E20" s="12">
        <f>Tabla8[[#This Row],[CANTIDAD]]*Tabla8[[#This Row],[PRECIO]]</f>
        <v>1517.46</v>
      </c>
      <c r="F20" s="236" t="s">
        <v>17</v>
      </c>
      <c r="G20" s="25"/>
      <c r="H20" s="25"/>
    </row>
    <row r="21" spans="1:8" ht="30" customHeight="1" x14ac:dyDescent="0.25">
      <c r="A21" s="87" t="s">
        <v>18</v>
      </c>
      <c r="B21" s="141">
        <v>0</v>
      </c>
      <c r="C21" s="131">
        <v>505.82</v>
      </c>
      <c r="D21" s="84" t="s">
        <v>6</v>
      </c>
      <c r="E21" s="12">
        <f>Tabla8[[#This Row],[CANTIDAD]]*Tabla8[[#This Row],[PRECIO]]</f>
        <v>0</v>
      </c>
      <c r="F21" s="235"/>
      <c r="G21" s="25"/>
      <c r="H21" s="25"/>
    </row>
    <row r="22" spans="1:8" ht="30" customHeight="1" x14ac:dyDescent="0.25">
      <c r="A22" s="87" t="s">
        <v>19</v>
      </c>
      <c r="B22" s="11">
        <v>4</v>
      </c>
      <c r="C22" s="131">
        <v>505.82</v>
      </c>
      <c r="D22" s="84" t="s">
        <v>6</v>
      </c>
      <c r="E22" s="12">
        <f>Tabla8[[#This Row],[CANTIDAD]]*Tabla8[[#This Row],[PRECIO]]</f>
        <v>2023.28</v>
      </c>
      <c r="F22" s="236" t="s">
        <v>17</v>
      </c>
      <c r="G22" s="25"/>
      <c r="H22" s="25"/>
    </row>
    <row r="23" spans="1:8" ht="30" customHeight="1" x14ac:dyDescent="0.25">
      <c r="A23" s="87" t="s">
        <v>20</v>
      </c>
      <c r="B23" s="11">
        <v>0</v>
      </c>
      <c r="C23" s="74">
        <v>0</v>
      </c>
      <c r="D23" s="84" t="s">
        <v>6</v>
      </c>
      <c r="E23" s="12">
        <f>Tabla8[[#This Row],[CANTIDAD]]*Tabla8[[#This Row],[PRECIO]]</f>
        <v>0</v>
      </c>
      <c r="F23" s="235"/>
      <c r="G23" s="25"/>
      <c r="H23" s="25"/>
    </row>
    <row r="24" spans="1:8" ht="30" customHeight="1" x14ac:dyDescent="0.25">
      <c r="A24" s="87" t="s">
        <v>21</v>
      </c>
      <c r="B24" s="11">
        <v>0</v>
      </c>
      <c r="C24" s="74">
        <v>0</v>
      </c>
      <c r="D24" s="84" t="s">
        <v>6</v>
      </c>
      <c r="E24" s="12">
        <f>Tabla8[[#This Row],[CANTIDAD]]*Tabla8[[#This Row],[PRECIO]]</f>
        <v>0</v>
      </c>
      <c r="F24" s="235"/>
      <c r="G24" s="25"/>
      <c r="H24" s="25"/>
    </row>
    <row r="25" spans="1:8" ht="30" customHeight="1" x14ac:dyDescent="0.25">
      <c r="A25" s="87" t="s">
        <v>22</v>
      </c>
      <c r="B25" s="11">
        <v>0</v>
      </c>
      <c r="C25" s="74">
        <v>0</v>
      </c>
      <c r="D25" s="84" t="s">
        <v>6</v>
      </c>
      <c r="E25" s="12">
        <f>Tabla8[[#This Row],[CANTIDAD]]*Tabla8[[#This Row],[PRECIO]]</f>
        <v>0</v>
      </c>
      <c r="F25" s="235"/>
      <c r="G25" s="25"/>
      <c r="H25" s="25"/>
    </row>
    <row r="26" spans="1:8" ht="30" customHeight="1" x14ac:dyDescent="0.25">
      <c r="A26" s="87" t="s">
        <v>23</v>
      </c>
      <c r="B26" s="11">
        <v>0</v>
      </c>
      <c r="C26" s="74">
        <v>0</v>
      </c>
      <c r="D26" s="84" t="s">
        <v>6</v>
      </c>
      <c r="E26" s="12">
        <f>Tabla8[[#This Row],[CANTIDAD]]*Tabla8[[#This Row],[PRECIO]]</f>
        <v>0</v>
      </c>
      <c r="F26" s="235"/>
      <c r="G26" s="25"/>
      <c r="H26" s="25"/>
    </row>
    <row r="27" spans="1:8" ht="30" customHeight="1" x14ac:dyDescent="0.25">
      <c r="A27" s="87" t="s">
        <v>24</v>
      </c>
      <c r="B27" s="11">
        <v>0</v>
      </c>
      <c r="C27" s="74">
        <v>0</v>
      </c>
      <c r="D27" s="84" t="s">
        <v>6</v>
      </c>
      <c r="E27" s="12">
        <f>Tabla8[[#This Row],[CANTIDAD]]*Tabla8[[#This Row],[PRECIO]]</f>
        <v>0</v>
      </c>
      <c r="F27" s="235"/>
      <c r="G27" s="25"/>
      <c r="H27" s="25"/>
    </row>
    <row r="28" spans="1:8" ht="30" customHeight="1" x14ac:dyDescent="0.25">
      <c r="A28" s="87" t="s">
        <v>25</v>
      </c>
      <c r="B28" s="11">
        <v>0</v>
      </c>
      <c r="C28" s="74">
        <v>0</v>
      </c>
      <c r="D28" s="84" t="s">
        <v>6</v>
      </c>
      <c r="E28" s="12">
        <f>Tabla8[[#This Row],[CANTIDAD]]*Tabla8[[#This Row],[PRECIO]]</f>
        <v>0</v>
      </c>
      <c r="F28" s="235"/>
      <c r="G28" s="25"/>
      <c r="H28" s="25"/>
    </row>
    <row r="29" spans="1:8" ht="30" customHeight="1" x14ac:dyDescent="0.25">
      <c r="A29" s="87" t="s">
        <v>26</v>
      </c>
      <c r="B29" s="11">
        <v>0</v>
      </c>
      <c r="C29" s="131">
        <v>1219</v>
      </c>
      <c r="D29" s="16" t="s">
        <v>27</v>
      </c>
      <c r="E29" s="12">
        <f>Tabla8[[#This Row],[CANTIDAD]]*Tabla8[[#This Row],[PRECIO]]</f>
        <v>0</v>
      </c>
    </row>
    <row r="30" spans="1:8" ht="30" customHeight="1" x14ac:dyDescent="0.25">
      <c r="A30" s="87" t="s">
        <v>28</v>
      </c>
      <c r="B30" s="11">
        <v>3</v>
      </c>
      <c r="C30" s="131">
        <v>35</v>
      </c>
      <c r="D30" s="16" t="s">
        <v>29</v>
      </c>
      <c r="E30" s="12">
        <f>Tabla8[[#This Row],[CANTIDAD]]*Tabla8[[#This Row],[PRECIO]]</f>
        <v>105</v>
      </c>
    </row>
    <row r="31" spans="1:8" ht="30" customHeight="1" x14ac:dyDescent="0.25">
      <c r="A31" s="87" t="s">
        <v>30</v>
      </c>
      <c r="B31" s="11">
        <v>19</v>
      </c>
      <c r="C31" s="130">
        <v>216.2</v>
      </c>
      <c r="D31" s="16" t="s">
        <v>31</v>
      </c>
      <c r="E31" s="12">
        <f>Tabla8[[#This Row],[CANTIDAD]]*Tabla8[[#This Row],[PRECIO]]</f>
        <v>4107.8</v>
      </c>
    </row>
    <row r="32" spans="1:8" ht="30" customHeight="1" x14ac:dyDescent="0.25">
      <c r="A32" s="89" t="s">
        <v>32</v>
      </c>
      <c r="B32" s="11">
        <v>0</v>
      </c>
      <c r="C32" s="130">
        <v>149</v>
      </c>
      <c r="D32" s="16" t="s">
        <v>33</v>
      </c>
      <c r="E32" s="12">
        <f>Tabla8[[#This Row],[CANTIDAD]]*Tabla8[[#This Row],[PRECIO]]</f>
        <v>0</v>
      </c>
    </row>
    <row r="33" spans="1:6" ht="15" customHeight="1" x14ac:dyDescent="0.25">
      <c r="A33" s="90" t="s">
        <v>34</v>
      </c>
      <c r="B33" s="11">
        <v>0</v>
      </c>
      <c r="C33" s="74">
        <v>0</v>
      </c>
      <c r="D33" s="16" t="s">
        <v>35</v>
      </c>
      <c r="E33" s="12">
        <f>Tabla8[[#This Row],[CANTIDAD]]*Tabla8[[#This Row],[PRECIO]]</f>
        <v>0</v>
      </c>
    </row>
    <row r="34" spans="1:6" ht="28.5" customHeight="1" x14ac:dyDescent="0.25">
      <c r="A34" s="90" t="s">
        <v>36</v>
      </c>
      <c r="B34" s="11">
        <f>4*12</f>
        <v>48</v>
      </c>
      <c r="C34" s="130">
        <f>13.38*0.9</f>
        <v>12.042000000000002</v>
      </c>
      <c r="D34" s="16" t="s">
        <v>29</v>
      </c>
      <c r="E34" s="12">
        <f>Tabla8[[#This Row],[CANTIDAD]]*Tabla8[[#This Row],[PRECIO]]</f>
        <v>578.01600000000008</v>
      </c>
    </row>
    <row r="35" spans="1:6" ht="30" customHeight="1" x14ac:dyDescent="0.25">
      <c r="A35" s="90" t="s">
        <v>37</v>
      </c>
      <c r="B35" s="11">
        <f>1*12</f>
        <v>12</v>
      </c>
      <c r="C35" s="130">
        <f>8.28*0.9</f>
        <v>7.452</v>
      </c>
      <c r="D35" s="16" t="s">
        <v>29</v>
      </c>
      <c r="E35" s="12">
        <f>Tabla8[[#This Row],[CANTIDAD]]*Tabla8[[#This Row],[PRECIO]]</f>
        <v>89.424000000000007</v>
      </c>
    </row>
    <row r="36" spans="1:6" ht="30" customHeight="1" x14ac:dyDescent="0.25">
      <c r="A36" s="90" t="s">
        <v>38</v>
      </c>
      <c r="B36" s="11">
        <v>2</v>
      </c>
      <c r="C36" s="130">
        <v>69</v>
      </c>
      <c r="D36" s="16" t="s">
        <v>29</v>
      </c>
      <c r="E36" s="12">
        <f>Tabla8[[#This Row],[CANTIDAD]]*Tabla8[[#This Row],[PRECIO]]</f>
        <v>138</v>
      </c>
    </row>
    <row r="37" spans="1:6" ht="30" customHeight="1" x14ac:dyDescent="0.25">
      <c r="A37" s="90" t="s">
        <v>39</v>
      </c>
      <c r="B37" s="11">
        <v>4</v>
      </c>
      <c r="C37" s="130">
        <v>92</v>
      </c>
      <c r="D37" s="16" t="s">
        <v>29</v>
      </c>
      <c r="E37" s="12">
        <f>Tabla8[[#This Row],[CANTIDAD]]*Tabla8[[#This Row],[PRECIO]]</f>
        <v>368</v>
      </c>
    </row>
    <row r="38" spans="1:6" ht="30" customHeight="1" x14ac:dyDescent="0.25">
      <c r="A38" s="90" t="s">
        <v>40</v>
      </c>
      <c r="B38" s="11">
        <v>2</v>
      </c>
      <c r="C38" s="130">
        <v>99</v>
      </c>
      <c r="D38" s="16" t="s">
        <v>29</v>
      </c>
      <c r="E38" s="12">
        <f>Tabla8[[#This Row],[CANTIDAD]]*Tabla8[[#This Row],[PRECIO]]</f>
        <v>198</v>
      </c>
    </row>
    <row r="39" spans="1:6" ht="30" customHeight="1" x14ac:dyDescent="0.25">
      <c r="A39" s="238" t="s">
        <v>998</v>
      </c>
      <c r="B39" s="11">
        <v>11</v>
      </c>
      <c r="C39" s="130">
        <v>86.63</v>
      </c>
      <c r="D39" s="16" t="s">
        <v>29</v>
      </c>
      <c r="E39" s="12">
        <f>Tabla8[[#This Row],[CANTIDAD]]*Tabla8[[#This Row],[PRECIO]]</f>
        <v>952.93</v>
      </c>
    </row>
    <row r="40" spans="1:6" ht="30" customHeight="1" x14ac:dyDescent="0.25">
      <c r="A40" s="238" t="s">
        <v>999</v>
      </c>
      <c r="B40" s="11">
        <v>51</v>
      </c>
      <c r="C40" s="130">
        <v>34.049999999999997</v>
      </c>
      <c r="D40" s="16" t="s">
        <v>29</v>
      </c>
      <c r="E40" s="12">
        <f>Tabla8[[#This Row],[CANTIDAD]]*Tabla8[[#This Row],[PRECIO]]</f>
        <v>1736.55</v>
      </c>
      <c r="F40" s="22"/>
    </row>
    <row r="41" spans="1:6" ht="30" customHeight="1" x14ac:dyDescent="0.25">
      <c r="A41" s="238" t="s">
        <v>1000</v>
      </c>
      <c r="B41" s="11">
        <v>10</v>
      </c>
      <c r="C41" s="130">
        <v>46.75</v>
      </c>
      <c r="D41" s="16" t="s">
        <v>29</v>
      </c>
      <c r="E41" s="12">
        <f>Tabla8[[#This Row],[CANTIDAD]]*Tabla8[[#This Row],[PRECIO]]</f>
        <v>467.5</v>
      </c>
      <c r="F41" s="22"/>
    </row>
    <row r="42" spans="1:6" ht="30" customHeight="1" x14ac:dyDescent="0.25">
      <c r="A42" s="238" t="s">
        <v>1001</v>
      </c>
      <c r="B42" s="11">
        <v>15</v>
      </c>
      <c r="C42" s="130">
        <v>4.75</v>
      </c>
      <c r="D42" s="16" t="s">
        <v>29</v>
      </c>
      <c r="E42" s="12">
        <f>Tabla8[[#This Row],[CANTIDAD]]*Tabla8[[#This Row],[PRECIO]]</f>
        <v>71.25</v>
      </c>
      <c r="F42" s="22"/>
    </row>
    <row r="43" spans="1:6" ht="30" customHeight="1" x14ac:dyDescent="0.25">
      <c r="A43" s="238" t="s">
        <v>1002</v>
      </c>
      <c r="B43" s="11">
        <v>1.5</v>
      </c>
      <c r="C43" s="130">
        <v>275.83</v>
      </c>
      <c r="D43" s="16" t="s">
        <v>1003</v>
      </c>
      <c r="E43" s="12">
        <f>Tabla8[[#This Row],[CANTIDAD]]*Tabla8[[#This Row],[PRECIO]]</f>
        <v>413.745</v>
      </c>
      <c r="F43" s="22"/>
    </row>
    <row r="44" spans="1:6" ht="30" customHeight="1" x14ac:dyDescent="0.25">
      <c r="A44" s="238" t="s">
        <v>1004</v>
      </c>
      <c r="B44" s="11">
        <v>8</v>
      </c>
      <c r="C44" s="130">
        <v>19.239999999999998</v>
      </c>
      <c r="D44" s="16" t="s">
        <v>29</v>
      </c>
      <c r="E44" s="12">
        <f>Tabla8[[#This Row],[CANTIDAD]]*Tabla8[[#This Row],[PRECIO]]</f>
        <v>153.91999999999999</v>
      </c>
      <c r="F44" s="22"/>
    </row>
    <row r="45" spans="1:6" ht="30" customHeight="1" x14ac:dyDescent="0.25">
      <c r="A45" s="90" t="s">
        <v>41</v>
      </c>
      <c r="B45" s="11">
        <v>2</v>
      </c>
      <c r="C45" s="130">
        <v>1093.68</v>
      </c>
      <c r="D45" s="16" t="s">
        <v>947</v>
      </c>
      <c r="E45" s="12">
        <f>Tabla8[[#This Row],[CANTIDAD]]*Tabla8[[#This Row],[PRECIO]]</f>
        <v>2187.36</v>
      </c>
    </row>
    <row r="46" spans="1:6" ht="30" customHeight="1" x14ac:dyDescent="0.25">
      <c r="A46" s="90" t="s">
        <v>42</v>
      </c>
      <c r="B46" s="11">
        <v>15</v>
      </c>
      <c r="C46" s="130">
        <v>301.73</v>
      </c>
      <c r="D46" s="16" t="s">
        <v>43</v>
      </c>
      <c r="E46" s="12">
        <f>Tabla8[[#This Row],[CANTIDAD]]*Tabla8[[#This Row],[PRECIO]]</f>
        <v>4525.9500000000007</v>
      </c>
    </row>
    <row r="47" spans="1:6" ht="30" customHeight="1" x14ac:dyDescent="0.25">
      <c r="A47" s="91" t="s">
        <v>44</v>
      </c>
      <c r="B47" s="11">
        <v>0</v>
      </c>
      <c r="C47" s="130">
        <v>524.5</v>
      </c>
      <c r="D47" s="16" t="s">
        <v>29</v>
      </c>
      <c r="E47" s="12">
        <f>Tabla8[[#This Row],[CANTIDAD]]*Tabla8[[#This Row],[PRECIO]]</f>
        <v>0</v>
      </c>
    </row>
    <row r="48" spans="1:6" ht="30" customHeight="1" x14ac:dyDescent="0.25">
      <c r="A48" s="92" t="s">
        <v>45</v>
      </c>
      <c r="B48" s="19">
        <v>0.38</v>
      </c>
      <c r="C48" s="130">
        <v>1097</v>
      </c>
      <c r="D48" s="16" t="s">
        <v>46</v>
      </c>
      <c r="E48" s="12">
        <f>Tabla8[[#This Row],[CANTIDAD]]*Tabla8[[#This Row],[PRECIO]]</f>
        <v>416.86</v>
      </c>
    </row>
    <row r="49" spans="1:6" ht="30" customHeight="1" x14ac:dyDescent="0.25">
      <c r="A49" s="92" t="s">
        <v>1005</v>
      </c>
      <c r="B49" s="11">
        <v>11</v>
      </c>
      <c r="C49" s="130">
        <v>17.899999999999999</v>
      </c>
      <c r="D49" s="16" t="s">
        <v>29</v>
      </c>
      <c r="E49" s="12">
        <f>Tabla8[[#This Row],[CANTIDAD]]*Tabla8[[#This Row],[PRECIO]]</f>
        <v>196.89999999999998</v>
      </c>
      <c r="F49" s="22"/>
    </row>
    <row r="50" spans="1:6" ht="30" customHeight="1" x14ac:dyDescent="0.25">
      <c r="A50" s="92" t="s">
        <v>1006</v>
      </c>
      <c r="B50" s="11">
        <v>27</v>
      </c>
      <c r="C50" s="130">
        <v>20.059999999999999</v>
      </c>
      <c r="D50" s="16" t="s">
        <v>29</v>
      </c>
      <c r="E50" s="12">
        <f>Tabla8[[#This Row],[CANTIDAD]]*Tabla8[[#This Row],[PRECIO]]</f>
        <v>541.62</v>
      </c>
      <c r="F50" s="22"/>
    </row>
    <row r="51" spans="1:6" ht="30" customHeight="1" x14ac:dyDescent="0.25">
      <c r="A51" s="92" t="s">
        <v>47</v>
      </c>
      <c r="B51" s="11">
        <v>33</v>
      </c>
      <c r="C51" s="130">
        <v>46.64</v>
      </c>
      <c r="D51" s="16" t="s">
        <v>29</v>
      </c>
      <c r="E51" s="12">
        <f>Tabla8[[#This Row],[CANTIDAD]]*Tabla8[[#This Row],[PRECIO]]</f>
        <v>1539.1200000000001</v>
      </c>
    </row>
    <row r="52" spans="1:6" ht="30" customHeight="1" x14ac:dyDescent="0.25">
      <c r="A52" s="93" t="s">
        <v>48</v>
      </c>
      <c r="B52" s="11">
        <v>6</v>
      </c>
      <c r="C52" s="130">
        <v>64.790000000000006</v>
      </c>
      <c r="D52" s="16" t="s">
        <v>29</v>
      </c>
      <c r="E52" s="12">
        <f>Tabla8[[#This Row],[CANTIDAD]]*Tabla8[[#This Row],[PRECIO]]</f>
        <v>388.74</v>
      </c>
    </row>
    <row r="53" spans="1:6" ht="30" customHeight="1" x14ac:dyDescent="0.25">
      <c r="A53" s="92" t="s">
        <v>49</v>
      </c>
      <c r="B53" s="11">
        <v>0</v>
      </c>
      <c r="C53" s="73">
        <v>50</v>
      </c>
      <c r="D53" s="16" t="s">
        <v>29</v>
      </c>
      <c r="E53" s="12">
        <f>Tabla8[[#This Row],[CANTIDAD]]*Tabla8[[#This Row],[PRECIO]]</f>
        <v>0</v>
      </c>
    </row>
    <row r="54" spans="1:6" ht="30" customHeight="1" x14ac:dyDescent="0.25">
      <c r="A54" s="92" t="s">
        <v>50</v>
      </c>
      <c r="B54" s="11">
        <v>24</v>
      </c>
      <c r="C54" s="130">
        <f>53.18*0.9</f>
        <v>47.862000000000002</v>
      </c>
      <c r="D54" s="16" t="s">
        <v>29</v>
      </c>
      <c r="E54" s="12">
        <f>Tabla8[[#This Row],[CANTIDAD]]*Tabla8[[#This Row],[PRECIO]]</f>
        <v>1148.6880000000001</v>
      </c>
    </row>
    <row r="55" spans="1:6" ht="30" customHeight="1" x14ac:dyDescent="0.25">
      <c r="A55" s="92" t="s">
        <v>51</v>
      </c>
      <c r="B55" s="11">
        <v>18</v>
      </c>
      <c r="C55" s="130">
        <v>34.5</v>
      </c>
      <c r="D55" s="16" t="s">
        <v>29</v>
      </c>
      <c r="E55" s="12">
        <f>Tabla8[[#This Row],[CANTIDAD]]*Tabla8[[#This Row],[PRECIO]]</f>
        <v>621</v>
      </c>
    </row>
    <row r="56" spans="1:6" ht="30" customHeight="1" x14ac:dyDescent="0.25">
      <c r="A56" s="92" t="s">
        <v>52</v>
      </c>
      <c r="B56" s="11">
        <v>48</v>
      </c>
      <c r="C56" s="130">
        <v>73</v>
      </c>
      <c r="D56" s="16" t="s">
        <v>29</v>
      </c>
      <c r="E56" s="12">
        <f>Tabla8[[#This Row],[CANTIDAD]]*Tabla8[[#This Row],[PRECIO]]</f>
        <v>3504</v>
      </c>
    </row>
    <row r="57" spans="1:6" ht="30" customHeight="1" x14ac:dyDescent="0.25">
      <c r="A57" s="92" t="s">
        <v>53</v>
      </c>
      <c r="B57" s="11">
        <v>167</v>
      </c>
      <c r="C57" s="130">
        <v>125.9</v>
      </c>
      <c r="D57" s="16" t="s">
        <v>29</v>
      </c>
      <c r="E57" s="12">
        <f>Tabla8[[#This Row],[CANTIDAD]]*Tabla8[[#This Row],[PRECIO]]</f>
        <v>21025.3</v>
      </c>
    </row>
    <row r="58" spans="1:6" ht="30" customHeight="1" x14ac:dyDescent="0.25">
      <c r="A58" s="92" t="s">
        <v>54</v>
      </c>
      <c r="B58" s="143">
        <v>120</v>
      </c>
      <c r="C58" s="130">
        <v>82</v>
      </c>
      <c r="D58" s="16" t="s">
        <v>29</v>
      </c>
      <c r="E58" s="12">
        <f>Tabla8[[#This Row],[CANTIDAD]]*Tabla8[[#This Row],[PRECIO]]</f>
        <v>9840</v>
      </c>
      <c r="F58" s="237" t="s">
        <v>710</v>
      </c>
    </row>
    <row r="59" spans="1:6" ht="30" customHeight="1" x14ac:dyDescent="0.25">
      <c r="A59" s="92" t="s">
        <v>55</v>
      </c>
      <c r="B59" s="11">
        <v>0</v>
      </c>
      <c r="C59" s="73">
        <v>60</v>
      </c>
      <c r="D59" s="16" t="s">
        <v>29</v>
      </c>
      <c r="E59" s="12">
        <f>Tabla8[[#This Row],[CANTIDAD]]*Tabla8[[#This Row],[PRECIO]]</f>
        <v>0</v>
      </c>
    </row>
    <row r="60" spans="1:6" ht="30" customHeight="1" x14ac:dyDescent="0.25">
      <c r="A60" s="92" t="s">
        <v>56</v>
      </c>
      <c r="B60" s="11">
        <v>120</v>
      </c>
      <c r="C60" s="130">
        <v>60</v>
      </c>
      <c r="D60" s="16" t="s">
        <v>29</v>
      </c>
      <c r="E60" s="12">
        <f>Tabla8[[#This Row],[CANTIDAD]]*Tabla8[[#This Row],[PRECIO]]</f>
        <v>7200</v>
      </c>
    </row>
    <row r="61" spans="1:6" ht="30" customHeight="1" x14ac:dyDescent="0.25">
      <c r="A61" s="92" t="s">
        <v>658</v>
      </c>
      <c r="B61" s="11">
        <v>0</v>
      </c>
      <c r="C61" s="130">
        <v>84</v>
      </c>
      <c r="D61" s="16" t="s">
        <v>29</v>
      </c>
      <c r="E61" s="12">
        <f>Tabla8[[#This Row],[CANTIDAD]]*Tabla8[[#This Row],[PRECIO]]</f>
        <v>0</v>
      </c>
    </row>
    <row r="62" spans="1:6" ht="30" customHeight="1" x14ac:dyDescent="0.25">
      <c r="A62" s="92" t="s">
        <v>57</v>
      </c>
      <c r="B62" s="11">
        <f>19366/1000</f>
        <v>19.366</v>
      </c>
      <c r="C62" s="130">
        <v>236.4</v>
      </c>
      <c r="D62" s="16" t="s">
        <v>58</v>
      </c>
      <c r="E62" s="12">
        <f>Tabla8[[#This Row],[CANTIDAD]]*Tabla8[[#This Row],[PRECIO]]</f>
        <v>4578.1224000000002</v>
      </c>
    </row>
    <row r="63" spans="1:6" ht="30" customHeight="1" x14ac:dyDescent="0.25">
      <c r="A63" s="92" t="s">
        <v>59</v>
      </c>
      <c r="B63" s="11">
        <v>0</v>
      </c>
      <c r="C63" s="15">
        <v>168.66</v>
      </c>
      <c r="D63" s="16" t="s">
        <v>58</v>
      </c>
      <c r="E63" s="12">
        <f>Tabla8[[#This Row],[CANTIDAD]]*Tabla8[[#This Row],[PRECIO]]</f>
        <v>0</v>
      </c>
    </row>
    <row r="64" spans="1:6" ht="30" customHeight="1" x14ac:dyDescent="0.25">
      <c r="A64" s="91" t="s">
        <v>60</v>
      </c>
      <c r="B64" s="11">
        <v>2</v>
      </c>
      <c r="C64" s="130">
        <v>3</v>
      </c>
      <c r="D64" s="16" t="s">
        <v>58</v>
      </c>
      <c r="E64" s="12">
        <f>Tabla8[[#This Row],[CANTIDAD]]*Tabla8[[#This Row],[PRECIO]]</f>
        <v>6</v>
      </c>
      <c r="F64" s="18"/>
    </row>
    <row r="65" spans="1:6" ht="30" customHeight="1" x14ac:dyDescent="0.25">
      <c r="A65" s="92" t="s">
        <v>61</v>
      </c>
      <c r="B65" s="129">
        <f>3*10</f>
        <v>30</v>
      </c>
      <c r="C65" s="130">
        <v>40.299999999999997</v>
      </c>
      <c r="D65" s="16" t="s">
        <v>62</v>
      </c>
      <c r="E65" s="12">
        <f>Tabla8[[#This Row],[CANTIDAD]]*Tabla8[[#This Row],[PRECIO]]</f>
        <v>1209</v>
      </c>
    </row>
    <row r="66" spans="1:6" ht="30" customHeight="1" x14ac:dyDescent="0.25">
      <c r="A66" s="92" t="s">
        <v>63</v>
      </c>
      <c r="B66" s="11">
        <v>10.7</v>
      </c>
      <c r="C66" s="130">
        <v>67.819999999999993</v>
      </c>
      <c r="D66" s="16" t="s">
        <v>62</v>
      </c>
      <c r="E66" s="12">
        <f>Tabla8[[#This Row],[CANTIDAD]]*Tabla8[[#This Row],[PRECIO]]</f>
        <v>725.67399999999986</v>
      </c>
    </row>
    <row r="67" spans="1:6" ht="30" customHeight="1" x14ac:dyDescent="0.25">
      <c r="A67" s="92" t="s">
        <v>64</v>
      </c>
      <c r="B67" s="19">
        <v>7</v>
      </c>
      <c r="C67" s="130">
        <v>67.819999999999993</v>
      </c>
      <c r="D67" s="16" t="s">
        <v>62</v>
      </c>
      <c r="E67" s="12">
        <f>Tabla8[[#This Row],[CANTIDAD]]*Tabla8[[#This Row],[PRECIO]]</f>
        <v>474.73999999999995</v>
      </c>
    </row>
    <row r="68" spans="1:6" ht="30" customHeight="1" x14ac:dyDescent="0.25">
      <c r="A68" s="92" t="s">
        <v>65</v>
      </c>
      <c r="B68" s="11">
        <v>4.5</v>
      </c>
      <c r="C68" s="130">
        <v>67.819999999999993</v>
      </c>
      <c r="D68" s="16" t="s">
        <v>62</v>
      </c>
      <c r="E68" s="12">
        <f>Tabla8[[#This Row],[CANTIDAD]]*Tabla8[[#This Row],[PRECIO]]</f>
        <v>305.18999999999994</v>
      </c>
    </row>
    <row r="69" spans="1:6" ht="30" customHeight="1" x14ac:dyDescent="0.25">
      <c r="A69" s="92" t="s">
        <v>66</v>
      </c>
      <c r="B69" s="11">
        <v>47.8</v>
      </c>
      <c r="C69" s="130">
        <v>67.819999999999993</v>
      </c>
      <c r="D69" s="16" t="s">
        <v>62</v>
      </c>
      <c r="E69" s="12">
        <f>Tabla8[[#This Row],[CANTIDAD]]*Tabla8[[#This Row],[PRECIO]]</f>
        <v>3241.7959999999994</v>
      </c>
    </row>
    <row r="70" spans="1:6" ht="30" customHeight="1" x14ac:dyDescent="0.25">
      <c r="A70" s="92" t="s">
        <v>67</v>
      </c>
      <c r="B70" s="11">
        <v>4.5</v>
      </c>
      <c r="C70" s="130">
        <v>74.02</v>
      </c>
      <c r="D70" s="16" t="s">
        <v>62</v>
      </c>
      <c r="E70" s="12">
        <f>Tabla8[[#This Row],[CANTIDAD]]*Tabla8[[#This Row],[PRECIO]]</f>
        <v>333.09</v>
      </c>
    </row>
    <row r="71" spans="1:6" ht="30" customHeight="1" x14ac:dyDescent="0.25">
      <c r="A71" s="92" t="s">
        <v>68</v>
      </c>
      <c r="B71" s="11">
        <f>3*4</f>
        <v>12</v>
      </c>
      <c r="C71" s="130">
        <v>87.64</v>
      </c>
      <c r="D71" s="16" t="s">
        <v>62</v>
      </c>
      <c r="E71" s="12">
        <f>Tabla8[[#This Row],[CANTIDAD]]*Tabla8[[#This Row],[PRECIO]]</f>
        <v>1051.68</v>
      </c>
    </row>
    <row r="72" spans="1:6" ht="30" customHeight="1" x14ac:dyDescent="0.25">
      <c r="A72" s="92" t="s">
        <v>69</v>
      </c>
      <c r="B72" s="19">
        <v>1.35</v>
      </c>
      <c r="C72" s="130">
        <v>67.819999999999993</v>
      </c>
      <c r="D72" s="16" t="s">
        <v>58</v>
      </c>
      <c r="E72" s="12">
        <f>Tabla8[[#This Row],[CANTIDAD]]*Tabla8[[#This Row],[PRECIO]]</f>
        <v>91.557000000000002</v>
      </c>
    </row>
    <row r="73" spans="1:6" ht="30" customHeight="1" x14ac:dyDescent="0.25">
      <c r="A73" s="92" t="s">
        <v>70</v>
      </c>
      <c r="B73" s="11">
        <v>2.9</v>
      </c>
      <c r="C73" s="130">
        <v>40.299999999999997</v>
      </c>
      <c r="D73" s="16" t="s">
        <v>62</v>
      </c>
      <c r="E73" s="12">
        <f>Tabla8[[#This Row],[CANTIDAD]]*Tabla8[[#This Row],[PRECIO]]</f>
        <v>116.86999999999999</v>
      </c>
      <c r="F73" s="83" t="s">
        <v>71</v>
      </c>
    </row>
    <row r="74" spans="1:6" ht="30" customHeight="1" x14ac:dyDescent="0.25">
      <c r="A74" s="92" t="s">
        <v>72</v>
      </c>
      <c r="B74" s="11">
        <v>5.0999999999999996</v>
      </c>
      <c r="C74" s="130">
        <v>67.819999999999993</v>
      </c>
      <c r="D74" s="16" t="s">
        <v>62</v>
      </c>
      <c r="E74" s="12">
        <f>Tabla8[[#This Row],[CANTIDAD]]*Tabla8[[#This Row],[PRECIO]]</f>
        <v>345.88199999999995</v>
      </c>
    </row>
    <row r="75" spans="1:6" ht="30" customHeight="1" x14ac:dyDescent="0.25">
      <c r="A75" s="92" t="s">
        <v>73</v>
      </c>
      <c r="B75" s="11">
        <v>5.3</v>
      </c>
      <c r="C75" s="130">
        <v>88.99</v>
      </c>
      <c r="D75" s="16" t="s">
        <v>62</v>
      </c>
      <c r="E75" s="12">
        <f>Tabla8[[#This Row],[CANTIDAD]]*Tabla8[[#This Row],[PRECIO]]</f>
        <v>471.64699999999993</v>
      </c>
    </row>
    <row r="76" spans="1:6" ht="30" customHeight="1" x14ac:dyDescent="0.25">
      <c r="A76" s="92" t="s">
        <v>569</v>
      </c>
      <c r="B76" s="11">
        <v>104.432</v>
      </c>
      <c r="C76" s="130">
        <v>40.299999999999997</v>
      </c>
      <c r="D76" s="16" t="s">
        <v>58</v>
      </c>
      <c r="E76" s="12">
        <f>Tabla8[[#This Row],[CANTIDAD]]*Tabla8[[#This Row],[PRECIO]]</f>
        <v>4208.6095999999998</v>
      </c>
      <c r="F76" s="83" t="s">
        <v>71</v>
      </c>
    </row>
    <row r="77" spans="1:6" ht="30" customHeight="1" x14ac:dyDescent="0.25">
      <c r="A77" s="92" t="s">
        <v>567</v>
      </c>
      <c r="B77" s="11">
        <v>9.5</v>
      </c>
      <c r="C77" s="130">
        <v>40.299999999999997</v>
      </c>
      <c r="D77" s="16" t="s">
        <v>62</v>
      </c>
      <c r="E77" s="12">
        <f>Tabla8[[#This Row],[CANTIDAD]]*Tabla8[[#This Row],[PRECIO]]</f>
        <v>382.84999999999997</v>
      </c>
      <c r="F77" s="83" t="s">
        <v>71</v>
      </c>
    </row>
    <row r="78" spans="1:6" ht="30" customHeight="1" x14ac:dyDescent="0.25">
      <c r="A78" s="92" t="s">
        <v>568</v>
      </c>
      <c r="B78" s="11">
        <v>16.725000000000001</v>
      </c>
      <c r="C78" s="130">
        <v>40.299999999999997</v>
      </c>
      <c r="D78" s="16" t="s">
        <v>62</v>
      </c>
      <c r="E78" s="12">
        <f>Tabla8[[#This Row],[CANTIDAD]]*Tabla8[[#This Row],[PRECIO]]</f>
        <v>674.01750000000004</v>
      </c>
      <c r="F78" s="83" t="s">
        <v>71</v>
      </c>
    </row>
    <row r="79" spans="1:6" ht="30" customHeight="1" x14ac:dyDescent="0.25">
      <c r="A79" s="92" t="s">
        <v>74</v>
      </c>
      <c r="B79" s="19">
        <v>2</v>
      </c>
      <c r="C79" s="130">
        <v>39.22</v>
      </c>
      <c r="D79" s="16" t="s">
        <v>29</v>
      </c>
      <c r="E79" s="12">
        <f>Tabla8[[#This Row],[CANTIDAD]]*Tabla8[[#This Row],[PRECIO]]</f>
        <v>78.44</v>
      </c>
    </row>
    <row r="80" spans="1:6" ht="30" customHeight="1" x14ac:dyDescent="0.25">
      <c r="A80" s="91" t="s">
        <v>75</v>
      </c>
      <c r="B80" s="19">
        <v>3</v>
      </c>
      <c r="C80" s="130">
        <v>200</v>
      </c>
      <c r="D80" s="16" t="s">
        <v>58</v>
      </c>
      <c r="E80" s="12">
        <f>Tabla8[[#This Row],[CANTIDAD]]*Tabla8[[#This Row],[PRECIO]]</f>
        <v>600</v>
      </c>
    </row>
    <row r="81" spans="1:5" ht="30" customHeight="1" x14ac:dyDescent="0.25">
      <c r="A81" s="92" t="s">
        <v>76</v>
      </c>
      <c r="B81" s="19">
        <v>0</v>
      </c>
      <c r="C81" s="73">
        <v>379.53</v>
      </c>
      <c r="D81" s="16" t="s">
        <v>58</v>
      </c>
      <c r="E81" s="12">
        <f>Tabla8[[#This Row],[CANTIDAD]]*Tabla8[[#This Row],[PRECIO]]</f>
        <v>0</v>
      </c>
    </row>
    <row r="82" spans="1:5" ht="30" customHeight="1" x14ac:dyDescent="0.25">
      <c r="A82" s="92" t="s">
        <v>77</v>
      </c>
      <c r="B82" s="11">
        <v>0.5</v>
      </c>
      <c r="C82" s="130">
        <v>1100</v>
      </c>
      <c r="D82" s="16" t="s">
        <v>58</v>
      </c>
      <c r="E82" s="12">
        <f>Tabla8[[#This Row],[CANTIDAD]]*Tabla8[[#This Row],[PRECIO]]</f>
        <v>550</v>
      </c>
    </row>
    <row r="83" spans="1:5" ht="30" customHeight="1" x14ac:dyDescent="0.25">
      <c r="A83" s="92" t="s">
        <v>78</v>
      </c>
      <c r="B83" s="11">
        <v>2.25</v>
      </c>
      <c r="C83" s="130">
        <v>262</v>
      </c>
      <c r="D83" s="16" t="s">
        <v>58</v>
      </c>
      <c r="E83" s="12">
        <f>Tabla8[[#This Row],[CANTIDAD]]*Tabla8[[#This Row],[PRECIO]]</f>
        <v>589.5</v>
      </c>
    </row>
    <row r="84" spans="1:5" ht="30" customHeight="1" x14ac:dyDescent="0.25">
      <c r="A84" s="92" t="s">
        <v>79</v>
      </c>
      <c r="B84" s="11">
        <v>1</v>
      </c>
      <c r="C84" s="130">
        <v>296</v>
      </c>
      <c r="D84" s="16" t="s">
        <v>58</v>
      </c>
      <c r="E84" s="12">
        <f>Tabla8[[#This Row],[CANTIDAD]]*Tabla8[[#This Row],[PRECIO]]</f>
        <v>296</v>
      </c>
    </row>
    <row r="85" spans="1:5" ht="30" customHeight="1" x14ac:dyDescent="0.25">
      <c r="A85" s="92" t="s">
        <v>80</v>
      </c>
      <c r="B85" s="11">
        <v>0.25</v>
      </c>
      <c r="C85" s="130">
        <v>296</v>
      </c>
      <c r="D85" s="16" t="s">
        <v>58</v>
      </c>
      <c r="E85" s="12">
        <f>Tabla8[[#This Row],[CANTIDAD]]*Tabla8[[#This Row],[PRECIO]]</f>
        <v>74</v>
      </c>
    </row>
    <row r="86" spans="1:5" ht="30" customHeight="1" x14ac:dyDescent="0.25">
      <c r="A86" s="92" t="s">
        <v>948</v>
      </c>
      <c r="B86" s="11">
        <f>374/1000</f>
        <v>0.374</v>
      </c>
      <c r="C86" s="130">
        <v>340</v>
      </c>
      <c r="D86" s="16" t="s">
        <v>58</v>
      </c>
      <c r="E86" s="12">
        <f>Tabla8[[#This Row],[CANTIDAD]]*Tabla8[[#This Row],[PRECIO]]</f>
        <v>127.16</v>
      </c>
    </row>
    <row r="87" spans="1:5" ht="30" customHeight="1" x14ac:dyDescent="0.25">
      <c r="A87" s="92" t="s">
        <v>81</v>
      </c>
      <c r="B87" s="11">
        <v>0.25</v>
      </c>
      <c r="C87" s="130">
        <v>300</v>
      </c>
      <c r="D87" s="16" t="s">
        <v>58</v>
      </c>
      <c r="E87" s="12">
        <f>Tabla8[[#This Row],[CANTIDAD]]*Tabla8[[#This Row],[PRECIO]]</f>
        <v>75</v>
      </c>
    </row>
    <row r="88" spans="1:5" ht="30" customHeight="1" x14ac:dyDescent="0.25">
      <c r="A88" s="92" t="s">
        <v>82</v>
      </c>
      <c r="B88" s="11">
        <v>1</v>
      </c>
      <c r="C88" s="130">
        <v>200</v>
      </c>
      <c r="D88" s="16" t="s">
        <v>58</v>
      </c>
      <c r="E88" s="12">
        <f>Tabla8[[#This Row],[CANTIDAD]]*Tabla8[[#This Row],[PRECIO]]</f>
        <v>200</v>
      </c>
    </row>
    <row r="89" spans="1:5" ht="30" customHeight="1" x14ac:dyDescent="0.25">
      <c r="A89" s="91" t="s">
        <v>83</v>
      </c>
      <c r="B89" s="11">
        <v>2.25</v>
      </c>
      <c r="C89" s="130">
        <v>400</v>
      </c>
      <c r="D89" s="16" t="s">
        <v>58</v>
      </c>
      <c r="E89" s="12">
        <f>Tabla8[[#This Row],[CANTIDAD]]*Tabla8[[#This Row],[PRECIO]]</f>
        <v>900</v>
      </c>
    </row>
    <row r="90" spans="1:5" ht="30" customHeight="1" x14ac:dyDescent="0.25">
      <c r="A90" s="92" t="s">
        <v>84</v>
      </c>
      <c r="B90" s="11">
        <v>1</v>
      </c>
      <c r="C90" s="130">
        <v>610</v>
      </c>
      <c r="D90" s="16" t="s">
        <v>58</v>
      </c>
      <c r="E90" s="12">
        <f>Tabla8[[#This Row],[CANTIDAD]]*Tabla8[[#This Row],[PRECIO]]</f>
        <v>610</v>
      </c>
    </row>
    <row r="91" spans="1:5" ht="30" customHeight="1" x14ac:dyDescent="0.25">
      <c r="A91" s="92" t="s">
        <v>85</v>
      </c>
      <c r="B91" s="11">
        <v>0</v>
      </c>
      <c r="C91" s="130">
        <v>340</v>
      </c>
      <c r="D91" s="16" t="s">
        <v>58</v>
      </c>
      <c r="E91" s="12">
        <f>Tabla8[[#This Row],[CANTIDAD]]*Tabla8[[#This Row],[PRECIO]]</f>
        <v>0</v>
      </c>
    </row>
    <row r="92" spans="1:5" ht="30" customHeight="1" x14ac:dyDescent="0.25">
      <c r="A92" s="92" t="s">
        <v>665</v>
      </c>
      <c r="B92" s="11">
        <v>1.581</v>
      </c>
      <c r="C92" s="130">
        <v>160</v>
      </c>
      <c r="D92" s="16" t="s">
        <v>58</v>
      </c>
      <c r="E92" s="12">
        <f>Tabla8[[#This Row],[CANTIDAD]]*Tabla8[[#This Row],[PRECIO]]</f>
        <v>252.95999999999998</v>
      </c>
    </row>
    <row r="93" spans="1:5" x14ac:dyDescent="0.25">
      <c r="A93" s="92" t="s">
        <v>666</v>
      </c>
      <c r="B93" s="11">
        <v>0.5</v>
      </c>
      <c r="C93" s="130">
        <v>220</v>
      </c>
      <c r="D93" s="16" t="s">
        <v>58</v>
      </c>
      <c r="E93" s="12">
        <f>Tabla8[[#This Row],[CANTIDAD]]*Tabla8[[#This Row],[PRECIO]]</f>
        <v>110</v>
      </c>
    </row>
    <row r="94" spans="1:5" x14ac:dyDescent="0.25">
      <c r="A94" s="92" t="s">
        <v>667</v>
      </c>
      <c r="B94" s="11">
        <v>1.8360000000000001</v>
      </c>
      <c r="C94" s="130">
        <v>260</v>
      </c>
      <c r="D94" s="16" t="s">
        <v>58</v>
      </c>
      <c r="E94" s="12">
        <f>Tabla8[[#This Row],[CANTIDAD]]*Tabla8[[#This Row],[PRECIO]]</f>
        <v>477.36</v>
      </c>
    </row>
    <row r="95" spans="1:5" x14ac:dyDescent="0.25">
      <c r="A95" s="92" t="s">
        <v>668</v>
      </c>
      <c r="B95" s="11">
        <v>0.05</v>
      </c>
      <c r="C95" s="130">
        <v>280</v>
      </c>
      <c r="D95" s="16" t="s">
        <v>58</v>
      </c>
      <c r="E95" s="12">
        <f>Tabla8[[#This Row],[CANTIDAD]]*Tabla8[[#This Row],[PRECIO]]</f>
        <v>14</v>
      </c>
    </row>
    <row r="96" spans="1:5" ht="30" customHeight="1" x14ac:dyDescent="0.25">
      <c r="A96" s="94" t="s">
        <v>86</v>
      </c>
      <c r="B96" s="19">
        <v>75</v>
      </c>
      <c r="C96" s="130">
        <v>68.97</v>
      </c>
      <c r="D96" s="16" t="s">
        <v>33</v>
      </c>
      <c r="E96" s="12">
        <f>Tabla8[[#This Row],[CANTIDAD]]*Tabla8[[#This Row],[PRECIO]]</f>
        <v>5172.75</v>
      </c>
    </row>
    <row r="97" spans="1:5" ht="30" customHeight="1" x14ac:dyDescent="0.25">
      <c r="A97" s="95" t="s">
        <v>87</v>
      </c>
      <c r="B97" s="11">
        <v>0</v>
      </c>
      <c r="C97" s="130">
        <v>25.3</v>
      </c>
      <c r="D97" s="16" t="s">
        <v>29</v>
      </c>
      <c r="E97" s="12">
        <f>Tabla8[[#This Row],[CANTIDAD]]*Tabla8[[#This Row],[PRECIO]]</f>
        <v>0</v>
      </c>
    </row>
    <row r="98" spans="1:5" ht="30" customHeight="1" x14ac:dyDescent="0.25">
      <c r="A98" s="95" t="s">
        <v>88</v>
      </c>
      <c r="B98" s="11">
        <v>18</v>
      </c>
      <c r="C98" s="130">
        <v>15.52</v>
      </c>
      <c r="D98" s="16" t="s">
        <v>29</v>
      </c>
      <c r="E98" s="12">
        <f>Tabla8[[#This Row],[CANTIDAD]]*Tabla8[[#This Row],[PRECIO]]</f>
        <v>279.36</v>
      </c>
    </row>
    <row r="99" spans="1:5" ht="30" customHeight="1" x14ac:dyDescent="0.25">
      <c r="A99" s="94" t="s">
        <v>89</v>
      </c>
      <c r="B99" s="11">
        <v>17</v>
      </c>
      <c r="C99" s="130">
        <v>60.34</v>
      </c>
      <c r="D99" s="16" t="s">
        <v>33</v>
      </c>
      <c r="E99" s="12">
        <f>Tabla8[[#This Row],[CANTIDAD]]*Tabla8[[#This Row],[PRECIO]]</f>
        <v>1025.78</v>
      </c>
    </row>
    <row r="100" spans="1:5" ht="30" customHeight="1" x14ac:dyDescent="0.25">
      <c r="A100" s="94" t="s">
        <v>90</v>
      </c>
      <c r="B100" s="11">
        <v>1</v>
      </c>
      <c r="C100" s="130">
        <v>117.68</v>
      </c>
      <c r="D100" s="16" t="s">
        <v>91</v>
      </c>
      <c r="E100" s="12">
        <f>Tabla8[[#This Row],[CANTIDAD]]*Tabla8[[#This Row],[PRECIO]]</f>
        <v>117.68</v>
      </c>
    </row>
    <row r="101" spans="1:5" ht="30" customHeight="1" x14ac:dyDescent="0.25">
      <c r="A101" s="94" t="s">
        <v>92</v>
      </c>
      <c r="B101" s="11">
        <f>1*25</f>
        <v>25</v>
      </c>
      <c r="C101" s="130">
        <v>37.28</v>
      </c>
      <c r="D101" s="16" t="s">
        <v>33</v>
      </c>
      <c r="E101" s="12">
        <f>Tabla8[[#This Row],[CANTIDAD]]*Tabla8[[#This Row],[PRECIO]]</f>
        <v>932</v>
      </c>
    </row>
    <row r="102" spans="1:5" ht="30" customHeight="1" x14ac:dyDescent="0.25">
      <c r="A102" s="94" t="s">
        <v>93</v>
      </c>
      <c r="B102" s="11">
        <f>2*25</f>
        <v>50</v>
      </c>
      <c r="C102" s="130">
        <v>37.28</v>
      </c>
      <c r="D102" s="16" t="s">
        <v>33</v>
      </c>
      <c r="E102" s="12">
        <f>Tabla8[[#This Row],[CANTIDAD]]*Tabla8[[#This Row],[PRECIO]]</f>
        <v>1864</v>
      </c>
    </row>
    <row r="103" spans="1:5" ht="30" customHeight="1" x14ac:dyDescent="0.25">
      <c r="A103" s="94" t="s">
        <v>94</v>
      </c>
      <c r="B103" s="11">
        <f>2*25</f>
        <v>50</v>
      </c>
      <c r="C103" s="130">
        <v>37.380000000000003</v>
      </c>
      <c r="D103" s="16" t="s">
        <v>33</v>
      </c>
      <c r="E103" s="12">
        <f>Tabla8[[#This Row],[CANTIDAD]]*Tabla8[[#This Row],[PRECIO]]</f>
        <v>1869.0000000000002</v>
      </c>
    </row>
    <row r="104" spans="1:5" ht="30" customHeight="1" x14ac:dyDescent="0.25">
      <c r="A104" s="94" t="s">
        <v>95</v>
      </c>
      <c r="B104" s="11">
        <v>0</v>
      </c>
      <c r="C104" s="130">
        <v>47.59</v>
      </c>
      <c r="D104" s="16" t="s">
        <v>33</v>
      </c>
      <c r="E104" s="12">
        <f>Tabla8[[#This Row],[CANTIDAD]]*Tabla8[[#This Row],[PRECIO]]</f>
        <v>0</v>
      </c>
    </row>
    <row r="105" spans="1:5" ht="30" customHeight="1" x14ac:dyDescent="0.25">
      <c r="A105" s="94" t="s">
        <v>96</v>
      </c>
      <c r="B105" s="11">
        <f>5*25</f>
        <v>125</v>
      </c>
      <c r="C105" s="130">
        <v>36.5</v>
      </c>
      <c r="D105" s="16" t="s">
        <v>33</v>
      </c>
      <c r="E105" s="12">
        <f>Tabla8[[#This Row],[CANTIDAD]]*Tabla8[[#This Row],[PRECIO]]</f>
        <v>4562.5</v>
      </c>
    </row>
    <row r="106" spans="1:5" ht="30" customHeight="1" x14ac:dyDescent="0.25">
      <c r="A106" s="94" t="s">
        <v>97</v>
      </c>
      <c r="B106" s="11">
        <v>5</v>
      </c>
      <c r="C106" s="130">
        <v>41.74</v>
      </c>
      <c r="D106" s="16" t="s">
        <v>98</v>
      </c>
      <c r="E106" s="12">
        <f>Tabla8[[#This Row],[CANTIDAD]]*Tabla8[[#This Row],[PRECIO]]</f>
        <v>208.70000000000002</v>
      </c>
    </row>
    <row r="107" spans="1:5" ht="30" customHeight="1" x14ac:dyDescent="0.25">
      <c r="A107" s="94" t="s">
        <v>99</v>
      </c>
      <c r="B107" s="11">
        <v>0</v>
      </c>
      <c r="C107" s="73">
        <v>8.6199999999999992</v>
      </c>
      <c r="D107" s="16" t="s">
        <v>98</v>
      </c>
      <c r="E107" s="12">
        <f>Tabla8[[#This Row],[CANTIDAD]]*Tabla8[[#This Row],[PRECIO]]</f>
        <v>0</v>
      </c>
    </row>
    <row r="108" spans="1:5" ht="30" customHeight="1" x14ac:dyDescent="0.25">
      <c r="A108" s="94" t="s">
        <v>100</v>
      </c>
      <c r="B108" s="11">
        <v>5</v>
      </c>
      <c r="C108" s="130">
        <v>66.400000000000006</v>
      </c>
      <c r="D108" s="16" t="s">
        <v>98</v>
      </c>
      <c r="E108" s="12">
        <f>Tabla8[[#This Row],[CANTIDAD]]*Tabla8[[#This Row],[PRECIO]]</f>
        <v>332</v>
      </c>
    </row>
    <row r="109" spans="1:5" x14ac:dyDescent="0.25">
      <c r="A109" s="94" t="s">
        <v>101</v>
      </c>
      <c r="B109" s="11">
        <v>0</v>
      </c>
      <c r="C109" s="130">
        <v>25.18</v>
      </c>
      <c r="D109" s="16" t="s">
        <v>98</v>
      </c>
      <c r="E109" s="12">
        <f>Tabla8[[#This Row],[CANTIDAD]]*Tabla8[[#This Row],[PRECIO]]</f>
        <v>0</v>
      </c>
    </row>
    <row r="110" spans="1:5" ht="30" customHeight="1" x14ac:dyDescent="0.25">
      <c r="A110" s="94" t="s">
        <v>102</v>
      </c>
      <c r="B110" s="11">
        <v>0</v>
      </c>
      <c r="C110" s="130">
        <v>11.2</v>
      </c>
      <c r="D110" s="16" t="s">
        <v>98</v>
      </c>
      <c r="E110" s="12">
        <f>Tabla8[[#This Row],[CANTIDAD]]*Tabla8[[#This Row],[PRECIO]]</f>
        <v>0</v>
      </c>
    </row>
    <row r="111" spans="1:5" ht="30" customHeight="1" x14ac:dyDescent="0.25">
      <c r="A111" s="94" t="s">
        <v>103</v>
      </c>
      <c r="B111" s="11">
        <v>2</v>
      </c>
      <c r="C111" s="15">
        <v>0</v>
      </c>
      <c r="D111" s="16" t="s">
        <v>104</v>
      </c>
      <c r="E111" s="12">
        <f>Tabla8[[#This Row],[CANTIDAD]]*Tabla8[[#This Row],[PRECIO]]</f>
        <v>0</v>
      </c>
    </row>
    <row r="112" spans="1:5" ht="30" customHeight="1" x14ac:dyDescent="0.25">
      <c r="A112" s="94" t="s">
        <v>105</v>
      </c>
      <c r="B112" s="11">
        <v>16</v>
      </c>
      <c r="C112" s="130">
        <v>11.21</v>
      </c>
      <c r="D112" s="16" t="s">
        <v>29</v>
      </c>
      <c r="E112" s="12">
        <f>Tabla8[[#This Row],[CANTIDAD]]*Tabla8[[#This Row],[PRECIO]]</f>
        <v>179.36</v>
      </c>
    </row>
    <row r="113" spans="1:5" ht="30" customHeight="1" x14ac:dyDescent="0.25">
      <c r="A113" s="94" t="s">
        <v>106</v>
      </c>
      <c r="B113" s="11">
        <v>10</v>
      </c>
      <c r="C113" s="130">
        <v>21.55</v>
      </c>
      <c r="D113" s="16" t="s">
        <v>29</v>
      </c>
      <c r="E113" s="12">
        <f>Tabla8[[#This Row],[CANTIDAD]]*Tabla8[[#This Row],[PRECIO]]</f>
        <v>215.5</v>
      </c>
    </row>
    <row r="114" spans="1:5" ht="30" customHeight="1" x14ac:dyDescent="0.25">
      <c r="A114" s="94" t="s">
        <v>692</v>
      </c>
      <c r="B114" s="11">
        <v>0.5</v>
      </c>
      <c r="C114" s="130">
        <v>250</v>
      </c>
      <c r="D114" s="16" t="s">
        <v>107</v>
      </c>
      <c r="E114" s="12">
        <f>Tabla8[[#This Row],[CANTIDAD]]*Tabla8[[#This Row],[PRECIO]]</f>
        <v>125</v>
      </c>
    </row>
    <row r="115" spans="1:5" ht="30" customHeight="1" x14ac:dyDescent="0.25">
      <c r="A115" s="94" t="s">
        <v>108</v>
      </c>
      <c r="B115" s="11">
        <v>3</v>
      </c>
      <c r="C115" s="130">
        <v>595</v>
      </c>
      <c r="D115" s="16" t="s">
        <v>29</v>
      </c>
      <c r="E115" s="12">
        <f>Tabla8[[#This Row],[CANTIDAD]]*Tabla8[[#This Row],[PRECIO]]</f>
        <v>1785</v>
      </c>
    </row>
    <row r="116" spans="1:5" ht="30" customHeight="1" x14ac:dyDescent="0.25">
      <c r="A116" s="96" t="s">
        <v>109</v>
      </c>
      <c r="B116" s="19">
        <v>3</v>
      </c>
      <c r="C116" s="130">
        <v>40.85</v>
      </c>
      <c r="D116" s="16" t="s">
        <v>29</v>
      </c>
      <c r="E116" s="12">
        <f>Tabla8[[#This Row],[CANTIDAD]]*Tabla8[[#This Row],[PRECIO]]</f>
        <v>122.55000000000001</v>
      </c>
    </row>
    <row r="117" spans="1:5" ht="30" customHeight="1" x14ac:dyDescent="0.25">
      <c r="A117" s="97" t="s">
        <v>110</v>
      </c>
      <c r="B117" s="11">
        <v>0</v>
      </c>
      <c r="C117" s="15">
        <v>0</v>
      </c>
      <c r="D117" s="16" t="s">
        <v>111</v>
      </c>
      <c r="E117" s="12">
        <f>Tabla8[[#This Row],[CANTIDAD]]*Tabla8[[#This Row],[PRECIO]]</f>
        <v>0</v>
      </c>
    </row>
    <row r="118" spans="1:5" ht="30" customHeight="1" x14ac:dyDescent="0.25">
      <c r="A118" s="97" t="s">
        <v>112</v>
      </c>
      <c r="B118" s="11">
        <v>0</v>
      </c>
      <c r="C118" s="130">
        <v>1067.5</v>
      </c>
      <c r="D118" s="16" t="s">
        <v>111</v>
      </c>
      <c r="E118" s="12">
        <f>Tabla8[[#This Row],[CANTIDAD]]*Tabla8[[#This Row],[PRECIO]]</f>
        <v>0</v>
      </c>
    </row>
    <row r="119" spans="1:5" ht="30" customHeight="1" x14ac:dyDescent="0.25">
      <c r="A119" s="97" t="s">
        <v>113</v>
      </c>
      <c r="B119" s="11">
        <v>0</v>
      </c>
      <c r="C119" s="130">
        <v>1401.55</v>
      </c>
      <c r="D119" s="16" t="s">
        <v>111</v>
      </c>
      <c r="E119" s="12">
        <f>Tabla8[[#This Row],[CANTIDAD]]*Tabla8[[#This Row],[PRECIO]]</f>
        <v>0</v>
      </c>
    </row>
    <row r="120" spans="1:5" ht="30" customHeight="1" x14ac:dyDescent="0.25">
      <c r="A120" s="97" t="s">
        <v>114</v>
      </c>
      <c r="B120" s="11">
        <v>0</v>
      </c>
      <c r="C120" s="130">
        <v>1400</v>
      </c>
      <c r="D120" s="16" t="s">
        <v>111</v>
      </c>
      <c r="E120" s="12">
        <f>Tabla8[[#This Row],[CANTIDAD]]*Tabla8[[#This Row],[PRECIO]]</f>
        <v>0</v>
      </c>
    </row>
    <row r="121" spans="1:5" ht="30" customHeight="1" x14ac:dyDescent="0.25">
      <c r="A121" s="97" t="s">
        <v>115</v>
      </c>
      <c r="B121" s="11">
        <v>0</v>
      </c>
      <c r="C121" s="130">
        <v>19</v>
      </c>
      <c r="D121" s="16" t="s">
        <v>98</v>
      </c>
      <c r="E121" s="12">
        <f>Tabla8[[#This Row],[CANTIDAD]]*Tabla8[[#This Row],[PRECIO]]</f>
        <v>0</v>
      </c>
    </row>
    <row r="122" spans="1:5" ht="30" customHeight="1" x14ac:dyDescent="0.25">
      <c r="A122" s="97" t="s">
        <v>116</v>
      </c>
      <c r="B122" s="11">
        <v>400</v>
      </c>
      <c r="C122" s="130">
        <v>28</v>
      </c>
      <c r="D122" s="16" t="s">
        <v>98</v>
      </c>
      <c r="E122" s="12">
        <f>Tabla8[[#This Row],[CANTIDAD]]*Tabla8[[#This Row],[PRECIO]]</f>
        <v>11200</v>
      </c>
    </row>
    <row r="123" spans="1:5" ht="30" customHeight="1" x14ac:dyDescent="0.25">
      <c r="A123" s="97" t="s">
        <v>117</v>
      </c>
      <c r="B123" s="11">
        <v>0</v>
      </c>
      <c r="C123" s="73">
        <v>56.03</v>
      </c>
      <c r="D123" s="16" t="s">
        <v>118</v>
      </c>
      <c r="E123" s="12">
        <f>Tabla8[[#This Row],[CANTIDAD]]*Tabla8[[#This Row],[PRECIO]]</f>
        <v>0</v>
      </c>
    </row>
    <row r="124" spans="1:5" ht="30" customHeight="1" x14ac:dyDescent="0.25">
      <c r="A124" s="97" t="s">
        <v>119</v>
      </c>
      <c r="B124" s="11">
        <v>0</v>
      </c>
      <c r="C124" s="130">
        <v>37.93</v>
      </c>
      <c r="D124" s="16" t="s">
        <v>118</v>
      </c>
      <c r="E124" s="12">
        <f>Tabla8[[#This Row],[CANTIDAD]]*Tabla8[[#This Row],[PRECIO]]</f>
        <v>0</v>
      </c>
    </row>
    <row r="125" spans="1:5" ht="30" customHeight="1" x14ac:dyDescent="0.25">
      <c r="A125" s="97" t="s">
        <v>120</v>
      </c>
      <c r="B125" s="11">
        <f>2*15</f>
        <v>30</v>
      </c>
      <c r="C125" s="132">
        <v>5.9</v>
      </c>
      <c r="D125" s="16" t="s">
        <v>33</v>
      </c>
      <c r="E125" s="12">
        <f>Tabla8[[#This Row],[CANTIDAD]]*Tabla8[[#This Row],[PRECIO]]</f>
        <v>177</v>
      </c>
    </row>
    <row r="126" spans="1:5" ht="30" customHeight="1" x14ac:dyDescent="0.25">
      <c r="A126" s="97" t="s">
        <v>121</v>
      </c>
      <c r="B126" s="11">
        <f>2*15</f>
        <v>30</v>
      </c>
      <c r="C126" s="132">
        <v>5.9</v>
      </c>
      <c r="D126" s="16" t="s">
        <v>33</v>
      </c>
      <c r="E126" s="12">
        <f>Tabla8[[#This Row],[CANTIDAD]]*Tabla8[[#This Row],[PRECIO]]</f>
        <v>177</v>
      </c>
    </row>
    <row r="127" spans="1:5" ht="30" customHeight="1" x14ac:dyDescent="0.25">
      <c r="A127" s="98" t="s">
        <v>122</v>
      </c>
      <c r="B127" s="11">
        <v>0</v>
      </c>
      <c r="C127" s="75">
        <v>5.3</v>
      </c>
      <c r="D127" s="16" t="s">
        <v>33</v>
      </c>
      <c r="E127" s="12">
        <f>Tabla8[[#This Row],[CANTIDAD]]*Tabla8[[#This Row],[PRECIO]]</f>
        <v>0</v>
      </c>
    </row>
    <row r="128" spans="1:5" ht="30" customHeight="1" x14ac:dyDescent="0.25">
      <c r="A128" s="99" t="s">
        <v>698</v>
      </c>
      <c r="B128" s="11">
        <v>1</v>
      </c>
      <c r="C128" s="132">
        <v>1547.55</v>
      </c>
      <c r="D128" s="16" t="s">
        <v>111</v>
      </c>
      <c r="E128" s="12">
        <f>Tabla8[[#This Row],[CANTIDAD]]*Tabla8[[#This Row],[PRECIO]]</f>
        <v>1547.55</v>
      </c>
    </row>
    <row r="129" spans="1:6" ht="30" customHeight="1" x14ac:dyDescent="0.25">
      <c r="A129" s="99" t="s">
        <v>123</v>
      </c>
      <c r="B129" s="11">
        <v>0</v>
      </c>
      <c r="C129" s="75">
        <v>1975.81</v>
      </c>
      <c r="D129" s="16" t="s">
        <v>111</v>
      </c>
      <c r="E129" s="12">
        <f>Tabla8[[#This Row],[CANTIDAD]]*Tabla8[[#This Row],[PRECIO]]</f>
        <v>0</v>
      </c>
    </row>
    <row r="130" spans="1:6" ht="30" customHeight="1" x14ac:dyDescent="0.25">
      <c r="A130" s="99" t="s">
        <v>124</v>
      </c>
      <c r="B130" s="11">
        <v>2</v>
      </c>
      <c r="C130" s="132">
        <v>1442.9</v>
      </c>
      <c r="D130" s="16" t="s">
        <v>111</v>
      </c>
      <c r="E130" s="12">
        <f>Tabla8[[#This Row],[CANTIDAD]]*Tabla8[[#This Row],[PRECIO]]</f>
        <v>2885.8</v>
      </c>
      <c r="F130" s="2" t="s">
        <v>971</v>
      </c>
    </row>
    <row r="131" spans="1:6" ht="30" customHeight="1" x14ac:dyDescent="0.25">
      <c r="A131" s="99" t="s">
        <v>125</v>
      </c>
      <c r="B131" s="11">
        <v>0</v>
      </c>
      <c r="C131" s="132">
        <v>0</v>
      </c>
      <c r="D131" s="16" t="s">
        <v>126</v>
      </c>
      <c r="E131" s="12">
        <f>Tabla8[[#This Row],[CANTIDAD]]*Tabla8[[#This Row],[PRECIO]]</f>
        <v>0</v>
      </c>
      <c r="F131" s="2" t="s">
        <v>127</v>
      </c>
    </row>
    <row r="132" spans="1:6" ht="30" customHeight="1" x14ac:dyDescent="0.25">
      <c r="A132" s="99" t="s">
        <v>128</v>
      </c>
      <c r="B132" s="11">
        <v>16</v>
      </c>
      <c r="C132" s="132">
        <v>522.5</v>
      </c>
      <c r="D132" s="16" t="s">
        <v>126</v>
      </c>
      <c r="E132" s="12">
        <f>Tabla8[[#This Row],[CANTIDAD]]*Tabla8[[#This Row],[PRECIO]]</f>
        <v>8360</v>
      </c>
    </row>
    <row r="133" spans="1:6" ht="30" customHeight="1" x14ac:dyDescent="0.25">
      <c r="A133" s="99" t="s">
        <v>129</v>
      </c>
      <c r="B133" s="11">
        <v>0</v>
      </c>
      <c r="C133" s="75">
        <v>5706.48</v>
      </c>
      <c r="D133" s="16" t="s">
        <v>130</v>
      </c>
      <c r="E133" s="12">
        <f>Tabla8[[#This Row],[CANTIDAD]]*Tabla8[[#This Row],[PRECIO]]</f>
        <v>0</v>
      </c>
    </row>
    <row r="134" spans="1:6" ht="30" customHeight="1" x14ac:dyDescent="0.25">
      <c r="A134" s="99" t="s">
        <v>131</v>
      </c>
      <c r="B134" s="11">
        <v>0</v>
      </c>
      <c r="C134" s="75">
        <v>3296.71</v>
      </c>
      <c r="D134" s="16" t="s">
        <v>130</v>
      </c>
      <c r="E134" s="12">
        <f>Tabla8[[#This Row],[CANTIDAD]]*Tabla8[[#This Row],[PRECIO]]</f>
        <v>0</v>
      </c>
    </row>
    <row r="135" spans="1:6" ht="30" customHeight="1" x14ac:dyDescent="0.25">
      <c r="A135" s="99" t="s">
        <v>132</v>
      </c>
      <c r="B135" s="11">
        <v>0</v>
      </c>
      <c r="C135" s="132">
        <v>370.76</v>
      </c>
      <c r="D135" s="16" t="s">
        <v>133</v>
      </c>
      <c r="E135" s="12">
        <f>Tabla8[[#This Row],[CANTIDAD]]*Tabla8[[#This Row],[PRECIO]]</f>
        <v>0</v>
      </c>
    </row>
    <row r="136" spans="1:6" ht="30" customHeight="1" x14ac:dyDescent="0.25">
      <c r="A136" s="99" t="s">
        <v>134</v>
      </c>
      <c r="B136" s="11">
        <v>0</v>
      </c>
      <c r="C136" s="76">
        <v>450.68</v>
      </c>
      <c r="D136" s="20" t="s">
        <v>133</v>
      </c>
      <c r="E136" s="12">
        <f>Tabla8[[#This Row],[CANTIDAD]]*Tabla8[[#This Row],[PRECIO]]</f>
        <v>0</v>
      </c>
    </row>
    <row r="137" spans="1:6" ht="30" customHeight="1" x14ac:dyDescent="0.25">
      <c r="A137" s="99" t="s">
        <v>135</v>
      </c>
      <c r="B137" s="11">
        <v>0</v>
      </c>
      <c r="C137" s="76">
        <v>762.86</v>
      </c>
      <c r="D137" s="20" t="s">
        <v>136</v>
      </c>
      <c r="E137" s="12">
        <f>Tabla8[[#This Row],[CANTIDAD]]*Tabla8[[#This Row],[PRECIO]]</f>
        <v>0</v>
      </c>
    </row>
    <row r="138" spans="1:6" ht="30" customHeight="1" x14ac:dyDescent="0.25">
      <c r="A138" s="99" t="s">
        <v>137</v>
      </c>
      <c r="B138" s="11">
        <v>0</v>
      </c>
      <c r="C138" s="144">
        <v>720</v>
      </c>
      <c r="D138" s="145" t="s">
        <v>111</v>
      </c>
      <c r="E138" s="12">
        <f>Tabla8[[#This Row],[CANTIDAD]]*Tabla8[[#This Row],[PRECIO]]</f>
        <v>0</v>
      </c>
    </row>
    <row r="139" spans="1:6" ht="30" customHeight="1" x14ac:dyDescent="0.25">
      <c r="A139" s="99" t="s">
        <v>138</v>
      </c>
      <c r="B139" s="11">
        <v>0</v>
      </c>
      <c r="C139" s="133">
        <v>1035.5</v>
      </c>
      <c r="D139" s="20" t="s">
        <v>111</v>
      </c>
      <c r="E139" s="12">
        <f>Tabla8[[#This Row],[CANTIDAD]]*Tabla8[[#This Row],[PRECIO]]</f>
        <v>0</v>
      </c>
    </row>
    <row r="140" spans="1:6" ht="30" customHeight="1" x14ac:dyDescent="0.25">
      <c r="A140" s="99" t="s">
        <v>699</v>
      </c>
      <c r="B140" s="11">
        <v>0</v>
      </c>
      <c r="C140" s="144">
        <v>1250</v>
      </c>
      <c r="D140" s="145" t="s">
        <v>111</v>
      </c>
      <c r="E140" s="12">
        <f>Tabla8[[#This Row],[CANTIDAD]]*Tabla8[[#This Row],[PRECIO]]</f>
        <v>0</v>
      </c>
    </row>
    <row r="141" spans="1:6" ht="30" customHeight="1" x14ac:dyDescent="0.25">
      <c r="A141" s="99" t="s">
        <v>700</v>
      </c>
      <c r="B141" s="11">
        <v>0</v>
      </c>
      <c r="C141" s="144">
        <v>550</v>
      </c>
      <c r="D141" s="145" t="s">
        <v>111</v>
      </c>
      <c r="E141" s="12">
        <f>Tabla8[[#This Row],[CANTIDAD]]*Tabla8[[#This Row],[PRECIO]]</f>
        <v>0</v>
      </c>
    </row>
    <row r="142" spans="1:6" ht="30" customHeight="1" x14ac:dyDescent="0.25">
      <c r="A142" s="99" t="s">
        <v>701</v>
      </c>
      <c r="B142" s="11">
        <v>0</v>
      </c>
      <c r="C142" s="144">
        <v>1257</v>
      </c>
      <c r="D142" s="145" t="s">
        <v>111</v>
      </c>
      <c r="E142" s="12">
        <f>Tabla8[[#This Row],[CANTIDAD]]*Tabla8[[#This Row],[PRECIO]]</f>
        <v>0</v>
      </c>
    </row>
    <row r="143" spans="1:6" ht="30" customHeight="1" x14ac:dyDescent="0.25">
      <c r="A143" s="99" t="s">
        <v>702</v>
      </c>
      <c r="B143" s="11">
        <v>0</v>
      </c>
      <c r="C143" s="133">
        <v>550</v>
      </c>
      <c r="D143" s="20" t="s">
        <v>111</v>
      </c>
      <c r="E143" s="12">
        <f>Tabla8[[#This Row],[CANTIDAD]]*Tabla8[[#This Row],[PRECIO]]</f>
        <v>0</v>
      </c>
    </row>
    <row r="144" spans="1:6" ht="30" customHeight="1" x14ac:dyDescent="0.25">
      <c r="A144" s="100" t="s">
        <v>139</v>
      </c>
      <c r="B144" s="11">
        <v>0</v>
      </c>
      <c r="C144" s="133">
        <v>11660</v>
      </c>
      <c r="D144" s="16" t="s">
        <v>140</v>
      </c>
      <c r="E144" s="12">
        <f>Tabla8[[#This Row],[CANTIDAD]]*Tabla8[[#This Row],[PRECIO]]</f>
        <v>0</v>
      </c>
    </row>
    <row r="145" spans="1:7" ht="30" customHeight="1" x14ac:dyDescent="0.25">
      <c r="A145" s="100" t="s">
        <v>141</v>
      </c>
      <c r="B145" s="11">
        <v>410</v>
      </c>
      <c r="C145" s="130">
        <v>2.02</v>
      </c>
      <c r="D145" s="16" t="s">
        <v>33</v>
      </c>
      <c r="E145" s="12">
        <f>Tabla8[[#This Row],[CANTIDAD]]*Tabla8[[#This Row],[PRECIO]]</f>
        <v>828.2</v>
      </c>
      <c r="F145" s="22"/>
    </row>
    <row r="146" spans="1:7" ht="30" customHeight="1" x14ac:dyDescent="0.25">
      <c r="A146" s="100" t="s">
        <v>142</v>
      </c>
      <c r="B146" s="11">
        <v>0</v>
      </c>
      <c r="C146" s="77">
        <v>55.44</v>
      </c>
      <c r="D146" s="20" t="s">
        <v>33</v>
      </c>
      <c r="E146" s="12">
        <f>Tabla8[[#This Row],[CANTIDAD]]*Tabla8[[#This Row],[PRECIO]]</f>
        <v>0</v>
      </c>
      <c r="F146" s="22"/>
    </row>
    <row r="147" spans="1:7" ht="30" customHeight="1" x14ac:dyDescent="0.25">
      <c r="A147" s="100" t="s">
        <v>143</v>
      </c>
      <c r="B147" s="23">
        <v>10</v>
      </c>
      <c r="C147" s="130">
        <v>36.21</v>
      </c>
      <c r="D147" s="16" t="s">
        <v>98</v>
      </c>
      <c r="E147" s="12">
        <f>Tabla8[[#This Row],[CANTIDAD]]*Tabla8[[#This Row],[PRECIO]]</f>
        <v>362.1</v>
      </c>
    </row>
    <row r="148" spans="1:7" ht="30" customHeight="1" x14ac:dyDescent="0.25">
      <c r="A148" s="101" t="s">
        <v>144</v>
      </c>
      <c r="B148" s="64">
        <v>0</v>
      </c>
      <c r="C148" s="131">
        <v>6.2</v>
      </c>
      <c r="D148" s="84" t="s">
        <v>33</v>
      </c>
      <c r="E148" s="12">
        <f>Tabla8[[#This Row],[CANTIDAD]]*Tabla8[[#This Row],[PRECIO]]</f>
        <v>0</v>
      </c>
      <c r="F148" s="22" t="s">
        <v>145</v>
      </c>
      <c r="G148" s="22"/>
    </row>
    <row r="149" spans="1:7" ht="30" hidden="1" customHeight="1" x14ac:dyDescent="0.25">
      <c r="A149" s="21" t="s">
        <v>146</v>
      </c>
      <c r="B149" s="11">
        <v>0</v>
      </c>
      <c r="C149" s="73">
        <v>22.5</v>
      </c>
      <c r="D149" s="16" t="s">
        <v>33</v>
      </c>
      <c r="E149" s="12">
        <f t="shared" ref="E149" si="0">+C149*B149</f>
        <v>0</v>
      </c>
    </row>
    <row r="150" spans="1:7" x14ac:dyDescent="0.25">
      <c r="E150" s="5">
        <f>SUM(E3:E149)</f>
        <v>142797.7935</v>
      </c>
    </row>
    <row r="155" spans="1:7" x14ac:dyDescent="0.25">
      <c r="A155" s="24"/>
    </row>
    <row r="156" spans="1:7" x14ac:dyDescent="0.25">
      <c r="A156" s="24"/>
    </row>
    <row r="157" spans="1:7" x14ac:dyDescent="0.25">
      <c r="A157" s="24"/>
    </row>
    <row r="158" spans="1:7" x14ac:dyDescent="0.25">
      <c r="A158" s="24"/>
    </row>
    <row r="159" spans="1:7" x14ac:dyDescent="0.25">
      <c r="A159" s="24"/>
    </row>
    <row r="160" spans="1:7" x14ac:dyDescent="0.25">
      <c r="A160" s="24"/>
    </row>
    <row r="161" spans="1:1" x14ac:dyDescent="0.25">
      <c r="A161" s="24"/>
    </row>
    <row r="162" spans="1:1" x14ac:dyDescent="0.25">
      <c r="A162" s="24"/>
    </row>
    <row r="166" spans="1:1" x14ac:dyDescent="0.25">
      <c r="A166" s="25"/>
    </row>
    <row r="167" spans="1:1" x14ac:dyDescent="0.25">
      <c r="A167" s="25"/>
    </row>
    <row r="168" spans="1:1" x14ac:dyDescent="0.25">
      <c r="A168" s="25"/>
    </row>
    <row r="169" spans="1:1" x14ac:dyDescent="0.25">
      <c r="A169" s="25"/>
    </row>
    <row r="170" spans="1:1" x14ac:dyDescent="0.25">
      <c r="A170" s="25"/>
    </row>
    <row r="171" spans="1:1" x14ac:dyDescent="0.25">
      <c r="A171" s="25"/>
    </row>
    <row r="172" spans="1:1" x14ac:dyDescent="0.25">
      <c r="A172" s="25"/>
    </row>
    <row r="173" spans="1:1" x14ac:dyDescent="0.25">
      <c r="A173" s="25"/>
    </row>
    <row r="174" spans="1:1" x14ac:dyDescent="0.25">
      <c r="A174" s="25"/>
    </row>
    <row r="175" spans="1:1" x14ac:dyDescent="0.25">
      <c r="A175" s="25"/>
    </row>
    <row r="176" spans="1:1" x14ac:dyDescent="0.25">
      <c r="A176" s="25"/>
    </row>
  </sheetData>
  <sortState xmlns:xlrd2="http://schemas.microsoft.com/office/spreadsheetml/2017/richdata2" ref="A3:A15">
    <sortCondition ref="A3:A15"/>
  </sortState>
  <mergeCells count="1">
    <mergeCell ref="F1:H1"/>
  </mergeCells>
  <pageMargins left="2.2799999999999998" right="0.7" top="0.19" bottom="0.25" header="0.3" footer="0.3"/>
  <pageSetup scale="74" fitToWidth="0" orientation="portrait" verticalDpi="0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2620-997D-47C4-B6C0-5033F0EEE8A2}">
  <sheetPr codeName="Hoja10">
    <tabColor theme="8" tint="0.39997558519241921"/>
  </sheetPr>
  <dimension ref="A1:G58"/>
  <sheetViews>
    <sheetView topLeftCell="A43" workbookViewId="0">
      <selection activeCell="E57" sqref="E57:E58"/>
    </sheetView>
  </sheetViews>
  <sheetFormatPr baseColWidth="10" defaultRowHeight="15" x14ac:dyDescent="0.25"/>
  <cols>
    <col min="2" max="2" width="26.7109375" style="17" bestFit="1" customWidth="1"/>
    <col min="3" max="3" width="19.5703125" style="67" bestFit="1" customWidth="1"/>
    <col min="4" max="4" width="11.5703125" customWidth="1"/>
    <col min="5" max="5" width="12.5703125" style="66" customWidth="1"/>
    <col min="6" max="6" width="19" customWidth="1"/>
    <col min="7" max="7" width="17.42578125" bestFit="1" customWidth="1"/>
  </cols>
  <sheetData>
    <row r="1" spans="1:7" ht="30" x14ac:dyDescent="0.25">
      <c r="A1" s="2" t="s">
        <v>349</v>
      </c>
      <c r="B1" s="2" t="s">
        <v>350</v>
      </c>
      <c r="C1" s="2" t="s">
        <v>351</v>
      </c>
      <c r="D1" s="17" t="s">
        <v>279</v>
      </c>
      <c r="E1" s="17" t="s">
        <v>353</v>
      </c>
      <c r="F1" s="48" t="s">
        <v>4</v>
      </c>
      <c r="G1" s="2" t="s">
        <v>154</v>
      </c>
    </row>
    <row r="2" spans="1:7" x14ac:dyDescent="0.25">
      <c r="A2" s="2">
        <v>7047</v>
      </c>
      <c r="B2" s="2" t="s">
        <v>354</v>
      </c>
      <c r="C2" s="2">
        <v>1</v>
      </c>
      <c r="D2" s="2">
        <v>255</v>
      </c>
      <c r="E2" s="2">
        <v>8.66</v>
      </c>
      <c r="F2" s="48">
        <f>Tabla4[[#This Row],[CANTIDAD]]*Tabla4[[#This Row],[Costo 
Unitario]]</f>
        <v>2208.3000000000002</v>
      </c>
      <c r="G2" s="2"/>
    </row>
    <row r="3" spans="1:7" x14ac:dyDescent="0.25">
      <c r="A3" s="2">
        <v>7096</v>
      </c>
      <c r="B3" s="2" t="s">
        <v>355</v>
      </c>
      <c r="C3" s="2">
        <v>1</v>
      </c>
      <c r="D3" s="2">
        <v>450</v>
      </c>
      <c r="E3" s="2">
        <v>8.6999999999999993</v>
      </c>
      <c r="F3" s="48">
        <f>Tabla4[[#This Row],[CANTIDAD]]*Tabla4[[#This Row],[Costo 
Unitario]]</f>
        <v>3914.9999999999995</v>
      </c>
      <c r="G3" s="2"/>
    </row>
    <row r="4" spans="1:7" x14ac:dyDescent="0.25">
      <c r="A4" s="2">
        <v>7022</v>
      </c>
      <c r="B4" s="2" t="s">
        <v>356</v>
      </c>
      <c r="C4" s="2" t="s">
        <v>357</v>
      </c>
      <c r="D4" s="2">
        <v>2250</v>
      </c>
      <c r="E4" s="2">
        <v>3.6</v>
      </c>
      <c r="F4" s="48">
        <f>Tabla4[[#This Row],[CANTIDAD]]*Tabla4[[#This Row],[Costo 
Unitario]]</f>
        <v>8100</v>
      </c>
      <c r="G4" s="2"/>
    </row>
    <row r="5" spans="1:7" x14ac:dyDescent="0.25">
      <c r="A5" s="2">
        <v>7017</v>
      </c>
      <c r="B5" s="2" t="s">
        <v>356</v>
      </c>
      <c r="C5" s="2" t="s">
        <v>358</v>
      </c>
      <c r="D5" s="2">
        <v>2750</v>
      </c>
      <c r="E5" s="2">
        <v>4.0999999999999996</v>
      </c>
      <c r="F5" s="48">
        <f>Tabla4[[#This Row],[CANTIDAD]]*Tabla4[[#This Row],[Costo 
Unitario]]</f>
        <v>11274.999999999998</v>
      </c>
      <c r="G5" s="2"/>
    </row>
    <row r="6" spans="1:7" x14ac:dyDescent="0.25">
      <c r="A6" s="2">
        <v>7036</v>
      </c>
      <c r="B6" s="2" t="s">
        <v>356</v>
      </c>
      <c r="C6" s="2" t="s">
        <v>359</v>
      </c>
      <c r="D6" s="2">
        <v>10000</v>
      </c>
      <c r="E6" s="2">
        <v>4.5999999999999996</v>
      </c>
      <c r="F6" s="48">
        <f>Tabla4[[#This Row],[CANTIDAD]]*Tabla4[[#This Row],[Costo 
Unitario]]</f>
        <v>46000</v>
      </c>
      <c r="G6" s="2"/>
    </row>
    <row r="7" spans="1:7" x14ac:dyDescent="0.25">
      <c r="A7" s="2">
        <v>7000</v>
      </c>
      <c r="B7" s="2" t="s">
        <v>356</v>
      </c>
      <c r="C7" s="2" t="s">
        <v>360</v>
      </c>
      <c r="D7" s="2">
        <v>6250</v>
      </c>
      <c r="E7" s="2">
        <v>4.8499999999999996</v>
      </c>
      <c r="F7" s="48">
        <f>Tabla4[[#This Row],[CANTIDAD]]*Tabla4[[#This Row],[Costo 
Unitario]]</f>
        <v>30312.499999999996</v>
      </c>
      <c r="G7" s="2"/>
    </row>
    <row r="8" spans="1:7" x14ac:dyDescent="0.25">
      <c r="A8" s="2">
        <v>7055</v>
      </c>
      <c r="B8" s="2" t="s">
        <v>361</v>
      </c>
      <c r="C8" s="2" t="s">
        <v>362</v>
      </c>
      <c r="D8" s="2">
        <v>0</v>
      </c>
      <c r="E8" s="2">
        <v>9.07</v>
      </c>
      <c r="F8" s="48">
        <f>Tabla4[[#This Row],[CANTIDAD]]*Tabla4[[#This Row],[Costo 
Unitario]]</f>
        <v>0</v>
      </c>
      <c r="G8" s="2"/>
    </row>
    <row r="9" spans="1:7" x14ac:dyDescent="0.25">
      <c r="A9" s="2">
        <v>7028</v>
      </c>
      <c r="B9" s="2" t="s">
        <v>361</v>
      </c>
      <c r="C9" s="2" t="s">
        <v>366</v>
      </c>
      <c r="D9" s="2">
        <v>400</v>
      </c>
      <c r="E9" s="2">
        <v>8.65</v>
      </c>
      <c r="F9" s="48">
        <f>Tabla4[[#This Row],[CANTIDAD]]*Tabla4[[#This Row],[Costo 
Unitario]]</f>
        <v>3460</v>
      </c>
      <c r="G9" s="2"/>
    </row>
    <row r="10" spans="1:7" x14ac:dyDescent="0.25">
      <c r="A10" s="2" t="s">
        <v>677</v>
      </c>
      <c r="B10" s="2" t="s">
        <v>361</v>
      </c>
      <c r="C10" s="2" t="s">
        <v>363</v>
      </c>
      <c r="D10" s="2">
        <v>361</v>
      </c>
      <c r="E10" s="2">
        <v>0</v>
      </c>
      <c r="F10" s="48">
        <f>Tabla4[[#This Row],[CANTIDAD]]*Tabla4[[#This Row],[Costo 
Unitario]]</f>
        <v>0</v>
      </c>
      <c r="G10" s="2" t="s">
        <v>364</v>
      </c>
    </row>
    <row r="11" spans="1:7" x14ac:dyDescent="0.25">
      <c r="A11" s="2">
        <v>16765</v>
      </c>
      <c r="B11" s="2" t="s">
        <v>365</v>
      </c>
      <c r="C11" s="2" t="s">
        <v>660</v>
      </c>
      <c r="D11" s="2">
        <v>350</v>
      </c>
      <c r="E11" s="2">
        <v>6.35</v>
      </c>
      <c r="F11" s="48">
        <f>Tabla4[[#This Row],[CANTIDAD]]*Tabla4[[#This Row],[Costo 
Unitario]]</f>
        <v>2222.5</v>
      </c>
      <c r="G11" s="2"/>
    </row>
    <row r="12" spans="1:7" x14ac:dyDescent="0.25">
      <c r="A12" s="2">
        <v>16766</v>
      </c>
      <c r="B12" s="2" t="s">
        <v>365</v>
      </c>
      <c r="C12" s="2" t="s">
        <v>661</v>
      </c>
      <c r="D12" s="2">
        <v>200</v>
      </c>
      <c r="E12" s="2">
        <v>7.86</v>
      </c>
      <c r="F12" s="48">
        <f>Tabla4[[#This Row],[CANTIDAD]]*Tabla4[[#This Row],[Costo 
Unitario]]</f>
        <v>1572</v>
      </c>
      <c r="G12" s="2"/>
    </row>
    <row r="13" spans="1:7" x14ac:dyDescent="0.25">
      <c r="A13" s="2">
        <v>7118</v>
      </c>
      <c r="B13" s="2" t="s">
        <v>367</v>
      </c>
      <c r="C13" s="2" t="s">
        <v>368</v>
      </c>
      <c r="D13" s="2">
        <v>891</v>
      </c>
      <c r="E13" s="2">
        <v>10.29</v>
      </c>
      <c r="F13" s="48">
        <f>Tabla4[[#This Row],[CANTIDAD]]*Tabla4[[#This Row],[Costo 
Unitario]]</f>
        <v>9168.39</v>
      </c>
      <c r="G13" s="2"/>
    </row>
    <row r="14" spans="1:7" ht="30" customHeight="1" x14ac:dyDescent="0.25">
      <c r="A14" s="2">
        <v>7044</v>
      </c>
      <c r="B14" s="2" t="s">
        <v>369</v>
      </c>
      <c r="C14" s="2" t="s">
        <v>362</v>
      </c>
      <c r="D14" s="2">
        <v>0</v>
      </c>
      <c r="E14" s="2">
        <v>4.82</v>
      </c>
      <c r="F14" s="48">
        <f>Tabla4[[#This Row],[CANTIDAD]]*Tabla4[[#This Row],[Costo 
Unitario]]</f>
        <v>0</v>
      </c>
      <c r="G14" s="2" t="s">
        <v>370</v>
      </c>
    </row>
    <row r="15" spans="1:7" x14ac:dyDescent="0.25">
      <c r="A15" s="2">
        <v>7027</v>
      </c>
      <c r="B15" s="2" t="s">
        <v>369</v>
      </c>
      <c r="C15" s="2" t="s">
        <v>371</v>
      </c>
      <c r="D15" s="2">
        <v>278</v>
      </c>
      <c r="E15" s="2">
        <v>8.57</v>
      </c>
      <c r="F15" s="48">
        <f>Tabla4[[#This Row],[CANTIDAD]]*Tabla4[[#This Row],[Costo 
Unitario]]</f>
        <v>2382.46</v>
      </c>
      <c r="G15" s="2"/>
    </row>
    <row r="16" spans="1:7" x14ac:dyDescent="0.25">
      <c r="A16" s="2">
        <v>7048</v>
      </c>
      <c r="B16" s="2" t="s">
        <v>369</v>
      </c>
      <c r="C16" s="2" t="s">
        <v>366</v>
      </c>
      <c r="D16" s="2">
        <v>809</v>
      </c>
      <c r="E16" s="2">
        <v>8.86</v>
      </c>
      <c r="F16" s="48">
        <f>Tabla4[[#This Row],[CANTIDAD]]*Tabla4[[#This Row],[Costo 
Unitario]]</f>
        <v>7167.74</v>
      </c>
      <c r="G16" s="2"/>
    </row>
    <row r="17" spans="1:7" x14ac:dyDescent="0.25">
      <c r="A17" s="2">
        <v>7110</v>
      </c>
      <c r="B17" s="2" t="s">
        <v>369</v>
      </c>
      <c r="C17" s="2" t="s">
        <v>372</v>
      </c>
      <c r="D17" s="2">
        <v>100</v>
      </c>
      <c r="E17" s="2">
        <v>9.31</v>
      </c>
      <c r="F17" s="48">
        <f>Tabla4[[#This Row],[CANTIDAD]]*Tabla4[[#This Row],[Costo 
Unitario]]</f>
        <v>931</v>
      </c>
      <c r="G17" s="190"/>
    </row>
    <row r="18" spans="1:7" x14ac:dyDescent="0.25">
      <c r="A18" s="2" t="s">
        <v>677</v>
      </c>
      <c r="B18" s="2" t="s">
        <v>373</v>
      </c>
      <c r="C18" s="2" t="s">
        <v>366</v>
      </c>
      <c r="D18" s="2">
        <v>271</v>
      </c>
      <c r="E18" s="2">
        <v>8.86</v>
      </c>
      <c r="F18" s="48">
        <f>Tabla4[[#This Row],[CANTIDAD]]*Tabla4[[#This Row],[Costo 
Unitario]]</f>
        <v>2401.06</v>
      </c>
      <c r="G18" s="2" t="s">
        <v>662</v>
      </c>
    </row>
    <row r="19" spans="1:7" x14ac:dyDescent="0.25">
      <c r="A19" s="2">
        <v>16787</v>
      </c>
      <c r="B19" s="2" t="s">
        <v>943</v>
      </c>
      <c r="C19" s="2" t="s">
        <v>953</v>
      </c>
      <c r="D19" s="2">
        <v>533</v>
      </c>
      <c r="E19" s="2">
        <v>18</v>
      </c>
      <c r="F19" s="48">
        <f>Tabla4[[#This Row],[CANTIDAD]]*Tabla4[[#This Row],[Costo 
Unitario]]</f>
        <v>9594</v>
      </c>
      <c r="G19" s="2"/>
    </row>
    <row r="20" spans="1:7" x14ac:dyDescent="0.25">
      <c r="A20" s="2">
        <v>16788</v>
      </c>
      <c r="B20" s="2" t="s">
        <v>943</v>
      </c>
      <c r="C20" s="2" t="s">
        <v>954</v>
      </c>
      <c r="D20" s="2">
        <v>260</v>
      </c>
      <c r="E20" s="2">
        <v>19.899999999999999</v>
      </c>
      <c r="F20" s="48">
        <f>Tabla4[[#This Row],[CANTIDAD]]*Tabla4[[#This Row],[Costo 
Unitario]]</f>
        <v>5174</v>
      </c>
      <c r="G20" s="2"/>
    </row>
    <row r="21" spans="1:7" x14ac:dyDescent="0.25">
      <c r="A21" s="2">
        <v>7120</v>
      </c>
      <c r="B21" s="2" t="s">
        <v>374</v>
      </c>
      <c r="C21" s="2">
        <v>280</v>
      </c>
      <c r="D21" s="2">
        <v>0</v>
      </c>
      <c r="E21" s="2">
        <v>10.81</v>
      </c>
      <c r="F21" s="48">
        <f>Tabla4[[#This Row],[CANTIDAD]]*Tabla4[[#This Row],[Costo 
Unitario]]</f>
        <v>0</v>
      </c>
      <c r="G21" s="2"/>
    </row>
    <row r="22" spans="1:7" x14ac:dyDescent="0.25">
      <c r="A22" s="2">
        <v>7121</v>
      </c>
      <c r="B22" s="2" t="s">
        <v>375</v>
      </c>
      <c r="C22" s="2">
        <v>310</v>
      </c>
      <c r="D22" s="2">
        <v>266</v>
      </c>
      <c r="E22" s="2">
        <v>11.85</v>
      </c>
      <c r="F22" s="48">
        <f>Tabla4[[#This Row],[CANTIDAD]]*Tabla4[[#This Row],[Costo 
Unitario]]</f>
        <v>3152.1</v>
      </c>
      <c r="G22" s="2"/>
    </row>
    <row r="23" spans="1:7" x14ac:dyDescent="0.25">
      <c r="A23" s="2">
        <v>7122</v>
      </c>
      <c r="B23" s="2" t="s">
        <v>375</v>
      </c>
      <c r="C23" s="2">
        <v>330</v>
      </c>
      <c r="D23" s="2">
        <v>66</v>
      </c>
      <c r="E23" s="2">
        <v>12.5</v>
      </c>
      <c r="F23" s="48">
        <f>Tabla4[[#This Row],[CANTIDAD]]*Tabla4[[#This Row],[Costo 
Unitario]]</f>
        <v>825</v>
      </c>
      <c r="G23" s="2"/>
    </row>
    <row r="24" spans="1:7" x14ac:dyDescent="0.25">
      <c r="A24" s="2">
        <v>7108</v>
      </c>
      <c r="B24" s="2" t="s">
        <v>419</v>
      </c>
      <c r="C24" s="2" t="s">
        <v>420</v>
      </c>
      <c r="D24" s="2">
        <v>30</v>
      </c>
      <c r="E24" s="2">
        <v>11.65</v>
      </c>
      <c r="F24" s="48">
        <f>Tabla4[[#This Row],[CANTIDAD]]*Tabla4[[#This Row],[Costo 
Unitario]]</f>
        <v>349.5</v>
      </c>
      <c r="G24" s="2"/>
    </row>
    <row r="25" spans="1:7" x14ac:dyDescent="0.25">
      <c r="A25" s="2">
        <v>7109</v>
      </c>
      <c r="B25" s="2" t="s">
        <v>376</v>
      </c>
      <c r="C25" s="2" t="s">
        <v>377</v>
      </c>
      <c r="D25" s="2">
        <v>320</v>
      </c>
      <c r="E25" s="2">
        <v>9.11</v>
      </c>
      <c r="F25" s="48">
        <f>Tabla4[[#This Row],[CANTIDAD]]*Tabla4[[#This Row],[Costo 
Unitario]]</f>
        <v>2915.2</v>
      </c>
      <c r="G25" s="2"/>
    </row>
    <row r="26" spans="1:7" x14ac:dyDescent="0.25">
      <c r="A26" s="2">
        <v>7128</v>
      </c>
      <c r="B26" s="2" t="s">
        <v>376</v>
      </c>
      <c r="C26" s="2" t="s">
        <v>684</v>
      </c>
      <c r="D26" s="2">
        <v>10</v>
      </c>
      <c r="E26" s="2">
        <v>11.94</v>
      </c>
      <c r="F26" s="48">
        <f>Tabla4[[#This Row],[CANTIDAD]]*Tabla4[[#This Row],[Costo 
Unitario]]</f>
        <v>119.39999999999999</v>
      </c>
      <c r="G26" s="2"/>
    </row>
    <row r="27" spans="1:7" x14ac:dyDescent="0.25">
      <c r="A27" s="2">
        <v>7119</v>
      </c>
      <c r="B27" s="2" t="s">
        <v>378</v>
      </c>
      <c r="C27" s="2" t="s">
        <v>379</v>
      </c>
      <c r="D27" s="2">
        <v>19</v>
      </c>
      <c r="E27" s="2">
        <v>9.2200000000000006</v>
      </c>
      <c r="F27" s="48">
        <f>Tabla4[[#This Row],[CANTIDAD]]*Tabla4[[#This Row],[Costo 
Unitario]]</f>
        <v>175.18</v>
      </c>
      <c r="G27" s="2"/>
    </row>
    <row r="28" spans="1:7" x14ac:dyDescent="0.25">
      <c r="A28" s="2">
        <v>7080</v>
      </c>
      <c r="B28" s="2" t="s">
        <v>381</v>
      </c>
      <c r="C28" s="2" t="s">
        <v>382</v>
      </c>
      <c r="D28" s="2">
        <v>133</v>
      </c>
      <c r="E28" s="2">
        <v>7.31</v>
      </c>
      <c r="F28" s="48">
        <f>Tabla4[[#This Row],[CANTIDAD]]*Tabla4[[#This Row],[Costo 
Unitario]]</f>
        <v>972.2299999999999</v>
      </c>
      <c r="G28" s="2"/>
    </row>
    <row r="29" spans="1:7" x14ac:dyDescent="0.25">
      <c r="A29" s="2">
        <v>7082</v>
      </c>
      <c r="B29" s="2" t="s">
        <v>383</v>
      </c>
      <c r="C29" s="2" t="s">
        <v>384</v>
      </c>
      <c r="D29" s="2">
        <v>116</v>
      </c>
      <c r="E29" s="2">
        <v>10.56</v>
      </c>
      <c r="F29" s="48">
        <f>Tabla4[[#This Row],[CANTIDAD]]*Tabla4[[#This Row],[Costo 
Unitario]]</f>
        <v>1224.96</v>
      </c>
      <c r="G29" s="2"/>
    </row>
    <row r="30" spans="1:7" x14ac:dyDescent="0.25">
      <c r="A30" s="2">
        <v>7083</v>
      </c>
      <c r="B30" s="2" t="s">
        <v>383</v>
      </c>
      <c r="C30" s="2" t="s">
        <v>385</v>
      </c>
      <c r="D30" s="2">
        <v>954</v>
      </c>
      <c r="E30" s="2">
        <v>7.48</v>
      </c>
      <c r="F30" s="48">
        <f>Tabla4[[#This Row],[CANTIDAD]]*Tabla4[[#This Row],[Costo 
Unitario]]</f>
        <v>7135.92</v>
      </c>
      <c r="G30" s="2"/>
    </row>
    <row r="31" spans="1:7" x14ac:dyDescent="0.25">
      <c r="A31" s="2">
        <v>7081</v>
      </c>
      <c r="B31" s="2" t="s">
        <v>383</v>
      </c>
      <c r="C31" s="2" t="s">
        <v>386</v>
      </c>
      <c r="D31" s="2">
        <v>81</v>
      </c>
      <c r="E31" s="2">
        <v>8.27</v>
      </c>
      <c r="F31" s="48">
        <f>Tabla4[[#This Row],[CANTIDAD]]*Tabla4[[#This Row],[Costo 
Unitario]]</f>
        <v>669.87</v>
      </c>
      <c r="G31" s="2"/>
    </row>
    <row r="32" spans="1:7" x14ac:dyDescent="0.25">
      <c r="A32" s="2">
        <v>7079</v>
      </c>
      <c r="B32" s="2" t="s">
        <v>383</v>
      </c>
      <c r="C32" s="2" t="s">
        <v>387</v>
      </c>
      <c r="D32" s="2">
        <v>229</v>
      </c>
      <c r="E32" s="2">
        <v>7.48</v>
      </c>
      <c r="F32" s="48">
        <f>Tabla4[[#This Row],[CANTIDAD]]*Tabla4[[#This Row],[Costo 
Unitario]]</f>
        <v>1712.92</v>
      </c>
      <c r="G32" s="2"/>
    </row>
    <row r="33" spans="1:7" x14ac:dyDescent="0.25">
      <c r="A33" s="2">
        <v>7084</v>
      </c>
      <c r="B33" s="2" t="s">
        <v>383</v>
      </c>
      <c r="C33" s="2" t="s">
        <v>388</v>
      </c>
      <c r="D33" s="2">
        <v>1100</v>
      </c>
      <c r="E33" s="2">
        <v>3.4</v>
      </c>
      <c r="F33" s="48">
        <f>Tabla4[[#This Row],[CANTIDAD]]*Tabla4[[#This Row],[Costo 
Unitario]]</f>
        <v>3740</v>
      </c>
      <c r="G33" s="2" t="s">
        <v>389</v>
      </c>
    </row>
    <row r="34" spans="1:7" x14ac:dyDescent="0.25">
      <c r="A34" s="2">
        <v>7085</v>
      </c>
      <c r="B34" s="2" t="s">
        <v>383</v>
      </c>
      <c r="C34" s="2" t="s">
        <v>390</v>
      </c>
      <c r="D34" s="2">
        <v>460</v>
      </c>
      <c r="E34" s="2">
        <v>4.2</v>
      </c>
      <c r="F34" s="48">
        <f>Tabla4[[#This Row],[CANTIDAD]]*Tabla4[[#This Row],[Costo 
Unitario]]</f>
        <v>1932</v>
      </c>
      <c r="G34" s="2" t="s">
        <v>389</v>
      </c>
    </row>
    <row r="35" spans="1:7" x14ac:dyDescent="0.25">
      <c r="A35" s="2">
        <v>7074</v>
      </c>
      <c r="B35" s="2" t="s">
        <v>391</v>
      </c>
      <c r="C35" s="2" t="s">
        <v>392</v>
      </c>
      <c r="D35" s="2">
        <v>1539</v>
      </c>
      <c r="E35" s="2">
        <v>4.99</v>
      </c>
      <c r="F35" s="48">
        <f>Tabla4[[#This Row],[CANTIDAD]]*Tabla4[[#This Row],[Costo 
Unitario]]</f>
        <v>7679.6100000000006</v>
      </c>
      <c r="G35" s="2"/>
    </row>
    <row r="36" spans="1:7" x14ac:dyDescent="0.25">
      <c r="A36" s="2">
        <v>7076</v>
      </c>
      <c r="B36" s="2" t="s">
        <v>391</v>
      </c>
      <c r="C36" s="2" t="s">
        <v>393</v>
      </c>
      <c r="D36" s="2">
        <v>3471</v>
      </c>
      <c r="E36" s="2">
        <v>5.4</v>
      </c>
      <c r="F36" s="48">
        <f>Tabla4[[#This Row],[CANTIDAD]]*Tabla4[[#This Row],[Costo 
Unitario]]</f>
        <v>18743.400000000001</v>
      </c>
      <c r="G36" s="2"/>
    </row>
    <row r="37" spans="1:7" x14ac:dyDescent="0.25">
      <c r="A37" s="2">
        <v>7078</v>
      </c>
      <c r="B37" s="2" t="s">
        <v>391</v>
      </c>
      <c r="C37" s="2" t="s">
        <v>394</v>
      </c>
      <c r="D37" s="2">
        <v>4691</v>
      </c>
      <c r="E37" s="2">
        <v>7.33</v>
      </c>
      <c r="F37" s="48">
        <f>Tabla4[[#This Row],[CANTIDAD]]*Tabla4[[#This Row],[Costo 
Unitario]]</f>
        <v>34385.03</v>
      </c>
      <c r="G37" s="2"/>
    </row>
    <row r="38" spans="1:7" x14ac:dyDescent="0.25">
      <c r="A38" s="2">
        <v>7105</v>
      </c>
      <c r="B38" s="2" t="s">
        <v>395</v>
      </c>
      <c r="C38" s="2">
        <v>225</v>
      </c>
      <c r="D38" s="2">
        <v>1282</v>
      </c>
      <c r="E38" s="2">
        <v>4.59</v>
      </c>
      <c r="F38" s="48">
        <f>Tabla4[[#This Row],[CANTIDAD]]*Tabla4[[#This Row],[Costo 
Unitario]]</f>
        <v>5884.38</v>
      </c>
      <c r="G38" s="2"/>
    </row>
    <row r="39" spans="1:7" x14ac:dyDescent="0.25">
      <c r="A39" s="2">
        <v>7106</v>
      </c>
      <c r="B39" s="2" t="s">
        <v>395</v>
      </c>
      <c r="C39" s="2">
        <v>260</v>
      </c>
      <c r="D39" s="2">
        <v>780</v>
      </c>
      <c r="E39" s="2">
        <v>4.9400000000000004</v>
      </c>
      <c r="F39" s="48">
        <f>Tabla4[[#This Row],[CANTIDAD]]*Tabla4[[#This Row],[Costo 
Unitario]]</f>
        <v>3853.2000000000003</v>
      </c>
      <c r="G39" s="2"/>
    </row>
    <row r="40" spans="1:7" x14ac:dyDescent="0.25">
      <c r="A40" s="2">
        <v>7107</v>
      </c>
      <c r="B40" s="2" t="s">
        <v>395</v>
      </c>
      <c r="C40" s="2">
        <v>305</v>
      </c>
      <c r="D40" s="2">
        <v>1050</v>
      </c>
      <c r="E40" s="2">
        <v>6.7</v>
      </c>
      <c r="F40" s="48">
        <f>Tabla4[[#This Row],[CANTIDAD]]*Tabla4[[#This Row],[Costo 
Unitario]]</f>
        <v>7035</v>
      </c>
      <c r="G40" s="2"/>
    </row>
    <row r="41" spans="1:7" x14ac:dyDescent="0.25">
      <c r="A41" s="2">
        <v>7058</v>
      </c>
      <c r="B41" s="2" t="s">
        <v>396</v>
      </c>
      <c r="C41" s="2">
        <v>280</v>
      </c>
      <c r="D41" s="2">
        <v>361</v>
      </c>
      <c r="E41" s="2">
        <v>16.91</v>
      </c>
      <c r="F41" s="48">
        <f>Tabla4[[#This Row],[CANTIDAD]]*Tabla4[[#This Row],[Costo 
Unitario]]</f>
        <v>6104.51</v>
      </c>
      <c r="G41" s="2"/>
    </row>
    <row r="42" spans="1:7" x14ac:dyDescent="0.25">
      <c r="A42" s="2">
        <v>7057</v>
      </c>
      <c r="B42" s="2" t="s">
        <v>396</v>
      </c>
      <c r="C42" s="2">
        <v>315</v>
      </c>
      <c r="D42" s="2">
        <v>392</v>
      </c>
      <c r="E42" s="2">
        <v>17.420000000000002</v>
      </c>
      <c r="F42" s="48">
        <f>Tabla4[[#This Row],[CANTIDAD]]*Tabla4[[#This Row],[Costo 
Unitario]]</f>
        <v>6828.64</v>
      </c>
      <c r="G42" s="2"/>
    </row>
    <row r="43" spans="1:7" x14ac:dyDescent="0.25">
      <c r="A43" s="2">
        <v>7056</v>
      </c>
      <c r="B43" s="2" t="s">
        <v>396</v>
      </c>
      <c r="C43" s="2">
        <v>345</v>
      </c>
      <c r="D43" s="2">
        <v>523</v>
      </c>
      <c r="E43" s="2">
        <v>12.11</v>
      </c>
      <c r="F43" s="48">
        <f>Tabla4[[#This Row],[CANTIDAD]]*Tabla4[[#This Row],[Costo 
Unitario]]</f>
        <v>6333.53</v>
      </c>
      <c r="G43" s="2" t="s">
        <v>230</v>
      </c>
    </row>
    <row r="44" spans="1:7" x14ac:dyDescent="0.25">
      <c r="A44" s="2" t="s">
        <v>677</v>
      </c>
      <c r="B44" s="2" t="s">
        <v>396</v>
      </c>
      <c r="C44" s="2" t="s">
        <v>397</v>
      </c>
      <c r="D44" s="191">
        <v>716</v>
      </c>
      <c r="E44" s="2">
        <v>31.09</v>
      </c>
      <c r="F44" s="48">
        <f>Tabla4[[#This Row],[CANTIDAD]]*Tabla4[[#This Row],[Costo 
Unitario]]</f>
        <v>22260.44</v>
      </c>
      <c r="G44" s="2" t="s">
        <v>230</v>
      </c>
    </row>
    <row r="45" spans="1:7" x14ac:dyDescent="0.25">
      <c r="A45" s="2">
        <v>7008</v>
      </c>
      <c r="B45" s="2" t="s">
        <v>398</v>
      </c>
      <c r="C45" s="2" t="s">
        <v>399</v>
      </c>
      <c r="D45" s="191">
        <v>0</v>
      </c>
      <c r="E45" s="2">
        <v>3.38</v>
      </c>
      <c r="F45" s="48">
        <f>Tabla4[[#This Row],[CANTIDAD]]*Tabla4[[#This Row],[Costo 
Unitario]]</f>
        <v>0</v>
      </c>
      <c r="G45" s="2"/>
    </row>
    <row r="46" spans="1:7" x14ac:dyDescent="0.25">
      <c r="A46" s="2">
        <v>7045</v>
      </c>
      <c r="B46" s="2" t="s">
        <v>398</v>
      </c>
      <c r="C46" s="2" t="s">
        <v>400</v>
      </c>
      <c r="D46" s="191">
        <v>2100</v>
      </c>
      <c r="E46" s="2">
        <v>6</v>
      </c>
      <c r="F46" s="48">
        <f>Tabla4[[#This Row],[CANTIDAD]]*Tabla4[[#This Row],[Costo 
Unitario]]</f>
        <v>12600</v>
      </c>
      <c r="G46" s="2"/>
    </row>
    <row r="47" spans="1:7" ht="30" customHeight="1" x14ac:dyDescent="0.25">
      <c r="A47" s="2">
        <v>10541</v>
      </c>
      <c r="B47" s="2" t="s">
        <v>209</v>
      </c>
      <c r="C47" s="2" t="s">
        <v>401</v>
      </c>
      <c r="D47" s="2">
        <v>0</v>
      </c>
      <c r="E47" s="2">
        <v>6.85</v>
      </c>
      <c r="F47" s="48">
        <f>Tabla4[[#This Row],[CANTIDAD]]*Tabla4[[#This Row],[Costo 
Unitario]]</f>
        <v>0</v>
      </c>
      <c r="G47" s="2"/>
    </row>
    <row r="48" spans="1:7" x14ac:dyDescent="0.25">
      <c r="A48" s="2">
        <v>10542</v>
      </c>
      <c r="B48" s="2" t="s">
        <v>209</v>
      </c>
      <c r="C48" s="2" t="s">
        <v>402</v>
      </c>
      <c r="D48" s="2">
        <v>11865</v>
      </c>
      <c r="E48" s="2">
        <v>6.85</v>
      </c>
      <c r="F48" s="48">
        <f>Tabla4[[#This Row],[CANTIDAD]]*Tabla4[[#This Row],[Costo 
Unitario]]</f>
        <v>81275.25</v>
      </c>
      <c r="G48" s="2"/>
    </row>
    <row r="49" spans="1:7" x14ac:dyDescent="0.25">
      <c r="A49" s="2">
        <v>10543</v>
      </c>
      <c r="B49" s="2" t="s">
        <v>209</v>
      </c>
      <c r="C49" s="2" t="s">
        <v>403</v>
      </c>
      <c r="D49" s="2">
        <v>6313</v>
      </c>
      <c r="E49" s="2">
        <v>6.85</v>
      </c>
      <c r="F49" s="48">
        <f>Tabla4[[#This Row],[CANTIDAD]]*Tabla4[[#This Row],[Costo 
Unitario]]</f>
        <v>43244.049999999996</v>
      </c>
      <c r="G49" s="2"/>
    </row>
    <row r="50" spans="1:7" x14ac:dyDescent="0.25">
      <c r="A50" s="2">
        <v>10544</v>
      </c>
      <c r="B50" s="2" t="s">
        <v>209</v>
      </c>
      <c r="C50" s="2" t="s">
        <v>404</v>
      </c>
      <c r="D50" s="2">
        <v>975</v>
      </c>
      <c r="E50" s="2">
        <v>6.85</v>
      </c>
      <c r="F50" s="48">
        <f>Tabla4[[#This Row],[CANTIDAD]]*Tabla4[[#This Row],[Costo 
Unitario]]</f>
        <v>6678.75</v>
      </c>
      <c r="G50" s="2"/>
    </row>
    <row r="51" spans="1:7" x14ac:dyDescent="0.25">
      <c r="A51" s="2">
        <v>7114</v>
      </c>
      <c r="B51" s="2" t="s">
        <v>405</v>
      </c>
      <c r="C51" s="2" t="s">
        <v>401</v>
      </c>
      <c r="D51" s="2">
        <v>1968</v>
      </c>
      <c r="E51" s="2">
        <v>5.48</v>
      </c>
      <c r="F51" s="48">
        <f>Tabla4[[#This Row],[CANTIDAD]]*Tabla4[[#This Row],[Costo 
Unitario]]</f>
        <v>10784.640000000001</v>
      </c>
      <c r="G51" s="2" t="s">
        <v>970</v>
      </c>
    </row>
    <row r="52" spans="1:7" x14ac:dyDescent="0.25">
      <c r="A52" s="2">
        <v>7115</v>
      </c>
      <c r="B52" s="2" t="s">
        <v>405</v>
      </c>
      <c r="C52" s="2" t="s">
        <v>402</v>
      </c>
      <c r="D52" s="2">
        <v>2190</v>
      </c>
      <c r="E52" s="2">
        <v>5.48</v>
      </c>
      <c r="F52" s="48">
        <f>Tabla4[[#This Row],[CANTIDAD]]*Tabla4[[#This Row],[Costo 
Unitario]]</f>
        <v>12001.2</v>
      </c>
      <c r="G52" s="2" t="s">
        <v>970</v>
      </c>
    </row>
    <row r="53" spans="1:7" x14ac:dyDescent="0.25">
      <c r="A53" s="2">
        <v>7116</v>
      </c>
      <c r="B53" s="2" t="s">
        <v>405</v>
      </c>
      <c r="C53" s="2" t="s">
        <v>403</v>
      </c>
      <c r="D53" s="2">
        <v>1313</v>
      </c>
      <c r="E53" s="2">
        <v>5.48</v>
      </c>
      <c r="F53" s="48">
        <f>Tabla4[[#This Row],[CANTIDAD]]*Tabla4[[#This Row],[Costo 
Unitario]]</f>
        <v>7195.2400000000007</v>
      </c>
      <c r="G53" s="2" t="s">
        <v>970</v>
      </c>
    </row>
    <row r="54" spans="1:7" x14ac:dyDescent="0.25">
      <c r="A54" s="2"/>
      <c r="B54" s="2"/>
      <c r="C54" s="2"/>
      <c r="D54" s="2"/>
      <c r="E54" s="2"/>
      <c r="F54" s="38">
        <f>SUBTOTAL(109,Tabla4[Importe])</f>
        <v>463695.10000000009</v>
      </c>
      <c r="G54" s="2"/>
    </row>
    <row r="57" spans="1:7" x14ac:dyDescent="0.25">
      <c r="E57" s="66">
        <f>F54-E58</f>
        <v>135552.40000000008</v>
      </c>
    </row>
    <row r="58" spans="1:7" x14ac:dyDescent="0.25">
      <c r="E58" s="66">
        <f>F2+F3+F13+F18+F27+F28+F29+F30+F31+F32+F33+F34+F35+F36+F37+F38+F39+F40+F41+F42+F43+F44+F45+F46+F48+F49+F50+F51+F52+F53</f>
        <v>328142.7</v>
      </c>
    </row>
  </sheetData>
  <phoneticPr fontId="38" type="noConversion"/>
  <pageMargins left="0.70866141732283472" right="0.70866141732283472" top="0.43307086614173229" bottom="0.15748031496062992" header="0.31496062992125984" footer="0.31496062992125984"/>
  <pageSetup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61D5-1339-4BB2-BCE5-48A2D3C70360}">
  <sheetPr codeName="Hoja11">
    <tabColor theme="8" tint="0.39997558519241921"/>
    <pageSetUpPr fitToPage="1"/>
  </sheetPr>
  <dimension ref="A1:M169"/>
  <sheetViews>
    <sheetView zoomScaleNormal="100" workbookViewId="0">
      <selection activeCell="M12" sqref="M12"/>
    </sheetView>
  </sheetViews>
  <sheetFormatPr baseColWidth="10" defaultRowHeight="15" x14ac:dyDescent="0.25"/>
  <cols>
    <col min="1" max="1" width="20.28515625" bestFit="1" customWidth="1"/>
    <col min="2" max="2" width="12.28515625" bestFit="1" customWidth="1"/>
    <col min="3" max="4" width="12.85546875" bestFit="1" customWidth="1"/>
    <col min="5" max="5" width="32" bestFit="1" customWidth="1"/>
    <col min="6" max="6" width="14.85546875" bestFit="1" customWidth="1"/>
    <col min="7" max="7" width="14.85546875" customWidth="1"/>
    <col min="9" max="9" width="14.140625" bestFit="1" customWidth="1"/>
    <col min="10" max="10" width="18.5703125" customWidth="1"/>
  </cols>
  <sheetData>
    <row r="1" spans="1:13" ht="30" x14ac:dyDescent="0.25">
      <c r="A1" s="178" t="s">
        <v>430</v>
      </c>
      <c r="B1" s="178" t="s">
        <v>350</v>
      </c>
      <c r="C1" s="178" t="s">
        <v>349</v>
      </c>
      <c r="D1" s="178" t="s">
        <v>351</v>
      </c>
      <c r="E1" s="178" t="s">
        <v>352</v>
      </c>
      <c r="F1" s="203" t="s">
        <v>985</v>
      </c>
      <c r="G1" s="203" t="s">
        <v>279</v>
      </c>
      <c r="H1" s="178" t="s">
        <v>897</v>
      </c>
      <c r="I1" s="178" t="s">
        <v>898</v>
      </c>
      <c r="J1" s="200" t="s">
        <v>154</v>
      </c>
    </row>
    <row r="2" spans="1:13" x14ac:dyDescent="0.25">
      <c r="A2" s="175" t="s">
        <v>431</v>
      </c>
      <c r="B2" s="175" t="s">
        <v>396</v>
      </c>
      <c r="C2" s="175">
        <v>6162</v>
      </c>
      <c r="D2" s="175">
        <v>95</v>
      </c>
      <c r="E2" s="175" t="s">
        <v>439</v>
      </c>
      <c r="F2" s="175">
        <v>91</v>
      </c>
      <c r="G2" s="175">
        <v>91</v>
      </c>
      <c r="H2" s="175">
        <v>2.62</v>
      </c>
      <c r="I2" s="177">
        <f>Tabla10[[#This Row],[CANTIDAD]]*Tabla10[[#This Row],[Costo ]]</f>
        <v>238.42000000000002</v>
      </c>
      <c r="J2" s="175"/>
    </row>
    <row r="3" spans="1:13" x14ac:dyDescent="0.25">
      <c r="A3" s="175" t="s">
        <v>431</v>
      </c>
      <c r="B3" s="175" t="s">
        <v>396</v>
      </c>
      <c r="C3" s="175">
        <v>6154</v>
      </c>
      <c r="D3" s="175">
        <v>105</v>
      </c>
      <c r="E3" s="175" t="s">
        <v>439</v>
      </c>
      <c r="F3" s="175">
        <v>44</v>
      </c>
      <c r="G3" s="175">
        <v>44</v>
      </c>
      <c r="H3" s="175">
        <v>2.62</v>
      </c>
      <c r="I3" s="177">
        <f>Tabla10[[#This Row],[CANTIDAD]]*Tabla10[[#This Row],[Costo ]]</f>
        <v>115.28</v>
      </c>
      <c r="J3" s="175"/>
    </row>
    <row r="4" spans="1:13" x14ac:dyDescent="0.25">
      <c r="A4" s="175" t="s">
        <v>431</v>
      </c>
      <c r="B4" s="175" t="s">
        <v>396</v>
      </c>
      <c r="C4" s="175">
        <v>6171</v>
      </c>
      <c r="D4" s="175">
        <v>95</v>
      </c>
      <c r="E4" s="175" t="s">
        <v>488</v>
      </c>
      <c r="F4" s="196" t="e">
        <f>2090-#REF!-#REF!</f>
        <v>#REF!</v>
      </c>
      <c r="G4" s="196">
        <v>2090</v>
      </c>
      <c r="H4" s="175">
        <v>1.98</v>
      </c>
      <c r="I4" s="177">
        <f>Tabla10[[#This Row],[CANTIDAD]]*Tabla10[[#This Row],[Costo ]]</f>
        <v>4138.2</v>
      </c>
      <c r="J4" t="s">
        <v>969</v>
      </c>
    </row>
    <row r="5" spans="1:13" x14ac:dyDescent="0.25">
      <c r="A5" s="175" t="s">
        <v>431</v>
      </c>
      <c r="B5" s="175" t="s">
        <v>396</v>
      </c>
      <c r="C5" s="175">
        <v>6175</v>
      </c>
      <c r="D5" s="175">
        <v>105</v>
      </c>
      <c r="E5" s="175" t="s">
        <v>488</v>
      </c>
      <c r="F5" s="196" t="e">
        <f>2090-#REF!-#REF!</f>
        <v>#REF!</v>
      </c>
      <c r="G5" s="196">
        <v>2090</v>
      </c>
      <c r="H5" s="175">
        <v>1.98</v>
      </c>
      <c r="I5" s="177">
        <f>Tabla10[[#This Row],[CANTIDAD]]*Tabla10[[#This Row],[Costo ]]</f>
        <v>4138.2</v>
      </c>
      <c r="J5" t="s">
        <v>969</v>
      </c>
    </row>
    <row r="6" spans="1:13" x14ac:dyDescent="0.25">
      <c r="A6" s="175" t="s">
        <v>431</v>
      </c>
      <c r="B6" s="175" t="s">
        <v>396</v>
      </c>
      <c r="C6" s="175">
        <v>6180</v>
      </c>
      <c r="D6" s="175">
        <v>95</v>
      </c>
      <c r="E6" s="175" t="s">
        <v>485</v>
      </c>
      <c r="F6" s="175">
        <v>188</v>
      </c>
      <c r="G6" s="175">
        <v>188</v>
      </c>
      <c r="H6" s="175">
        <v>1.98</v>
      </c>
      <c r="I6" s="177">
        <f>Tabla10[[#This Row],[CANTIDAD]]*Tabla10[[#This Row],[Costo ]]</f>
        <v>372.24</v>
      </c>
      <c r="J6" s="175"/>
    </row>
    <row r="7" spans="1:13" x14ac:dyDescent="0.25">
      <c r="A7" s="175" t="s">
        <v>431</v>
      </c>
      <c r="B7" s="175" t="s">
        <v>396</v>
      </c>
      <c r="C7" s="175">
        <v>6185</v>
      </c>
      <c r="D7" s="175">
        <v>105</v>
      </c>
      <c r="E7" s="175" t="s">
        <v>485</v>
      </c>
      <c r="F7" s="175">
        <v>42</v>
      </c>
      <c r="G7" s="175">
        <v>42</v>
      </c>
      <c r="H7" s="175">
        <v>1.98</v>
      </c>
      <c r="I7" s="177">
        <f>Tabla10[[#This Row],[CANTIDAD]]*Tabla10[[#This Row],[Costo ]]</f>
        <v>83.16</v>
      </c>
      <c r="J7" s="175"/>
    </row>
    <row r="8" spans="1:13" x14ac:dyDescent="0.25">
      <c r="A8" s="175" t="s">
        <v>431</v>
      </c>
      <c r="B8" s="175" t="s">
        <v>396</v>
      </c>
      <c r="C8" s="175">
        <v>6052</v>
      </c>
      <c r="D8" s="175">
        <v>95</v>
      </c>
      <c r="E8" s="175" t="s">
        <v>380</v>
      </c>
      <c r="F8" s="196">
        <v>3250</v>
      </c>
      <c r="G8" s="196">
        <v>3250</v>
      </c>
      <c r="H8" s="175">
        <v>2.62</v>
      </c>
      <c r="I8" s="177">
        <f>Tabla10[[#This Row],[CANTIDAD]]*Tabla10[[#This Row],[Costo ]]</f>
        <v>8515</v>
      </c>
      <c r="J8" s="175"/>
    </row>
    <row r="9" spans="1:13" x14ac:dyDescent="0.25">
      <c r="A9" s="175" t="s">
        <v>431</v>
      </c>
      <c r="B9" s="175" t="s">
        <v>396</v>
      </c>
      <c r="C9" s="175">
        <v>6150</v>
      </c>
      <c r="D9" s="175">
        <v>105</v>
      </c>
      <c r="E9" s="175" t="s">
        <v>380</v>
      </c>
      <c r="F9" s="196" t="e">
        <f>9000-#REF!-#REF!</f>
        <v>#REF!</v>
      </c>
      <c r="G9" s="196">
        <v>6900</v>
      </c>
      <c r="H9" s="175">
        <v>2.62</v>
      </c>
      <c r="I9" s="177">
        <f>Tabla10[[#This Row],[CANTIDAD]]*Tabla10[[#This Row],[Costo ]]</f>
        <v>18078</v>
      </c>
      <c r="J9" t="s">
        <v>969</v>
      </c>
    </row>
    <row r="10" spans="1:13" x14ac:dyDescent="0.25">
      <c r="A10" s="175" t="s">
        <v>431</v>
      </c>
      <c r="B10" s="175" t="s">
        <v>396</v>
      </c>
      <c r="C10" s="175">
        <v>6181</v>
      </c>
      <c r="D10" s="175">
        <v>95</v>
      </c>
      <c r="E10" s="175" t="s">
        <v>484</v>
      </c>
      <c r="F10" s="175">
        <v>114</v>
      </c>
      <c r="G10" s="175">
        <v>114</v>
      </c>
      <c r="H10" s="175">
        <v>1.98</v>
      </c>
      <c r="I10" s="177">
        <f>Tabla10[[#This Row],[CANTIDAD]]*Tabla10[[#This Row],[Costo ]]</f>
        <v>225.72</v>
      </c>
      <c r="J10" s="175"/>
    </row>
    <row r="11" spans="1:13" x14ac:dyDescent="0.25">
      <c r="A11" s="175" t="s">
        <v>431</v>
      </c>
      <c r="B11" s="175" t="s">
        <v>396</v>
      </c>
      <c r="C11" s="175">
        <v>6184</v>
      </c>
      <c r="D11" s="175">
        <v>105</v>
      </c>
      <c r="E11" s="175" t="s">
        <v>484</v>
      </c>
      <c r="F11" s="175">
        <v>0</v>
      </c>
      <c r="G11" s="175"/>
      <c r="H11" s="175">
        <v>1.98</v>
      </c>
      <c r="I11" s="177">
        <f>Tabla10[[#This Row],[CANTIDAD
FISCAL]]*Tabla10[[#This Row],[Costo ]]</f>
        <v>0</v>
      </c>
      <c r="J11" s="175"/>
      <c r="M11" t="s">
        <v>1009</v>
      </c>
    </row>
    <row r="12" spans="1:13" x14ac:dyDescent="0.25">
      <c r="A12" s="175" t="s">
        <v>431</v>
      </c>
      <c r="B12" s="175" t="s">
        <v>396</v>
      </c>
      <c r="C12" s="175">
        <v>6159</v>
      </c>
      <c r="D12" s="175">
        <v>95</v>
      </c>
      <c r="E12" s="175" t="s">
        <v>432</v>
      </c>
      <c r="F12" s="175">
        <v>438</v>
      </c>
      <c r="G12" s="175">
        <v>438</v>
      </c>
      <c r="H12" s="175">
        <v>2.62</v>
      </c>
      <c r="I12" s="177">
        <f>Tabla10[[#This Row],[CANTIDAD]]*Tabla10[[#This Row],[Costo ]]</f>
        <v>1147.56</v>
      </c>
      <c r="J12" s="175"/>
    </row>
    <row r="13" spans="1:13" x14ac:dyDescent="0.25">
      <c r="A13" s="175" t="s">
        <v>431</v>
      </c>
      <c r="B13" s="175" t="s">
        <v>396</v>
      </c>
      <c r="C13" s="175">
        <v>6683</v>
      </c>
      <c r="D13" s="175">
        <v>105</v>
      </c>
      <c r="E13" s="175" t="s">
        <v>432</v>
      </c>
      <c r="F13" s="196">
        <v>1560</v>
      </c>
      <c r="G13" s="196">
        <v>1560</v>
      </c>
      <c r="H13" s="175">
        <v>2.62</v>
      </c>
      <c r="I13" s="177">
        <f>Tabla10[[#This Row],[CANTIDAD]]*Tabla10[[#This Row],[Costo ]]</f>
        <v>4087.2000000000003</v>
      </c>
      <c r="J13" s="175"/>
    </row>
    <row r="14" spans="1:13" x14ac:dyDescent="0.25">
      <c r="A14" s="175" t="s">
        <v>431</v>
      </c>
      <c r="B14" s="175" t="s">
        <v>396</v>
      </c>
      <c r="C14" s="175">
        <v>3232</v>
      </c>
      <c r="D14" s="175">
        <v>95</v>
      </c>
      <c r="E14" s="175" t="s">
        <v>435</v>
      </c>
      <c r="F14" s="175">
        <v>74</v>
      </c>
      <c r="G14" s="175">
        <v>74</v>
      </c>
      <c r="H14" s="175">
        <v>2.62</v>
      </c>
      <c r="I14" s="177">
        <f>Tabla10[[#This Row],[CANTIDAD]]*Tabla10[[#This Row],[Costo ]]</f>
        <v>193.88</v>
      </c>
      <c r="J14" s="175"/>
    </row>
    <row r="15" spans="1:13" x14ac:dyDescent="0.25">
      <c r="A15" s="175" t="s">
        <v>431</v>
      </c>
      <c r="B15" s="175" t="s">
        <v>396</v>
      </c>
      <c r="C15" s="175">
        <v>6690</v>
      </c>
      <c r="D15" s="175">
        <v>105</v>
      </c>
      <c r="E15" s="175" t="s">
        <v>435</v>
      </c>
      <c r="F15" s="175">
        <v>51</v>
      </c>
      <c r="G15" s="175">
        <v>51</v>
      </c>
      <c r="H15" s="175">
        <v>2.62</v>
      </c>
      <c r="I15" s="177">
        <f>Tabla10[[#This Row],[CANTIDAD]]*Tabla10[[#This Row],[Costo ]]</f>
        <v>133.62</v>
      </c>
      <c r="J15" s="175"/>
    </row>
    <row r="16" spans="1:13" x14ac:dyDescent="0.25">
      <c r="A16" s="175" t="s">
        <v>431</v>
      </c>
      <c r="B16" s="175" t="s">
        <v>396</v>
      </c>
      <c r="C16" s="175"/>
      <c r="D16" s="175">
        <v>95</v>
      </c>
      <c r="E16" s="175" t="s">
        <v>440</v>
      </c>
      <c r="F16" s="175">
        <v>50</v>
      </c>
      <c r="G16" s="175">
        <v>50</v>
      </c>
      <c r="H16" s="175">
        <v>2.62</v>
      </c>
      <c r="I16" s="177">
        <f>Tabla10[[#This Row],[CANTIDAD]]*Tabla10[[#This Row],[Costo ]]</f>
        <v>131</v>
      </c>
      <c r="J16" s="175"/>
    </row>
    <row r="17" spans="1:10" x14ac:dyDescent="0.25">
      <c r="A17" s="175" t="s">
        <v>431</v>
      </c>
      <c r="B17" s="175" t="s">
        <v>396</v>
      </c>
      <c r="C17" s="175"/>
      <c r="D17" s="175">
        <v>105</v>
      </c>
      <c r="E17" s="175" t="s">
        <v>440</v>
      </c>
      <c r="F17" s="175">
        <v>16</v>
      </c>
      <c r="G17" s="175">
        <v>16</v>
      </c>
      <c r="H17" s="175">
        <v>2.62</v>
      </c>
      <c r="I17" s="177">
        <f>Tabla10[[#This Row],[CANTIDAD]]*Tabla10[[#This Row],[Costo ]]</f>
        <v>41.92</v>
      </c>
      <c r="J17" s="175"/>
    </row>
    <row r="18" spans="1:10" x14ac:dyDescent="0.25">
      <c r="A18" s="175" t="s">
        <v>431</v>
      </c>
      <c r="B18" s="175" t="s">
        <v>396</v>
      </c>
      <c r="C18" s="175">
        <v>6173</v>
      </c>
      <c r="D18" s="175">
        <v>95</v>
      </c>
      <c r="E18" s="175" t="s">
        <v>489</v>
      </c>
      <c r="F18" s="196">
        <v>1500</v>
      </c>
      <c r="G18" s="196">
        <v>1500</v>
      </c>
      <c r="H18" s="175">
        <v>1.98</v>
      </c>
      <c r="I18" s="177">
        <f>Tabla10[[#This Row],[CANTIDAD]]*Tabla10[[#This Row],[Costo ]]</f>
        <v>2970</v>
      </c>
      <c r="J18" s="175"/>
    </row>
    <row r="19" spans="1:10" x14ac:dyDescent="0.25">
      <c r="A19" s="175" t="s">
        <v>431</v>
      </c>
      <c r="B19" s="175" t="s">
        <v>396</v>
      </c>
      <c r="C19" s="175">
        <v>6177</v>
      </c>
      <c r="D19" s="175">
        <v>105</v>
      </c>
      <c r="E19" s="175" t="s">
        <v>489</v>
      </c>
      <c r="F19" s="196">
        <v>1496</v>
      </c>
      <c r="G19" s="196">
        <v>1496</v>
      </c>
      <c r="H19" s="175">
        <v>1.98</v>
      </c>
      <c r="I19" s="177">
        <f>Tabla10[[#This Row],[CANTIDAD]]*Tabla10[[#This Row],[Costo ]]</f>
        <v>2962.08</v>
      </c>
      <c r="J19" s="175"/>
    </row>
    <row r="20" spans="1:10" x14ac:dyDescent="0.25">
      <c r="A20" s="175" t="s">
        <v>431</v>
      </c>
      <c r="B20" s="175" t="s">
        <v>396</v>
      </c>
      <c r="C20" s="175">
        <v>6092</v>
      </c>
      <c r="D20" s="175">
        <v>95</v>
      </c>
      <c r="E20" s="175" t="s">
        <v>433</v>
      </c>
      <c r="F20" s="175">
        <v>156</v>
      </c>
      <c r="G20" s="175">
        <v>156</v>
      </c>
      <c r="H20" s="175">
        <v>2.62</v>
      </c>
      <c r="I20" s="177">
        <f>Tabla10[[#This Row],[CANTIDAD]]*Tabla10[[#This Row],[Costo ]]</f>
        <v>408.72</v>
      </c>
      <c r="J20" s="175"/>
    </row>
    <row r="21" spans="1:10" x14ac:dyDescent="0.25">
      <c r="A21" s="175" t="s">
        <v>431</v>
      </c>
      <c r="B21" s="175" t="s">
        <v>396</v>
      </c>
      <c r="C21" s="175">
        <v>6682</v>
      </c>
      <c r="D21" s="175">
        <v>105</v>
      </c>
      <c r="E21" s="175" t="s">
        <v>433</v>
      </c>
      <c r="F21" s="175">
        <v>960</v>
      </c>
      <c r="G21" s="175">
        <v>960</v>
      </c>
      <c r="H21" s="175">
        <v>2.62</v>
      </c>
      <c r="I21" s="177">
        <f>Tabla10[[#This Row],[CANTIDAD]]*Tabla10[[#This Row],[Costo ]]</f>
        <v>2515.2000000000003</v>
      </c>
      <c r="J21" s="175"/>
    </row>
    <row r="22" spans="1:10" x14ac:dyDescent="0.25">
      <c r="A22" s="175" t="s">
        <v>431</v>
      </c>
      <c r="B22" s="175" t="s">
        <v>396</v>
      </c>
      <c r="C22" s="175">
        <v>6082</v>
      </c>
      <c r="D22" s="175">
        <v>95</v>
      </c>
      <c r="E22" s="175" t="s">
        <v>434</v>
      </c>
      <c r="F22" s="196">
        <v>1512</v>
      </c>
      <c r="G22" s="196">
        <v>1512</v>
      </c>
      <c r="H22" s="175">
        <v>2.62</v>
      </c>
      <c r="I22" s="177">
        <f>Tabla10[[#This Row],[CANTIDAD]]*Tabla10[[#This Row],[Costo ]]</f>
        <v>3961.44</v>
      </c>
      <c r="J22" s="175"/>
    </row>
    <row r="23" spans="1:10" x14ac:dyDescent="0.25">
      <c r="A23" s="175" t="s">
        <v>431</v>
      </c>
      <c r="B23" s="175" t="s">
        <v>396</v>
      </c>
      <c r="C23" s="175">
        <v>6149</v>
      </c>
      <c r="D23" s="175">
        <v>105</v>
      </c>
      <c r="E23" s="175" t="s">
        <v>434</v>
      </c>
      <c r="F23" s="175">
        <v>726</v>
      </c>
      <c r="G23" s="175">
        <v>726</v>
      </c>
      <c r="H23" s="175">
        <v>2.62</v>
      </c>
      <c r="I23" s="177">
        <f>Tabla10[[#This Row],[CANTIDAD]]*Tabla10[[#This Row],[Costo ]]</f>
        <v>1902.1200000000001</v>
      </c>
      <c r="J23" s="175"/>
    </row>
    <row r="24" spans="1:10" x14ac:dyDescent="0.25">
      <c r="A24" s="175" t="s">
        <v>431</v>
      </c>
      <c r="B24" s="175" t="s">
        <v>396</v>
      </c>
      <c r="C24" s="175">
        <v>6172</v>
      </c>
      <c r="D24" s="175">
        <v>95</v>
      </c>
      <c r="E24" s="175" t="s">
        <v>486</v>
      </c>
      <c r="F24" s="175">
        <v>590</v>
      </c>
      <c r="G24" s="175">
        <v>590</v>
      </c>
      <c r="H24" s="175">
        <v>1.98</v>
      </c>
      <c r="I24" s="177">
        <f>Tabla10[[#This Row],[CANTIDAD]]*Tabla10[[#This Row],[Costo ]]</f>
        <v>1168.2</v>
      </c>
      <c r="J24" s="175"/>
    </row>
    <row r="25" spans="1:10" x14ac:dyDescent="0.25">
      <c r="A25" s="175" t="s">
        <v>431</v>
      </c>
      <c r="B25" s="175" t="s">
        <v>396</v>
      </c>
      <c r="C25" s="175">
        <v>6176</v>
      </c>
      <c r="D25" s="175">
        <v>105</v>
      </c>
      <c r="E25" s="175" t="s">
        <v>486</v>
      </c>
      <c r="F25" s="175">
        <v>590</v>
      </c>
      <c r="G25" s="175">
        <v>590</v>
      </c>
      <c r="H25" s="175">
        <v>1.98</v>
      </c>
      <c r="I25" s="177">
        <f>Tabla10[[#This Row],[CANTIDAD]]*Tabla10[[#This Row],[Costo ]]</f>
        <v>1168.2</v>
      </c>
      <c r="J25" s="175"/>
    </row>
    <row r="26" spans="1:10" x14ac:dyDescent="0.25">
      <c r="A26" s="175" t="s">
        <v>431</v>
      </c>
      <c r="B26" s="175" t="s">
        <v>396</v>
      </c>
      <c r="C26" s="175">
        <v>6160</v>
      </c>
      <c r="D26" s="175">
        <v>95</v>
      </c>
      <c r="E26" s="175" t="s">
        <v>436</v>
      </c>
      <c r="F26" s="175">
        <v>36</v>
      </c>
      <c r="G26" s="175">
        <v>36</v>
      </c>
      <c r="H26" s="175">
        <v>2.62</v>
      </c>
      <c r="I26" s="177">
        <f>Tabla10[[#This Row],[CANTIDAD]]*Tabla10[[#This Row],[Costo ]]</f>
        <v>94.320000000000007</v>
      </c>
      <c r="J26" s="175"/>
    </row>
    <row r="27" spans="1:10" x14ac:dyDescent="0.25">
      <c r="A27" s="175" t="s">
        <v>431</v>
      </c>
      <c r="B27" s="175" t="s">
        <v>396</v>
      </c>
      <c r="C27" s="175">
        <v>6698</v>
      </c>
      <c r="D27" s="175">
        <v>105</v>
      </c>
      <c r="E27" s="175" t="s">
        <v>436</v>
      </c>
      <c r="F27" s="175">
        <v>43</v>
      </c>
      <c r="G27" s="175">
        <v>43</v>
      </c>
      <c r="H27" s="175">
        <v>2.62</v>
      </c>
      <c r="I27" s="177">
        <f>Tabla10[[#This Row],[CANTIDAD]]*Tabla10[[#This Row],[Costo ]]</f>
        <v>112.66000000000001</v>
      </c>
      <c r="J27" s="175"/>
    </row>
    <row r="28" spans="1:10" x14ac:dyDescent="0.25">
      <c r="A28" s="175" t="s">
        <v>431</v>
      </c>
      <c r="B28" s="175" t="s">
        <v>396</v>
      </c>
      <c r="C28" s="175"/>
      <c r="D28" s="175">
        <v>95</v>
      </c>
      <c r="E28" s="175" t="s">
        <v>437</v>
      </c>
      <c r="F28" s="175">
        <v>25</v>
      </c>
      <c r="G28" s="175">
        <v>25</v>
      </c>
      <c r="H28" s="175">
        <v>2.62</v>
      </c>
      <c r="I28" s="177">
        <f>Tabla10[[#This Row],[CANTIDAD]]*Tabla10[[#This Row],[Costo ]]</f>
        <v>65.5</v>
      </c>
      <c r="J28" s="175"/>
    </row>
    <row r="29" spans="1:10" x14ac:dyDescent="0.25">
      <c r="A29" s="175" t="s">
        <v>431</v>
      </c>
      <c r="B29" s="175" t="s">
        <v>396</v>
      </c>
      <c r="C29" s="175"/>
      <c r="D29" s="175">
        <v>95</v>
      </c>
      <c r="E29" s="175" t="s">
        <v>438</v>
      </c>
      <c r="F29" s="175">
        <v>33</v>
      </c>
      <c r="G29" s="175">
        <v>33</v>
      </c>
      <c r="H29" s="175">
        <v>2.62</v>
      </c>
      <c r="I29" s="177">
        <f>Tabla10[[#This Row],[CANTIDAD]]*Tabla10[[#This Row],[Costo ]]</f>
        <v>86.460000000000008</v>
      </c>
      <c r="J29" s="175"/>
    </row>
    <row r="30" spans="1:10" x14ac:dyDescent="0.25">
      <c r="A30" s="175" t="s">
        <v>431</v>
      </c>
      <c r="B30" s="175" t="s">
        <v>396</v>
      </c>
      <c r="C30" s="175"/>
      <c r="D30" s="175">
        <v>105</v>
      </c>
      <c r="E30" s="175" t="s">
        <v>438</v>
      </c>
      <c r="F30" s="175">
        <v>56</v>
      </c>
      <c r="G30" s="175">
        <v>56</v>
      </c>
      <c r="H30" s="175">
        <v>2.62</v>
      </c>
      <c r="I30" s="177">
        <f>Tabla10[[#This Row],[CANTIDAD]]*Tabla10[[#This Row],[Costo ]]</f>
        <v>146.72</v>
      </c>
      <c r="J30" s="175"/>
    </row>
    <row r="31" spans="1:10" x14ac:dyDescent="0.25">
      <c r="A31" s="175" t="s">
        <v>431</v>
      </c>
      <c r="B31" s="175" t="s">
        <v>396</v>
      </c>
      <c r="C31" s="175">
        <v>6170</v>
      </c>
      <c r="D31" s="175">
        <v>95</v>
      </c>
      <c r="E31" s="175" t="s">
        <v>487</v>
      </c>
      <c r="F31" s="196">
        <v>1280</v>
      </c>
      <c r="G31" s="196">
        <v>1280</v>
      </c>
      <c r="H31" s="175">
        <v>1.98</v>
      </c>
      <c r="I31" s="177">
        <f>Tabla10[[#This Row],[CANTIDAD]]*Tabla10[[#This Row],[Costo ]]</f>
        <v>2534.4</v>
      </c>
      <c r="J31" s="175"/>
    </row>
    <row r="32" spans="1:10" x14ac:dyDescent="0.25">
      <c r="A32" s="175" t="s">
        <v>431</v>
      </c>
      <c r="B32" s="175" t="s">
        <v>396</v>
      </c>
      <c r="C32" s="175">
        <v>6174</v>
      </c>
      <c r="D32" s="175">
        <v>105</v>
      </c>
      <c r="E32" s="175" t="s">
        <v>487</v>
      </c>
      <c r="F32" s="196">
        <v>1280</v>
      </c>
      <c r="G32" s="196">
        <v>1280</v>
      </c>
      <c r="H32" s="175">
        <v>1.98</v>
      </c>
      <c r="I32" s="177">
        <f>Tabla10[[#This Row],[CANTIDAD]]*Tabla10[[#This Row],[Costo ]]</f>
        <v>2534.4</v>
      </c>
      <c r="J32" s="175"/>
    </row>
    <row r="33" spans="1:10" x14ac:dyDescent="0.25">
      <c r="A33" s="175" t="s">
        <v>441</v>
      </c>
      <c r="B33" s="175" t="s">
        <v>365</v>
      </c>
      <c r="C33" s="175">
        <v>6158</v>
      </c>
      <c r="D33" s="175">
        <v>90</v>
      </c>
      <c r="E33" s="175" t="s">
        <v>443</v>
      </c>
      <c r="F33" s="175">
        <v>246</v>
      </c>
      <c r="G33" s="175">
        <v>246</v>
      </c>
      <c r="H33" s="175">
        <v>1.98</v>
      </c>
      <c r="I33" s="177">
        <f>Tabla10[[#This Row],[CANTIDAD]]*Tabla10[[#This Row],[Costo ]]</f>
        <v>487.08</v>
      </c>
      <c r="J33" s="175"/>
    </row>
    <row r="34" spans="1:10" x14ac:dyDescent="0.25">
      <c r="A34" s="175" t="s">
        <v>441</v>
      </c>
      <c r="B34" s="175" t="s">
        <v>365</v>
      </c>
      <c r="C34" s="175"/>
      <c r="D34" s="175">
        <v>90</v>
      </c>
      <c r="E34" s="175" t="s">
        <v>456</v>
      </c>
      <c r="F34" s="175">
        <v>348</v>
      </c>
      <c r="G34" s="175">
        <v>348</v>
      </c>
      <c r="H34" s="175">
        <v>1.98</v>
      </c>
      <c r="I34" s="177">
        <f>Tabla10[[#This Row],[CANTIDAD]]*Tabla10[[#This Row],[Costo ]]</f>
        <v>689.04</v>
      </c>
      <c r="J34" s="175"/>
    </row>
    <row r="35" spans="1:10" x14ac:dyDescent="0.25">
      <c r="A35" s="175" t="s">
        <v>441</v>
      </c>
      <c r="B35" s="175" t="s">
        <v>365</v>
      </c>
      <c r="C35" s="175"/>
      <c r="D35" s="175">
        <v>90</v>
      </c>
      <c r="E35" s="175" t="s">
        <v>470</v>
      </c>
      <c r="F35" s="175">
        <v>550</v>
      </c>
      <c r="G35" s="175">
        <v>550</v>
      </c>
      <c r="H35" s="175">
        <v>1.98</v>
      </c>
      <c r="I35" s="177">
        <f>Tabla10[[#This Row],[CANTIDAD]]*Tabla10[[#This Row],[Costo ]]</f>
        <v>1089</v>
      </c>
      <c r="J35" s="175"/>
    </row>
    <row r="36" spans="1:10" x14ac:dyDescent="0.25">
      <c r="A36" s="175" t="s">
        <v>441</v>
      </c>
      <c r="B36" s="175" t="s">
        <v>365</v>
      </c>
      <c r="C36" s="175">
        <v>6074</v>
      </c>
      <c r="D36" s="175">
        <v>90</v>
      </c>
      <c r="E36" s="175" t="s">
        <v>380</v>
      </c>
      <c r="F36" s="175">
        <v>288</v>
      </c>
      <c r="G36" s="175">
        <v>288</v>
      </c>
      <c r="H36" s="175">
        <v>1.98</v>
      </c>
      <c r="I36" s="177">
        <f>Tabla10[[#This Row],[CANTIDAD]]*Tabla10[[#This Row],[Costo ]]</f>
        <v>570.24</v>
      </c>
      <c r="J36" s="175"/>
    </row>
    <row r="37" spans="1:10" x14ac:dyDescent="0.25">
      <c r="A37" s="175" t="s">
        <v>441</v>
      </c>
      <c r="B37" s="175" t="s">
        <v>365</v>
      </c>
      <c r="C37" s="175">
        <v>6120</v>
      </c>
      <c r="D37" s="175">
        <v>95</v>
      </c>
      <c r="E37" s="175" t="s">
        <v>380</v>
      </c>
      <c r="F37" s="175">
        <v>960</v>
      </c>
      <c r="G37" s="175">
        <v>960</v>
      </c>
      <c r="H37" s="175">
        <v>1.98</v>
      </c>
      <c r="I37" s="177">
        <f>Tabla10[[#This Row],[CANTIDAD]]*Tabla10[[#This Row],[Costo ]]</f>
        <v>1900.8</v>
      </c>
      <c r="J37" s="175"/>
    </row>
    <row r="38" spans="1:10" x14ac:dyDescent="0.25">
      <c r="A38" s="175" t="s">
        <v>441</v>
      </c>
      <c r="B38" s="175" t="s">
        <v>365</v>
      </c>
      <c r="C38" s="175">
        <v>6186</v>
      </c>
      <c r="D38" s="175">
        <v>120</v>
      </c>
      <c r="E38" s="175" t="s">
        <v>380</v>
      </c>
      <c r="F38" s="175">
        <v>792</v>
      </c>
      <c r="G38" s="175">
        <v>792</v>
      </c>
      <c r="H38" s="175">
        <v>1.98</v>
      </c>
      <c r="I38" s="177">
        <f>Tabla10[[#This Row],[CANTIDAD]]*Tabla10[[#This Row],[Costo ]]</f>
        <v>1568.16</v>
      </c>
      <c r="J38" s="175"/>
    </row>
    <row r="39" spans="1:10" x14ac:dyDescent="0.25">
      <c r="A39" s="175" t="s">
        <v>441</v>
      </c>
      <c r="B39" s="175" t="s">
        <v>365</v>
      </c>
      <c r="C39" s="175">
        <v>6012</v>
      </c>
      <c r="D39" s="175">
        <v>90</v>
      </c>
      <c r="E39" s="175" t="s">
        <v>468</v>
      </c>
      <c r="F39" s="175">
        <v>57</v>
      </c>
      <c r="G39" s="175">
        <v>57</v>
      </c>
      <c r="H39" s="175">
        <v>1.98</v>
      </c>
      <c r="I39" s="177">
        <f>Tabla10[[#This Row],[CANTIDAD]]*Tabla10[[#This Row],[Costo ]]</f>
        <v>112.86</v>
      </c>
      <c r="J39" s="175"/>
    </row>
    <row r="40" spans="1:10" x14ac:dyDescent="0.25">
      <c r="A40" s="175" t="s">
        <v>441</v>
      </c>
      <c r="B40" s="175" t="s">
        <v>365</v>
      </c>
      <c r="C40" s="175">
        <v>6122</v>
      </c>
      <c r="D40" s="175">
        <v>95</v>
      </c>
      <c r="E40" s="175" t="s">
        <v>468</v>
      </c>
      <c r="F40" s="196">
        <v>1075</v>
      </c>
      <c r="G40" s="196">
        <v>1075</v>
      </c>
      <c r="H40" s="175">
        <v>1.98</v>
      </c>
      <c r="I40" s="177">
        <f>Tabla10[[#This Row],[CANTIDAD]]*Tabla10[[#This Row],[Costo ]]</f>
        <v>2128.5</v>
      </c>
      <c r="J40" s="175"/>
    </row>
    <row r="41" spans="1:10" x14ac:dyDescent="0.25">
      <c r="A41" s="175" t="s">
        <v>441</v>
      </c>
      <c r="B41" s="175" t="s">
        <v>365</v>
      </c>
      <c r="C41" s="175"/>
      <c r="D41" s="175">
        <v>90</v>
      </c>
      <c r="E41" s="175" t="s">
        <v>469</v>
      </c>
      <c r="F41" s="175">
        <v>440</v>
      </c>
      <c r="G41" s="175">
        <v>440</v>
      </c>
      <c r="H41" s="175">
        <v>1.98</v>
      </c>
      <c r="I41" s="177">
        <f>Tabla10[[#This Row],[CANTIDAD]]*Tabla10[[#This Row],[Costo ]]</f>
        <v>871.2</v>
      </c>
      <c r="J41" s="175"/>
    </row>
    <row r="42" spans="1:10" x14ac:dyDescent="0.25">
      <c r="A42" s="175" t="s">
        <v>441</v>
      </c>
      <c r="B42" s="175" t="s">
        <v>365</v>
      </c>
      <c r="C42" s="175">
        <v>6148</v>
      </c>
      <c r="D42" s="175">
        <v>90</v>
      </c>
      <c r="E42" s="175" t="s">
        <v>445</v>
      </c>
      <c r="F42" s="175">
        <v>261</v>
      </c>
      <c r="G42" s="175">
        <v>261</v>
      </c>
      <c r="H42" s="175">
        <v>1.98</v>
      </c>
      <c r="I42" s="177">
        <f>Tabla10[[#This Row],[CANTIDAD]]*Tabla10[[#This Row],[Costo ]]</f>
        <v>516.78</v>
      </c>
      <c r="J42" s="175"/>
    </row>
    <row r="43" spans="1:10" x14ac:dyDescent="0.25">
      <c r="A43" s="175" t="s">
        <v>441</v>
      </c>
      <c r="B43" s="175" t="s">
        <v>365</v>
      </c>
      <c r="C43" s="175">
        <v>10215</v>
      </c>
      <c r="D43" s="175">
        <v>95</v>
      </c>
      <c r="E43" s="175" t="s">
        <v>462</v>
      </c>
      <c r="F43" s="175">
        <v>212</v>
      </c>
      <c r="G43" s="175">
        <v>212</v>
      </c>
      <c r="H43" s="175">
        <v>1.98</v>
      </c>
      <c r="I43" s="177">
        <f>Tabla10[[#This Row],[CANTIDAD]]*Tabla10[[#This Row],[Costo ]]</f>
        <v>419.76</v>
      </c>
      <c r="J43" s="175"/>
    </row>
    <row r="44" spans="1:10" x14ac:dyDescent="0.25">
      <c r="A44" s="175" t="s">
        <v>441</v>
      </c>
      <c r="B44" s="175" t="s">
        <v>365</v>
      </c>
      <c r="C44" s="175">
        <v>6093</v>
      </c>
      <c r="D44" s="175">
        <v>90</v>
      </c>
      <c r="E44" s="175" t="s">
        <v>449</v>
      </c>
      <c r="F44" s="175">
        <v>0</v>
      </c>
      <c r="G44" s="175"/>
      <c r="H44" s="175">
        <v>1.98</v>
      </c>
      <c r="I44" s="177">
        <f>Tabla10[[#This Row],[CANTIDAD
FISCAL]]*Tabla10[[#This Row],[Costo ]]</f>
        <v>0</v>
      </c>
      <c r="J44" s="175"/>
    </row>
    <row r="45" spans="1:10" x14ac:dyDescent="0.25">
      <c r="A45" s="175" t="s">
        <v>441</v>
      </c>
      <c r="B45" s="175" t="s">
        <v>365</v>
      </c>
      <c r="C45" s="175"/>
      <c r="D45" s="175">
        <v>90</v>
      </c>
      <c r="E45" s="175" t="s">
        <v>455</v>
      </c>
      <c r="F45" s="175">
        <v>0</v>
      </c>
      <c r="G45" s="175"/>
      <c r="H45" s="175">
        <v>1.98</v>
      </c>
      <c r="I45" s="177">
        <f>Tabla10[[#This Row],[CANTIDAD
FISCAL]]*Tabla10[[#This Row],[Costo ]]</f>
        <v>0</v>
      </c>
      <c r="J45" s="175"/>
    </row>
    <row r="46" spans="1:10" x14ac:dyDescent="0.25">
      <c r="A46" s="175" t="s">
        <v>441</v>
      </c>
      <c r="B46" s="175" t="s">
        <v>365</v>
      </c>
      <c r="C46" s="175"/>
      <c r="D46" s="175">
        <v>95</v>
      </c>
      <c r="E46" s="175" t="s">
        <v>440</v>
      </c>
      <c r="F46" s="196">
        <v>2136</v>
      </c>
      <c r="G46" s="196">
        <v>2136</v>
      </c>
      <c r="H46" s="175">
        <v>1.98</v>
      </c>
      <c r="I46" s="177">
        <f>Tabla10[[#This Row],[CANTIDAD]]*Tabla10[[#This Row],[Costo ]]</f>
        <v>4229.28</v>
      </c>
      <c r="J46" s="175"/>
    </row>
    <row r="47" spans="1:10" x14ac:dyDescent="0.25">
      <c r="A47" s="175" t="s">
        <v>441</v>
      </c>
      <c r="B47" s="175" t="s">
        <v>365</v>
      </c>
      <c r="C47" s="175">
        <v>6155</v>
      </c>
      <c r="D47" s="175">
        <v>95</v>
      </c>
      <c r="E47" s="175" t="s">
        <v>463</v>
      </c>
      <c r="F47" s="175">
        <v>612</v>
      </c>
      <c r="G47" s="175">
        <v>612</v>
      </c>
      <c r="H47" s="175">
        <v>1.98</v>
      </c>
      <c r="I47" s="177">
        <f>Tabla10[[#This Row],[CANTIDAD]]*Tabla10[[#This Row],[Costo ]]</f>
        <v>1211.76</v>
      </c>
      <c r="J47" s="175"/>
    </row>
    <row r="48" spans="1:10" x14ac:dyDescent="0.25">
      <c r="A48" s="175" t="s">
        <v>441</v>
      </c>
      <c r="B48" s="175" t="s">
        <v>365</v>
      </c>
      <c r="C48" s="175">
        <v>6151</v>
      </c>
      <c r="D48" s="175">
        <v>90</v>
      </c>
      <c r="E48" s="175" t="s">
        <v>446</v>
      </c>
      <c r="F48" s="175">
        <v>395</v>
      </c>
      <c r="G48" s="175">
        <v>395</v>
      </c>
      <c r="H48" s="175">
        <v>1.98</v>
      </c>
      <c r="I48" s="177">
        <f>Tabla10[[#This Row],[CANTIDAD]]*Tabla10[[#This Row],[Costo ]]</f>
        <v>782.1</v>
      </c>
      <c r="J48" s="175"/>
    </row>
    <row r="49" spans="1:10" x14ac:dyDescent="0.25">
      <c r="A49" s="175" t="s">
        <v>441</v>
      </c>
      <c r="B49" s="175" t="s">
        <v>365</v>
      </c>
      <c r="C49" s="175"/>
      <c r="D49" s="175">
        <v>90</v>
      </c>
      <c r="E49" s="175" t="s">
        <v>458</v>
      </c>
      <c r="F49" s="175">
        <v>0</v>
      </c>
      <c r="G49" s="175"/>
      <c r="H49" s="175">
        <v>1.98</v>
      </c>
      <c r="I49" s="177">
        <f>Tabla10[[#This Row],[CANTIDAD
FISCAL]]*Tabla10[[#This Row],[Costo ]]</f>
        <v>0</v>
      </c>
      <c r="J49" s="175"/>
    </row>
    <row r="50" spans="1:10" x14ac:dyDescent="0.25">
      <c r="A50" s="175" t="s">
        <v>441</v>
      </c>
      <c r="B50" s="175" t="s">
        <v>365</v>
      </c>
      <c r="C50" s="175">
        <v>6080</v>
      </c>
      <c r="D50" s="175">
        <v>95</v>
      </c>
      <c r="E50" s="175" t="s">
        <v>681</v>
      </c>
      <c r="F50" s="175">
        <v>466</v>
      </c>
      <c r="G50" s="175">
        <v>466</v>
      </c>
      <c r="H50" s="175">
        <v>1.98</v>
      </c>
      <c r="I50" s="177">
        <f>Tabla10[[#This Row],[CANTIDAD]]*Tabla10[[#This Row],[Costo ]]</f>
        <v>922.68</v>
      </c>
      <c r="J50" s="175"/>
    </row>
    <row r="51" spans="1:10" x14ac:dyDescent="0.25">
      <c r="A51" s="175" t="s">
        <v>441</v>
      </c>
      <c r="B51" s="175" t="s">
        <v>365</v>
      </c>
      <c r="C51" s="175">
        <v>6012</v>
      </c>
      <c r="D51" s="175">
        <v>90</v>
      </c>
      <c r="E51" s="175" t="s">
        <v>459</v>
      </c>
      <c r="F51" s="175">
        <v>0</v>
      </c>
      <c r="G51" s="175"/>
      <c r="H51" s="175">
        <v>1.98</v>
      </c>
      <c r="I51" s="177">
        <f>Tabla10[[#This Row],[CANTIDAD
FISCAL]]*Tabla10[[#This Row],[Costo ]]</f>
        <v>0</v>
      </c>
      <c r="J51" s="175"/>
    </row>
    <row r="52" spans="1:10" x14ac:dyDescent="0.25">
      <c r="A52" s="175" t="s">
        <v>441</v>
      </c>
      <c r="B52" s="175" t="s">
        <v>365</v>
      </c>
      <c r="C52" s="175"/>
      <c r="D52" s="175">
        <v>90</v>
      </c>
      <c r="E52" s="175" t="s">
        <v>467</v>
      </c>
      <c r="F52" s="175">
        <v>720</v>
      </c>
      <c r="G52" s="175">
        <v>720</v>
      </c>
      <c r="H52" s="175">
        <v>1.98</v>
      </c>
      <c r="I52" s="177">
        <f>Tabla10[[#This Row],[CANTIDAD]]*Tabla10[[#This Row],[Costo ]]</f>
        <v>1425.6</v>
      </c>
      <c r="J52" s="175"/>
    </row>
    <row r="53" spans="1:10" x14ac:dyDescent="0.25">
      <c r="A53" s="175" t="s">
        <v>441</v>
      </c>
      <c r="B53" s="175" t="s">
        <v>365</v>
      </c>
      <c r="C53" s="175"/>
      <c r="D53" s="175">
        <v>95</v>
      </c>
      <c r="E53" s="175" t="s">
        <v>467</v>
      </c>
      <c r="F53" s="175">
        <v>650</v>
      </c>
      <c r="G53" s="175">
        <v>650</v>
      </c>
      <c r="H53" s="175">
        <v>1.98</v>
      </c>
      <c r="I53" s="177">
        <f>Tabla10[[#This Row],[CANTIDAD]]*Tabla10[[#This Row],[Costo ]]</f>
        <v>1287</v>
      </c>
      <c r="J53" s="175"/>
    </row>
    <row r="54" spans="1:10" x14ac:dyDescent="0.25">
      <c r="A54" s="175" t="s">
        <v>441</v>
      </c>
      <c r="B54" s="175" t="s">
        <v>365</v>
      </c>
      <c r="C54" s="175">
        <v>6166</v>
      </c>
      <c r="D54" s="175">
        <v>90</v>
      </c>
      <c r="E54" s="175" t="s">
        <v>451</v>
      </c>
      <c r="F54" s="175">
        <v>72</v>
      </c>
      <c r="G54" s="175">
        <v>72</v>
      </c>
      <c r="H54" s="175">
        <v>1.98</v>
      </c>
      <c r="I54" s="177">
        <f>Tabla10[[#This Row],[CANTIDAD]]*Tabla10[[#This Row],[Costo ]]</f>
        <v>142.56</v>
      </c>
      <c r="J54" s="175"/>
    </row>
    <row r="55" spans="1:10" x14ac:dyDescent="0.25">
      <c r="A55" s="175" t="s">
        <v>441</v>
      </c>
      <c r="B55" s="175" t="s">
        <v>365</v>
      </c>
      <c r="C55" s="175">
        <v>6164</v>
      </c>
      <c r="D55" s="175">
        <v>95</v>
      </c>
      <c r="E55" s="175" t="s">
        <v>451</v>
      </c>
      <c r="F55" s="175">
        <v>201</v>
      </c>
      <c r="G55" s="175">
        <v>201</v>
      </c>
      <c r="H55" s="175">
        <v>1.98</v>
      </c>
      <c r="I55" s="177">
        <f>Tabla10[[#This Row],[CANTIDAD]]*Tabla10[[#This Row],[Costo ]]</f>
        <v>397.98</v>
      </c>
      <c r="J55" s="175"/>
    </row>
    <row r="56" spans="1:10" x14ac:dyDescent="0.25">
      <c r="A56" s="175" t="s">
        <v>441</v>
      </c>
      <c r="B56" s="175" t="s">
        <v>365</v>
      </c>
      <c r="C56" s="175"/>
      <c r="D56" s="175">
        <v>90</v>
      </c>
      <c r="E56" s="175" t="s">
        <v>466</v>
      </c>
      <c r="F56" s="175">
        <v>341</v>
      </c>
      <c r="G56" s="175">
        <v>341</v>
      </c>
      <c r="H56" s="175">
        <v>1.98</v>
      </c>
      <c r="I56" s="177">
        <f>Tabla10[[#This Row],[CANTIDAD]]*Tabla10[[#This Row],[Costo ]]</f>
        <v>675.18</v>
      </c>
      <c r="J56" s="175"/>
    </row>
    <row r="57" spans="1:10" x14ac:dyDescent="0.25">
      <c r="A57" s="175" t="s">
        <v>441</v>
      </c>
      <c r="B57" s="175" t="s">
        <v>365</v>
      </c>
      <c r="C57" s="175"/>
      <c r="D57" s="175">
        <v>95</v>
      </c>
      <c r="E57" s="175" t="s">
        <v>466</v>
      </c>
      <c r="F57" s="175">
        <v>79</v>
      </c>
      <c r="G57" s="175">
        <v>79</v>
      </c>
      <c r="H57" s="175">
        <v>1.98</v>
      </c>
      <c r="I57" s="177">
        <f>Tabla10[[#This Row],[CANTIDAD]]*Tabla10[[#This Row],[Costo ]]</f>
        <v>156.41999999999999</v>
      </c>
      <c r="J57" s="175"/>
    </row>
    <row r="58" spans="1:10" x14ac:dyDescent="0.25">
      <c r="A58" s="175" t="s">
        <v>441</v>
      </c>
      <c r="B58" s="175" t="s">
        <v>365</v>
      </c>
      <c r="C58" s="175">
        <v>6061</v>
      </c>
      <c r="D58" s="175">
        <v>95</v>
      </c>
      <c r="E58" s="175" t="s">
        <v>460</v>
      </c>
      <c r="F58" s="175">
        <v>0</v>
      </c>
      <c r="G58" s="175"/>
      <c r="H58" s="175">
        <v>1.98</v>
      </c>
      <c r="I58" s="177">
        <f>Tabla10[[#This Row],[CANTIDAD
FISCAL]]*Tabla10[[#This Row],[Costo ]]</f>
        <v>0</v>
      </c>
      <c r="J58" s="175"/>
    </row>
    <row r="59" spans="1:10" x14ac:dyDescent="0.25">
      <c r="A59" s="175" t="s">
        <v>441</v>
      </c>
      <c r="B59" s="175" t="s">
        <v>365</v>
      </c>
      <c r="C59" s="175">
        <v>10211</v>
      </c>
      <c r="D59" s="175">
        <v>95</v>
      </c>
      <c r="E59" s="175" t="s">
        <v>481</v>
      </c>
      <c r="F59" s="175">
        <v>0</v>
      </c>
      <c r="G59" s="175"/>
      <c r="H59" s="175">
        <v>1.98</v>
      </c>
      <c r="I59" s="177">
        <f>Tabla10[[#This Row],[CANTIDAD
FISCAL]]*Tabla10[[#This Row],[Costo ]]</f>
        <v>0</v>
      </c>
      <c r="J59" s="175"/>
    </row>
    <row r="60" spans="1:10" x14ac:dyDescent="0.25">
      <c r="A60" s="175" t="s">
        <v>441</v>
      </c>
      <c r="B60" s="175" t="s">
        <v>365</v>
      </c>
      <c r="C60" s="175">
        <v>6075</v>
      </c>
      <c r="D60" s="175">
        <v>90</v>
      </c>
      <c r="E60" s="175" t="s">
        <v>442</v>
      </c>
      <c r="F60" s="196">
        <v>1400</v>
      </c>
      <c r="G60" s="196">
        <v>1400</v>
      </c>
      <c r="H60" s="175">
        <v>1.98</v>
      </c>
      <c r="I60" s="177">
        <f>Tabla10[[#This Row],[CANTIDAD]]*Tabla10[[#This Row],[Costo ]]</f>
        <v>2772</v>
      </c>
      <c r="J60" s="175"/>
    </row>
    <row r="61" spans="1:10" x14ac:dyDescent="0.25">
      <c r="A61" s="175" t="s">
        <v>441</v>
      </c>
      <c r="B61" s="175" t="s">
        <v>365</v>
      </c>
      <c r="C61" s="175">
        <v>6121</v>
      </c>
      <c r="D61" s="175">
        <v>95</v>
      </c>
      <c r="E61" s="175" t="s">
        <v>442</v>
      </c>
      <c r="F61" s="175">
        <v>744</v>
      </c>
      <c r="G61" s="175">
        <v>744</v>
      </c>
      <c r="H61" s="175">
        <v>1.98</v>
      </c>
      <c r="I61" s="177">
        <f>Tabla10[[#This Row],[CANTIDAD]]*Tabla10[[#This Row],[Costo ]]</f>
        <v>1473.12</v>
      </c>
      <c r="J61" s="175"/>
    </row>
    <row r="62" spans="1:10" x14ac:dyDescent="0.25">
      <c r="A62" s="175" t="s">
        <v>441</v>
      </c>
      <c r="B62" s="175" t="s">
        <v>365</v>
      </c>
      <c r="C62" s="175">
        <v>6075</v>
      </c>
      <c r="D62" s="175">
        <v>120</v>
      </c>
      <c r="E62" s="175" t="s">
        <v>442</v>
      </c>
      <c r="F62" s="175">
        <v>461</v>
      </c>
      <c r="G62" s="175">
        <v>461</v>
      </c>
      <c r="H62" s="175">
        <v>1.98</v>
      </c>
      <c r="I62" s="177">
        <f>Tabla10[[#This Row],[CANTIDAD]]*Tabla10[[#This Row],[Costo ]]</f>
        <v>912.78</v>
      </c>
      <c r="J62" s="175"/>
    </row>
    <row r="63" spans="1:10" x14ac:dyDescent="0.25">
      <c r="A63" s="175" t="s">
        <v>441</v>
      </c>
      <c r="B63" s="175" t="s">
        <v>365</v>
      </c>
      <c r="C63" s="175"/>
      <c r="D63" s="175">
        <v>90</v>
      </c>
      <c r="E63" s="175" t="s">
        <v>482</v>
      </c>
      <c r="F63" s="175">
        <v>328</v>
      </c>
      <c r="G63" s="175">
        <v>328</v>
      </c>
      <c r="H63" s="175">
        <v>1.98</v>
      </c>
      <c r="I63" s="177">
        <f>Tabla10[[#This Row],[CANTIDAD]]*Tabla10[[#This Row],[Costo ]]</f>
        <v>649.43999999999994</v>
      </c>
      <c r="J63" s="175"/>
    </row>
    <row r="64" spans="1:10" x14ac:dyDescent="0.25">
      <c r="A64" s="175" t="s">
        <v>441</v>
      </c>
      <c r="B64" s="175" t="s">
        <v>365</v>
      </c>
      <c r="C64" s="175">
        <v>10623</v>
      </c>
      <c r="D64" s="175">
        <v>95</v>
      </c>
      <c r="E64" s="175" t="s">
        <v>482</v>
      </c>
      <c r="F64" s="196">
        <v>1472</v>
      </c>
      <c r="G64" s="196">
        <v>1472</v>
      </c>
      <c r="H64" s="175">
        <v>1.98</v>
      </c>
      <c r="I64" s="177">
        <f>Tabla10[[#This Row],[CANTIDAD]]*Tabla10[[#This Row],[Costo ]]</f>
        <v>2914.56</v>
      </c>
      <c r="J64" s="175"/>
    </row>
    <row r="65" spans="1:10" x14ac:dyDescent="0.25">
      <c r="A65" s="175" t="s">
        <v>441</v>
      </c>
      <c r="B65" s="175" t="s">
        <v>365</v>
      </c>
      <c r="C65" s="175">
        <v>6024</v>
      </c>
      <c r="D65" s="175">
        <v>90</v>
      </c>
      <c r="E65" s="175" t="s">
        <v>457</v>
      </c>
      <c r="F65" s="175">
        <v>147</v>
      </c>
      <c r="G65" s="175">
        <v>147</v>
      </c>
      <c r="H65" s="175">
        <v>1.98</v>
      </c>
      <c r="I65" s="177">
        <f>Tabla10[[#This Row],[CANTIDAD]]*Tabla10[[#This Row],[Costo ]]</f>
        <v>291.06</v>
      </c>
      <c r="J65" s="175"/>
    </row>
    <row r="66" spans="1:10" x14ac:dyDescent="0.25">
      <c r="A66" s="175" t="s">
        <v>441</v>
      </c>
      <c r="B66" s="175" t="s">
        <v>365</v>
      </c>
      <c r="C66" s="175">
        <v>6022</v>
      </c>
      <c r="D66" s="175">
        <v>90</v>
      </c>
      <c r="E66" s="175" t="s">
        <v>450</v>
      </c>
      <c r="F66" s="175">
        <v>341</v>
      </c>
      <c r="G66" s="175">
        <v>341</v>
      </c>
      <c r="H66" s="175">
        <v>1.98</v>
      </c>
      <c r="I66" s="177">
        <f>Tabla10[[#This Row],[CANTIDAD]]*Tabla10[[#This Row],[Costo ]]</f>
        <v>675.18</v>
      </c>
      <c r="J66" s="175"/>
    </row>
    <row r="67" spans="1:10" x14ac:dyDescent="0.25">
      <c r="A67" s="175" t="s">
        <v>441</v>
      </c>
      <c r="B67" s="175" t="s">
        <v>365</v>
      </c>
      <c r="C67" s="175">
        <v>10212</v>
      </c>
      <c r="D67" s="175">
        <v>95</v>
      </c>
      <c r="E67" s="175" t="s">
        <v>450</v>
      </c>
      <c r="F67" s="175">
        <v>95</v>
      </c>
      <c r="G67" s="175">
        <v>95</v>
      </c>
      <c r="H67" s="175">
        <v>1.98</v>
      </c>
      <c r="I67" s="177">
        <f>Tabla10[[#This Row],[CANTIDAD]]*Tabla10[[#This Row],[Costo ]]</f>
        <v>188.1</v>
      </c>
      <c r="J67" s="175"/>
    </row>
    <row r="68" spans="1:10" x14ac:dyDescent="0.25">
      <c r="A68" s="175" t="s">
        <v>441</v>
      </c>
      <c r="B68" s="175" t="s">
        <v>365</v>
      </c>
      <c r="C68" s="175">
        <v>10216</v>
      </c>
      <c r="D68" s="175">
        <v>95</v>
      </c>
      <c r="E68" s="175" t="s">
        <v>465</v>
      </c>
      <c r="F68" s="175">
        <v>29</v>
      </c>
      <c r="G68" s="175">
        <v>29</v>
      </c>
      <c r="H68" s="175">
        <v>1.98</v>
      </c>
      <c r="I68" s="177">
        <f>Tabla10[[#This Row],[CANTIDAD]]*Tabla10[[#This Row],[Costo ]]</f>
        <v>57.42</v>
      </c>
      <c r="J68" s="175"/>
    </row>
    <row r="69" spans="1:10" x14ac:dyDescent="0.25">
      <c r="A69" s="175" t="s">
        <v>441</v>
      </c>
      <c r="B69" s="175" t="s">
        <v>365</v>
      </c>
      <c r="C69" s="175">
        <v>6113</v>
      </c>
      <c r="D69" s="175">
        <v>90</v>
      </c>
      <c r="E69" s="175" t="s">
        <v>454</v>
      </c>
      <c r="F69" s="175">
        <v>128</v>
      </c>
      <c r="G69" s="175">
        <v>128</v>
      </c>
      <c r="H69" s="175">
        <v>1.98</v>
      </c>
      <c r="I69" s="177">
        <f>Tabla10[[#This Row],[CANTIDAD]]*Tabla10[[#This Row],[Costo ]]</f>
        <v>253.44</v>
      </c>
      <c r="J69" s="175"/>
    </row>
    <row r="70" spans="1:10" x14ac:dyDescent="0.25">
      <c r="A70" s="175" t="s">
        <v>441</v>
      </c>
      <c r="B70" s="175" t="s">
        <v>365</v>
      </c>
      <c r="C70" s="175"/>
      <c r="D70" s="175">
        <v>95</v>
      </c>
      <c r="E70" s="175" t="s">
        <v>454</v>
      </c>
      <c r="F70" s="175">
        <v>180</v>
      </c>
      <c r="G70" s="175">
        <v>180</v>
      </c>
      <c r="H70" s="175">
        <v>1.98</v>
      </c>
      <c r="I70" s="177">
        <f>Tabla10[[#This Row],[CANTIDAD]]*Tabla10[[#This Row],[Costo ]]</f>
        <v>356.4</v>
      </c>
      <c r="J70" s="175"/>
    </row>
    <row r="71" spans="1:10" x14ac:dyDescent="0.25">
      <c r="A71" s="175" t="s">
        <v>441</v>
      </c>
      <c r="B71" s="175" t="s">
        <v>365</v>
      </c>
      <c r="C71" s="175">
        <v>6076</v>
      </c>
      <c r="D71" s="175">
        <v>90</v>
      </c>
      <c r="E71" s="175" t="s">
        <v>453</v>
      </c>
      <c r="F71" s="175">
        <v>544</v>
      </c>
      <c r="G71" s="175">
        <v>544</v>
      </c>
      <c r="H71" s="175">
        <v>1.98</v>
      </c>
      <c r="I71" s="177">
        <f>Tabla10[[#This Row],[CANTIDAD]]*Tabla10[[#This Row],[Costo ]]</f>
        <v>1077.1199999999999</v>
      </c>
      <c r="J71" s="175"/>
    </row>
    <row r="72" spans="1:10" x14ac:dyDescent="0.25">
      <c r="A72" s="175" t="s">
        <v>441</v>
      </c>
      <c r="B72" s="175" t="s">
        <v>365</v>
      </c>
      <c r="C72" s="175"/>
      <c r="D72" s="175">
        <v>95</v>
      </c>
      <c r="E72" s="175" t="s">
        <v>453</v>
      </c>
      <c r="F72" s="175">
        <v>157</v>
      </c>
      <c r="G72" s="175">
        <v>157</v>
      </c>
      <c r="H72" s="175">
        <v>1.98</v>
      </c>
      <c r="I72" s="177">
        <f>Tabla10[[#This Row],[CANTIDAD]]*Tabla10[[#This Row],[Costo ]]</f>
        <v>310.86</v>
      </c>
      <c r="J72" s="175"/>
    </row>
    <row r="73" spans="1:10" x14ac:dyDescent="0.25">
      <c r="A73" s="175" t="s">
        <v>441</v>
      </c>
      <c r="B73" s="175" t="s">
        <v>365</v>
      </c>
      <c r="C73" s="175">
        <v>6147</v>
      </c>
      <c r="D73" s="175">
        <v>90</v>
      </c>
      <c r="E73" s="175" t="s">
        <v>447</v>
      </c>
      <c r="F73" s="175">
        <v>360</v>
      </c>
      <c r="G73" s="175">
        <v>360</v>
      </c>
      <c r="H73" s="175">
        <v>1.98</v>
      </c>
      <c r="I73" s="177">
        <f>Tabla10[[#This Row],[CANTIDAD]]*Tabla10[[#This Row],[Costo ]]</f>
        <v>712.8</v>
      </c>
      <c r="J73" s="175"/>
    </row>
    <row r="74" spans="1:10" x14ac:dyDescent="0.25">
      <c r="A74" s="175" t="s">
        <v>441</v>
      </c>
      <c r="B74" s="175" t="s">
        <v>365</v>
      </c>
      <c r="C74" s="175">
        <v>10214</v>
      </c>
      <c r="D74" s="175">
        <v>95</v>
      </c>
      <c r="E74" s="175" t="s">
        <v>447</v>
      </c>
      <c r="F74" s="175">
        <v>360</v>
      </c>
      <c r="G74" s="175">
        <v>360</v>
      </c>
      <c r="H74" s="175">
        <v>1.98</v>
      </c>
      <c r="I74" s="177">
        <f>Tabla10[[#This Row],[CANTIDAD]]*Tabla10[[#This Row],[Costo ]]</f>
        <v>712.8</v>
      </c>
      <c r="J74" s="175"/>
    </row>
    <row r="75" spans="1:10" x14ac:dyDescent="0.25">
      <c r="A75" s="175" t="s">
        <v>441</v>
      </c>
      <c r="B75" s="175" t="s">
        <v>365</v>
      </c>
      <c r="C75" s="175">
        <v>10214</v>
      </c>
      <c r="D75" s="175">
        <v>95</v>
      </c>
      <c r="E75" s="175" t="s">
        <v>464</v>
      </c>
      <c r="F75" s="175">
        <v>740</v>
      </c>
      <c r="G75" s="175">
        <v>740</v>
      </c>
      <c r="H75" s="175">
        <v>1.98</v>
      </c>
      <c r="I75" s="177">
        <f>Tabla10[[#This Row],[CANTIDAD]]*Tabla10[[#This Row],[Costo ]]</f>
        <v>1465.2</v>
      </c>
      <c r="J75" s="175"/>
    </row>
    <row r="76" spans="1:10" x14ac:dyDescent="0.25">
      <c r="A76" s="175" t="s">
        <v>441</v>
      </c>
      <c r="B76" s="175" t="s">
        <v>365</v>
      </c>
      <c r="C76" s="175">
        <v>6156</v>
      </c>
      <c r="D76" s="175">
        <v>95</v>
      </c>
      <c r="E76" s="175" t="s">
        <v>461</v>
      </c>
      <c r="F76" s="175">
        <v>316</v>
      </c>
      <c r="G76" s="175">
        <v>316</v>
      </c>
      <c r="H76" s="175">
        <v>1.98</v>
      </c>
      <c r="I76" s="177">
        <f>Tabla10[[#This Row],[CANTIDAD]]*Tabla10[[#This Row],[Costo ]]</f>
        <v>625.67999999999995</v>
      </c>
      <c r="J76" s="175"/>
    </row>
    <row r="77" spans="1:10" x14ac:dyDescent="0.25">
      <c r="A77" s="175" t="s">
        <v>441</v>
      </c>
      <c r="B77" s="175" t="s">
        <v>365</v>
      </c>
      <c r="C77" s="175">
        <v>6157</v>
      </c>
      <c r="D77" s="175">
        <v>90</v>
      </c>
      <c r="E77" s="175" t="s">
        <v>444</v>
      </c>
      <c r="F77" s="175">
        <v>460</v>
      </c>
      <c r="G77" s="175">
        <v>460</v>
      </c>
      <c r="H77" s="175">
        <v>1.98</v>
      </c>
      <c r="I77" s="177">
        <f>Tabla10[[#This Row],[CANTIDAD]]*Tabla10[[#This Row],[Costo ]]</f>
        <v>910.8</v>
      </c>
      <c r="J77" s="175"/>
    </row>
    <row r="78" spans="1:10" x14ac:dyDescent="0.25">
      <c r="A78" s="175" t="s">
        <v>441</v>
      </c>
      <c r="B78" s="175" t="s">
        <v>365</v>
      </c>
      <c r="C78" s="175"/>
      <c r="D78" s="175">
        <v>90</v>
      </c>
      <c r="E78" s="175" t="s">
        <v>448</v>
      </c>
      <c r="F78" s="175">
        <v>0</v>
      </c>
      <c r="G78" s="175"/>
      <c r="H78" s="175">
        <v>1.98</v>
      </c>
      <c r="I78" s="177">
        <f>Tabla10[[#This Row],[CANTIDAD
FISCAL]]*Tabla10[[#This Row],[Costo ]]</f>
        <v>0</v>
      </c>
      <c r="J78" s="175"/>
    </row>
    <row r="79" spans="1:10" x14ac:dyDescent="0.25">
      <c r="A79" s="175" t="s">
        <v>441</v>
      </c>
      <c r="B79" s="175" t="s">
        <v>365</v>
      </c>
      <c r="C79" s="175">
        <v>6090</v>
      </c>
      <c r="D79" s="175">
        <v>95</v>
      </c>
      <c r="E79" s="175" t="s">
        <v>448</v>
      </c>
      <c r="F79" s="175">
        <v>0</v>
      </c>
      <c r="G79" s="175"/>
      <c r="H79" s="175">
        <v>1.98</v>
      </c>
      <c r="I79" s="177">
        <f>Tabla10[[#This Row],[CANTIDAD
FISCAL]]*Tabla10[[#This Row],[Costo ]]</f>
        <v>0</v>
      </c>
      <c r="J79" s="175"/>
    </row>
    <row r="80" spans="1:10" x14ac:dyDescent="0.25">
      <c r="A80" s="175" t="s">
        <v>441</v>
      </c>
      <c r="B80" s="175" t="s">
        <v>365</v>
      </c>
      <c r="C80" s="175">
        <v>6117</v>
      </c>
      <c r="D80" s="175">
        <v>90</v>
      </c>
      <c r="E80" s="175" t="s">
        <v>452</v>
      </c>
      <c r="F80" s="175">
        <v>185</v>
      </c>
      <c r="G80" s="175">
        <v>185</v>
      </c>
      <c r="H80" s="175">
        <v>1.98</v>
      </c>
      <c r="I80" s="177">
        <f>Tabla10[[#This Row],[CANTIDAD]]*Tabla10[[#This Row],[Costo ]]</f>
        <v>366.3</v>
      </c>
      <c r="J80" s="175"/>
    </row>
    <row r="81" spans="1:10" x14ac:dyDescent="0.25">
      <c r="A81" s="175" t="s">
        <v>441</v>
      </c>
      <c r="B81" s="175" t="s">
        <v>365</v>
      </c>
      <c r="C81" s="175"/>
      <c r="D81" s="175">
        <v>95</v>
      </c>
      <c r="E81" s="175" t="s">
        <v>452</v>
      </c>
      <c r="F81" s="175">
        <v>224</v>
      </c>
      <c r="G81" s="175">
        <v>224</v>
      </c>
      <c r="H81" s="175">
        <v>1.98</v>
      </c>
      <c r="I81" s="177">
        <f>Tabla10[[#This Row],[CANTIDAD]]*Tabla10[[#This Row],[Costo ]]</f>
        <v>443.52</v>
      </c>
      <c r="J81" s="175"/>
    </row>
    <row r="82" spans="1:10" x14ac:dyDescent="0.25">
      <c r="A82" s="175" t="s">
        <v>471</v>
      </c>
      <c r="B82" s="175"/>
      <c r="C82" s="175">
        <v>6321</v>
      </c>
      <c r="D82" s="175">
        <v>70</v>
      </c>
      <c r="E82" s="175" t="s">
        <v>476</v>
      </c>
      <c r="F82" s="196">
        <v>1080</v>
      </c>
      <c r="G82" s="196">
        <v>1080</v>
      </c>
      <c r="H82" s="175">
        <v>1.98</v>
      </c>
      <c r="I82" s="177">
        <f>Tabla10[[#This Row],[CANTIDAD]]*Tabla10[[#This Row],[Costo ]]</f>
        <v>2138.4</v>
      </c>
      <c r="J82" s="175"/>
    </row>
    <row r="83" spans="1:10" x14ac:dyDescent="0.25">
      <c r="A83" s="175" t="s">
        <v>471</v>
      </c>
      <c r="B83" s="175"/>
      <c r="C83" s="175">
        <v>6048</v>
      </c>
      <c r="D83" s="175">
        <v>80</v>
      </c>
      <c r="E83" s="175" t="s">
        <v>476</v>
      </c>
      <c r="F83" s="196">
        <v>2045</v>
      </c>
      <c r="G83" s="196">
        <v>2045</v>
      </c>
      <c r="H83" s="175">
        <v>1.98</v>
      </c>
      <c r="I83" s="177">
        <f>Tabla10[[#This Row],[CANTIDAD]]*Tabla10[[#This Row],[Costo ]]</f>
        <v>4049.1</v>
      </c>
      <c r="J83" s="175"/>
    </row>
    <row r="84" spans="1:10" x14ac:dyDescent="0.25">
      <c r="A84" s="175" t="s">
        <v>471</v>
      </c>
      <c r="B84" s="175"/>
      <c r="C84" s="175">
        <v>6057</v>
      </c>
      <c r="D84" s="175">
        <v>90</v>
      </c>
      <c r="E84" s="175" t="s">
        <v>476</v>
      </c>
      <c r="F84" s="175">
        <v>0</v>
      </c>
      <c r="G84" s="175"/>
      <c r="H84" s="175">
        <v>1.98</v>
      </c>
      <c r="I84" s="177">
        <f>Tabla10[[#This Row],[CANTIDAD
FISCAL]]*Tabla10[[#This Row],[Costo ]]</f>
        <v>0</v>
      </c>
      <c r="J84" s="175"/>
    </row>
    <row r="85" spans="1:10" x14ac:dyDescent="0.25">
      <c r="A85" s="175" t="s">
        <v>471</v>
      </c>
      <c r="B85" s="175"/>
      <c r="C85" s="175">
        <v>6325</v>
      </c>
      <c r="D85" s="175">
        <v>100</v>
      </c>
      <c r="E85" s="175" t="s">
        <v>476</v>
      </c>
      <c r="F85" s="175">
        <v>535</v>
      </c>
      <c r="G85" s="175">
        <v>535</v>
      </c>
      <c r="H85" s="175">
        <v>1.98</v>
      </c>
      <c r="I85" s="177">
        <f>Tabla10[[#This Row],[CANTIDAD]]*Tabla10[[#This Row],[Costo ]]</f>
        <v>1059.3</v>
      </c>
      <c r="J85" s="175"/>
    </row>
    <row r="86" spans="1:10" x14ac:dyDescent="0.25">
      <c r="A86" s="175" t="s">
        <v>471</v>
      </c>
      <c r="B86" s="175"/>
      <c r="C86" s="175">
        <v>6020</v>
      </c>
      <c r="D86" s="175">
        <v>120</v>
      </c>
      <c r="E86" s="175" t="s">
        <v>476</v>
      </c>
      <c r="F86" s="175">
        <v>27</v>
      </c>
      <c r="G86" s="175">
        <v>27</v>
      </c>
      <c r="H86" s="175">
        <v>1.98</v>
      </c>
      <c r="I86" s="177">
        <f>Tabla10[[#This Row],[CANTIDAD]]*Tabla10[[#This Row],[Costo ]]</f>
        <v>53.46</v>
      </c>
      <c r="J86" s="175"/>
    </row>
    <row r="87" spans="1:10" x14ac:dyDescent="0.25">
      <c r="A87" s="175" t="s">
        <v>471</v>
      </c>
      <c r="B87" s="175"/>
      <c r="C87" s="175">
        <v>6038</v>
      </c>
      <c r="D87" s="175">
        <v>140</v>
      </c>
      <c r="E87" s="175" t="s">
        <v>476</v>
      </c>
      <c r="F87" s="175">
        <v>1230</v>
      </c>
      <c r="G87" s="175">
        <v>1230</v>
      </c>
      <c r="H87" s="175">
        <v>1.98</v>
      </c>
      <c r="I87" s="177">
        <f>Tabla10[[#This Row],[CANTIDAD]]*Tabla10[[#This Row],[Costo ]]</f>
        <v>2435.4</v>
      </c>
      <c r="J87" s="175"/>
    </row>
    <row r="88" spans="1:10" x14ac:dyDescent="0.25">
      <c r="A88" s="175" t="s">
        <v>471</v>
      </c>
      <c r="B88" s="175"/>
      <c r="C88" s="175">
        <v>6179</v>
      </c>
      <c r="D88" s="175">
        <v>150</v>
      </c>
      <c r="E88" s="175" t="s">
        <v>476</v>
      </c>
      <c r="F88" s="196">
        <v>2042</v>
      </c>
      <c r="G88" s="196">
        <v>2042</v>
      </c>
      <c r="H88" s="175">
        <v>1.98</v>
      </c>
      <c r="I88" s="177">
        <f>Tabla10[[#This Row],[CANTIDAD]]*Tabla10[[#This Row],[Costo ]]</f>
        <v>4043.16</v>
      </c>
      <c r="J88" s="175"/>
    </row>
    <row r="89" spans="1:10" x14ac:dyDescent="0.25">
      <c r="A89" s="175" t="s">
        <v>471</v>
      </c>
      <c r="B89" s="175"/>
      <c r="C89" s="176">
        <v>6341</v>
      </c>
      <c r="D89" s="175">
        <v>70</v>
      </c>
      <c r="E89" s="175" t="s">
        <v>475</v>
      </c>
      <c r="F89" s="196">
        <v>1293</v>
      </c>
      <c r="G89" s="196">
        <v>1293</v>
      </c>
      <c r="H89" s="175">
        <v>1.98</v>
      </c>
      <c r="I89" s="177">
        <f>Tabla10[[#This Row],[CANTIDAD]]*Tabla10[[#This Row],[Costo ]]</f>
        <v>2560.14</v>
      </c>
      <c r="J89" s="175"/>
    </row>
    <row r="90" spans="1:10" x14ac:dyDescent="0.25">
      <c r="A90" s="175" t="s">
        <v>471</v>
      </c>
      <c r="B90" s="175"/>
      <c r="C90" s="176">
        <v>6047</v>
      </c>
      <c r="D90" s="175">
        <v>80</v>
      </c>
      <c r="E90" s="175" t="s">
        <v>475</v>
      </c>
      <c r="F90" s="175">
        <v>547</v>
      </c>
      <c r="G90" s="175">
        <v>547</v>
      </c>
      <c r="H90" s="175">
        <v>1.98</v>
      </c>
      <c r="I90" s="177">
        <f>Tabla10[[#This Row],[CANTIDAD]]*Tabla10[[#This Row],[Costo ]]</f>
        <v>1083.06</v>
      </c>
      <c r="J90" s="175"/>
    </row>
    <row r="91" spans="1:10" x14ac:dyDescent="0.25">
      <c r="A91" s="175" t="s">
        <v>471</v>
      </c>
      <c r="B91" s="175"/>
      <c r="C91" s="176">
        <v>6055</v>
      </c>
      <c r="D91" s="175">
        <v>90</v>
      </c>
      <c r="E91" s="175" t="s">
        <v>475</v>
      </c>
      <c r="F91" s="196">
        <v>1200</v>
      </c>
      <c r="G91" s="196">
        <v>1200</v>
      </c>
      <c r="H91" s="175">
        <v>1.98</v>
      </c>
      <c r="I91" s="177">
        <f>Tabla10[[#This Row],[CANTIDAD]]*Tabla10[[#This Row],[Costo ]]</f>
        <v>2376</v>
      </c>
      <c r="J91" s="175"/>
    </row>
    <row r="92" spans="1:10" x14ac:dyDescent="0.25">
      <c r="A92" s="175" t="s">
        <v>471</v>
      </c>
      <c r="B92" s="175"/>
      <c r="C92" s="176">
        <v>6347</v>
      </c>
      <c r="D92" s="175">
        <v>120</v>
      </c>
      <c r="E92" s="175" t="s">
        <v>475</v>
      </c>
      <c r="F92" s="196">
        <v>1148</v>
      </c>
      <c r="G92" s="196">
        <v>1148</v>
      </c>
      <c r="H92" s="175">
        <v>1.98</v>
      </c>
      <c r="I92" s="177">
        <f>Tabla10[[#This Row],[CANTIDAD]]*Tabla10[[#This Row],[Costo ]]</f>
        <v>2273.04</v>
      </c>
      <c r="J92" s="175"/>
    </row>
    <row r="93" spans="1:10" x14ac:dyDescent="0.25">
      <c r="A93" s="175" t="s">
        <v>471</v>
      </c>
      <c r="B93" s="175"/>
      <c r="C93" s="175">
        <v>6301</v>
      </c>
      <c r="D93" s="175">
        <v>70</v>
      </c>
      <c r="E93" s="175" t="s">
        <v>380</v>
      </c>
      <c r="F93" s="196">
        <v>0</v>
      </c>
      <c r="G93" s="196"/>
      <c r="H93" s="175">
        <v>1.98</v>
      </c>
      <c r="I93" s="177">
        <f>Tabla10[[#This Row],[CANTIDAD
FISCAL]]*Tabla10[[#This Row],[Costo ]]</f>
        <v>0</v>
      </c>
      <c r="J93" s="175"/>
    </row>
    <row r="94" spans="1:10" x14ac:dyDescent="0.25">
      <c r="A94" s="175" t="s">
        <v>471</v>
      </c>
      <c r="B94" s="175"/>
      <c r="C94" s="175">
        <v>6015</v>
      </c>
      <c r="D94" s="175">
        <v>80</v>
      </c>
      <c r="E94" s="175" t="s">
        <v>380</v>
      </c>
      <c r="F94" s="175">
        <v>0</v>
      </c>
      <c r="G94" s="175"/>
      <c r="H94" s="175">
        <v>1.98</v>
      </c>
      <c r="I94" s="177">
        <f>Tabla10[[#This Row],[CANTIDAD
FISCAL]]*Tabla10[[#This Row],[Costo ]]</f>
        <v>0</v>
      </c>
      <c r="J94" s="175"/>
    </row>
    <row r="95" spans="1:10" x14ac:dyDescent="0.25">
      <c r="A95" s="175" t="s">
        <v>471</v>
      </c>
      <c r="B95" s="175"/>
      <c r="C95" s="175">
        <v>6017</v>
      </c>
      <c r="D95" s="175">
        <v>90</v>
      </c>
      <c r="E95" s="175" t="s">
        <v>380</v>
      </c>
      <c r="F95" s="196">
        <v>18900</v>
      </c>
      <c r="G95" s="196">
        <v>18900</v>
      </c>
      <c r="H95" s="175">
        <v>1.98</v>
      </c>
      <c r="I95" s="177">
        <f>Tabla10[[#This Row],[CANTIDAD]]*Tabla10[[#This Row],[Costo ]]</f>
        <v>37422</v>
      </c>
      <c r="J95" s="175"/>
    </row>
    <row r="96" spans="1:10" x14ac:dyDescent="0.25">
      <c r="A96" s="175" t="s">
        <v>471</v>
      </c>
      <c r="B96" s="175"/>
      <c r="C96" s="175">
        <v>6018</v>
      </c>
      <c r="D96" s="175">
        <v>100</v>
      </c>
      <c r="E96" s="175" t="s">
        <v>380</v>
      </c>
      <c r="F96" s="196">
        <v>0</v>
      </c>
      <c r="G96" s="196"/>
      <c r="H96" s="175">
        <v>1.98</v>
      </c>
      <c r="I96" s="177">
        <f>Tabla10[[#This Row],[CANTIDAD
FISCAL]]*Tabla10[[#This Row],[Costo ]]</f>
        <v>0</v>
      </c>
      <c r="J96" s="175"/>
    </row>
    <row r="97" spans="1:10" x14ac:dyDescent="0.25">
      <c r="A97" s="175" t="s">
        <v>471</v>
      </c>
      <c r="B97" s="175"/>
      <c r="C97" s="175">
        <v>6029</v>
      </c>
      <c r="D97" s="175">
        <v>110</v>
      </c>
      <c r="E97" s="175" t="s">
        <v>380</v>
      </c>
      <c r="F97" s="196">
        <v>4800</v>
      </c>
      <c r="G97" s="196">
        <v>4800</v>
      </c>
      <c r="H97" s="175">
        <v>1.98</v>
      </c>
      <c r="I97" s="177">
        <f>Tabla10[[#This Row],[CANTIDAD]]*Tabla10[[#This Row],[Costo ]]</f>
        <v>9504</v>
      </c>
      <c r="J97" s="175"/>
    </row>
    <row r="98" spans="1:10" x14ac:dyDescent="0.25">
      <c r="A98" s="175" t="s">
        <v>471</v>
      </c>
      <c r="B98" s="175"/>
      <c r="C98" s="175">
        <v>6050</v>
      </c>
      <c r="D98" s="175">
        <v>120</v>
      </c>
      <c r="E98" s="175" t="s">
        <v>380</v>
      </c>
      <c r="F98" s="175">
        <v>0</v>
      </c>
      <c r="G98" s="175"/>
      <c r="H98" s="175">
        <v>1.98</v>
      </c>
      <c r="I98" s="177">
        <f>Tabla10[[#This Row],[CANTIDAD
FISCAL]]*Tabla10[[#This Row],[Costo ]]</f>
        <v>0</v>
      </c>
      <c r="J98" s="175"/>
    </row>
    <row r="99" spans="1:10" x14ac:dyDescent="0.25">
      <c r="A99" s="175" t="s">
        <v>471</v>
      </c>
      <c r="B99" s="175"/>
      <c r="C99" s="175">
        <v>6050</v>
      </c>
      <c r="D99" s="175">
        <v>120</v>
      </c>
      <c r="E99" s="175" t="s">
        <v>380</v>
      </c>
      <c r="F99" s="175">
        <v>0</v>
      </c>
      <c r="G99" s="175"/>
      <c r="H99" s="175">
        <v>1.98</v>
      </c>
      <c r="I99" s="177">
        <f>Tabla10[[#This Row],[CANTIDAD
FISCAL]]*Tabla10[[#This Row],[Costo ]]</f>
        <v>0</v>
      </c>
      <c r="J99" s="175"/>
    </row>
    <row r="100" spans="1:10" x14ac:dyDescent="0.25">
      <c r="A100" s="175" t="s">
        <v>471</v>
      </c>
      <c r="B100" s="175"/>
      <c r="C100" s="175">
        <v>6051</v>
      </c>
      <c r="D100" s="175">
        <v>140</v>
      </c>
      <c r="E100" s="175" t="s">
        <v>380</v>
      </c>
      <c r="F100" s="196">
        <v>4744</v>
      </c>
      <c r="G100" s="196">
        <v>4744</v>
      </c>
      <c r="H100" s="175">
        <v>1.98</v>
      </c>
      <c r="I100" s="177">
        <f>Tabla10[[#This Row],[CANTIDAD]]*Tabla10[[#This Row],[Costo ]]</f>
        <v>9393.1200000000008</v>
      </c>
      <c r="J100" s="175"/>
    </row>
    <row r="101" spans="1:10" x14ac:dyDescent="0.25">
      <c r="A101" s="175" t="s">
        <v>471</v>
      </c>
      <c r="B101" s="175"/>
      <c r="C101" s="175">
        <v>6007</v>
      </c>
      <c r="D101" s="175">
        <v>150</v>
      </c>
      <c r="E101" s="175" t="s">
        <v>380</v>
      </c>
      <c r="F101" s="196">
        <v>6926</v>
      </c>
      <c r="G101" s="196">
        <v>6926</v>
      </c>
      <c r="H101" s="175">
        <v>1.98</v>
      </c>
      <c r="I101" s="177">
        <f>Tabla10[[#This Row],[CANTIDAD]]*Tabla10[[#This Row],[Costo ]]</f>
        <v>13713.48</v>
      </c>
      <c r="J101" s="175"/>
    </row>
    <row r="102" spans="1:10" x14ac:dyDescent="0.25">
      <c r="A102" s="175" t="s">
        <v>471</v>
      </c>
      <c r="B102" s="175"/>
      <c r="C102" s="175">
        <v>6143</v>
      </c>
      <c r="D102" s="175">
        <v>70</v>
      </c>
      <c r="E102" s="175" t="s">
        <v>472</v>
      </c>
      <c r="F102" s="175">
        <v>504</v>
      </c>
      <c r="G102" s="175">
        <v>504</v>
      </c>
      <c r="H102" s="175">
        <v>1.98</v>
      </c>
      <c r="I102" s="177">
        <f>Tabla10[[#This Row],[CANTIDAD]]*Tabla10[[#This Row],[Costo ]]</f>
        <v>997.92</v>
      </c>
      <c r="J102" s="175"/>
    </row>
    <row r="103" spans="1:10" x14ac:dyDescent="0.25">
      <c r="A103" s="175" t="s">
        <v>471</v>
      </c>
      <c r="B103" s="175"/>
      <c r="C103" s="175">
        <v>6668</v>
      </c>
      <c r="D103" s="175">
        <v>80</v>
      </c>
      <c r="E103" s="175" t="s">
        <v>472</v>
      </c>
      <c r="F103" s="175">
        <v>574</v>
      </c>
      <c r="G103" s="175">
        <v>574</v>
      </c>
      <c r="H103" s="175">
        <v>1.98</v>
      </c>
      <c r="I103" s="177">
        <f>Tabla10[[#This Row],[CANTIDAD]]*Tabla10[[#This Row],[Costo ]]</f>
        <v>1136.52</v>
      </c>
      <c r="J103" s="175"/>
    </row>
    <row r="104" spans="1:10" x14ac:dyDescent="0.25">
      <c r="A104" s="175" t="s">
        <v>471</v>
      </c>
      <c r="B104" s="175"/>
      <c r="C104" s="175">
        <v>6663</v>
      </c>
      <c r="D104" s="175">
        <v>90</v>
      </c>
      <c r="E104" s="175" t="s">
        <v>472</v>
      </c>
      <c r="F104" s="196">
        <v>3096</v>
      </c>
      <c r="G104" s="196">
        <v>3096</v>
      </c>
      <c r="H104" s="175">
        <v>1.98</v>
      </c>
      <c r="I104" s="177">
        <f>Tabla10[[#This Row],[CANTIDAD]]*Tabla10[[#This Row],[Costo ]]</f>
        <v>6130.08</v>
      </c>
      <c r="J104" s="175"/>
    </row>
    <row r="105" spans="1:10" x14ac:dyDescent="0.25">
      <c r="A105" s="175" t="s">
        <v>471</v>
      </c>
      <c r="B105" s="175"/>
      <c r="C105" s="175">
        <v>6691</v>
      </c>
      <c r="D105" s="175">
        <v>110</v>
      </c>
      <c r="E105" s="175" t="s">
        <v>472</v>
      </c>
      <c r="F105" s="196">
        <v>2605</v>
      </c>
      <c r="G105" s="196">
        <v>2605</v>
      </c>
      <c r="H105" s="175">
        <v>1.98</v>
      </c>
      <c r="I105" s="177">
        <f>Tabla10[[#This Row],[CANTIDAD]]*Tabla10[[#This Row],[Costo ]]</f>
        <v>5157.8999999999996</v>
      </c>
      <c r="J105" s="175"/>
    </row>
    <row r="106" spans="1:10" x14ac:dyDescent="0.25">
      <c r="A106" s="175" t="s">
        <v>471</v>
      </c>
      <c r="B106" s="175"/>
      <c r="C106" s="175">
        <v>6685</v>
      </c>
      <c r="D106" s="175">
        <v>140</v>
      </c>
      <c r="E106" s="175" t="s">
        <v>472</v>
      </c>
      <c r="F106" s="196">
        <v>1800</v>
      </c>
      <c r="G106" s="196">
        <v>1800</v>
      </c>
      <c r="H106" s="175">
        <v>1.98</v>
      </c>
      <c r="I106" s="177">
        <f>Tabla10[[#This Row],[CANTIDAD]]*Tabla10[[#This Row],[Costo ]]</f>
        <v>3564</v>
      </c>
      <c r="J106" s="175"/>
    </row>
    <row r="107" spans="1:10" x14ac:dyDescent="0.25">
      <c r="A107" s="175" t="s">
        <v>471</v>
      </c>
      <c r="B107" s="175"/>
      <c r="C107" s="175">
        <v>6686</v>
      </c>
      <c r="D107" s="175">
        <v>150</v>
      </c>
      <c r="E107" s="175" t="s">
        <v>472</v>
      </c>
      <c r="F107" s="175">
        <v>720</v>
      </c>
      <c r="G107" s="175">
        <v>720</v>
      </c>
      <c r="H107" s="175">
        <v>1.98</v>
      </c>
      <c r="I107" s="177">
        <f>Tabla10[[#This Row],[CANTIDAD]]*Tabla10[[#This Row],[Costo ]]</f>
        <v>1425.6</v>
      </c>
      <c r="J107" s="175"/>
    </row>
    <row r="108" spans="1:10" x14ac:dyDescent="0.25">
      <c r="A108" s="175" t="s">
        <v>471</v>
      </c>
      <c r="B108" s="175"/>
      <c r="C108" s="175">
        <v>6664</v>
      </c>
      <c r="D108" s="175">
        <v>90</v>
      </c>
      <c r="E108" s="175" t="s">
        <v>682</v>
      </c>
      <c r="F108" s="196">
        <v>2698</v>
      </c>
      <c r="G108" s="196">
        <v>2698</v>
      </c>
      <c r="H108" s="175">
        <v>1.98</v>
      </c>
      <c r="I108" s="177">
        <f>Tabla10[[#This Row],[CANTIDAD]]*Tabla10[[#This Row],[Costo ]]</f>
        <v>5342.04</v>
      </c>
      <c r="J108" s="175"/>
    </row>
    <row r="109" spans="1:10" x14ac:dyDescent="0.25">
      <c r="A109" s="175" t="s">
        <v>471</v>
      </c>
      <c r="B109" s="175"/>
      <c r="C109" s="175">
        <v>6116</v>
      </c>
      <c r="D109" s="175">
        <v>120</v>
      </c>
      <c r="E109" s="175" t="s">
        <v>682</v>
      </c>
      <c r="F109" s="196">
        <v>1029</v>
      </c>
      <c r="G109" s="196">
        <v>10293</v>
      </c>
      <c r="H109" s="175">
        <v>1.98</v>
      </c>
      <c r="I109" s="177">
        <f>Tabla10[[#This Row],[CANTIDAD]]*Tabla10[[#This Row],[Costo ]]</f>
        <v>20380.14</v>
      </c>
      <c r="J109" s="175"/>
    </row>
    <row r="110" spans="1:10" x14ac:dyDescent="0.25">
      <c r="A110" s="175" t="s">
        <v>471</v>
      </c>
      <c r="B110" s="175"/>
      <c r="C110" s="175"/>
      <c r="D110" s="175">
        <v>90</v>
      </c>
      <c r="E110" s="175" t="s">
        <v>458</v>
      </c>
      <c r="F110" s="196">
        <v>2684</v>
      </c>
      <c r="G110" s="196">
        <v>2684</v>
      </c>
      <c r="H110" s="175">
        <v>1.98</v>
      </c>
      <c r="I110" s="177">
        <f>Tabla10[[#This Row],[CANTIDAD]]*Tabla10[[#This Row],[Costo ]]</f>
        <v>5314.32</v>
      </c>
      <c r="J110" s="175"/>
    </row>
    <row r="111" spans="1:10" x14ac:dyDescent="0.25">
      <c r="A111" s="175" t="s">
        <v>471</v>
      </c>
      <c r="B111" s="175"/>
      <c r="C111" s="175">
        <v>6689</v>
      </c>
      <c r="D111" s="175">
        <v>110</v>
      </c>
      <c r="E111" s="175" t="s">
        <v>458</v>
      </c>
      <c r="F111" s="196">
        <v>6048</v>
      </c>
      <c r="G111" s="196">
        <v>6048</v>
      </c>
      <c r="H111" s="175">
        <v>1.98</v>
      </c>
      <c r="I111" s="177">
        <f>Tabla10[[#This Row],[CANTIDAD]]*Tabla10[[#This Row],[Costo ]]</f>
        <v>11975.039999999999</v>
      </c>
      <c r="J111" s="175"/>
    </row>
    <row r="112" spans="1:10" x14ac:dyDescent="0.25">
      <c r="A112" s="175" t="s">
        <v>471</v>
      </c>
      <c r="B112" s="175"/>
      <c r="C112" s="175"/>
      <c r="D112" s="175">
        <v>120</v>
      </c>
      <c r="E112" s="175" t="s">
        <v>458</v>
      </c>
      <c r="F112" s="196">
        <v>1029</v>
      </c>
      <c r="G112" s="196">
        <v>1029</v>
      </c>
      <c r="H112" s="175">
        <v>1.98</v>
      </c>
      <c r="I112" s="177">
        <f>Tabla10[[#This Row],[CANTIDAD]]*Tabla10[[#This Row],[Costo ]]</f>
        <v>2037.42</v>
      </c>
      <c r="J112" s="175"/>
    </row>
    <row r="113" spans="1:10" x14ac:dyDescent="0.25">
      <c r="A113" s="175" t="s">
        <v>471</v>
      </c>
      <c r="B113" s="175"/>
      <c r="C113" s="175">
        <v>6687</v>
      </c>
      <c r="D113" s="175">
        <v>140</v>
      </c>
      <c r="E113" s="175" t="s">
        <v>458</v>
      </c>
      <c r="F113" s="196">
        <v>1005</v>
      </c>
      <c r="G113" s="196">
        <v>1005</v>
      </c>
      <c r="H113" s="175">
        <v>1.98</v>
      </c>
      <c r="I113" s="177">
        <f>Tabla10[[#This Row],[CANTIDAD]]*Tabla10[[#This Row],[Costo ]]</f>
        <v>1989.9</v>
      </c>
      <c r="J113" s="175"/>
    </row>
    <row r="114" spans="1:10" x14ac:dyDescent="0.25">
      <c r="A114" s="175" t="s">
        <v>471</v>
      </c>
      <c r="B114" s="175"/>
      <c r="C114" s="175">
        <v>6688</v>
      </c>
      <c r="D114" s="175">
        <v>150</v>
      </c>
      <c r="E114" s="175" t="s">
        <v>458</v>
      </c>
      <c r="F114" s="175">
        <v>483</v>
      </c>
      <c r="G114" s="175">
        <v>483</v>
      </c>
      <c r="H114" s="175">
        <v>1.98</v>
      </c>
      <c r="I114" s="177">
        <f>Tabla10[[#This Row],[CANTIDAD]]*Tabla10[[#This Row],[Costo ]]</f>
        <v>956.34</v>
      </c>
      <c r="J114" s="175"/>
    </row>
    <row r="115" spans="1:10" x14ac:dyDescent="0.25">
      <c r="A115" s="175" t="s">
        <v>471</v>
      </c>
      <c r="B115" s="175"/>
      <c r="C115" s="176">
        <v>6014</v>
      </c>
      <c r="D115" s="175">
        <v>70</v>
      </c>
      <c r="E115" s="175" t="s">
        <v>434</v>
      </c>
      <c r="F115" s="196">
        <v>3000</v>
      </c>
      <c r="G115" s="196">
        <v>3000</v>
      </c>
      <c r="H115" s="175">
        <v>1.98</v>
      </c>
      <c r="I115" s="177">
        <f>Tabla10[[#This Row],[CANTIDAD]]*Tabla10[[#This Row],[Costo ]]</f>
        <v>5940</v>
      </c>
      <c r="J115" s="175"/>
    </row>
    <row r="116" spans="1:10" x14ac:dyDescent="0.25">
      <c r="A116" s="175" t="s">
        <v>471</v>
      </c>
      <c r="B116" s="175"/>
      <c r="C116" s="175">
        <v>6016</v>
      </c>
      <c r="D116" s="175">
        <v>80</v>
      </c>
      <c r="E116" s="175" t="s">
        <v>434</v>
      </c>
      <c r="F116" s="196">
        <v>600</v>
      </c>
      <c r="G116" s="196">
        <v>600</v>
      </c>
      <c r="H116" s="175">
        <v>1.98</v>
      </c>
      <c r="I116" s="177">
        <f>Tabla10[[#This Row],[CANTIDAD]]*Tabla10[[#This Row],[Costo ]]</f>
        <v>1188</v>
      </c>
      <c r="J116" s="175"/>
    </row>
    <row r="117" spans="1:10" x14ac:dyDescent="0.25">
      <c r="A117" s="175" t="s">
        <v>471</v>
      </c>
      <c r="B117" s="175"/>
      <c r="C117" s="175">
        <v>6046</v>
      </c>
      <c r="D117" s="175">
        <v>90</v>
      </c>
      <c r="E117" s="175" t="s">
        <v>434</v>
      </c>
      <c r="F117" s="196">
        <v>14600</v>
      </c>
      <c r="G117" s="196">
        <v>14600</v>
      </c>
      <c r="H117" s="175">
        <v>1.98</v>
      </c>
      <c r="I117" s="177">
        <f>Tabla10[[#This Row],[CANTIDAD]]*Tabla10[[#This Row],[Costo ]]</f>
        <v>28908</v>
      </c>
      <c r="J117" s="175"/>
    </row>
    <row r="118" spans="1:10" x14ac:dyDescent="0.25">
      <c r="A118" s="175" t="s">
        <v>471</v>
      </c>
      <c r="B118" s="175"/>
      <c r="C118" s="175">
        <v>6010</v>
      </c>
      <c r="D118" s="175">
        <v>100</v>
      </c>
      <c r="E118" s="175" t="s">
        <v>434</v>
      </c>
      <c r="F118" s="196">
        <v>15700</v>
      </c>
      <c r="G118" s="196">
        <v>15700</v>
      </c>
      <c r="H118" s="175">
        <v>1.98</v>
      </c>
      <c r="I118" s="177">
        <f>Tabla10[[#This Row],[CANTIDAD]]*Tabla10[[#This Row],[Costo ]]</f>
        <v>31086</v>
      </c>
      <c r="J118" s="175"/>
    </row>
    <row r="119" spans="1:10" x14ac:dyDescent="0.25">
      <c r="A119" s="175" t="s">
        <v>471</v>
      </c>
      <c r="B119" s="175"/>
      <c r="C119" s="175">
        <v>6041</v>
      </c>
      <c r="D119" s="175">
        <v>110</v>
      </c>
      <c r="E119" s="175" t="s">
        <v>434</v>
      </c>
      <c r="F119" s="196">
        <v>13513</v>
      </c>
      <c r="G119" s="196">
        <v>13513</v>
      </c>
      <c r="H119" s="175">
        <v>1.98</v>
      </c>
      <c r="I119" s="177">
        <f>Tabla10[[#This Row],[CANTIDAD]]*Tabla10[[#This Row],[Costo ]]</f>
        <v>26755.739999999998</v>
      </c>
      <c r="J119" s="175"/>
    </row>
    <row r="120" spans="1:10" x14ac:dyDescent="0.25">
      <c r="A120" s="175" t="s">
        <v>471</v>
      </c>
      <c r="B120" s="175"/>
      <c r="C120" s="175">
        <v>6008</v>
      </c>
      <c r="D120" s="175">
        <v>120</v>
      </c>
      <c r="E120" s="175" t="s">
        <v>434</v>
      </c>
      <c r="F120" s="196">
        <v>2000</v>
      </c>
      <c r="G120" s="196">
        <v>2000</v>
      </c>
      <c r="H120" s="175">
        <v>1.98</v>
      </c>
      <c r="I120" s="177">
        <f>Tabla10[[#This Row],[CANTIDAD]]*Tabla10[[#This Row],[Costo ]]</f>
        <v>3960</v>
      </c>
      <c r="J120" s="175"/>
    </row>
    <row r="121" spans="1:10" x14ac:dyDescent="0.25">
      <c r="A121" s="175" t="s">
        <v>471</v>
      </c>
      <c r="B121" s="175"/>
      <c r="C121" s="175">
        <v>6009</v>
      </c>
      <c r="D121" s="175">
        <v>140</v>
      </c>
      <c r="E121" s="175" t="s">
        <v>434</v>
      </c>
      <c r="F121" s="196">
        <v>1082</v>
      </c>
      <c r="G121" s="196">
        <v>1082</v>
      </c>
      <c r="H121" s="175">
        <v>1.98</v>
      </c>
      <c r="I121" s="177">
        <f>Tabla10[[#This Row],[CANTIDAD]]*Tabla10[[#This Row],[Costo ]]</f>
        <v>2142.36</v>
      </c>
      <c r="J121" s="175"/>
    </row>
    <row r="122" spans="1:10" x14ac:dyDescent="0.25">
      <c r="A122" s="175" t="s">
        <v>471</v>
      </c>
      <c r="B122" s="175"/>
      <c r="C122" s="175">
        <v>6043</v>
      </c>
      <c r="D122" s="175">
        <v>150</v>
      </c>
      <c r="E122" s="175" t="s">
        <v>434</v>
      </c>
      <c r="F122" s="196">
        <v>5544</v>
      </c>
      <c r="G122" s="196">
        <v>5544</v>
      </c>
      <c r="H122" s="175">
        <v>1.98</v>
      </c>
      <c r="I122" s="177">
        <f>Tabla10[[#This Row],[CANTIDAD]]*Tabla10[[#This Row],[Costo ]]</f>
        <v>10977.12</v>
      </c>
      <c r="J122" s="175"/>
    </row>
    <row r="123" spans="1:10" x14ac:dyDescent="0.25">
      <c r="A123" s="175" t="s">
        <v>471</v>
      </c>
      <c r="B123" s="175"/>
      <c r="C123" s="175">
        <v>6108</v>
      </c>
      <c r="D123" s="175">
        <v>120</v>
      </c>
      <c r="E123" s="175" t="s">
        <v>477</v>
      </c>
      <c r="F123" s="175">
        <v>763</v>
      </c>
      <c r="G123" s="175">
        <v>763</v>
      </c>
      <c r="H123" s="175">
        <v>1.98</v>
      </c>
      <c r="I123" s="177">
        <f>Tabla10[[#This Row],[CANTIDAD]]*Tabla10[[#This Row],[Costo ]]</f>
        <v>1510.74</v>
      </c>
      <c r="J123" s="175"/>
    </row>
    <row r="124" spans="1:10" x14ac:dyDescent="0.25">
      <c r="A124" s="175" t="s">
        <v>471</v>
      </c>
      <c r="B124" s="175"/>
      <c r="C124" s="175">
        <v>6331</v>
      </c>
      <c r="D124" s="175">
        <v>70</v>
      </c>
      <c r="E124" s="175" t="s">
        <v>436</v>
      </c>
      <c r="F124" s="196">
        <v>1584</v>
      </c>
      <c r="G124" s="196">
        <v>1584</v>
      </c>
      <c r="H124" s="175">
        <v>1.98</v>
      </c>
      <c r="I124" s="177">
        <f>Tabla10[[#This Row],[CANTIDAD]]*Tabla10[[#This Row],[Costo ]]</f>
        <v>3136.32</v>
      </c>
      <c r="J124" s="175"/>
    </row>
    <row r="125" spans="1:10" x14ac:dyDescent="0.25">
      <c r="A125" s="175" t="s">
        <v>471</v>
      </c>
      <c r="B125" s="175"/>
      <c r="C125" s="175">
        <v>6053</v>
      </c>
      <c r="D125" s="175">
        <v>80</v>
      </c>
      <c r="E125" s="175" t="s">
        <v>436</v>
      </c>
      <c r="F125" s="175">
        <v>10</v>
      </c>
      <c r="G125" s="175">
        <v>10</v>
      </c>
      <c r="H125" s="175">
        <v>1.98</v>
      </c>
      <c r="I125" s="177">
        <f>Tabla10[[#This Row],[CANTIDAD]]*Tabla10[[#This Row],[Costo ]]</f>
        <v>19.8</v>
      </c>
      <c r="J125" s="175"/>
    </row>
    <row r="126" spans="1:10" x14ac:dyDescent="0.25">
      <c r="A126" s="175" t="s">
        <v>471</v>
      </c>
      <c r="B126" s="175"/>
      <c r="C126" s="175">
        <v>6109</v>
      </c>
      <c r="D126" s="175">
        <v>90</v>
      </c>
      <c r="E126" s="175" t="s">
        <v>436</v>
      </c>
      <c r="F126" s="175">
        <v>754</v>
      </c>
      <c r="G126" s="175">
        <v>754</v>
      </c>
      <c r="H126" s="175">
        <v>1.98</v>
      </c>
      <c r="I126" s="177">
        <f>Tabla10[[#This Row],[CANTIDAD]]*Tabla10[[#This Row],[Costo ]]</f>
        <v>1492.92</v>
      </c>
      <c r="J126" s="175"/>
    </row>
    <row r="127" spans="1:10" x14ac:dyDescent="0.25">
      <c r="A127" s="175" t="s">
        <v>471</v>
      </c>
      <c r="B127" s="175"/>
      <c r="C127" s="175">
        <v>6335</v>
      </c>
      <c r="D127" s="175">
        <v>100</v>
      </c>
      <c r="E127" s="175" t="s">
        <v>436</v>
      </c>
      <c r="F127" s="175">
        <v>0</v>
      </c>
      <c r="G127" s="175"/>
      <c r="H127" s="175">
        <v>1.98</v>
      </c>
      <c r="I127" s="177">
        <f>Tabla10[[#This Row],[CANTIDAD
FISCAL]]*Tabla10[[#This Row],[Costo ]]</f>
        <v>0</v>
      </c>
      <c r="J127" s="175"/>
    </row>
    <row r="128" spans="1:10" x14ac:dyDescent="0.25">
      <c r="A128" s="175" t="s">
        <v>471</v>
      </c>
      <c r="B128" s="175"/>
      <c r="C128" s="175">
        <v>6023</v>
      </c>
      <c r="D128" s="175">
        <v>120</v>
      </c>
      <c r="E128" s="175" t="s">
        <v>436</v>
      </c>
      <c r="F128" s="175">
        <v>648</v>
      </c>
      <c r="G128" s="175">
        <v>648</v>
      </c>
      <c r="H128" s="175">
        <v>1.98</v>
      </c>
      <c r="I128" s="177">
        <f>Tabla10[[#This Row],[CANTIDAD]]*Tabla10[[#This Row],[Costo ]]</f>
        <v>1283.04</v>
      </c>
      <c r="J128" s="175"/>
    </row>
    <row r="129" spans="1:10" x14ac:dyDescent="0.25">
      <c r="A129" s="175" t="s">
        <v>471</v>
      </c>
      <c r="B129" s="175"/>
      <c r="C129" s="175">
        <v>6196</v>
      </c>
      <c r="D129" s="175">
        <v>70</v>
      </c>
      <c r="E129" s="175" t="s">
        <v>483</v>
      </c>
      <c r="F129" s="175">
        <v>119</v>
      </c>
      <c r="G129" s="175">
        <v>119</v>
      </c>
      <c r="H129" s="175">
        <v>1.98</v>
      </c>
      <c r="I129" s="177">
        <f>Tabla10[[#This Row],[CANTIDAD]]*Tabla10[[#This Row],[Costo ]]</f>
        <v>235.62</v>
      </c>
      <c r="J129" s="175"/>
    </row>
    <row r="130" spans="1:10" x14ac:dyDescent="0.25">
      <c r="A130" s="175" t="s">
        <v>471</v>
      </c>
      <c r="B130" s="175"/>
      <c r="C130" s="175">
        <v>6188</v>
      </c>
      <c r="D130" s="175">
        <v>90</v>
      </c>
      <c r="E130" s="175" t="s">
        <v>483</v>
      </c>
      <c r="F130" s="175">
        <v>89</v>
      </c>
      <c r="G130" s="175">
        <v>89</v>
      </c>
      <c r="H130" s="175">
        <v>1.98</v>
      </c>
      <c r="I130" s="177">
        <f>Tabla10[[#This Row],[CANTIDAD]]*Tabla10[[#This Row],[Costo ]]</f>
        <v>176.22</v>
      </c>
      <c r="J130" s="175"/>
    </row>
    <row r="131" spans="1:10" x14ac:dyDescent="0.25">
      <c r="A131" s="175" t="s">
        <v>471</v>
      </c>
      <c r="B131" s="175"/>
      <c r="C131" s="175">
        <v>6189</v>
      </c>
      <c r="D131" s="175">
        <v>100</v>
      </c>
      <c r="E131" s="175" t="s">
        <v>483</v>
      </c>
      <c r="F131" s="175">
        <v>216</v>
      </c>
      <c r="G131" s="175">
        <v>216</v>
      </c>
      <c r="H131" s="175">
        <v>1.98</v>
      </c>
      <c r="I131" s="177">
        <f>Tabla10[[#This Row],[CANTIDAD]]*Tabla10[[#This Row],[Costo ]]</f>
        <v>427.68</v>
      </c>
      <c r="J131" s="175"/>
    </row>
    <row r="132" spans="1:10" x14ac:dyDescent="0.25">
      <c r="A132" s="175" t="s">
        <v>471</v>
      </c>
      <c r="B132" s="175"/>
      <c r="C132" s="175">
        <v>6136</v>
      </c>
      <c r="D132" s="175">
        <v>120</v>
      </c>
      <c r="E132" s="175" t="s">
        <v>483</v>
      </c>
      <c r="F132" s="175">
        <v>360</v>
      </c>
      <c r="G132" s="175">
        <v>360</v>
      </c>
      <c r="H132" s="175">
        <v>1.98</v>
      </c>
      <c r="I132" s="177">
        <f>Tabla10[[#This Row],[CANTIDAD]]*Tabla10[[#This Row],[Costo ]]</f>
        <v>712.8</v>
      </c>
      <c r="J132" s="175"/>
    </row>
    <row r="133" spans="1:10" x14ac:dyDescent="0.25">
      <c r="A133" s="175" t="s">
        <v>471</v>
      </c>
      <c r="B133" s="175"/>
      <c r="C133" s="175">
        <v>6132</v>
      </c>
      <c r="D133" s="175">
        <v>70</v>
      </c>
      <c r="E133" s="175" t="s">
        <v>474</v>
      </c>
      <c r="F133" s="196">
        <v>1296</v>
      </c>
      <c r="G133" s="196">
        <v>1296</v>
      </c>
      <c r="H133" s="175">
        <v>1.98</v>
      </c>
      <c r="I133" s="177">
        <f>Tabla10[[#This Row],[CANTIDAD]]*Tabla10[[#This Row],[Costo ]]</f>
        <v>2566.08</v>
      </c>
      <c r="J133" s="175"/>
    </row>
    <row r="134" spans="1:10" x14ac:dyDescent="0.25">
      <c r="A134" s="175" t="s">
        <v>471</v>
      </c>
      <c r="B134" s="175"/>
      <c r="C134" s="175">
        <v>6133</v>
      </c>
      <c r="D134" s="175">
        <v>80</v>
      </c>
      <c r="E134" s="175" t="s">
        <v>474</v>
      </c>
      <c r="F134" s="196">
        <v>2650</v>
      </c>
      <c r="G134" s="196">
        <v>2650</v>
      </c>
      <c r="H134" s="175">
        <v>1.98</v>
      </c>
      <c r="I134" s="177">
        <f>Tabla10[[#This Row],[CANTIDAD]]*Tabla10[[#This Row],[Costo ]]</f>
        <v>5247</v>
      </c>
      <c r="J134" s="175"/>
    </row>
    <row r="135" spans="1:10" x14ac:dyDescent="0.25">
      <c r="A135" s="175" t="s">
        <v>471</v>
      </c>
      <c r="B135" s="175"/>
      <c r="C135" s="175">
        <v>6134</v>
      </c>
      <c r="D135" s="175">
        <v>90</v>
      </c>
      <c r="E135" s="175" t="s">
        <v>474</v>
      </c>
      <c r="F135" s="196">
        <v>1395</v>
      </c>
      <c r="G135" s="196">
        <v>1395</v>
      </c>
      <c r="H135" s="175">
        <v>1.98</v>
      </c>
      <c r="I135" s="177">
        <f>Tabla10[[#This Row],[CANTIDAD]]*Tabla10[[#This Row],[Costo ]]</f>
        <v>2762.1</v>
      </c>
      <c r="J135" s="175"/>
    </row>
    <row r="136" spans="1:10" x14ac:dyDescent="0.25">
      <c r="A136" s="175" t="s">
        <v>471</v>
      </c>
      <c r="B136" s="175"/>
      <c r="C136" s="175">
        <v>6351</v>
      </c>
      <c r="D136" s="175">
        <v>70</v>
      </c>
      <c r="E136" s="175" t="s">
        <v>473</v>
      </c>
      <c r="F136" s="196">
        <v>1203</v>
      </c>
      <c r="G136" s="196">
        <v>1203</v>
      </c>
      <c r="H136" s="175">
        <v>1.98</v>
      </c>
      <c r="I136" s="177">
        <f>Tabla10[[#This Row],[CANTIDAD]]*Tabla10[[#This Row],[Costo ]]</f>
        <v>2381.94</v>
      </c>
      <c r="J136" s="175"/>
    </row>
    <row r="137" spans="1:10" x14ac:dyDescent="0.25">
      <c r="A137" s="175" t="s">
        <v>471</v>
      </c>
      <c r="B137" s="175"/>
      <c r="C137" s="175">
        <v>6054</v>
      </c>
      <c r="D137" s="175">
        <v>80</v>
      </c>
      <c r="E137" s="175" t="s">
        <v>473</v>
      </c>
      <c r="F137" s="175">
        <v>60</v>
      </c>
      <c r="G137" s="175">
        <v>60</v>
      </c>
      <c r="H137" s="175">
        <v>1.98</v>
      </c>
      <c r="I137" s="177">
        <f>Tabla10[[#This Row],[CANTIDAD]]*Tabla10[[#This Row],[Costo ]]</f>
        <v>118.8</v>
      </c>
      <c r="J137" s="175"/>
    </row>
    <row r="138" spans="1:10" x14ac:dyDescent="0.25">
      <c r="A138" s="175" t="s">
        <v>471</v>
      </c>
      <c r="B138" s="175"/>
      <c r="C138" s="175">
        <v>6058</v>
      </c>
      <c r="D138" s="175">
        <v>90</v>
      </c>
      <c r="E138" s="175" t="s">
        <v>473</v>
      </c>
      <c r="F138" s="175">
        <v>813</v>
      </c>
      <c r="G138" s="175">
        <v>813</v>
      </c>
      <c r="H138" s="175">
        <v>1.98</v>
      </c>
      <c r="I138" s="177">
        <f>Tabla10[[#This Row],[CANTIDAD]]*Tabla10[[#This Row],[Costo ]]</f>
        <v>1609.74</v>
      </c>
      <c r="J138" s="175"/>
    </row>
    <row r="139" spans="1:10" x14ac:dyDescent="0.25">
      <c r="A139" s="175" t="s">
        <v>471</v>
      </c>
      <c r="B139" s="175"/>
      <c r="C139" s="175">
        <v>6192</v>
      </c>
      <c r="D139" s="175">
        <v>100</v>
      </c>
      <c r="E139" s="175" t="s">
        <v>490</v>
      </c>
      <c r="F139" s="175">
        <v>279</v>
      </c>
      <c r="G139" s="175">
        <v>279</v>
      </c>
      <c r="H139" s="175">
        <v>1.98</v>
      </c>
      <c r="I139" s="177">
        <f>Tabla10[[#This Row],[CANTIDAD]]*Tabla10[[#This Row],[Costo ]]</f>
        <v>552.41999999999996</v>
      </c>
      <c r="J139" s="175"/>
    </row>
    <row r="140" spans="1:10" x14ac:dyDescent="0.25">
      <c r="A140" s="175" t="s">
        <v>471</v>
      </c>
      <c r="B140" s="175"/>
      <c r="C140" s="175">
        <v>6190</v>
      </c>
      <c r="D140" s="175">
        <v>120</v>
      </c>
      <c r="E140" s="175" t="s">
        <v>490</v>
      </c>
      <c r="F140" s="175">
        <v>428</v>
      </c>
      <c r="G140" s="175">
        <v>428</v>
      </c>
      <c r="H140" s="175">
        <v>1.98</v>
      </c>
      <c r="I140" s="177">
        <f>Tabla10[[#This Row],[CANTIDAD]]*Tabla10[[#This Row],[Costo ]]</f>
        <v>847.43999999999994</v>
      </c>
      <c r="J140" s="175"/>
    </row>
    <row r="141" spans="1:10" x14ac:dyDescent="0.25">
      <c r="A141" s="175" t="s">
        <v>471</v>
      </c>
      <c r="B141" s="175"/>
      <c r="C141" s="175">
        <v>6191</v>
      </c>
      <c r="D141" s="175">
        <v>140</v>
      </c>
      <c r="E141" s="175" t="s">
        <v>490</v>
      </c>
      <c r="F141" s="175">
        <v>430</v>
      </c>
      <c r="G141" s="175">
        <v>430</v>
      </c>
      <c r="H141" s="175">
        <v>1.98</v>
      </c>
      <c r="I141" s="177">
        <f>Tabla10[[#This Row],[CANTIDAD]]*Tabla10[[#This Row],[Costo ]]</f>
        <v>851.4</v>
      </c>
      <c r="J141" s="175"/>
    </row>
    <row r="142" spans="1:10" x14ac:dyDescent="0.25">
      <c r="A142" s="175" t="s">
        <v>471</v>
      </c>
      <c r="B142" s="175"/>
      <c r="C142" s="175">
        <v>6197</v>
      </c>
      <c r="D142" s="175">
        <v>150</v>
      </c>
      <c r="E142" s="175" t="s">
        <v>490</v>
      </c>
      <c r="F142" s="175">
        <v>42</v>
      </c>
      <c r="G142" s="175">
        <v>42</v>
      </c>
      <c r="H142" s="175">
        <v>1.98</v>
      </c>
      <c r="I142" s="177">
        <f>Tabla10[[#This Row],[CANTIDAD]]*Tabla10[[#This Row],[Costo ]]</f>
        <v>83.16</v>
      </c>
      <c r="J142" s="175"/>
    </row>
    <row r="143" spans="1:10" x14ac:dyDescent="0.25">
      <c r="A143" s="175" t="s">
        <v>478</v>
      </c>
      <c r="B143" s="175"/>
      <c r="C143" s="175"/>
      <c r="D143" s="175">
        <v>120</v>
      </c>
      <c r="E143" s="175" t="s">
        <v>475</v>
      </c>
      <c r="F143" s="196">
        <v>1400</v>
      </c>
      <c r="G143" s="196">
        <v>1400</v>
      </c>
      <c r="H143" s="175">
        <v>2.62</v>
      </c>
      <c r="I143" s="177">
        <f>Tabla10[[#This Row],[CANTIDAD]]*Tabla10[[#This Row],[Costo ]]</f>
        <v>3668</v>
      </c>
      <c r="J143" s="175"/>
    </row>
    <row r="144" spans="1:10" x14ac:dyDescent="0.25">
      <c r="A144" s="175" t="s">
        <v>478</v>
      </c>
      <c r="B144" s="175"/>
      <c r="C144" s="175">
        <v>6028</v>
      </c>
      <c r="D144" s="175">
        <v>80</v>
      </c>
      <c r="E144" s="175" t="s">
        <v>380</v>
      </c>
      <c r="F144" s="196">
        <v>1630</v>
      </c>
      <c r="G144" s="196">
        <v>1630</v>
      </c>
      <c r="H144" s="175">
        <v>2.62</v>
      </c>
      <c r="I144" s="177">
        <f>Tabla10[[#This Row],[CANTIDAD]]*Tabla10[[#This Row],[Costo ]]</f>
        <v>4270.6000000000004</v>
      </c>
      <c r="J144" s="175"/>
    </row>
    <row r="145" spans="1:10" x14ac:dyDescent="0.25">
      <c r="A145" s="175" t="s">
        <v>478</v>
      </c>
      <c r="B145" s="175"/>
      <c r="C145" s="175">
        <v>6112</v>
      </c>
      <c r="D145" s="175">
        <v>90</v>
      </c>
      <c r="E145" s="175" t="s">
        <v>380</v>
      </c>
      <c r="F145" s="196">
        <v>4340</v>
      </c>
      <c r="G145" s="196">
        <v>4340</v>
      </c>
      <c r="H145" s="175">
        <v>2.62</v>
      </c>
      <c r="I145" s="177">
        <f>Tabla10[[#This Row],[CANTIDAD]]*Tabla10[[#This Row],[Costo ]]</f>
        <v>11370.800000000001</v>
      </c>
      <c r="J145" s="175"/>
    </row>
    <row r="146" spans="1:10" x14ac:dyDescent="0.25">
      <c r="A146" s="175" t="s">
        <v>478</v>
      </c>
      <c r="B146" s="175"/>
      <c r="C146" s="175">
        <v>6044</v>
      </c>
      <c r="D146" s="175">
        <v>90</v>
      </c>
      <c r="E146" s="175" t="s">
        <v>440</v>
      </c>
      <c r="F146" s="196">
        <v>1890</v>
      </c>
      <c r="G146" s="196">
        <v>1890</v>
      </c>
      <c r="H146" s="175">
        <v>2.62</v>
      </c>
      <c r="I146" s="177">
        <f>Tabla10[[#This Row],[CANTIDAD]]*Tabla10[[#This Row],[Costo ]]</f>
        <v>4951.8</v>
      </c>
      <c r="J146" s="175"/>
    </row>
    <row r="147" spans="1:10" x14ac:dyDescent="0.25">
      <c r="A147" s="175" t="s">
        <v>478</v>
      </c>
      <c r="B147" s="175"/>
      <c r="C147" s="175">
        <v>6027</v>
      </c>
      <c r="D147" s="175">
        <v>80</v>
      </c>
      <c r="E147" s="175" t="s">
        <v>434</v>
      </c>
      <c r="F147" s="196">
        <v>4980</v>
      </c>
      <c r="G147" s="196">
        <v>4980</v>
      </c>
      <c r="H147" s="175">
        <v>2.62</v>
      </c>
      <c r="I147" s="177">
        <f>Tabla10[[#This Row],[CANTIDAD]]*Tabla10[[#This Row],[Costo ]]</f>
        <v>13047.6</v>
      </c>
      <c r="J147" s="175"/>
    </row>
    <row r="148" spans="1:10" x14ac:dyDescent="0.25">
      <c r="A148" s="175" t="s">
        <v>478</v>
      </c>
      <c r="B148" s="175"/>
      <c r="C148" s="175">
        <v>6001</v>
      </c>
      <c r="D148" s="175">
        <v>90</v>
      </c>
      <c r="E148" s="175" t="s">
        <v>434</v>
      </c>
      <c r="F148" s="175">
        <v>572</v>
      </c>
      <c r="G148" s="175">
        <v>572</v>
      </c>
      <c r="H148" s="175">
        <v>1.98</v>
      </c>
      <c r="I148" s="177">
        <f>Tabla10[[#This Row],[CANTIDAD]]*Tabla10[[#This Row],[Costo ]]</f>
        <v>1132.56</v>
      </c>
      <c r="J148" s="175"/>
    </row>
    <row r="149" spans="1:10" x14ac:dyDescent="0.25">
      <c r="A149" s="175" t="s">
        <v>478</v>
      </c>
      <c r="B149" s="175"/>
      <c r="C149" s="175">
        <v>6011</v>
      </c>
      <c r="D149" s="175">
        <v>90</v>
      </c>
      <c r="E149" s="175" t="s">
        <v>436</v>
      </c>
      <c r="F149" s="175">
        <v>840</v>
      </c>
      <c r="G149" s="175">
        <v>840</v>
      </c>
      <c r="H149" s="175">
        <v>2.62</v>
      </c>
      <c r="I149" s="177">
        <f>Tabla10[[#This Row],[CANTIDAD]]*Tabla10[[#This Row],[Costo ]]</f>
        <v>2200.8000000000002</v>
      </c>
      <c r="J149" s="175"/>
    </row>
    <row r="150" spans="1:10" x14ac:dyDescent="0.25">
      <c r="A150" s="175" t="s">
        <v>478</v>
      </c>
      <c r="B150" s="175"/>
      <c r="C150" s="175">
        <v>6032</v>
      </c>
      <c r="D150" s="175">
        <v>80</v>
      </c>
      <c r="E150" s="175" t="s">
        <v>437</v>
      </c>
      <c r="F150" s="196">
        <v>1184</v>
      </c>
      <c r="G150" s="196">
        <v>1184</v>
      </c>
      <c r="H150" s="175">
        <v>2.62</v>
      </c>
      <c r="I150" s="177">
        <f>Tabla10[[#This Row],[CANTIDAD]]*Tabla10[[#This Row],[Costo ]]</f>
        <v>3102.08</v>
      </c>
      <c r="J150" s="175"/>
    </row>
    <row r="151" spans="1:10" x14ac:dyDescent="0.25">
      <c r="A151" s="175" t="s">
        <v>899</v>
      </c>
      <c r="B151" s="175"/>
      <c r="C151" s="176">
        <v>6135</v>
      </c>
      <c r="D151" s="175">
        <v>90</v>
      </c>
      <c r="E151" s="175" t="s">
        <v>479</v>
      </c>
      <c r="F151" s="196">
        <v>1134</v>
      </c>
      <c r="G151" s="196">
        <v>1134</v>
      </c>
      <c r="H151" s="175">
        <v>2.62</v>
      </c>
      <c r="I151" s="177">
        <f>Tabla10[[#This Row],[CANTIDAD]]*Tabla10[[#This Row],[Costo ]]</f>
        <v>2971.08</v>
      </c>
      <c r="J151" s="175"/>
    </row>
    <row r="152" spans="1:10" x14ac:dyDescent="0.25">
      <c r="A152" s="175" t="s">
        <v>478</v>
      </c>
      <c r="B152" s="175"/>
      <c r="C152" s="175">
        <v>6146</v>
      </c>
      <c r="D152" s="175">
        <v>140</v>
      </c>
      <c r="E152" s="175" t="s">
        <v>479</v>
      </c>
      <c r="F152" s="175">
        <v>140</v>
      </c>
      <c r="G152" s="175">
        <v>140</v>
      </c>
      <c r="H152" s="175">
        <v>2.62</v>
      </c>
      <c r="I152" s="177">
        <f>Tabla10[[#This Row],[CANTIDAD]]*Tabla10[[#This Row],[Costo ]]</f>
        <v>366.8</v>
      </c>
      <c r="J152" s="175"/>
    </row>
    <row r="153" spans="1:10" x14ac:dyDescent="0.25">
      <c r="A153" s="175" t="s">
        <v>491</v>
      </c>
      <c r="B153" s="175" t="s">
        <v>375</v>
      </c>
      <c r="C153" s="175">
        <v>6195</v>
      </c>
      <c r="D153" s="175">
        <v>120</v>
      </c>
      <c r="E153" s="175" t="s">
        <v>380</v>
      </c>
      <c r="F153" s="175">
        <v>390</v>
      </c>
      <c r="G153" s="175">
        <v>390</v>
      </c>
      <c r="H153" s="175">
        <v>1.98</v>
      </c>
      <c r="I153" s="177">
        <f>Tabla10[[#This Row],[CANTIDAD]]*Tabla10[[#This Row],[Costo ]]</f>
        <v>772.2</v>
      </c>
      <c r="J153" s="175"/>
    </row>
    <row r="154" spans="1:10" x14ac:dyDescent="0.25">
      <c r="A154" s="175" t="s">
        <v>491</v>
      </c>
      <c r="B154" s="175" t="s">
        <v>375</v>
      </c>
      <c r="C154" s="175">
        <v>6193</v>
      </c>
      <c r="D154" s="175">
        <v>140</v>
      </c>
      <c r="E154" s="175" t="s">
        <v>380</v>
      </c>
      <c r="F154" s="175">
        <v>289</v>
      </c>
      <c r="G154" s="175">
        <v>289</v>
      </c>
      <c r="H154" s="175">
        <v>1.98</v>
      </c>
      <c r="I154" s="177">
        <f>Tabla10[[#This Row],[CANTIDAD]]*Tabla10[[#This Row],[Costo ]]</f>
        <v>572.22</v>
      </c>
      <c r="J154" s="175"/>
    </row>
    <row r="155" spans="1:10" x14ac:dyDescent="0.25">
      <c r="A155" s="175" t="s">
        <v>683</v>
      </c>
      <c r="B155" s="175" t="s">
        <v>374</v>
      </c>
      <c r="C155" s="175">
        <v>6194</v>
      </c>
      <c r="D155" s="175">
        <v>140</v>
      </c>
      <c r="E155" s="175" t="s">
        <v>434</v>
      </c>
      <c r="F155" s="175">
        <v>600</v>
      </c>
      <c r="G155" s="175">
        <v>600</v>
      </c>
      <c r="H155" s="175">
        <v>1.98</v>
      </c>
      <c r="I155" s="177">
        <f>Tabla10[[#This Row],[CANTIDAD]]*Tabla10[[#This Row],[Costo ]]</f>
        <v>1188</v>
      </c>
      <c r="J155" s="175"/>
    </row>
    <row r="156" spans="1:10" x14ac:dyDescent="0.25">
      <c r="A156" s="175" t="s">
        <v>480</v>
      </c>
      <c r="B156" s="175" t="s">
        <v>209</v>
      </c>
      <c r="C156" s="175">
        <v>10533</v>
      </c>
      <c r="D156" s="175">
        <v>78</v>
      </c>
      <c r="E156" s="175" t="s">
        <v>380</v>
      </c>
      <c r="F156" s="196">
        <v>62450</v>
      </c>
      <c r="G156" s="196">
        <v>62450</v>
      </c>
      <c r="H156" s="175">
        <v>2.09</v>
      </c>
      <c r="I156" s="177">
        <f>Tabla10[[#This Row],[CANTIDAD]]*Tabla10[[#This Row],[Costo ]]</f>
        <v>130520.49999999999</v>
      </c>
      <c r="J156" s="175"/>
    </row>
    <row r="157" spans="1:10" x14ac:dyDescent="0.25">
      <c r="A157" s="175" t="s">
        <v>480</v>
      </c>
      <c r="B157" s="175" t="s">
        <v>209</v>
      </c>
      <c r="C157" s="175">
        <v>10534</v>
      </c>
      <c r="D157" s="175">
        <v>83</v>
      </c>
      <c r="E157" s="175" t="s">
        <v>380</v>
      </c>
      <c r="F157" s="196">
        <v>965</v>
      </c>
      <c r="G157" s="196">
        <v>965</v>
      </c>
      <c r="H157" s="175">
        <v>2.09</v>
      </c>
      <c r="I157" s="177">
        <f>Tabla10[[#This Row],[CANTIDAD]]*Tabla10[[#This Row],[Costo ]]</f>
        <v>2016.85</v>
      </c>
      <c r="J157" s="175"/>
    </row>
    <row r="158" spans="1:10" x14ac:dyDescent="0.25">
      <c r="A158" s="175" t="s">
        <v>480</v>
      </c>
      <c r="B158" s="175" t="s">
        <v>209</v>
      </c>
      <c r="C158" s="175">
        <v>10535</v>
      </c>
      <c r="D158" s="175">
        <v>87</v>
      </c>
      <c r="E158" s="175" t="s">
        <v>380</v>
      </c>
      <c r="F158" s="196">
        <v>46054</v>
      </c>
      <c r="G158" s="196">
        <v>46054</v>
      </c>
      <c r="H158" s="175">
        <v>2.09</v>
      </c>
      <c r="I158" s="177">
        <f>Tabla10[[#This Row],[CANTIDAD]]*Tabla10[[#This Row],[Costo ]]</f>
        <v>96252.86</v>
      </c>
      <c r="J158" s="175"/>
    </row>
    <row r="159" spans="1:10" x14ac:dyDescent="0.25">
      <c r="A159" s="175" t="s">
        <v>480</v>
      </c>
      <c r="B159" s="175" t="s">
        <v>209</v>
      </c>
      <c r="C159" s="175">
        <v>10536</v>
      </c>
      <c r="D159" s="175">
        <v>94</v>
      </c>
      <c r="E159" s="175" t="s">
        <v>380</v>
      </c>
      <c r="F159" s="196">
        <v>6218</v>
      </c>
      <c r="G159" s="196">
        <v>6218</v>
      </c>
      <c r="H159" s="175">
        <v>2.09</v>
      </c>
      <c r="I159" s="177">
        <f>Tabla10[[#This Row],[CANTIDAD]]*Tabla10[[#This Row],[Costo ]]</f>
        <v>12995.619999999999</v>
      </c>
      <c r="J159" s="175"/>
    </row>
    <row r="160" spans="1:10" x14ac:dyDescent="0.25">
      <c r="A160" s="175" t="s">
        <v>480</v>
      </c>
      <c r="B160" s="175" t="s">
        <v>209</v>
      </c>
      <c r="C160" s="175">
        <v>10537</v>
      </c>
      <c r="D160" s="175">
        <v>78</v>
      </c>
      <c r="E160" s="175" t="s">
        <v>434</v>
      </c>
      <c r="F160" s="196">
        <v>24300</v>
      </c>
      <c r="G160" s="196">
        <v>24300</v>
      </c>
      <c r="H160" s="175">
        <v>2.09</v>
      </c>
      <c r="I160" s="177">
        <f>Tabla10[[#This Row],[CANTIDAD]]*Tabla10[[#This Row],[Costo ]]</f>
        <v>50787</v>
      </c>
      <c r="J160" s="175"/>
    </row>
    <row r="161" spans="1:10" x14ac:dyDescent="0.25">
      <c r="A161" s="175" t="s">
        <v>480</v>
      </c>
      <c r="B161" s="175" t="s">
        <v>209</v>
      </c>
      <c r="C161" s="175">
        <v>10538</v>
      </c>
      <c r="D161" s="175">
        <v>83</v>
      </c>
      <c r="E161" s="175" t="s">
        <v>434</v>
      </c>
      <c r="F161" s="175">
        <v>500</v>
      </c>
      <c r="G161" s="175">
        <v>500</v>
      </c>
      <c r="H161" s="175">
        <v>2.09</v>
      </c>
      <c r="I161" s="177">
        <f>Tabla10[[#This Row],[CANTIDAD]]*Tabla10[[#This Row],[Costo ]]</f>
        <v>1045</v>
      </c>
      <c r="J161" s="175"/>
    </row>
    <row r="162" spans="1:10" x14ac:dyDescent="0.25">
      <c r="A162" s="175" t="s">
        <v>480</v>
      </c>
      <c r="B162" s="175" t="s">
        <v>209</v>
      </c>
      <c r="C162" s="175">
        <v>10539</v>
      </c>
      <c r="D162" s="175">
        <v>87</v>
      </c>
      <c r="E162" s="175" t="s">
        <v>434</v>
      </c>
      <c r="F162" s="196">
        <v>2400</v>
      </c>
      <c r="G162" s="196">
        <v>2400</v>
      </c>
      <c r="H162" s="175">
        <v>2.09</v>
      </c>
      <c r="I162" s="177">
        <f>Tabla10[[#This Row],[CANTIDAD]]*Tabla10[[#This Row],[Costo ]]</f>
        <v>5016</v>
      </c>
      <c r="J162" s="175"/>
    </row>
    <row r="163" spans="1:10" x14ac:dyDescent="0.25">
      <c r="A163" s="175" t="s">
        <v>480</v>
      </c>
      <c r="B163" s="175" t="s">
        <v>209</v>
      </c>
      <c r="C163" s="175">
        <v>10540</v>
      </c>
      <c r="D163" s="175">
        <v>94</v>
      </c>
      <c r="E163" s="175" t="s">
        <v>434</v>
      </c>
      <c r="F163" s="196">
        <v>1100</v>
      </c>
      <c r="G163" s="196">
        <v>1100</v>
      </c>
      <c r="H163" s="175">
        <v>2.09</v>
      </c>
      <c r="I163" s="177">
        <f>Tabla10[[#This Row],[CANTIDAD]]*Tabla10[[#This Row],[Costo ]]</f>
        <v>2299</v>
      </c>
      <c r="J163" s="175"/>
    </row>
    <row r="164" spans="1:10" x14ac:dyDescent="0.25">
      <c r="A164" s="175"/>
      <c r="B164" s="175"/>
      <c r="C164" s="175"/>
      <c r="D164" s="175"/>
      <c r="E164" s="175"/>
      <c r="F164" s="196"/>
      <c r="G164" s="196"/>
      <c r="H164" s="175"/>
      <c r="I164" s="175">
        <f>SUBTOTAL(109,Tabla10[[ Importe ]])</f>
        <v>749053.06999999972</v>
      </c>
      <c r="J164" s="175"/>
    </row>
    <row r="166" spans="1:10" x14ac:dyDescent="0.25">
      <c r="I166" s="80">
        <f>SUM(I2:I163)</f>
        <v>749053.06999999972</v>
      </c>
    </row>
    <row r="168" spans="1:10" ht="30" x14ac:dyDescent="0.25">
      <c r="F168" s="167" t="s">
        <v>868</v>
      </c>
      <c r="G168" s="167"/>
      <c r="I168" s="66">
        <f>I36+I37+I38+I60+I61+I62+I93+I94+I95+I96+I97+I98+I100+I101+I115+I116+I117+I118+I119+I120+I121+I122+I139+I140+I141+I142+I144+I145+I147+I148+I153+I154+I155+I156+I157+I158+I159+I160+I161+I162+I163</f>
        <v>525808.14999999991</v>
      </c>
    </row>
    <row r="169" spans="1:10" ht="30" x14ac:dyDescent="0.25">
      <c r="F169" s="167" t="s">
        <v>869</v>
      </c>
      <c r="G169" s="167"/>
      <c r="I169" s="66">
        <f>I166-I168</f>
        <v>223244.91999999981</v>
      </c>
    </row>
  </sheetData>
  <phoneticPr fontId="38" type="noConversion"/>
  <pageMargins left="0.7" right="0.7" top="0.75" bottom="0.75" header="0.3" footer="0.3"/>
  <pageSetup scale="32" orientation="landscape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BB38-000B-47D2-A5CA-3D1B162F4B3E}">
  <sheetPr codeName="Hoja12">
    <tabColor theme="9" tint="0.59999389629810485"/>
    <pageSetUpPr fitToPage="1"/>
  </sheetPr>
  <dimension ref="A1:K59"/>
  <sheetViews>
    <sheetView topLeftCell="A39" workbookViewId="0">
      <selection activeCell="J48" sqref="J48"/>
    </sheetView>
  </sheetViews>
  <sheetFormatPr baseColWidth="10" defaultRowHeight="15" x14ac:dyDescent="0.25"/>
  <cols>
    <col min="1" max="1" width="14.42578125" style="2" customWidth="1"/>
    <col min="2" max="2" width="19.42578125" customWidth="1"/>
    <col min="3" max="3" width="15.42578125" bestFit="1" customWidth="1"/>
    <col min="4" max="4" width="20.140625" customWidth="1"/>
    <col min="5" max="5" width="10.28515625" customWidth="1"/>
    <col min="6" max="6" width="18.140625" customWidth="1"/>
    <col min="7" max="7" width="13.140625" customWidth="1"/>
    <col min="9" max="9" width="12.5703125" bestFit="1" customWidth="1"/>
    <col min="10" max="10" width="38.42578125" customWidth="1"/>
    <col min="11" max="11" width="16.7109375" customWidth="1"/>
  </cols>
  <sheetData>
    <row r="1" spans="1:11" ht="21" x14ac:dyDescent="0.25">
      <c r="A1"/>
      <c r="F1" s="242" t="s">
        <v>0</v>
      </c>
      <c r="G1" s="242"/>
      <c r="H1" s="242"/>
    </row>
    <row r="2" spans="1:11" ht="32.25" customHeight="1" x14ac:dyDescent="0.25">
      <c r="A2" s="69" t="s">
        <v>147</v>
      </c>
      <c r="B2" s="70" t="s">
        <v>148</v>
      </c>
      <c r="C2" s="70" t="s">
        <v>149</v>
      </c>
      <c r="D2" s="70" t="s">
        <v>535</v>
      </c>
      <c r="E2" s="70" t="s">
        <v>150</v>
      </c>
      <c r="F2" s="70" t="s">
        <v>151</v>
      </c>
      <c r="G2" s="71" t="s">
        <v>279</v>
      </c>
      <c r="H2" s="71" t="s">
        <v>152</v>
      </c>
      <c r="I2" s="72" t="s">
        <v>153</v>
      </c>
      <c r="J2" s="72" t="s">
        <v>4</v>
      </c>
      <c r="K2" s="71" t="s">
        <v>154</v>
      </c>
    </row>
    <row r="3" spans="1:11" s="26" customFormat="1" ht="47.25" x14ac:dyDescent="0.25">
      <c r="B3" s="11" t="s">
        <v>155</v>
      </c>
      <c r="C3" s="27" t="s">
        <v>156</v>
      </c>
      <c r="D3" s="27"/>
      <c r="E3" s="28">
        <v>18.37</v>
      </c>
      <c r="F3" s="29" t="s">
        <v>157</v>
      </c>
      <c r="G3" s="11">
        <v>134</v>
      </c>
      <c r="H3" s="11">
        <v>12</v>
      </c>
      <c r="I3" s="11">
        <f>Tabla5[[#This Row],[CANTIDAD]]*Tabla5[[#This Row],[Prs/Caja]]</f>
        <v>1608</v>
      </c>
      <c r="J3" s="30">
        <f>Tabla5[[#This Row],[COSTO]]*Tabla5[[#This Row],[CANTIDAD]]</f>
        <v>2461.58</v>
      </c>
      <c r="K3" s="17"/>
    </row>
    <row r="4" spans="1:11" ht="75" hidden="1" customHeight="1" x14ac:dyDescent="0.25">
      <c r="A4" s="2">
        <v>7030</v>
      </c>
      <c r="B4" s="11" t="s">
        <v>155</v>
      </c>
      <c r="C4" s="27" t="s">
        <v>158</v>
      </c>
      <c r="D4" s="27" t="s">
        <v>536</v>
      </c>
      <c r="E4" s="28">
        <v>26.89</v>
      </c>
      <c r="F4" s="29" t="s">
        <v>159</v>
      </c>
      <c r="G4" s="11">
        <v>0</v>
      </c>
      <c r="H4" s="11">
        <v>6</v>
      </c>
      <c r="I4" s="11">
        <f>Tabla5[[#This Row],[CANTIDAD]]*Tabla5[[#This Row],[Prs/Caja]]</f>
        <v>0</v>
      </c>
      <c r="J4" s="30">
        <f>Tabla5[[#This Row],[COSTO]]*Tabla5[[#This Row],[CANTIDAD]]</f>
        <v>0</v>
      </c>
    </row>
    <row r="5" spans="1:11" ht="47.25" x14ac:dyDescent="0.25">
      <c r="A5" s="2">
        <v>7052</v>
      </c>
      <c r="B5" s="11" t="s">
        <v>155</v>
      </c>
      <c r="C5" s="27" t="s">
        <v>160</v>
      </c>
      <c r="D5" s="27" t="s">
        <v>537</v>
      </c>
      <c r="E5" s="28">
        <v>18.2</v>
      </c>
      <c r="F5" s="29" t="s">
        <v>161</v>
      </c>
      <c r="G5" s="11">
        <v>163</v>
      </c>
      <c r="H5" s="11">
        <v>12</v>
      </c>
      <c r="I5" s="11">
        <f>Tabla5[[#This Row],[CANTIDAD]]*Tabla5[[#This Row],[Prs/Caja]]</f>
        <v>1956</v>
      </c>
      <c r="J5" s="30">
        <f>Tabla5[[#This Row],[COSTO]]*Tabla5[[#This Row],[CANTIDAD]]</f>
        <v>2966.6</v>
      </c>
      <c r="K5" s="17"/>
    </row>
    <row r="6" spans="1:11" ht="47.25" x14ac:dyDescent="0.25">
      <c r="A6" s="2">
        <v>7053</v>
      </c>
      <c r="B6" s="11" t="s">
        <v>155</v>
      </c>
      <c r="C6" s="27" t="s">
        <v>162</v>
      </c>
      <c r="D6" s="27" t="s">
        <v>538</v>
      </c>
      <c r="E6" s="28">
        <v>28.71</v>
      </c>
      <c r="F6" s="29" t="s">
        <v>163</v>
      </c>
      <c r="G6" s="11">
        <v>39</v>
      </c>
      <c r="H6" s="11">
        <v>12</v>
      </c>
      <c r="I6" s="11">
        <f>Tabla5[[#This Row],[CANTIDAD]]*Tabla5[[#This Row],[Prs/Caja]]</f>
        <v>468</v>
      </c>
      <c r="J6" s="30">
        <f>Tabla5[[#This Row],[COSTO]]*Tabla5[[#This Row],[CANTIDAD]]</f>
        <v>1119.69</v>
      </c>
      <c r="K6" s="17"/>
    </row>
    <row r="7" spans="1:11" ht="31.5" x14ac:dyDescent="0.25">
      <c r="B7" s="11" t="s">
        <v>155</v>
      </c>
      <c r="C7" s="27" t="s">
        <v>164</v>
      </c>
      <c r="D7" s="27" t="s">
        <v>539</v>
      </c>
      <c r="E7" s="28">
        <v>20.079999999999998</v>
      </c>
      <c r="F7" s="29" t="s">
        <v>165</v>
      </c>
      <c r="G7" s="11">
        <v>14</v>
      </c>
      <c r="H7" s="11">
        <v>12</v>
      </c>
      <c r="I7" s="11">
        <f>Tabla5[[#This Row],[CANTIDAD]]*Tabla5[[#This Row],[Prs/Caja]]</f>
        <v>168</v>
      </c>
      <c r="J7" s="30">
        <f>Tabla5[[#This Row],[COSTO]]*Tabla5[[#This Row],[CANTIDAD]]</f>
        <v>281.12</v>
      </c>
      <c r="K7" s="17"/>
    </row>
    <row r="8" spans="1:11" ht="31.5" hidden="1" x14ac:dyDescent="0.25">
      <c r="A8" s="2">
        <v>7112</v>
      </c>
      <c r="B8" s="11" t="s">
        <v>155</v>
      </c>
      <c r="C8" s="27" t="s">
        <v>166</v>
      </c>
      <c r="D8" s="27" t="s">
        <v>540</v>
      </c>
      <c r="E8" s="28">
        <v>26.97</v>
      </c>
      <c r="F8" s="29" t="s">
        <v>167</v>
      </c>
      <c r="G8" s="11">
        <v>0</v>
      </c>
      <c r="H8" s="11">
        <v>12</v>
      </c>
      <c r="I8" s="11">
        <f>Tabla5[[#This Row],[CANTIDAD]]*Tabla5[[#This Row],[Prs/Caja]]</f>
        <v>0</v>
      </c>
      <c r="J8" s="30">
        <f>Tabla5[[#This Row],[COSTO]]*Tabla5[[#This Row],[CANTIDAD]]</f>
        <v>0</v>
      </c>
      <c r="K8" s="17"/>
    </row>
    <row r="9" spans="1:11" ht="18.75" x14ac:dyDescent="0.25">
      <c r="A9" s="2">
        <v>7002</v>
      </c>
      <c r="B9" s="11" t="s">
        <v>155</v>
      </c>
      <c r="C9" s="27" t="s">
        <v>168</v>
      </c>
      <c r="D9" s="27" t="s">
        <v>541</v>
      </c>
      <c r="E9" s="28">
        <v>28.83</v>
      </c>
      <c r="F9" s="29" t="s">
        <v>169</v>
      </c>
      <c r="G9" s="11">
        <v>45</v>
      </c>
      <c r="H9" s="11">
        <v>12</v>
      </c>
      <c r="I9" s="11">
        <f>Tabla5[[#This Row],[CANTIDAD]]*Tabla5[[#This Row],[Prs/Caja]]</f>
        <v>540</v>
      </c>
      <c r="J9" s="30">
        <f>Tabla5[[#This Row],[COSTO]]*Tabla5[[#This Row],[CANTIDAD]]</f>
        <v>1297.3499999999999</v>
      </c>
      <c r="K9" s="17"/>
    </row>
    <row r="10" spans="1:11" ht="126" x14ac:dyDescent="0.25">
      <c r="A10" s="2">
        <v>7005</v>
      </c>
      <c r="B10" s="11" t="s">
        <v>155</v>
      </c>
      <c r="C10" s="27" t="s">
        <v>170</v>
      </c>
      <c r="D10" s="27" t="s">
        <v>542</v>
      </c>
      <c r="E10" s="28">
        <v>34.700000000000003</v>
      </c>
      <c r="F10" s="29" t="s">
        <v>703</v>
      </c>
      <c r="G10" s="11">
        <v>41</v>
      </c>
      <c r="H10" s="11">
        <v>12</v>
      </c>
      <c r="I10" s="11">
        <f>Tabla5[[#This Row],[CANTIDAD]]*Tabla5[[#This Row],[Prs/Caja]]</f>
        <v>492</v>
      </c>
      <c r="J10" s="30">
        <f>Tabla5[[#This Row],[COSTO]]*Tabla5[[#This Row],[CANTIDAD]]</f>
        <v>1422.7</v>
      </c>
      <c r="K10" s="17"/>
    </row>
    <row r="11" spans="1:11" ht="31.5" x14ac:dyDescent="0.25">
      <c r="A11" s="2">
        <v>7021</v>
      </c>
      <c r="B11" s="11" t="s">
        <v>155</v>
      </c>
      <c r="C11" s="27" t="s">
        <v>171</v>
      </c>
      <c r="D11" s="27" t="s">
        <v>543</v>
      </c>
      <c r="E11" s="28">
        <v>27.88</v>
      </c>
      <c r="F11" s="29" t="s">
        <v>172</v>
      </c>
      <c r="G11" s="11"/>
      <c r="H11" s="11">
        <v>6</v>
      </c>
      <c r="I11" s="11">
        <f>Tabla5[[#This Row],[CANTIDAD]]*Tabla5[[#This Row],[Prs/Caja]]</f>
        <v>0</v>
      </c>
      <c r="J11" s="30">
        <f>Tabla5[[#This Row],[COSTO]]*Tabla5[[#This Row],[CANTIDAD]]</f>
        <v>0</v>
      </c>
      <c r="K11" s="17"/>
    </row>
    <row r="12" spans="1:11" ht="63" x14ac:dyDescent="0.25">
      <c r="A12" s="2">
        <v>7051</v>
      </c>
      <c r="B12" s="11" t="s">
        <v>155</v>
      </c>
      <c r="C12" s="27" t="s">
        <v>173</v>
      </c>
      <c r="D12" s="27" t="s">
        <v>544</v>
      </c>
      <c r="E12" s="28">
        <v>30.43</v>
      </c>
      <c r="F12" s="29" t="s">
        <v>174</v>
      </c>
      <c r="G12" s="11"/>
      <c r="H12" s="11">
        <v>6</v>
      </c>
      <c r="I12" s="11">
        <f>Tabla5[[#This Row],[CANTIDAD]]*Tabla5[[#This Row],[Prs/Caja]]</f>
        <v>0</v>
      </c>
      <c r="J12" s="30">
        <f>Tabla5[[#This Row],[COSTO]]*Tabla5[[#This Row],[CANTIDAD]]</f>
        <v>0</v>
      </c>
      <c r="K12" s="17"/>
    </row>
    <row r="13" spans="1:11" ht="31.5" x14ac:dyDescent="0.25">
      <c r="A13" s="2">
        <v>7113</v>
      </c>
      <c r="B13" s="11" t="s">
        <v>155</v>
      </c>
      <c r="C13" s="27" t="s">
        <v>175</v>
      </c>
      <c r="D13" s="27" t="s">
        <v>545</v>
      </c>
      <c r="E13" s="28">
        <v>32.46</v>
      </c>
      <c r="F13" s="29" t="s">
        <v>176</v>
      </c>
      <c r="G13" s="11"/>
      <c r="H13" s="11">
        <v>6</v>
      </c>
      <c r="I13" s="11">
        <f>Tabla5[[#This Row],[CANTIDAD]]*Tabla5[[#This Row],[Prs/Caja]]</f>
        <v>0</v>
      </c>
      <c r="J13" s="30">
        <f>Tabla5[[#This Row],[COSTO]]*Tabla5[[#This Row],[CANTIDAD]]</f>
        <v>0</v>
      </c>
      <c r="K13" s="17"/>
    </row>
    <row r="14" spans="1:11" ht="47.25" x14ac:dyDescent="0.25">
      <c r="A14" s="2">
        <v>7049</v>
      </c>
      <c r="B14" s="11" t="s">
        <v>155</v>
      </c>
      <c r="C14" s="27" t="s">
        <v>177</v>
      </c>
      <c r="D14" s="27" t="s">
        <v>546</v>
      </c>
      <c r="E14" s="28">
        <v>35.06</v>
      </c>
      <c r="F14" s="29" t="s">
        <v>178</v>
      </c>
      <c r="G14" s="11">
        <v>76</v>
      </c>
      <c r="H14" s="11">
        <v>12</v>
      </c>
      <c r="I14" s="11">
        <f>Tabla5[[#This Row],[CANTIDAD]]*Tabla5[[#This Row],[Prs/Caja]]</f>
        <v>912</v>
      </c>
      <c r="J14" s="30">
        <f>Tabla5[[#This Row],[COSTO]]*Tabla5[[#This Row],[CANTIDAD]]</f>
        <v>2664.5600000000004</v>
      </c>
      <c r="K14" s="17"/>
    </row>
    <row r="15" spans="1:11" ht="47.25" x14ac:dyDescent="0.25">
      <c r="A15" s="2">
        <v>7050</v>
      </c>
      <c r="B15" s="11" t="s">
        <v>155</v>
      </c>
      <c r="C15" s="27" t="s">
        <v>179</v>
      </c>
      <c r="D15" s="27" t="s">
        <v>547</v>
      </c>
      <c r="E15" s="28">
        <v>36.36</v>
      </c>
      <c r="F15" s="29" t="s">
        <v>180</v>
      </c>
      <c r="G15" s="11">
        <v>270</v>
      </c>
      <c r="H15" s="11">
        <v>12</v>
      </c>
      <c r="I15" s="11">
        <f>Tabla5[[#This Row],[CANTIDAD]]*Tabla5[[#This Row],[Prs/Caja]]</f>
        <v>3240</v>
      </c>
      <c r="J15" s="30">
        <f>Tabla5[[#This Row],[COSTO]]*Tabla5[[#This Row],[CANTIDAD]]</f>
        <v>9817.2000000000007</v>
      </c>
      <c r="K15" s="17"/>
    </row>
    <row r="16" spans="1:11" ht="75" hidden="1" x14ac:dyDescent="0.25">
      <c r="A16"/>
      <c r="B16" s="11" t="s">
        <v>155</v>
      </c>
      <c r="C16" s="27" t="s">
        <v>181</v>
      </c>
      <c r="D16" s="27" t="s">
        <v>548</v>
      </c>
      <c r="E16" s="28">
        <v>29.85</v>
      </c>
      <c r="F16" s="29" t="s">
        <v>178</v>
      </c>
      <c r="G16" s="11">
        <v>0</v>
      </c>
      <c r="H16" s="11">
        <v>12</v>
      </c>
      <c r="I16" s="11">
        <f>Tabla5[[#This Row],[CANTIDAD]]*Tabla5[[#This Row],[Prs/Caja]]</f>
        <v>0</v>
      </c>
      <c r="J16" s="30">
        <f>Tabla5[[#This Row],[COSTO]]*Tabla5[[#This Row],[CANTIDAD]]</f>
        <v>0</v>
      </c>
      <c r="K16" s="17"/>
    </row>
    <row r="17" spans="1:11" ht="75" x14ac:dyDescent="0.25">
      <c r="A17"/>
      <c r="B17" s="11" t="s">
        <v>155</v>
      </c>
      <c r="C17" s="27" t="s">
        <v>182</v>
      </c>
      <c r="D17" s="27" t="s">
        <v>549</v>
      </c>
      <c r="E17" s="28">
        <v>35.01</v>
      </c>
      <c r="F17" s="29" t="s">
        <v>180</v>
      </c>
      <c r="G17" s="11">
        <v>24</v>
      </c>
      <c r="H17" s="11">
        <v>12</v>
      </c>
      <c r="I17" s="11">
        <f>Tabla5[[#This Row],[CANTIDAD]]*Tabla5[[#This Row],[Prs/Caja]]</f>
        <v>288</v>
      </c>
      <c r="J17" s="30">
        <f>Tabla5[[#This Row],[COSTO]]*Tabla5[[#This Row],[CANTIDAD]]</f>
        <v>840.24</v>
      </c>
      <c r="K17" s="17"/>
    </row>
    <row r="18" spans="1:11" ht="37.5" x14ac:dyDescent="0.25">
      <c r="A18"/>
      <c r="B18" s="11"/>
      <c r="C18" s="27" t="s">
        <v>183</v>
      </c>
      <c r="D18" s="27" t="s">
        <v>550</v>
      </c>
      <c r="E18" s="28">
        <v>46.71</v>
      </c>
      <c r="F18" s="29" t="s">
        <v>184</v>
      </c>
      <c r="G18" s="11">
        <v>63</v>
      </c>
      <c r="H18" s="11">
        <v>12</v>
      </c>
      <c r="I18" s="11">
        <f>Tabla5[[#This Row],[CANTIDAD]]*Tabla5[[#This Row],[Prs/Caja]]</f>
        <v>756</v>
      </c>
      <c r="J18" s="30">
        <f>Tabla5[[#This Row],[COSTO]]*Tabla5[[#This Row],[CANTIDAD]]</f>
        <v>2942.73</v>
      </c>
      <c r="K18" s="17"/>
    </row>
    <row r="19" spans="1:11" ht="30" x14ac:dyDescent="0.25">
      <c r="A19"/>
      <c r="B19" s="11" t="s">
        <v>185</v>
      </c>
      <c r="C19" s="31" t="s">
        <v>186</v>
      </c>
      <c r="D19" s="31" t="s">
        <v>551</v>
      </c>
      <c r="E19" s="32">
        <v>34.799999999999997</v>
      </c>
      <c r="F19" s="33" t="s">
        <v>187</v>
      </c>
      <c r="G19" s="34">
        <v>98</v>
      </c>
      <c r="H19" s="34">
        <v>0</v>
      </c>
      <c r="I19" s="11">
        <f>Tabla5[[#This Row],[CANTIDAD]]*Tabla5[[#This Row],[Prs/Caja]]</f>
        <v>0</v>
      </c>
      <c r="J19" s="30">
        <f>Tabla5[[#This Row],[COSTO]]*Tabla5[[#This Row],[CANTIDAD]]</f>
        <v>3410.3999999999996</v>
      </c>
      <c r="K19" s="17" t="s">
        <v>188</v>
      </c>
    </row>
    <row r="20" spans="1:11" ht="75" hidden="1" customHeight="1" x14ac:dyDescent="0.25">
      <c r="A20"/>
      <c r="B20" s="11" t="s">
        <v>185</v>
      </c>
      <c r="C20" s="31" t="s">
        <v>189</v>
      </c>
      <c r="D20" s="31" t="s">
        <v>552</v>
      </c>
      <c r="E20" s="32">
        <v>39.42</v>
      </c>
      <c r="F20" s="33" t="s">
        <v>187</v>
      </c>
      <c r="G20" s="34">
        <v>0</v>
      </c>
      <c r="H20" s="34">
        <v>0</v>
      </c>
      <c r="I20" s="11">
        <f>Tabla5[[#This Row],[CANTIDAD]]*Tabla5[[#This Row],[Prs/Caja]]</f>
        <v>0</v>
      </c>
      <c r="J20" s="30">
        <f>Tabla5[[#This Row],[COSTO]]*Tabla5[[#This Row],[CANTIDAD]]</f>
        <v>0</v>
      </c>
      <c r="K20" s="17" t="s">
        <v>188</v>
      </c>
    </row>
    <row r="21" spans="1:11" ht="30" x14ac:dyDescent="0.25">
      <c r="A21"/>
      <c r="B21" s="11" t="s">
        <v>185</v>
      </c>
      <c r="C21" s="31" t="s">
        <v>190</v>
      </c>
      <c r="D21" s="31" t="s">
        <v>553</v>
      </c>
      <c r="E21" s="32">
        <v>43.59</v>
      </c>
      <c r="F21" s="33" t="s">
        <v>187</v>
      </c>
      <c r="G21" s="34">
        <v>12</v>
      </c>
      <c r="H21" s="34">
        <v>0</v>
      </c>
      <c r="I21" s="11">
        <f>Tabla5[[#This Row],[CANTIDAD]]*Tabla5[[#This Row],[Prs/Caja]]</f>
        <v>0</v>
      </c>
      <c r="J21" s="30">
        <f>Tabla5[[#This Row],[COSTO]]*Tabla5[[#This Row],[CANTIDAD]]</f>
        <v>523.08000000000004</v>
      </c>
      <c r="K21" s="17" t="s">
        <v>188</v>
      </c>
    </row>
    <row r="22" spans="1:11" ht="75" hidden="1" customHeight="1" x14ac:dyDescent="0.25">
      <c r="A22"/>
      <c r="B22" s="11" t="s">
        <v>155</v>
      </c>
      <c r="C22" s="27" t="s">
        <v>191</v>
      </c>
      <c r="D22" s="27" t="s">
        <v>554</v>
      </c>
      <c r="E22" s="28">
        <v>23.43</v>
      </c>
      <c r="F22" s="29" t="s">
        <v>192</v>
      </c>
      <c r="G22" s="11">
        <v>0</v>
      </c>
      <c r="H22" s="11">
        <v>12</v>
      </c>
      <c r="I22" s="11">
        <f>Tabla5[[#This Row],[CANTIDAD]]*Tabla5[[#This Row],[Prs/Caja]]</f>
        <v>0</v>
      </c>
      <c r="J22" s="30">
        <f>Tabla5[[#This Row],[COSTO]]*Tabla5[[#This Row],[CANTIDAD]]</f>
        <v>0</v>
      </c>
    </row>
    <row r="23" spans="1:11" ht="56.25" x14ac:dyDescent="0.25">
      <c r="A23"/>
      <c r="B23" s="11" t="s">
        <v>155</v>
      </c>
      <c r="C23" s="27" t="s">
        <v>193</v>
      </c>
      <c r="D23" s="27" t="s">
        <v>555</v>
      </c>
      <c r="E23" s="28">
        <v>24.12</v>
      </c>
      <c r="F23" s="29" t="s">
        <v>192</v>
      </c>
      <c r="G23" s="11">
        <v>73</v>
      </c>
      <c r="H23" s="11">
        <v>12</v>
      </c>
      <c r="I23" s="11">
        <f>Tabla5[[#This Row],[CANTIDAD]]*Tabla5[[#This Row],[Prs/Caja]]</f>
        <v>876</v>
      </c>
      <c r="J23" s="30">
        <f>Tabla5[[#This Row],[COSTO]]*Tabla5[[#This Row],[CANTIDAD]]</f>
        <v>1760.76</v>
      </c>
      <c r="K23" s="17"/>
    </row>
    <row r="24" spans="1:11" ht="37.5" x14ac:dyDescent="0.25">
      <c r="A24"/>
      <c r="B24" s="11" t="s">
        <v>155</v>
      </c>
      <c r="C24" s="27" t="s">
        <v>194</v>
      </c>
      <c r="D24" s="27" t="s">
        <v>556</v>
      </c>
      <c r="E24" s="28">
        <v>26.87</v>
      </c>
      <c r="F24" s="29" t="s">
        <v>192</v>
      </c>
      <c r="G24" s="11">
        <v>135</v>
      </c>
      <c r="H24" s="11">
        <v>12</v>
      </c>
      <c r="I24" s="11">
        <f>Tabla5[[#This Row],[CANTIDAD]]*Tabla5[[#This Row],[Prs/Caja]]</f>
        <v>1620</v>
      </c>
      <c r="J24" s="30">
        <f>Tabla5[[#This Row],[COSTO]]*Tabla5[[#This Row],[CANTIDAD]]</f>
        <v>3627.4500000000003</v>
      </c>
      <c r="K24" s="17"/>
    </row>
    <row r="25" spans="1:11" ht="37.5" x14ac:dyDescent="0.25">
      <c r="A25"/>
      <c r="B25" s="11" t="s">
        <v>155</v>
      </c>
      <c r="C25" s="27" t="s">
        <v>195</v>
      </c>
      <c r="D25" s="27" t="s">
        <v>557</v>
      </c>
      <c r="E25" s="28">
        <v>28.87</v>
      </c>
      <c r="F25" s="29" t="s">
        <v>192</v>
      </c>
      <c r="G25" s="11">
        <v>15</v>
      </c>
      <c r="H25" s="11">
        <v>12</v>
      </c>
      <c r="I25" s="11">
        <f>Tabla5[[#This Row],[CANTIDAD]]*Tabla5[[#This Row],[Prs/Caja]]</f>
        <v>180</v>
      </c>
      <c r="J25" s="30">
        <f>Tabla5[[#This Row],[COSTO]]*Tabla5[[#This Row],[CANTIDAD]]</f>
        <v>433.05</v>
      </c>
      <c r="K25" s="17"/>
    </row>
    <row r="26" spans="1:11" ht="37.5" x14ac:dyDescent="0.25">
      <c r="A26"/>
      <c r="B26" s="11" t="s">
        <v>155</v>
      </c>
      <c r="C26" s="27" t="s">
        <v>196</v>
      </c>
      <c r="D26" s="27" t="s">
        <v>558</v>
      </c>
      <c r="E26" s="28">
        <v>33.36</v>
      </c>
      <c r="F26" s="29" t="s">
        <v>192</v>
      </c>
      <c r="G26" s="11">
        <v>40</v>
      </c>
      <c r="H26" s="11">
        <v>12</v>
      </c>
      <c r="I26" s="11">
        <f>Tabla5[[#This Row],[CANTIDAD]]*Tabla5[[#This Row],[Prs/Caja]]</f>
        <v>480</v>
      </c>
      <c r="J26" s="30">
        <f>Tabla5[[#This Row],[COSTO]]*Tabla5[[#This Row],[CANTIDAD]]</f>
        <v>1334.4</v>
      </c>
      <c r="K26" s="17"/>
    </row>
    <row r="27" spans="1:11" ht="37.5" x14ac:dyDescent="0.25">
      <c r="A27"/>
      <c r="B27" s="11" t="s">
        <v>155</v>
      </c>
      <c r="C27" s="27" t="s">
        <v>197</v>
      </c>
      <c r="D27" s="27" t="s">
        <v>559</v>
      </c>
      <c r="E27" s="28">
        <v>21.53</v>
      </c>
      <c r="F27" s="29" t="s">
        <v>198</v>
      </c>
      <c r="G27" s="11">
        <v>44</v>
      </c>
      <c r="H27" s="11">
        <v>6</v>
      </c>
      <c r="I27" s="11">
        <f>Tabla5[[#This Row],[CANTIDAD]]*Tabla5[[#This Row],[Prs/Caja]]</f>
        <v>264</v>
      </c>
      <c r="J27" s="30">
        <f>Tabla5[[#This Row],[COSTO]]*Tabla5[[#This Row],[CANTIDAD]]</f>
        <v>947.32</v>
      </c>
      <c r="K27" s="17"/>
    </row>
    <row r="28" spans="1:11" ht="56.25" x14ac:dyDescent="0.25">
      <c r="B28" s="11" t="s">
        <v>155</v>
      </c>
      <c r="C28" s="27" t="s">
        <v>199</v>
      </c>
      <c r="D28" s="27" t="s">
        <v>560</v>
      </c>
      <c r="E28" s="28">
        <v>32.94</v>
      </c>
      <c r="F28" s="29" t="s">
        <v>198</v>
      </c>
      <c r="G28" s="11">
        <v>43</v>
      </c>
      <c r="H28" s="11">
        <v>6</v>
      </c>
      <c r="I28" s="11">
        <f>Tabla5[[#This Row],[CANTIDAD]]*Tabla5[[#This Row],[Prs/Caja]]</f>
        <v>258</v>
      </c>
      <c r="J28" s="30">
        <f>Tabla5[[#This Row],[COSTO]]*Tabla5[[#This Row],[CANTIDAD]]</f>
        <v>1416.4199999999998</v>
      </c>
      <c r="K28" s="17"/>
    </row>
    <row r="29" spans="1:11" ht="56.25" x14ac:dyDescent="0.25">
      <c r="B29" s="11" t="s">
        <v>155</v>
      </c>
      <c r="C29" s="27" t="s">
        <v>200</v>
      </c>
      <c r="D29" s="27" t="s">
        <v>561</v>
      </c>
      <c r="E29" s="28">
        <v>42.2</v>
      </c>
      <c r="F29" s="29" t="s">
        <v>198</v>
      </c>
      <c r="G29" s="11">
        <v>76</v>
      </c>
      <c r="H29" s="11">
        <v>12</v>
      </c>
      <c r="I29" s="11">
        <f>Tabla5[[#This Row],[CANTIDAD]]*Tabla5[[#This Row],[Prs/Caja]]</f>
        <v>912</v>
      </c>
      <c r="J29" s="30">
        <f>Tabla5[[#This Row],[COSTO]]*Tabla5[[#This Row],[CANTIDAD]]</f>
        <v>3207.2000000000003</v>
      </c>
      <c r="K29" s="17" t="s">
        <v>203</v>
      </c>
    </row>
    <row r="30" spans="1:11" ht="37.5" x14ac:dyDescent="0.25">
      <c r="B30" s="11" t="s">
        <v>155</v>
      </c>
      <c r="C30" s="27" t="s">
        <v>201</v>
      </c>
      <c r="D30" s="27" t="s">
        <v>562</v>
      </c>
      <c r="E30" s="28">
        <v>17.05</v>
      </c>
      <c r="F30" s="29" t="s">
        <v>202</v>
      </c>
      <c r="G30" s="11">
        <v>136</v>
      </c>
      <c r="H30" s="11">
        <v>12</v>
      </c>
      <c r="I30" s="11">
        <f>Tabla5[[#This Row],[CANTIDAD]]*Tabla5[[#This Row],[Prs/Caja]]</f>
        <v>1632</v>
      </c>
      <c r="J30" s="30">
        <f>Tabla5[[#This Row],[COSTO]]*Tabla5[[#This Row],[CANTIDAD]]</f>
        <v>2318.8000000000002</v>
      </c>
      <c r="K30" s="17" t="s">
        <v>203</v>
      </c>
    </row>
    <row r="31" spans="1:11" ht="37.5" x14ac:dyDescent="0.25">
      <c r="B31" s="11" t="s">
        <v>155</v>
      </c>
      <c r="C31" s="27" t="s">
        <v>564</v>
      </c>
      <c r="D31" s="27" t="s">
        <v>565</v>
      </c>
      <c r="E31" s="28">
        <v>18.63</v>
      </c>
      <c r="F31" s="29" t="s">
        <v>202</v>
      </c>
      <c r="G31" s="11">
        <v>46</v>
      </c>
      <c r="H31" s="11">
        <v>12</v>
      </c>
      <c r="I31" s="11">
        <f>Tabla5[[#This Row],[CANTIDAD]]*Tabla5[[#This Row],[Prs/Caja]]</f>
        <v>552</v>
      </c>
      <c r="J31" s="30">
        <f>Tabla5[[#This Row],[COSTO]]*Tabla5[[#This Row],[CANTIDAD]]</f>
        <v>856.9799999999999</v>
      </c>
      <c r="K31" s="17" t="s">
        <v>203</v>
      </c>
    </row>
    <row r="32" spans="1:11" ht="37.5" x14ac:dyDescent="0.25">
      <c r="B32" s="11" t="s">
        <v>204</v>
      </c>
      <c r="C32" s="27" t="s">
        <v>205</v>
      </c>
      <c r="D32" s="27"/>
      <c r="E32" s="28">
        <v>42.996000000000002</v>
      </c>
      <c r="F32" s="29" t="s">
        <v>206</v>
      </c>
      <c r="G32" s="11">
        <v>423</v>
      </c>
      <c r="H32" s="11">
        <v>12</v>
      </c>
      <c r="I32" s="11">
        <f>Tabla5[[#This Row],[CANTIDAD]]*Tabla5[[#This Row],[Prs/Caja]]</f>
        <v>5076</v>
      </c>
      <c r="J32" s="30">
        <f>Tabla5[[#This Row],[COSTO]]*Tabla5[[#This Row],[CANTIDAD]]</f>
        <v>18187.308000000001</v>
      </c>
      <c r="K32" s="17" t="s">
        <v>675</v>
      </c>
    </row>
    <row r="33" spans="1:11" ht="37.5" x14ac:dyDescent="0.25">
      <c r="B33" s="11" t="s">
        <v>204</v>
      </c>
      <c r="C33" s="27" t="s">
        <v>207</v>
      </c>
      <c r="D33" s="27"/>
      <c r="E33" s="28">
        <v>43.29</v>
      </c>
      <c r="F33" s="29" t="s">
        <v>206</v>
      </c>
      <c r="G33" s="11">
        <v>19</v>
      </c>
      <c r="H33" s="11">
        <v>14</v>
      </c>
      <c r="I33" s="11">
        <f>Tabla5[[#This Row],[CANTIDAD]]*Tabla5[[#This Row],[Prs/Caja]]</f>
        <v>266</v>
      </c>
      <c r="J33" s="30">
        <f>Tabla5[[#This Row],[COSTO]]*Tabla5[[#This Row],[CANTIDAD]]</f>
        <v>822.51</v>
      </c>
      <c r="K33" s="17" t="s">
        <v>675</v>
      </c>
    </row>
    <row r="34" spans="1:11" ht="75" hidden="1" customHeight="1" x14ac:dyDescent="0.25">
      <c r="A34" s="2">
        <v>7097</v>
      </c>
      <c r="B34" s="11" t="s">
        <v>155</v>
      </c>
      <c r="C34" s="27" t="s">
        <v>208</v>
      </c>
      <c r="D34" s="27"/>
      <c r="E34" s="28">
        <v>13.33</v>
      </c>
      <c r="F34" s="29" t="s">
        <v>209</v>
      </c>
      <c r="G34" s="11">
        <v>0</v>
      </c>
      <c r="H34" s="11">
        <v>6</v>
      </c>
      <c r="I34" s="11">
        <f>Tabla5[[#This Row],[CANTIDAD]]*Tabla5[[#This Row],[Prs/Caja]]</f>
        <v>0</v>
      </c>
      <c r="J34" s="30">
        <f>Tabla5[[#This Row],[COSTO]]*Tabla5[[#This Row],[CANTIDAD]]</f>
        <v>0</v>
      </c>
      <c r="K34" s="17"/>
    </row>
    <row r="35" spans="1:11" ht="18.75" x14ac:dyDescent="0.25">
      <c r="A35" s="2">
        <v>7101</v>
      </c>
      <c r="B35" s="11" t="s">
        <v>155</v>
      </c>
      <c r="C35" s="27" t="s">
        <v>210</v>
      </c>
      <c r="D35" s="27"/>
      <c r="E35" s="28">
        <v>22.1</v>
      </c>
      <c r="F35" s="29" t="s">
        <v>209</v>
      </c>
      <c r="G35" s="11">
        <v>90</v>
      </c>
      <c r="H35" s="11">
        <v>12</v>
      </c>
      <c r="I35" s="11">
        <f>Tabla5[[#This Row],[CANTIDAD]]*Tabla5[[#This Row],[Prs/Caja]]</f>
        <v>1080</v>
      </c>
      <c r="J35" s="30">
        <f>Tabla5[[#This Row],[COSTO]]*Tabla5[[#This Row],[CANTIDAD]]</f>
        <v>1989.0000000000002</v>
      </c>
      <c r="K35" s="17"/>
    </row>
    <row r="36" spans="1:11" ht="18.75" x14ac:dyDescent="0.25">
      <c r="A36" s="2">
        <v>7100</v>
      </c>
      <c r="B36" s="11" t="s">
        <v>155</v>
      </c>
      <c r="C36" s="27" t="s">
        <v>211</v>
      </c>
      <c r="D36" s="27"/>
      <c r="E36" s="28">
        <v>15.64</v>
      </c>
      <c r="F36" s="29" t="s">
        <v>209</v>
      </c>
      <c r="G36" s="11">
        <v>31</v>
      </c>
      <c r="H36" s="11">
        <v>6</v>
      </c>
      <c r="I36" s="11">
        <f>Tabla5[[#This Row],[CANTIDAD]]*Tabla5[[#This Row],[Prs/Caja]]</f>
        <v>186</v>
      </c>
      <c r="J36" s="30">
        <f>Tabla5[[#This Row],[COSTO]]*Tabla5[[#This Row],[CANTIDAD]]</f>
        <v>484.84000000000003</v>
      </c>
      <c r="K36" s="17"/>
    </row>
    <row r="37" spans="1:11" ht="18.75" x14ac:dyDescent="0.25">
      <c r="A37" s="2">
        <v>7102</v>
      </c>
      <c r="B37" s="11" t="s">
        <v>155</v>
      </c>
      <c r="C37" s="27" t="s">
        <v>212</v>
      </c>
      <c r="D37" s="27"/>
      <c r="E37" s="28">
        <v>25.87</v>
      </c>
      <c r="F37" s="29" t="s">
        <v>209</v>
      </c>
      <c r="G37" s="11">
        <v>29</v>
      </c>
      <c r="H37" s="11">
        <v>12</v>
      </c>
      <c r="I37" s="11">
        <f>Tabla5[[#This Row],[CANTIDAD]]*Tabla5[[#This Row],[Prs/Caja]]</f>
        <v>348</v>
      </c>
      <c r="J37" s="30">
        <f>Tabla5[[#This Row],[COSTO]]*Tabla5[[#This Row],[CANTIDAD]]</f>
        <v>750.23</v>
      </c>
      <c r="K37" s="17"/>
    </row>
    <row r="38" spans="1:11" ht="18.75" x14ac:dyDescent="0.25">
      <c r="A38" s="2">
        <v>7098</v>
      </c>
      <c r="B38" s="11" t="s">
        <v>155</v>
      </c>
      <c r="C38" s="27" t="s">
        <v>213</v>
      </c>
      <c r="D38" s="27"/>
      <c r="E38" s="28">
        <v>17.32</v>
      </c>
      <c r="F38" s="29" t="s">
        <v>209</v>
      </c>
      <c r="G38" s="11">
        <v>7</v>
      </c>
      <c r="H38" s="11">
        <v>6</v>
      </c>
      <c r="I38" s="11">
        <f>Tabla5[[#This Row],[CANTIDAD]]*Tabla5[[#This Row],[Prs/Caja]]</f>
        <v>42</v>
      </c>
      <c r="J38" s="30">
        <f>Tabla5[[#This Row],[COSTO]]*Tabla5[[#This Row],[CANTIDAD]]</f>
        <v>121.24000000000001</v>
      </c>
      <c r="K38" s="17"/>
    </row>
    <row r="39" spans="1:11" ht="47.25" x14ac:dyDescent="0.25">
      <c r="A39" s="2">
        <v>7103</v>
      </c>
      <c r="B39" s="11" t="s">
        <v>155</v>
      </c>
      <c r="C39" s="27" t="s">
        <v>214</v>
      </c>
      <c r="D39" s="27"/>
      <c r="E39" s="28">
        <v>28.63</v>
      </c>
      <c r="F39" s="29" t="s">
        <v>215</v>
      </c>
      <c r="G39" s="11">
        <v>16</v>
      </c>
      <c r="H39" s="11">
        <v>12</v>
      </c>
      <c r="I39" s="11">
        <f>Tabla5[[#This Row],[CANTIDAD]]*Tabla5[[#This Row],[Prs/Caja]]</f>
        <v>192</v>
      </c>
      <c r="J39" s="30">
        <f>Tabla5[[#This Row],[COSTO]]*Tabla5[[#This Row],[CANTIDAD]]</f>
        <v>458.08</v>
      </c>
      <c r="K39" s="17"/>
    </row>
    <row r="40" spans="1:11" ht="18.75" x14ac:dyDescent="0.25">
      <c r="A40" s="2">
        <v>7099</v>
      </c>
      <c r="B40" s="11" t="s">
        <v>155</v>
      </c>
      <c r="C40" s="27" t="s">
        <v>216</v>
      </c>
      <c r="D40" s="27"/>
      <c r="E40" s="28">
        <v>20.11</v>
      </c>
      <c r="F40" s="29" t="s">
        <v>209</v>
      </c>
      <c r="G40" s="11">
        <v>35</v>
      </c>
      <c r="H40" s="11">
        <v>6</v>
      </c>
      <c r="I40" s="11">
        <f>Tabla5[[#This Row],[CANTIDAD]]*Tabla5[[#This Row],[Prs/Caja]]</f>
        <v>210</v>
      </c>
      <c r="J40" s="30">
        <f>Tabla5[[#This Row],[COSTO]]*Tabla5[[#This Row],[CANTIDAD]]</f>
        <v>703.85</v>
      </c>
      <c r="K40" s="17"/>
    </row>
    <row r="41" spans="1:11" ht="18.75" x14ac:dyDescent="0.25">
      <c r="A41" s="2">
        <v>7104</v>
      </c>
      <c r="B41" s="11" t="s">
        <v>155</v>
      </c>
      <c r="C41" s="27" t="s">
        <v>217</v>
      </c>
      <c r="D41" s="27"/>
      <c r="E41" s="28">
        <v>30.09</v>
      </c>
      <c r="F41" s="29" t="s">
        <v>209</v>
      </c>
      <c r="G41" s="11">
        <v>77</v>
      </c>
      <c r="H41" s="11">
        <v>12</v>
      </c>
      <c r="I41" s="11">
        <f>Tabla5[[#This Row],[CANTIDAD]]*Tabla5[[#This Row],[Prs/Caja]]</f>
        <v>924</v>
      </c>
      <c r="J41" s="30">
        <f>Tabla5[[#This Row],[COSTO]]*Tabla5[[#This Row],[CANTIDAD]]</f>
        <v>2316.9299999999998</v>
      </c>
      <c r="K41" s="17"/>
    </row>
    <row r="42" spans="1:11" ht="18.75" x14ac:dyDescent="0.25">
      <c r="B42" s="11" t="s">
        <v>155</v>
      </c>
      <c r="C42" s="27" t="s">
        <v>218</v>
      </c>
      <c r="D42" s="27" t="s">
        <v>563</v>
      </c>
      <c r="E42" s="28">
        <v>26.7</v>
      </c>
      <c r="F42" s="29" t="s">
        <v>219</v>
      </c>
      <c r="G42" s="11">
        <v>20</v>
      </c>
      <c r="H42" s="11">
        <v>12</v>
      </c>
      <c r="I42" s="11">
        <f>Tabla5[[#This Row],[CANTIDAD]]*Tabla5[[#This Row],[Prs/Caja]]</f>
        <v>240</v>
      </c>
      <c r="J42" s="30">
        <f>Tabla5[[#This Row],[COSTO]]*Tabla5[[#This Row],[CANTIDAD]]</f>
        <v>534</v>
      </c>
      <c r="K42" s="17"/>
    </row>
    <row r="43" spans="1:11" ht="18.75" x14ac:dyDescent="0.25">
      <c r="A43" s="2">
        <v>7123</v>
      </c>
      <c r="B43" s="64" t="s">
        <v>155</v>
      </c>
      <c r="C43" s="134" t="s">
        <v>669</v>
      </c>
      <c r="D43" s="134" t="s">
        <v>671</v>
      </c>
      <c r="E43" s="135">
        <v>24.97</v>
      </c>
      <c r="F43" s="136" t="s">
        <v>375</v>
      </c>
      <c r="G43" s="64"/>
      <c r="H43" s="64">
        <v>12</v>
      </c>
      <c r="I43" s="64">
        <f>Tabla5[[#This Row],[CANTIDAD]]*Tabla5[[#This Row],[Prs/Caja]]</f>
        <v>0</v>
      </c>
      <c r="J43" s="137">
        <f>Tabla5[[#This Row],[COSTO]]*Tabla5[[#This Row],[CANTIDAD]]</f>
        <v>0</v>
      </c>
      <c r="K43" s="17"/>
    </row>
    <row r="44" spans="1:11" ht="18.75" x14ac:dyDescent="0.25">
      <c r="A44" s="2">
        <v>7124</v>
      </c>
      <c r="B44" s="64" t="s">
        <v>155</v>
      </c>
      <c r="C44" s="134" t="s">
        <v>669</v>
      </c>
      <c r="D44" s="134" t="s">
        <v>672</v>
      </c>
      <c r="E44" s="135">
        <v>27.19</v>
      </c>
      <c r="F44" s="136" t="s">
        <v>375</v>
      </c>
      <c r="G44" s="64"/>
      <c r="H44" s="64">
        <v>12</v>
      </c>
      <c r="I44" s="64">
        <f>Tabla5[[#This Row],[CANTIDAD]]*Tabla5[[#This Row],[Prs/Caja]]</f>
        <v>0</v>
      </c>
      <c r="J44" s="137">
        <f>Tabla5[[#This Row],[COSTO]]*Tabla5[[#This Row],[CANTIDAD]]</f>
        <v>0</v>
      </c>
      <c r="K44" s="17"/>
    </row>
    <row r="45" spans="1:11" ht="18.75" x14ac:dyDescent="0.25">
      <c r="A45" s="2">
        <v>7125</v>
      </c>
      <c r="B45" s="64" t="s">
        <v>155</v>
      </c>
      <c r="C45" s="134" t="s">
        <v>669</v>
      </c>
      <c r="D45" s="134" t="s">
        <v>673</v>
      </c>
      <c r="E45" s="135">
        <v>28.96</v>
      </c>
      <c r="F45" s="136" t="s">
        <v>375</v>
      </c>
      <c r="G45" s="64"/>
      <c r="H45" s="64">
        <v>12</v>
      </c>
      <c r="I45" s="64">
        <f>Tabla5[[#This Row],[CANTIDAD]]*Tabla5[[#This Row],[Prs/Caja]]</f>
        <v>0</v>
      </c>
      <c r="J45" s="137">
        <f>Tabla5[[#This Row],[COSTO]]*Tabla5[[#This Row],[CANTIDAD]]</f>
        <v>0</v>
      </c>
      <c r="K45" s="17"/>
    </row>
    <row r="46" spans="1:11" ht="30" x14ac:dyDescent="0.25">
      <c r="A46" s="2" t="s">
        <v>677</v>
      </c>
      <c r="B46" s="64" t="s">
        <v>155</v>
      </c>
      <c r="C46" s="134" t="s">
        <v>670</v>
      </c>
      <c r="D46" s="134" t="s">
        <v>676</v>
      </c>
      <c r="E46" s="135">
        <v>27.88</v>
      </c>
      <c r="F46" s="136" t="s">
        <v>674</v>
      </c>
      <c r="G46" s="64">
        <v>52</v>
      </c>
      <c r="H46" s="64">
        <v>6</v>
      </c>
      <c r="I46" s="64">
        <f>Tabla5[[#This Row],[CANTIDAD]]*Tabla5[[#This Row],[Prs/Caja]]</f>
        <v>312</v>
      </c>
      <c r="J46" s="137">
        <f>Tabla5[[#This Row],[COSTO]]*Tabla5[[#This Row],[CANTIDAD]]</f>
        <v>1449.76</v>
      </c>
      <c r="K46" s="17" t="s">
        <v>675</v>
      </c>
    </row>
    <row r="47" spans="1:11" ht="35.1" customHeight="1" x14ac:dyDescent="0.25">
      <c r="B47" s="2"/>
      <c r="C47" s="35"/>
      <c r="D47" s="36"/>
      <c r="E47" s="37"/>
      <c r="F47" s="2"/>
      <c r="G47" s="2"/>
      <c r="H47" s="2"/>
      <c r="I47" s="38"/>
    </row>
    <row r="48" spans="1:11" ht="18.75" x14ac:dyDescent="0.25">
      <c r="C48" s="35"/>
      <c r="D48" s="35"/>
      <c r="E48" s="37"/>
      <c r="G48" s="39">
        <f>SUM(Tabla5[CANTIDAD])</f>
        <v>2386</v>
      </c>
      <c r="H48" s="2"/>
      <c r="I48" s="40">
        <f>SUM(I3:I47)</f>
        <v>26078</v>
      </c>
      <c r="J48" s="40">
        <f>SUM(J3:J47)</f>
        <v>73467.378000000012</v>
      </c>
    </row>
    <row r="49" spans="3:8" ht="18.75" x14ac:dyDescent="0.25">
      <c r="C49" s="35"/>
      <c r="D49" s="35"/>
      <c r="E49" s="37"/>
      <c r="F49" s="2"/>
      <c r="G49" s="2"/>
    </row>
    <row r="50" spans="3:8" ht="18.75" x14ac:dyDescent="0.25">
      <c r="C50" s="35"/>
      <c r="D50" s="35"/>
      <c r="E50" s="37"/>
      <c r="F50" s="2"/>
      <c r="G50" s="2"/>
      <c r="H50" s="2"/>
    </row>
    <row r="51" spans="3:8" ht="18.75" x14ac:dyDescent="0.25">
      <c r="C51" s="35"/>
      <c r="D51" s="35"/>
      <c r="E51" s="37"/>
      <c r="F51" s="2"/>
      <c r="G51" s="2"/>
      <c r="H51" s="2"/>
    </row>
    <row r="52" spans="3:8" ht="18.75" x14ac:dyDescent="0.25">
      <c r="C52" s="35"/>
      <c r="D52" s="35"/>
      <c r="E52" s="37"/>
      <c r="F52" s="2"/>
      <c r="G52" s="2"/>
      <c r="H52" s="2"/>
    </row>
    <row r="53" spans="3:8" ht="18.75" x14ac:dyDescent="0.25">
      <c r="C53" s="35"/>
      <c r="D53" s="35"/>
      <c r="E53" s="37"/>
      <c r="F53" s="2"/>
      <c r="G53" s="2"/>
      <c r="H53" s="2"/>
    </row>
    <row r="54" spans="3:8" ht="18.75" x14ac:dyDescent="0.25">
      <c r="C54" s="35"/>
      <c r="D54" s="35"/>
      <c r="E54" s="37"/>
      <c r="F54" s="2"/>
      <c r="G54" s="2"/>
      <c r="H54" s="2"/>
    </row>
    <row r="55" spans="3:8" ht="18.75" x14ac:dyDescent="0.25">
      <c r="C55" s="35"/>
      <c r="D55" s="35"/>
      <c r="E55" s="37"/>
      <c r="F55" s="2"/>
      <c r="G55" s="2"/>
      <c r="H55" s="2"/>
    </row>
    <row r="56" spans="3:8" ht="18.75" x14ac:dyDescent="0.25">
      <c r="D56" s="35"/>
      <c r="E56" s="37"/>
      <c r="F56" s="2"/>
      <c r="G56" s="2"/>
      <c r="H56" s="2"/>
    </row>
    <row r="57" spans="3:8" ht="18.75" x14ac:dyDescent="0.25">
      <c r="D57" s="41"/>
      <c r="E57" s="41"/>
      <c r="F57" s="2"/>
      <c r="G57" s="2"/>
      <c r="H57" s="2"/>
    </row>
    <row r="58" spans="3:8" ht="18.75" x14ac:dyDescent="0.25">
      <c r="D58" s="41"/>
      <c r="E58" s="41"/>
      <c r="F58" s="2"/>
      <c r="G58" s="2"/>
      <c r="H58" s="2"/>
    </row>
    <row r="59" spans="3:8" ht="18.75" x14ac:dyDescent="0.25">
      <c r="D59" s="41"/>
      <c r="E59" s="41"/>
      <c r="F59" s="2"/>
      <c r="G59" s="2"/>
      <c r="H59" s="2"/>
    </row>
  </sheetData>
  <mergeCells count="1">
    <mergeCell ref="F1:H1"/>
  </mergeCells>
  <phoneticPr fontId="38" type="noConversion"/>
  <pageMargins left="1.39" right="0.7" top="0.17" bottom="0.17" header="0.3" footer="0.17"/>
  <pageSetup fitToHeight="0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AC38-C35B-413C-853A-EDCE168C38CF}">
  <sheetPr codeName="Hoja13">
    <tabColor theme="8" tint="0.39997558519241921"/>
  </sheetPr>
  <dimension ref="A1:N45"/>
  <sheetViews>
    <sheetView zoomScale="70" zoomScaleNormal="70" workbookViewId="0">
      <selection activeCell="D5" sqref="D5"/>
    </sheetView>
  </sheetViews>
  <sheetFormatPr baseColWidth="10" defaultRowHeight="15" x14ac:dyDescent="0.25"/>
  <cols>
    <col min="1" max="1" width="20.85546875" style="17" customWidth="1"/>
    <col min="2" max="2" width="17.42578125" style="17" customWidth="1"/>
    <col min="3" max="3" width="29.7109375" style="17" customWidth="1"/>
    <col min="4" max="4" width="17.42578125" style="17" customWidth="1"/>
    <col min="5" max="5" width="29.85546875" style="17" customWidth="1"/>
    <col min="6" max="6" width="30.28515625" style="47" customWidth="1"/>
    <col min="7" max="8" width="20.5703125" style="47" customWidth="1"/>
    <col min="9" max="9" width="28.7109375" bestFit="1" customWidth="1"/>
    <col min="10" max="10" width="21" customWidth="1"/>
  </cols>
  <sheetData>
    <row r="1" spans="1:10" ht="79.5" customHeight="1" x14ac:dyDescent="0.25">
      <c r="A1" s="42" t="s">
        <v>220</v>
      </c>
      <c r="B1" s="42" t="s">
        <v>221</v>
      </c>
      <c r="C1" s="42" t="s">
        <v>222</v>
      </c>
      <c r="D1" s="42" t="s">
        <v>941</v>
      </c>
      <c r="E1" s="42" t="s">
        <v>223</v>
      </c>
      <c r="F1" s="43" t="s">
        <v>224</v>
      </c>
      <c r="G1" s="43" t="s">
        <v>225</v>
      </c>
      <c r="H1" s="43" t="s">
        <v>988</v>
      </c>
      <c r="I1" s="43" t="s">
        <v>154</v>
      </c>
      <c r="J1" s="44" t="s">
        <v>226</v>
      </c>
    </row>
    <row r="2" spans="1:10" ht="131.25" customHeight="1" x14ac:dyDescent="0.25">
      <c r="A2" s="45" t="s">
        <v>229</v>
      </c>
      <c r="B2" s="45" t="s">
        <v>227</v>
      </c>
      <c r="C2" s="45"/>
      <c r="D2" s="46">
        <v>11505</v>
      </c>
      <c r="E2" s="45" t="s">
        <v>230</v>
      </c>
      <c r="F2" s="48">
        <v>0.7</v>
      </c>
      <c r="G2" s="48">
        <f>+Tabla3[[#This Row],[Costo x pieza]]*Tabla3[[#This Row],[Inventario
19.12.25
(pzs)]]</f>
        <v>8053.4999999999991</v>
      </c>
      <c r="H2" s="45" t="s">
        <v>987</v>
      </c>
    </row>
    <row r="3" spans="1:10" ht="77.25" customHeight="1" x14ac:dyDescent="0.25">
      <c r="A3" s="45" t="s">
        <v>231</v>
      </c>
      <c r="B3" s="45" t="s">
        <v>227</v>
      </c>
      <c r="C3" s="45"/>
      <c r="D3" s="46">
        <v>21499</v>
      </c>
      <c r="E3" s="45" t="s">
        <v>230</v>
      </c>
      <c r="F3" s="48">
        <v>1</v>
      </c>
      <c r="G3" s="48">
        <f>+Tabla3[[#This Row],[Costo x pieza]]*Tabla3[[#This Row],[Inventario
19.12.25
(pzs)]]</f>
        <v>21499</v>
      </c>
      <c r="H3" s="45" t="s">
        <v>987</v>
      </c>
    </row>
    <row r="4" spans="1:10" ht="77.25" customHeight="1" x14ac:dyDescent="0.25">
      <c r="A4" s="45" t="s">
        <v>232</v>
      </c>
      <c r="B4" s="45" t="s">
        <v>227</v>
      </c>
      <c r="C4" s="45"/>
      <c r="D4" s="46">
        <v>25960</v>
      </c>
      <c r="E4" s="45" t="s">
        <v>230</v>
      </c>
      <c r="F4" s="48">
        <v>0.11</v>
      </c>
      <c r="G4" s="48">
        <f>+Tabla3[[#This Row],[Costo x pieza]]*Tabla3[[#This Row],[Inventario
19.12.25
(pzs)]]</f>
        <v>2855.6</v>
      </c>
      <c r="H4" s="45" t="s">
        <v>987</v>
      </c>
      <c r="I4" s="10" t="s">
        <v>233</v>
      </c>
    </row>
    <row r="5" spans="1:10" ht="119.25" customHeight="1" x14ac:dyDescent="0.25">
      <c r="A5" s="45" t="s">
        <v>986</v>
      </c>
      <c r="B5" s="45" t="s">
        <v>227</v>
      </c>
      <c r="C5" s="45"/>
      <c r="D5" s="46">
        <v>66265</v>
      </c>
      <c r="E5" s="45" t="s">
        <v>230</v>
      </c>
      <c r="F5" s="48">
        <v>0</v>
      </c>
      <c r="G5" s="204">
        <f>+Tabla3[[#This Row],[Costo x pieza]]*Tabla3[[#This Row],[Inventario
19.12.25
(pzs)]]</f>
        <v>0</v>
      </c>
      <c r="H5" s="45" t="s">
        <v>989</v>
      </c>
      <c r="I5" s="10"/>
    </row>
    <row r="6" spans="1:10" ht="84" customHeight="1" x14ac:dyDescent="0.25">
      <c r="A6" s="45" t="s">
        <v>234</v>
      </c>
      <c r="B6" s="45" t="s">
        <v>235</v>
      </c>
      <c r="C6" s="45"/>
      <c r="D6" s="46">
        <v>479</v>
      </c>
      <c r="E6" s="45" t="s">
        <v>230</v>
      </c>
      <c r="F6" s="48">
        <v>0.28000000000000003</v>
      </c>
      <c r="G6" s="48">
        <f>+Tabla3[[#This Row],[Costo x pieza]]*Tabla3[[#This Row],[Inventario
19.12.25
(pzs)]]</f>
        <v>134.12</v>
      </c>
      <c r="H6" s="45" t="s">
        <v>987</v>
      </c>
    </row>
    <row r="7" spans="1:10" ht="84.75" customHeight="1" x14ac:dyDescent="0.25">
      <c r="A7" s="45" t="s">
        <v>236</v>
      </c>
      <c r="B7" s="45" t="s">
        <v>237</v>
      </c>
      <c r="C7" s="45"/>
      <c r="D7" s="46">
        <v>350</v>
      </c>
      <c r="E7" s="45" t="s">
        <v>230</v>
      </c>
      <c r="F7" s="48">
        <v>0.28000000000000003</v>
      </c>
      <c r="G7" s="48">
        <f>+Tabla3[[#This Row],[Costo x pieza]]*Tabla3[[#This Row],[Inventario
19.12.25
(pzs)]]</f>
        <v>98.000000000000014</v>
      </c>
      <c r="H7" s="45" t="s">
        <v>987</v>
      </c>
    </row>
    <row r="8" spans="1:10" ht="72.75" customHeight="1" x14ac:dyDescent="0.25">
      <c r="A8" s="45" t="s">
        <v>238</v>
      </c>
      <c r="B8" s="45" t="s">
        <v>239</v>
      </c>
      <c r="C8" s="45"/>
      <c r="D8" s="46">
        <v>503</v>
      </c>
      <c r="E8" s="45" t="s">
        <v>230</v>
      </c>
      <c r="F8" s="48">
        <v>0.15</v>
      </c>
      <c r="G8" s="48">
        <f>+Tabla3[[#This Row],[Costo x pieza]]*Tabla3[[#This Row],[Inventario
19.12.25
(pzs)]]</f>
        <v>75.45</v>
      </c>
      <c r="H8" s="45" t="s">
        <v>987</v>
      </c>
    </row>
    <row r="9" spans="1:10" ht="81" customHeight="1" x14ac:dyDescent="0.25">
      <c r="A9" s="45" t="s">
        <v>240</v>
      </c>
      <c r="B9" s="45" t="s">
        <v>241</v>
      </c>
      <c r="C9" s="45"/>
      <c r="D9" s="46">
        <v>873</v>
      </c>
      <c r="E9" s="45" t="s">
        <v>230</v>
      </c>
      <c r="F9" s="48">
        <v>0.15</v>
      </c>
      <c r="G9" s="48">
        <f>+Tabla3[[#This Row],[Costo x pieza]]*Tabla3[[#This Row],[Inventario
19.12.25
(pzs)]]</f>
        <v>130.94999999999999</v>
      </c>
      <c r="H9" s="45" t="s">
        <v>987</v>
      </c>
    </row>
    <row r="10" spans="1:10" ht="57" customHeight="1" x14ac:dyDescent="0.25">
      <c r="A10" s="45" t="s">
        <v>242</v>
      </c>
      <c r="B10" s="45" t="s">
        <v>243</v>
      </c>
      <c r="C10" s="45"/>
      <c r="D10" s="46">
        <v>407</v>
      </c>
      <c r="E10" s="45" t="s">
        <v>230</v>
      </c>
      <c r="F10" s="48">
        <v>0.37</v>
      </c>
      <c r="G10" s="48">
        <f>+Tabla3[[#This Row],[Costo x pieza]]*Tabla3[[#This Row],[Inventario
19.12.25
(pzs)]]</f>
        <v>150.59</v>
      </c>
      <c r="H10" s="45" t="s">
        <v>989</v>
      </c>
    </row>
    <row r="11" spans="1:10" ht="78" customHeight="1" x14ac:dyDescent="0.25">
      <c r="A11" s="45" t="s">
        <v>244</v>
      </c>
      <c r="B11" s="45" t="s">
        <v>245</v>
      </c>
      <c r="C11" s="45"/>
      <c r="D11" s="46">
        <v>680</v>
      </c>
      <c r="E11" s="45" t="s">
        <v>230</v>
      </c>
      <c r="F11" s="48">
        <v>0.16</v>
      </c>
      <c r="G11" s="48">
        <f>+Tabla3[[#This Row],[Costo x pieza]]*Tabla3[[#This Row],[Inventario
19.12.25
(pzs)]]</f>
        <v>108.8</v>
      </c>
      <c r="H11" s="45" t="s">
        <v>987</v>
      </c>
    </row>
    <row r="12" spans="1:10" ht="73.5" customHeight="1" x14ac:dyDescent="0.25">
      <c r="A12" s="205" t="s">
        <v>246</v>
      </c>
      <c r="B12" s="205" t="s">
        <v>247</v>
      </c>
      <c r="C12" s="45"/>
      <c r="D12" s="206">
        <v>14894</v>
      </c>
      <c r="E12" s="45" t="s">
        <v>228</v>
      </c>
      <c r="F12" s="48">
        <v>0.20849999999999999</v>
      </c>
      <c r="G12" s="48">
        <f>+Tabla3[[#This Row],[Costo x pieza]]*Tabla3[[#This Row],[Inventario
19.12.25
(pzs)]]</f>
        <v>3105.3989999999999</v>
      </c>
      <c r="H12" s="45" t="s">
        <v>987</v>
      </c>
    </row>
    <row r="13" spans="1:10" ht="86.25" customHeight="1" x14ac:dyDescent="0.25">
      <c r="A13" s="205" t="s">
        <v>248</v>
      </c>
      <c r="B13" s="205" t="s">
        <v>249</v>
      </c>
      <c r="C13" s="45"/>
      <c r="D13" s="206">
        <v>9368</v>
      </c>
      <c r="E13" s="45" t="s">
        <v>228</v>
      </c>
      <c r="F13" s="48">
        <v>0.40899999999999997</v>
      </c>
      <c r="G13" s="48">
        <f>+Tabla3[[#This Row],[Costo x pieza]]*Tabla3[[#This Row],[Inventario
19.12.25
(pzs)]]</f>
        <v>3831.5119999999997</v>
      </c>
      <c r="H13" s="45" t="s">
        <v>987</v>
      </c>
    </row>
    <row r="14" spans="1:10" ht="82.5" customHeight="1" x14ac:dyDescent="0.25">
      <c r="A14" s="205" t="s">
        <v>250</v>
      </c>
      <c r="B14" s="205" t="s">
        <v>251</v>
      </c>
      <c r="C14" s="45"/>
      <c r="D14" s="206">
        <v>411</v>
      </c>
      <c r="E14" s="45" t="s">
        <v>230</v>
      </c>
      <c r="F14" s="48">
        <v>0.28000000000000003</v>
      </c>
      <c r="G14" s="48">
        <f>+Tabla3[[#This Row],[Costo x pieza]]*Tabla3[[#This Row],[Inventario
19.12.25
(pzs)]]</f>
        <v>115.08000000000001</v>
      </c>
      <c r="H14" s="45" t="s">
        <v>987</v>
      </c>
    </row>
    <row r="15" spans="1:10" ht="89.25" customHeight="1" x14ac:dyDescent="0.25">
      <c r="A15" s="205" t="s">
        <v>236</v>
      </c>
      <c r="B15" s="205" t="s">
        <v>252</v>
      </c>
      <c r="C15" s="45"/>
      <c r="D15" s="206">
        <v>10</v>
      </c>
      <c r="E15" s="45" t="s">
        <v>230</v>
      </c>
      <c r="F15" s="48">
        <v>0.28000000000000003</v>
      </c>
      <c r="G15" s="48">
        <f>+Tabla3[[#This Row],[Costo x pieza]]*Tabla3[[#This Row],[Inventario
19.12.25
(pzs)]]</f>
        <v>2.8000000000000003</v>
      </c>
      <c r="H15" s="45" t="s">
        <v>987</v>
      </c>
    </row>
    <row r="16" spans="1:10" ht="81" customHeight="1" x14ac:dyDescent="0.25">
      <c r="A16" s="205" t="s">
        <v>253</v>
      </c>
      <c r="B16" s="205" t="s">
        <v>254</v>
      </c>
      <c r="C16" s="45"/>
      <c r="D16" s="206">
        <v>584</v>
      </c>
      <c r="E16" s="45" t="s">
        <v>230</v>
      </c>
      <c r="F16" s="48">
        <v>0.27</v>
      </c>
      <c r="G16" s="48">
        <f>+Tabla3[[#This Row],[Costo x pieza]]*Tabla3[[#This Row],[Inventario
19.12.25
(pzs)]]</f>
        <v>157.68</v>
      </c>
      <c r="H16" s="45" t="s">
        <v>987</v>
      </c>
    </row>
    <row r="17" spans="1:14" ht="84" customHeight="1" x14ac:dyDescent="0.25">
      <c r="A17" s="205" t="s">
        <v>255</v>
      </c>
      <c r="B17" s="205" t="s">
        <v>256</v>
      </c>
      <c r="C17" s="45"/>
      <c r="D17" s="206">
        <v>384</v>
      </c>
      <c r="E17" s="45" t="s">
        <v>230</v>
      </c>
      <c r="F17" s="48">
        <v>0.15</v>
      </c>
      <c r="G17" s="48">
        <f>+Tabla3[[#This Row],[Costo x pieza]]*Tabla3[[#This Row],[Inventario
19.12.25
(pzs)]]</f>
        <v>57.599999999999994</v>
      </c>
      <c r="H17" s="45" t="s">
        <v>987</v>
      </c>
    </row>
    <row r="18" spans="1:14" ht="74.25" customHeight="1" x14ac:dyDescent="0.25">
      <c r="A18" s="205" t="s">
        <v>257</v>
      </c>
      <c r="B18" s="205" t="s">
        <v>258</v>
      </c>
      <c r="C18" s="45"/>
      <c r="D18" s="206">
        <v>405</v>
      </c>
      <c r="E18" s="45" t="s">
        <v>230</v>
      </c>
      <c r="F18" s="48">
        <v>0.26</v>
      </c>
      <c r="G18" s="48">
        <f>+Tabla3[[#This Row],[Costo x pieza]]*Tabla3[[#This Row],[Inventario
19.12.25
(pzs)]]</f>
        <v>105.3</v>
      </c>
      <c r="H18" s="45" t="s">
        <v>987</v>
      </c>
    </row>
    <row r="19" spans="1:14" ht="118.5" customHeight="1" x14ac:dyDescent="0.25">
      <c r="A19" s="205" t="s">
        <v>259</v>
      </c>
      <c r="B19" s="205" t="s">
        <v>260</v>
      </c>
      <c r="C19" s="45"/>
      <c r="D19" s="206">
        <v>646</v>
      </c>
      <c r="E19" s="45" t="s">
        <v>230</v>
      </c>
      <c r="F19" s="48">
        <v>0.26</v>
      </c>
      <c r="G19" s="48">
        <f>+Tabla3[[#This Row],[Costo x pieza]]*Tabla3[[#This Row],[Inventario
19.12.25
(pzs)]]</f>
        <v>167.96</v>
      </c>
      <c r="H19" s="45" t="s">
        <v>987</v>
      </c>
    </row>
    <row r="20" spans="1:14" ht="83.25" customHeight="1" x14ac:dyDescent="0.25">
      <c r="A20" s="205" t="s">
        <v>261</v>
      </c>
      <c r="B20" s="205" t="s">
        <v>262</v>
      </c>
      <c r="C20" s="45"/>
      <c r="D20" s="206">
        <v>133</v>
      </c>
      <c r="E20" s="45" t="s">
        <v>230</v>
      </c>
      <c r="F20" s="48">
        <v>0.17</v>
      </c>
      <c r="G20" s="48">
        <f>+Tabla3[[#This Row],[Costo x pieza]]*Tabla3[[#This Row],[Inventario
19.12.25
(pzs)]]</f>
        <v>22.610000000000003</v>
      </c>
      <c r="H20" s="45" t="s">
        <v>987</v>
      </c>
    </row>
    <row r="21" spans="1:14" ht="107.25" customHeight="1" x14ac:dyDescent="0.25">
      <c r="A21" s="205" t="s">
        <v>263</v>
      </c>
      <c r="B21" s="49" t="s">
        <v>264</v>
      </c>
      <c r="C21" s="2"/>
      <c r="D21" s="206">
        <v>4571</v>
      </c>
      <c r="E21" s="45" t="s">
        <v>230</v>
      </c>
      <c r="F21" s="48">
        <v>0.06</v>
      </c>
      <c r="G21" s="48">
        <f>+Tabla3[[#This Row],[Costo x pieza]]*Tabla3[[#This Row],[Inventario
19.12.25
(pzs)]]</f>
        <v>274.26</v>
      </c>
      <c r="H21" s="45" t="s">
        <v>987</v>
      </c>
    </row>
    <row r="22" spans="1:14" ht="117" customHeight="1" x14ac:dyDescent="0.25">
      <c r="A22" s="45" t="s">
        <v>265</v>
      </c>
      <c r="B22" s="45" t="s">
        <v>266</v>
      </c>
      <c r="C22" s="45"/>
      <c r="D22" s="46">
        <v>6353</v>
      </c>
      <c r="E22" s="45" t="s">
        <v>228</v>
      </c>
      <c r="F22" s="48">
        <v>0.36233333333333334</v>
      </c>
      <c r="G22" s="48">
        <f>+Tabla3[[#This Row],[Costo x pieza]]*Tabla3[[#This Row],[Inventario
19.12.25
(pzs)]]</f>
        <v>2301.9036666666666</v>
      </c>
      <c r="H22" s="45" t="s">
        <v>987</v>
      </c>
    </row>
    <row r="23" spans="1:14" ht="110.25" customHeight="1" x14ac:dyDescent="0.25">
      <c r="A23" s="50" t="s">
        <v>267</v>
      </c>
      <c r="B23" s="49" t="s">
        <v>268</v>
      </c>
      <c r="C23"/>
      <c r="D23" s="46">
        <v>6259</v>
      </c>
      <c r="E23" s="45" t="s">
        <v>228</v>
      </c>
      <c r="F23" s="48">
        <v>0.16533333333333333</v>
      </c>
      <c r="G23" s="48">
        <f>+Tabla3[[#This Row],[Costo x pieza]]*Tabla3[[#This Row],[Inventario
19.12.25
(pzs)]]</f>
        <v>1034.8213333333333</v>
      </c>
      <c r="H23" s="45" t="s">
        <v>987</v>
      </c>
    </row>
    <row r="24" spans="1:14" ht="118.5" customHeight="1" x14ac:dyDescent="0.25">
      <c r="A24" s="45" t="s">
        <v>269</v>
      </c>
      <c r="B24" s="45" t="s">
        <v>270</v>
      </c>
      <c r="C24" s="45"/>
      <c r="D24" s="46">
        <v>4164</v>
      </c>
      <c r="E24" s="45" t="s">
        <v>230</v>
      </c>
      <c r="F24" s="48">
        <v>0.26</v>
      </c>
      <c r="G24" s="48">
        <f>+Tabla3[[#This Row],[Costo x pieza]]*Tabla3[[#This Row],[Inventario
19.12.25
(pzs)]]</f>
        <v>1082.6400000000001</v>
      </c>
      <c r="H24" s="45" t="s">
        <v>987</v>
      </c>
    </row>
    <row r="25" spans="1:14" ht="96.75" customHeight="1" x14ac:dyDescent="0.25">
      <c r="A25" s="50" t="s">
        <v>271</v>
      </c>
      <c r="B25" s="49" t="s">
        <v>272</v>
      </c>
      <c r="C25"/>
      <c r="D25" s="46">
        <v>1085</v>
      </c>
      <c r="E25" s="45" t="s">
        <v>230</v>
      </c>
      <c r="F25" s="48">
        <v>0.25</v>
      </c>
      <c r="G25" s="48">
        <f>+Tabla3[[#This Row],[Costo x pieza]]*Tabla3[[#This Row],[Inventario
19.12.25
(pzs)]]</f>
        <v>271.25</v>
      </c>
      <c r="H25" s="45" t="s">
        <v>987</v>
      </c>
    </row>
    <row r="26" spans="1:14" ht="90" customHeight="1" x14ac:dyDescent="0.25">
      <c r="A26" s="45" t="s">
        <v>273</v>
      </c>
      <c r="B26" s="45" t="s">
        <v>274</v>
      </c>
      <c r="C26" s="45"/>
      <c r="D26" s="46">
        <v>1378</v>
      </c>
      <c r="E26" s="45" t="s">
        <v>230</v>
      </c>
      <c r="F26" s="48">
        <v>0.26</v>
      </c>
      <c r="G26" s="48">
        <f>+Tabla3[[#This Row],[Costo x pieza]]*Tabla3[[#This Row],[Inventario
19.12.25
(pzs)]]</f>
        <v>358.28000000000003</v>
      </c>
      <c r="H26" s="45" t="s">
        <v>987</v>
      </c>
    </row>
    <row r="27" spans="1:14" ht="118.5" customHeight="1" x14ac:dyDescent="0.25">
      <c r="A27" s="50" t="s">
        <v>275</v>
      </c>
      <c r="B27" s="49" t="s">
        <v>276</v>
      </c>
      <c r="C27"/>
      <c r="D27" s="46">
        <v>600</v>
      </c>
      <c r="E27" s="45" t="s">
        <v>230</v>
      </c>
      <c r="F27" s="48">
        <v>6.92</v>
      </c>
      <c r="G27" s="48">
        <f>+Tabla3[[#This Row],[Costo x pieza]]*Tabla3[[#This Row],[Inventario
19.12.25
(pzs)]]</f>
        <v>4152</v>
      </c>
      <c r="H27" s="45" t="s">
        <v>989</v>
      </c>
    </row>
    <row r="28" spans="1:14" ht="87.75" customHeight="1" x14ac:dyDescent="0.25">
      <c r="A28" s="50" t="s">
        <v>406</v>
      </c>
      <c r="B28" s="49" t="s">
        <v>407</v>
      </c>
      <c r="D28" s="46">
        <f>300+220+800+185</f>
        <v>1505</v>
      </c>
      <c r="E28" s="45" t="s">
        <v>228</v>
      </c>
      <c r="F28" s="48">
        <v>0.9</v>
      </c>
      <c r="G28" s="48">
        <f>+Tabla3[[#This Row],[Costo x pieza]]*Tabla3[[#This Row],[Inventario
19.12.25
(pzs)]]</f>
        <v>1354.5</v>
      </c>
      <c r="H28" s="45" t="s">
        <v>989</v>
      </c>
      <c r="I28" s="17" t="s">
        <v>996</v>
      </c>
    </row>
    <row r="29" spans="1:14" ht="87.75" customHeight="1" x14ac:dyDescent="0.25">
      <c r="A29" s="50" t="s">
        <v>406</v>
      </c>
      <c r="B29" s="49" t="s">
        <v>408</v>
      </c>
      <c r="D29" s="46">
        <f>400+560+234+35</f>
        <v>1229</v>
      </c>
      <c r="E29" s="45" t="s">
        <v>228</v>
      </c>
      <c r="F29" s="48">
        <v>0.9</v>
      </c>
      <c r="G29" s="48">
        <f>+Tabla3[[#This Row],[Costo x pieza]]*Tabla3[[#This Row],[Inventario
19.12.25
(pzs)]]</f>
        <v>1106.1000000000001</v>
      </c>
      <c r="H29" s="45" t="s">
        <v>989</v>
      </c>
      <c r="I29" s="17" t="s">
        <v>996</v>
      </c>
    </row>
    <row r="30" spans="1:14" ht="119.25" customHeight="1" x14ac:dyDescent="0.25">
      <c r="A30" s="50" t="s">
        <v>409</v>
      </c>
      <c r="B30" s="49" t="s">
        <v>227</v>
      </c>
      <c r="D30" s="46">
        <f>1000+552+560+119</f>
        <v>2231</v>
      </c>
      <c r="E30" s="45" t="s">
        <v>228</v>
      </c>
      <c r="F30" s="48">
        <v>0.9</v>
      </c>
      <c r="G30" s="48">
        <f>+Tabla3[[#This Row],[Costo x pieza]]*Tabla3[[#This Row],[Inventario
19.12.25
(pzs)]]</f>
        <v>2007.9</v>
      </c>
      <c r="H30" s="45" t="s">
        <v>989</v>
      </c>
      <c r="I30" s="17" t="s">
        <v>996</v>
      </c>
      <c r="N30" s="138"/>
    </row>
    <row r="31" spans="1:14" ht="87.75" customHeight="1" x14ac:dyDescent="0.25">
      <c r="A31" s="50" t="s">
        <v>993</v>
      </c>
      <c r="B31" s="49" t="s">
        <v>994</v>
      </c>
      <c r="D31" s="46">
        <v>420</v>
      </c>
      <c r="E31" s="45" t="s">
        <v>228</v>
      </c>
      <c r="F31" s="48">
        <v>1.5</v>
      </c>
      <c r="G31" s="48">
        <f>+Tabla3[[#This Row],[Costo x pieza]]*Tabla3[[#This Row],[Inventario
19.12.25
(pzs)]]</f>
        <v>630</v>
      </c>
      <c r="H31" s="45" t="s">
        <v>989</v>
      </c>
      <c r="I31" s="17" t="s">
        <v>995</v>
      </c>
      <c r="N31" s="138"/>
    </row>
    <row r="32" spans="1:14" ht="87.75" customHeight="1" x14ac:dyDescent="0.25">
      <c r="A32" s="50" t="s">
        <v>410</v>
      </c>
      <c r="B32" s="49" t="s">
        <v>227</v>
      </c>
      <c r="D32" s="46">
        <v>317</v>
      </c>
      <c r="E32" s="45" t="s">
        <v>228</v>
      </c>
      <c r="F32" s="48">
        <v>1.61</v>
      </c>
      <c r="G32" s="48">
        <f>+Tabla3[[#This Row],[Costo x pieza]]*Tabla3[[#This Row],[Inventario
19.12.25
(pzs)]]</f>
        <v>510.37</v>
      </c>
      <c r="H32" s="45" t="s">
        <v>987</v>
      </c>
      <c r="I32" s="17" t="s">
        <v>411</v>
      </c>
      <c r="N32" s="138"/>
    </row>
    <row r="33" spans="1:9" ht="87.75" customHeight="1" x14ac:dyDescent="0.25">
      <c r="A33" s="50" t="s">
        <v>410</v>
      </c>
      <c r="B33" s="49" t="s">
        <v>227</v>
      </c>
      <c r="D33" s="46">
        <v>1261</v>
      </c>
      <c r="E33" s="45" t="s">
        <v>228</v>
      </c>
      <c r="F33" s="48">
        <v>2.81</v>
      </c>
      <c r="G33" s="48">
        <f>+Tabla3[[#This Row],[Costo x pieza]]*Tabla3[[#This Row],[Inventario
19.12.25
(pzs)]]</f>
        <v>3543.41</v>
      </c>
      <c r="H33" s="207" t="s">
        <v>987</v>
      </c>
      <c r="I33" s="17" t="s">
        <v>663</v>
      </c>
    </row>
    <row r="34" spans="1:9" ht="77.25" customHeight="1" x14ac:dyDescent="0.25">
      <c r="A34" s="208" t="s">
        <v>412</v>
      </c>
      <c r="B34" s="209" t="s">
        <v>227</v>
      </c>
      <c r="C34" s="210"/>
      <c r="D34" s="211">
        <v>7500</v>
      </c>
      <c r="E34" s="207" t="s">
        <v>230</v>
      </c>
      <c r="F34" s="204">
        <v>0</v>
      </c>
      <c r="G34" s="48">
        <f>+Tabla3[[#This Row],[Costo x pieza]]*Tabla3[[#This Row],[Inventario
19.12.25
(pzs)]]</f>
        <v>0</v>
      </c>
      <c r="H34" s="207" t="s">
        <v>989</v>
      </c>
      <c r="I34" s="2" t="s">
        <v>566</v>
      </c>
    </row>
    <row r="35" spans="1:9" ht="69.75" customHeight="1" x14ac:dyDescent="0.25">
      <c r="A35" s="208" t="s">
        <v>413</v>
      </c>
      <c r="B35" s="209" t="s">
        <v>414</v>
      </c>
      <c r="C35" s="212"/>
      <c r="D35" s="211">
        <v>176</v>
      </c>
      <c r="E35" s="207" t="s">
        <v>228</v>
      </c>
      <c r="F35" s="204">
        <v>4</v>
      </c>
      <c r="G35" s="48">
        <f>+Tabla3[[#This Row],[Costo x pieza]]*Tabla3[[#This Row],[Inventario
19.12.25
(pzs)]]</f>
        <v>704</v>
      </c>
      <c r="H35" s="213" t="s">
        <v>989</v>
      </c>
    </row>
    <row r="36" spans="1:9" ht="69.75" customHeight="1" x14ac:dyDescent="0.25">
      <c r="A36" s="214" t="s">
        <v>413</v>
      </c>
      <c r="B36" s="215" t="s">
        <v>415</v>
      </c>
      <c r="C36" s="216"/>
      <c r="D36" s="217">
        <v>111</v>
      </c>
      <c r="E36" s="213" t="s">
        <v>228</v>
      </c>
      <c r="F36" s="218">
        <v>4</v>
      </c>
      <c r="G36" s="48">
        <f>+Tabla3[[#This Row],[Costo x pieza]]*Tabla3[[#This Row],[Inventario
19.12.25
(pzs)]]</f>
        <v>444</v>
      </c>
      <c r="H36" s="45" t="s">
        <v>989</v>
      </c>
    </row>
    <row r="37" spans="1:9" ht="96.75" customHeight="1" x14ac:dyDescent="0.25">
      <c r="A37" s="228" t="s">
        <v>997</v>
      </c>
      <c r="B37" s="229" t="s">
        <v>227</v>
      </c>
      <c r="C37"/>
      <c r="D37" s="230">
        <v>960</v>
      </c>
      <c r="E37" s="231" t="s">
        <v>228</v>
      </c>
      <c r="F37" s="219">
        <v>0.75</v>
      </c>
      <c r="G37" s="204">
        <f>+Tabla3[[#This Row],[Costo x pieza]]*Tabla3[[#This Row],[Inventario
19.12.25
(pzs)]]</f>
        <v>720</v>
      </c>
      <c r="H37" s="45" t="s">
        <v>989</v>
      </c>
    </row>
    <row r="38" spans="1:9" ht="69.75" customHeight="1" x14ac:dyDescent="0.25">
      <c r="A38" s="50" t="s">
        <v>664</v>
      </c>
      <c r="B38" s="49" t="s">
        <v>227</v>
      </c>
      <c r="D38" s="46">
        <v>8000</v>
      </c>
      <c r="E38" s="45" t="s">
        <v>228</v>
      </c>
      <c r="F38" s="179">
        <v>0.31</v>
      </c>
      <c r="G38" s="179">
        <f>F38*D38</f>
        <v>2480</v>
      </c>
      <c r="H38" s="45" t="s">
        <v>990</v>
      </c>
      <c r="I38" s="17" t="s">
        <v>991</v>
      </c>
    </row>
    <row r="39" spans="1:9" ht="69.75" customHeight="1" x14ac:dyDescent="0.25">
      <c r="A39" s="50" t="s">
        <v>687</v>
      </c>
      <c r="B39" s="49" t="s">
        <v>227</v>
      </c>
      <c r="C39"/>
      <c r="D39" s="46">
        <v>141982</v>
      </c>
      <c r="E39" s="45" t="s">
        <v>230</v>
      </c>
      <c r="F39" s="166">
        <v>0</v>
      </c>
      <c r="G39" s="218">
        <f>+Tabla3[[#This Row],[Costo x pieza]]*Tabla3[[#This Row],[Inventario
19.12.25
(pzs)]]</f>
        <v>0</v>
      </c>
      <c r="H39" s="45" t="s">
        <v>990</v>
      </c>
      <c r="I39" s="2" t="s">
        <v>688</v>
      </c>
    </row>
    <row r="40" spans="1:9" ht="69.75" customHeight="1" x14ac:dyDescent="0.25">
      <c r="A40" s="50" t="s">
        <v>689</v>
      </c>
      <c r="B40" s="49" t="s">
        <v>227</v>
      </c>
      <c r="C40"/>
      <c r="D40" s="46">
        <v>250000</v>
      </c>
      <c r="E40" s="45" t="s">
        <v>230</v>
      </c>
      <c r="F40" s="166">
        <v>0</v>
      </c>
      <c r="G40" s="204">
        <f>+Tabla3[[#This Row],[Costo x pieza]]*Tabla3[[#This Row],[Inventario
19.12.25
(pzs)]]</f>
        <v>0</v>
      </c>
      <c r="H40" s="45" t="s">
        <v>987</v>
      </c>
      <c r="I40" s="2" t="s">
        <v>688</v>
      </c>
    </row>
    <row r="41" spans="1:9" ht="97.5" customHeight="1" x14ac:dyDescent="0.25">
      <c r="A41" s="50" t="s">
        <v>690</v>
      </c>
      <c r="B41" s="49" t="s">
        <v>227</v>
      </c>
      <c r="D41" s="46">
        <v>165364</v>
      </c>
      <c r="E41" s="45" t="s">
        <v>230</v>
      </c>
      <c r="F41" s="166">
        <v>0</v>
      </c>
      <c r="G41" s="218">
        <f>+Tabla3[[#This Row],[Costo x pieza]]*Tabla3[[#This Row],[Inventario
19.12.25
(pzs)]]</f>
        <v>0</v>
      </c>
      <c r="H41" s="219" t="s">
        <v>987</v>
      </c>
      <c r="I41" s="2" t="s">
        <v>688</v>
      </c>
    </row>
    <row r="42" spans="1:9" x14ac:dyDescent="0.25">
      <c r="A42" t="s">
        <v>225</v>
      </c>
      <c r="B42"/>
      <c r="C42"/>
      <c r="D42"/>
      <c r="E42"/>
      <c r="F42"/>
      <c r="G42" s="232">
        <f>SUBTOTAL(109,Tabla3[Total])</f>
        <v>63647.385999999999</v>
      </c>
      <c r="H42" s="205">
        <f>SUBTOTAL(103,Tabla3[TIPO DE STOCK])</f>
        <v>40</v>
      </c>
    </row>
    <row r="43" spans="1:9" x14ac:dyDescent="0.25">
      <c r="A43" s="50"/>
      <c r="B43" s="49"/>
      <c r="D43" s="46"/>
      <c r="E43" s="45"/>
      <c r="F43" s="81"/>
      <c r="G43" s="81"/>
      <c r="H43" s="81"/>
    </row>
    <row r="45" spans="1:9" x14ac:dyDescent="0.25">
      <c r="D45" s="51">
        <f>SUM(Tabla3[Inventario
19.12.25
(pzs)])</f>
        <v>760822</v>
      </c>
      <c r="G45" s="47">
        <f>SUM(G2:G41)</f>
        <v>63647.385999999999</v>
      </c>
    </row>
  </sheetData>
  <pageMargins left="0.7" right="0.7" top="0.75" bottom="0.75" header="0.3" footer="0.3"/>
  <pageSetup orientation="portrait" verticalDpi="0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</vt:lpstr>
      <vt:lpstr>Inv_TelaVirgenMov</vt:lpstr>
      <vt:lpstr>Inv_TelaVirgen_SinMov</vt:lpstr>
      <vt:lpstr>TelaNoUtilizable</vt:lpstr>
      <vt:lpstr>Hulera</vt:lpstr>
      <vt:lpstr>carga hule</vt:lpstr>
      <vt:lpstr>Suela Mov</vt:lpstr>
      <vt:lpstr>suela sin  mov</vt:lpstr>
      <vt:lpstr>Almacén_MateriaPrima</vt:lpstr>
      <vt:lpstr>Caja Individual</vt:lpstr>
      <vt:lpstr>Agujeta</vt:lpstr>
      <vt:lpstr>Caja_Embarque</vt:lpstr>
      <vt:lpstr>Etiquetas</vt:lpstr>
      <vt:lpstr>Almacén_MateriaPrima!Área_de_impresión</vt:lpstr>
      <vt:lpstr>'Caja Individual'!Títulos_a_imprimir</vt:lpstr>
      <vt:lpstr>Caja_Embarque!Títulos_a_imprimir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</dc:creator>
  <cp:lastModifiedBy>Jaime Camarena</cp:lastModifiedBy>
  <cp:lastPrinted>2025-12-15T18:17:46Z</cp:lastPrinted>
  <dcterms:created xsi:type="dcterms:W3CDTF">2023-12-18T15:44:50Z</dcterms:created>
  <dcterms:modified xsi:type="dcterms:W3CDTF">2026-01-21T01:15:28Z</dcterms:modified>
</cp:coreProperties>
</file>