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xr:revisionPtr revIDLastSave="2443" documentId="8_{F91D47DA-1F4B-4F54-B3B4-78710B4F9130}" xr6:coauthVersionLast="47" xr6:coauthVersionMax="47" xr10:uidLastSave="{C4C5C573-3C05-4E56-9E69-89C47821EAE0}"/>
  <bookViews>
    <workbookView xWindow="-108" yWindow="-108" windowWidth="30936" windowHeight="16896" tabRatio="754" xr2:uid="{00000000-000D-0000-FFFF-FFFF00000000}"/>
  </bookViews>
  <sheets>
    <sheet name="Valuation main" sheetId="14" r:id="rId1"/>
    <sheet name="FCFF" sheetId="23" r:id="rId2"/>
    <sheet name="WACC" sheetId="24" r:id="rId3"/>
    <sheet name="IS_more" sheetId="18" r:id="rId4"/>
    <sheet name="BS_More" sheetId="20" r:id="rId5"/>
    <sheet name="CF_More" sheetId="22" r:id="rId6"/>
    <sheet name="Key Stats" sheetId="16" r:id="rId7"/>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24" l="1"/>
  <c r="C12" i="14"/>
  <c r="C30" i="23" l="1"/>
  <c r="B120" i="14" a="1"/>
  <c r="B120" i="14" s="1"/>
  <c r="C25" i="23"/>
  <c r="Y10" i="23"/>
  <c r="X10" i="23"/>
  <c r="W10" i="23"/>
  <c r="V10" i="23"/>
  <c r="U10" i="23"/>
  <c r="T10" i="23"/>
  <c r="S10" i="23"/>
  <c r="R10" i="23"/>
  <c r="Q10" i="23"/>
  <c r="P10" i="23"/>
  <c r="O10" i="23"/>
  <c r="N10" i="23"/>
  <c r="M10" i="23"/>
  <c r="L10" i="23"/>
  <c r="K10" i="23"/>
  <c r="J10" i="23"/>
  <c r="I10" i="23"/>
  <c r="H10" i="23"/>
  <c r="G10" i="23"/>
  <c r="Y9" i="23"/>
  <c r="X9" i="23"/>
  <c r="W9" i="23"/>
  <c r="V9" i="23"/>
  <c r="U9" i="23"/>
  <c r="T9" i="23"/>
  <c r="S9" i="23"/>
  <c r="R9" i="23"/>
  <c r="Q9" i="23"/>
  <c r="P9" i="23"/>
  <c r="O9" i="23"/>
  <c r="N9" i="23"/>
  <c r="M9" i="23"/>
  <c r="L9" i="23"/>
  <c r="K9" i="23"/>
  <c r="J9" i="23"/>
  <c r="I9" i="23"/>
  <c r="H9" i="23"/>
  <c r="G9" i="23"/>
  <c r="V11" i="23" l="1"/>
  <c r="I11" i="23"/>
  <c r="M11" i="23"/>
  <c r="Q11" i="23"/>
  <c r="U11" i="23"/>
  <c r="Y11" i="23"/>
  <c r="J11" i="23"/>
  <c r="N11" i="23"/>
  <c r="R11" i="23"/>
  <c r="G11" i="23"/>
  <c r="K11" i="23"/>
  <c r="O11" i="23"/>
  <c r="S11" i="23"/>
  <c r="W11" i="23"/>
  <c r="H11" i="23"/>
  <c r="L11" i="23"/>
  <c r="P11" i="23"/>
  <c r="T11" i="23"/>
  <c r="X11" i="23"/>
  <c r="C14" i="23" l="1"/>
  <c r="D14" i="23"/>
  <c r="E14" i="23"/>
  <c r="F14" i="23"/>
  <c r="G14" i="23"/>
  <c r="H14" i="23"/>
  <c r="I14" i="23"/>
  <c r="J14" i="23"/>
  <c r="K14" i="23"/>
  <c r="L14" i="23"/>
  <c r="M14" i="23"/>
  <c r="N14" i="23"/>
  <c r="O14" i="23"/>
  <c r="P14" i="23"/>
  <c r="Q14" i="23"/>
  <c r="R14" i="23"/>
  <c r="S14" i="23"/>
  <c r="T14" i="23"/>
  <c r="U14" i="23"/>
  <c r="V14" i="23"/>
  <c r="W14" i="23"/>
  <c r="X14" i="23"/>
  <c r="Y14" i="23"/>
  <c r="C10" i="14"/>
  <c r="C4" i="24"/>
  <c r="C6" i="24" s="1"/>
  <c r="C13" i="14"/>
  <c r="C11" i="14"/>
  <c r="C20" i="24"/>
  <c r="C8" i="24"/>
  <c r="C7" i="24"/>
  <c r="M17" i="23"/>
  <c r="N17" i="23"/>
  <c r="O17" i="23"/>
  <c r="P17" i="23"/>
  <c r="Q17" i="23"/>
  <c r="R17" i="23"/>
  <c r="S17" i="23"/>
  <c r="T17" i="23"/>
  <c r="U17" i="23"/>
  <c r="V17" i="23"/>
  <c r="W17" i="23"/>
  <c r="X17" i="23"/>
  <c r="Y17" i="23"/>
  <c r="L17" i="23"/>
  <c r="M18" i="23"/>
  <c r="N18" i="23"/>
  <c r="O18" i="23"/>
  <c r="P18" i="23"/>
  <c r="Q18" i="23"/>
  <c r="R18" i="23"/>
  <c r="S18" i="23"/>
  <c r="T18" i="23"/>
  <c r="U18" i="23"/>
  <c r="V18" i="23"/>
  <c r="W18" i="23"/>
  <c r="X18" i="23"/>
  <c r="Y18" i="23"/>
  <c r="L18" i="23"/>
  <c r="D3" i="23"/>
  <c r="E3" i="23" s="1"/>
  <c r="F3" i="23" s="1"/>
  <c r="G3" i="23" s="1"/>
  <c r="H3" i="23" s="1"/>
  <c r="I3" i="23" s="1"/>
  <c r="J3" i="23" s="1"/>
  <c r="K3" i="23" s="1"/>
  <c r="L3" i="23" s="1"/>
  <c r="M3" i="23" s="1"/>
  <c r="N3" i="23" s="1"/>
  <c r="O3" i="23" s="1"/>
  <c r="P3" i="23" s="1"/>
  <c r="Q3" i="23" s="1"/>
  <c r="R3" i="23" s="1"/>
  <c r="S3" i="23" s="1"/>
  <c r="T3" i="23" s="1"/>
  <c r="U3" i="23" s="1"/>
  <c r="C26" i="23" s="1"/>
  <c r="C4" i="23"/>
  <c r="D4" i="23"/>
  <c r="E4" i="23"/>
  <c r="F4" i="23"/>
  <c r="G4" i="23"/>
  <c r="G12" i="23" s="1"/>
  <c r="H4" i="23"/>
  <c r="H12" i="23" s="1"/>
  <c r="I4" i="23"/>
  <c r="I12" i="23" s="1"/>
  <c r="J4" i="23"/>
  <c r="J12" i="23" s="1"/>
  <c r="K4" i="23"/>
  <c r="K12" i="23" s="1"/>
  <c r="C5" i="23"/>
  <c r="D5" i="23"/>
  <c r="E5" i="23"/>
  <c r="F5" i="23"/>
  <c r="G5" i="23"/>
  <c r="H5" i="23"/>
  <c r="I5" i="23"/>
  <c r="J5" i="23"/>
  <c r="K5" i="23"/>
  <c r="C15" i="23"/>
  <c r="D15" i="23"/>
  <c r="E15" i="23"/>
  <c r="F15" i="23"/>
  <c r="G15" i="23"/>
  <c r="H15" i="23"/>
  <c r="I15" i="23"/>
  <c r="J15" i="23"/>
  <c r="K15" i="23"/>
  <c r="C16" i="23"/>
  <c r="D16" i="23"/>
  <c r="E16" i="23"/>
  <c r="F16" i="23"/>
  <c r="G16" i="23"/>
  <c r="H16" i="23"/>
  <c r="I16" i="23"/>
  <c r="J16" i="23"/>
  <c r="K16" i="23"/>
  <c r="C6" i="23"/>
  <c r="D6" i="23"/>
  <c r="E6" i="23"/>
  <c r="F6" i="23"/>
  <c r="G6" i="23"/>
  <c r="H6" i="23"/>
  <c r="I6" i="23"/>
  <c r="J6" i="23"/>
  <c r="K6" i="23"/>
  <c r="D54" i="23"/>
  <c r="E54" i="23"/>
  <c r="F54" i="23"/>
  <c r="C54" i="23"/>
  <c r="L5" i="23"/>
  <c r="M5" i="23"/>
  <c r="N5" i="23"/>
  <c r="O5" i="23"/>
  <c r="P5" i="23"/>
  <c r="Q5" i="23"/>
  <c r="R5" i="23"/>
  <c r="S5" i="23"/>
  <c r="T5" i="23"/>
  <c r="U5" i="23"/>
  <c r="V5" i="23"/>
  <c r="W5" i="23"/>
  <c r="X5" i="23"/>
  <c r="Y5" i="23"/>
  <c r="Y6" i="23"/>
  <c r="F51" i="23" s="1"/>
  <c r="X6" i="23"/>
  <c r="E51" i="23" s="1"/>
  <c r="W6" i="23"/>
  <c r="D51" i="23" s="1"/>
  <c r="V6" i="23"/>
  <c r="C51" i="23" s="1"/>
  <c r="U6" i="23"/>
  <c r="T6" i="23"/>
  <c r="S6" i="23"/>
  <c r="R6" i="23"/>
  <c r="Q6" i="23"/>
  <c r="P6" i="23"/>
  <c r="O6" i="23"/>
  <c r="N6" i="23"/>
  <c r="M6" i="23"/>
  <c r="L6" i="23"/>
  <c r="Y16" i="23"/>
  <c r="X16" i="23"/>
  <c r="W16" i="23"/>
  <c r="V16" i="23"/>
  <c r="U16" i="23"/>
  <c r="T16" i="23"/>
  <c r="S16" i="23"/>
  <c r="R16" i="23"/>
  <c r="Q16" i="23"/>
  <c r="P16" i="23"/>
  <c r="O16" i="23"/>
  <c r="N16" i="23"/>
  <c r="M16" i="23"/>
  <c r="L16" i="23"/>
  <c r="Y15" i="23"/>
  <c r="X15" i="23"/>
  <c r="W15" i="23"/>
  <c r="V15" i="23"/>
  <c r="U15" i="23"/>
  <c r="T15" i="23"/>
  <c r="S15" i="23"/>
  <c r="R15" i="23"/>
  <c r="Q15" i="23"/>
  <c r="P15" i="23"/>
  <c r="O15" i="23"/>
  <c r="N15" i="23"/>
  <c r="M15" i="23"/>
  <c r="L15" i="23"/>
  <c r="AA15" i="23" s="1"/>
  <c r="Y4" i="23"/>
  <c r="Y12" i="23" s="1"/>
  <c r="X4" i="23"/>
  <c r="X12" i="23" s="1"/>
  <c r="W4" i="23"/>
  <c r="V4" i="23"/>
  <c r="V12" i="23" s="1"/>
  <c r="U4" i="23"/>
  <c r="T4" i="23"/>
  <c r="T12" i="23" s="1"/>
  <c r="S4" i="23"/>
  <c r="R4" i="23"/>
  <c r="R12" i="23" s="1"/>
  <c r="Q4" i="23"/>
  <c r="Q12" i="23" s="1"/>
  <c r="P4" i="23"/>
  <c r="P12" i="23" s="1"/>
  <c r="O4" i="23"/>
  <c r="O12" i="23" s="1"/>
  <c r="N4" i="23"/>
  <c r="N12" i="23" s="1"/>
  <c r="M4" i="23"/>
  <c r="M12" i="23" s="1"/>
  <c r="L4" i="23"/>
  <c r="H48" i="23"/>
  <c r="G48" i="23"/>
  <c r="J48" i="23" l="1"/>
  <c r="I48" i="23"/>
  <c r="K48" i="23"/>
  <c r="L48" i="23"/>
  <c r="M48" i="23"/>
  <c r="AA16" i="23"/>
  <c r="C41" i="23" s="1"/>
  <c r="AA5" i="23"/>
  <c r="T13" i="23"/>
  <c r="Q13" i="23"/>
  <c r="S8" i="23"/>
  <c r="W8" i="23"/>
  <c r="L8" i="23"/>
  <c r="U12" i="23"/>
  <c r="C27" i="23"/>
  <c r="X13" i="23"/>
  <c r="Y13" i="23"/>
  <c r="R13" i="23"/>
  <c r="W12" i="23"/>
  <c r="W13" i="23" s="1"/>
  <c r="L7" i="23"/>
  <c r="L12" i="23"/>
  <c r="V13" i="23" s="1"/>
  <c r="S7" i="23"/>
  <c r="S12" i="23"/>
  <c r="S13" i="23" s="1"/>
  <c r="H8" i="23"/>
  <c r="P8" i="23"/>
  <c r="T8" i="23"/>
  <c r="X8" i="23"/>
  <c r="O8" i="23"/>
  <c r="K8" i="23"/>
  <c r="G8" i="23"/>
  <c r="Q8" i="23"/>
  <c r="U8" i="23"/>
  <c r="Y8" i="23"/>
  <c r="N8" i="23"/>
  <c r="J8" i="23"/>
  <c r="R8" i="23"/>
  <c r="V8" i="23"/>
  <c r="M8" i="23"/>
  <c r="I8" i="23"/>
  <c r="C23" i="24"/>
  <c r="C26" i="24" s="1"/>
  <c r="C24" i="24"/>
  <c r="K7" i="23"/>
  <c r="I7" i="23"/>
  <c r="X19" i="23"/>
  <c r="X20" i="23" s="1"/>
  <c r="Y19" i="23"/>
  <c r="U19" i="23"/>
  <c r="U20" i="23" s="1"/>
  <c r="Q19" i="23"/>
  <c r="Q20" i="23" s="1"/>
  <c r="M19" i="23"/>
  <c r="M20" i="23" s="1"/>
  <c r="S19" i="23"/>
  <c r="S20" i="23" s="1"/>
  <c r="E7" i="23"/>
  <c r="J7" i="23"/>
  <c r="G7" i="23"/>
  <c r="W19" i="23"/>
  <c r="W20" i="23" s="1"/>
  <c r="F7" i="23"/>
  <c r="V19" i="23"/>
  <c r="V20" i="23" s="1"/>
  <c r="R19" i="23"/>
  <c r="R20" i="23" s="1"/>
  <c r="T19" i="23"/>
  <c r="T20" i="23" s="1"/>
  <c r="P19" i="23"/>
  <c r="P20" i="23" s="1"/>
  <c r="O19" i="23"/>
  <c r="O20" i="23" s="1"/>
  <c r="L19" i="23"/>
  <c r="L20" i="23" s="1"/>
  <c r="N19" i="23"/>
  <c r="N20" i="23" s="1"/>
  <c r="H7" i="23"/>
  <c r="D7" i="23"/>
  <c r="C29" i="23"/>
  <c r="V7" i="23"/>
  <c r="N7" i="23"/>
  <c r="Z5" i="23"/>
  <c r="C28" i="23" s="1"/>
  <c r="R7" i="23"/>
  <c r="Z15" i="23"/>
  <c r="C38" i="23" s="1"/>
  <c r="H54" i="23" s="1"/>
  <c r="O7" i="23"/>
  <c r="W7" i="23"/>
  <c r="T7" i="23"/>
  <c r="Q7" i="23"/>
  <c r="U7" i="23"/>
  <c r="C39" i="23"/>
  <c r="P7" i="23"/>
  <c r="X7" i="23"/>
  <c r="Z16" i="23"/>
  <c r="C40" i="23" s="1"/>
  <c r="H56" i="23" s="1"/>
  <c r="M7" i="23"/>
  <c r="Y7" i="23"/>
  <c r="AA7" i="23" l="1"/>
  <c r="AA20" i="23"/>
  <c r="C43" i="23" s="1"/>
  <c r="C25" i="24"/>
  <c r="F31" i="14" s="1"/>
  <c r="G54" i="23"/>
  <c r="G56" i="23"/>
  <c r="U13" i="23"/>
  <c r="Z13" i="23" s="1"/>
  <c r="C32" i="23" s="1"/>
  <c r="C31" i="23"/>
  <c r="AC7" i="23"/>
  <c r="H51" i="23" s="1"/>
  <c r="Y20" i="23"/>
  <c r="F59" i="23"/>
  <c r="C66" i="23"/>
  <c r="Z20" i="23"/>
  <c r="C42" i="23" s="1"/>
  <c r="C37" i="23"/>
  <c r="Z7" i="23"/>
  <c r="C36" i="23" s="1"/>
  <c r="C31" i="14" l="1"/>
  <c r="G31" i="14"/>
  <c r="H31" i="14"/>
  <c r="D38" i="14" s="1"/>
  <c r="D39" i="14" s="1"/>
  <c r="D40" i="14" s="1"/>
  <c r="D41" i="14" s="1"/>
  <c r="D42" i="14" s="1"/>
  <c r="D43" i="14" s="1"/>
  <c r="D44" i="14" s="1"/>
  <c r="D45" i="14" s="1"/>
  <c r="D46" i="14" s="1"/>
  <c r="D47" i="14" s="1"/>
  <c r="D48" i="14" s="1"/>
  <c r="D49" i="14" s="1"/>
  <c r="D50" i="14" s="1"/>
  <c r="D51" i="14" s="1"/>
  <c r="D52" i="14" s="1"/>
  <c r="D53" i="14" s="1"/>
  <c r="D54" i="14" s="1"/>
  <c r="D55" i="14" s="1"/>
  <c r="D56" i="14" s="1"/>
  <c r="D57" i="14" s="1"/>
  <c r="D58" i="14" s="1"/>
  <c r="D59" i="14" s="1"/>
  <c r="D60" i="14" s="1"/>
  <c r="D61" i="14" s="1"/>
  <c r="D62" i="14" s="1"/>
  <c r="D63" i="14" s="1"/>
  <c r="D64" i="14" s="1"/>
  <c r="D65" i="14" s="1"/>
  <c r="D66" i="14" s="1"/>
  <c r="D67" i="14" s="1"/>
  <c r="D68" i="14" s="1"/>
  <c r="D69" i="14" s="1"/>
  <c r="D70" i="14" s="1"/>
  <c r="D71" i="14" s="1"/>
  <c r="D72" i="14" s="1"/>
  <c r="D73" i="14" s="1"/>
  <c r="D74" i="14" s="1"/>
  <c r="D75" i="14" s="1"/>
  <c r="D76" i="14" s="1"/>
  <c r="D77" i="14" s="1"/>
  <c r="D78" i="14" s="1"/>
  <c r="D79" i="14" s="1"/>
  <c r="D80" i="14" s="1"/>
  <c r="D81" i="14" s="1"/>
  <c r="D82" i="14" s="1"/>
  <c r="D83" i="14" s="1"/>
  <c r="D84" i="14" s="1"/>
  <c r="D85" i="14" s="1"/>
  <c r="D86" i="14" s="1"/>
  <c r="D87" i="14" s="1"/>
  <c r="D88" i="14" s="1"/>
  <c r="D89" i="14" s="1"/>
  <c r="D90" i="14" s="1"/>
  <c r="D91" i="14" s="1"/>
  <c r="D92" i="14" s="1"/>
  <c r="D93" i="14" s="1"/>
  <c r="D94" i="14" s="1"/>
  <c r="D95" i="14" s="1"/>
  <c r="D96" i="14" s="1"/>
  <c r="D97" i="14" s="1"/>
  <c r="D98" i="14" s="1"/>
  <c r="D99" i="14" s="1"/>
  <c r="D100" i="14" s="1"/>
  <c r="D101" i="14" s="1"/>
  <c r="D102" i="14" s="1"/>
  <c r="D103" i="14" s="1"/>
  <c r="D104" i="14" s="1"/>
  <c r="D105" i="14" s="1"/>
  <c r="D106" i="14" s="1"/>
  <c r="D107" i="14" s="1"/>
  <c r="E31" i="14"/>
  <c r="D31" i="14"/>
  <c r="N66" i="23"/>
  <c r="K66" i="23"/>
  <c r="I66" i="23"/>
  <c r="C34" i="23"/>
  <c r="C35" i="23" s="1"/>
  <c r="I59" i="23"/>
  <c r="J59" i="23"/>
  <c r="K59" i="23"/>
  <c r="M59" i="23"/>
  <c r="H59" i="23"/>
  <c r="G59" i="23"/>
  <c r="G60" i="23" s="1"/>
  <c r="L59" i="23"/>
  <c r="L56" i="23"/>
  <c r="L54" i="23"/>
  <c r="J54" i="23"/>
  <c r="J56" i="23"/>
  <c r="I56" i="23"/>
  <c r="I54" i="23"/>
  <c r="K54" i="23"/>
  <c r="K56" i="23"/>
  <c r="M54" i="23"/>
  <c r="M56" i="23"/>
  <c r="I49" i="23"/>
  <c r="I50" i="23" s="1"/>
  <c r="M49" i="23"/>
  <c r="M50" i="23" s="1"/>
  <c r="L49" i="23"/>
  <c r="J49" i="23"/>
  <c r="J50" i="23" s="1"/>
  <c r="G49" i="23"/>
  <c r="G50" i="23" s="1"/>
  <c r="H49" i="23"/>
  <c r="H50" i="23" s="1"/>
  <c r="K49" i="23"/>
  <c r="K50" i="23" s="1"/>
  <c r="G51" i="23"/>
  <c r="K51" i="23"/>
  <c r="I51" i="23"/>
  <c r="L51" i="23"/>
  <c r="J51" i="23"/>
  <c r="M51" i="23"/>
  <c r="AB7" i="23"/>
  <c r="H55" i="23"/>
  <c r="G55" i="23"/>
  <c r="O66" i="23" l="1"/>
  <c r="B66" i="23" a="1"/>
  <c r="B66" i="23" s="1"/>
  <c r="B38" i="14" a="1"/>
  <c r="B38" i="14" s="1"/>
  <c r="J66" i="23"/>
  <c r="L50" i="23"/>
  <c r="F66" i="23" s="1"/>
  <c r="D66" i="23"/>
  <c r="D67" i="23" s="1"/>
  <c r="D68" i="23" s="1"/>
  <c r="D69" i="23" s="1"/>
  <c r="D70" i="23" s="1"/>
  <c r="D71" i="23" s="1"/>
  <c r="D72" i="23" s="1"/>
  <c r="D73" i="23" s="1"/>
  <c r="D74" i="23" s="1"/>
  <c r="D75" i="23" s="1"/>
  <c r="D76" i="23" s="1"/>
  <c r="D77" i="23" s="1"/>
  <c r="D78" i="23" s="1"/>
  <c r="D79" i="23" s="1"/>
  <c r="D80" i="23" s="1"/>
  <c r="D81" i="23" s="1"/>
  <c r="D82" i="23" s="1"/>
  <c r="D83" i="23" s="1"/>
  <c r="D84" i="23" s="1"/>
  <c r="D85" i="23" s="1"/>
  <c r="D86" i="23" s="1"/>
  <c r="D87" i="23" s="1"/>
  <c r="D88" i="23" s="1"/>
  <c r="D89" i="23" s="1"/>
  <c r="D90" i="23" s="1"/>
  <c r="D91" i="23" s="1"/>
  <c r="D92" i="23" s="1"/>
  <c r="D93" i="23" s="1"/>
  <c r="D94" i="23" s="1"/>
  <c r="D95" i="23" s="1"/>
  <c r="D96" i="23" s="1"/>
  <c r="D97" i="23" s="1"/>
  <c r="D98" i="23" s="1"/>
  <c r="D99" i="23" s="1"/>
  <c r="D100" i="23" s="1"/>
  <c r="D101" i="23" s="1"/>
  <c r="D102" i="23" s="1"/>
  <c r="D103" i="23" s="1"/>
  <c r="D104" i="23" s="1"/>
  <c r="D105" i="23" s="1"/>
  <c r="D106" i="23" s="1"/>
  <c r="D107" i="23" s="1"/>
  <c r="D108" i="23" s="1"/>
  <c r="D109" i="23" s="1"/>
  <c r="D110" i="23" s="1"/>
  <c r="D111" i="23" s="1"/>
  <c r="D112" i="23" s="1"/>
  <c r="D113" i="23" s="1"/>
  <c r="D114" i="23" s="1"/>
  <c r="D115" i="23" s="1"/>
  <c r="D116" i="23" s="1"/>
  <c r="D117" i="23" s="1"/>
  <c r="D118" i="23" s="1"/>
  <c r="D119" i="23" s="1"/>
  <c r="D120" i="23" s="1"/>
  <c r="D121" i="23" s="1"/>
  <c r="D122" i="23" s="1"/>
  <c r="D123" i="23" s="1"/>
  <c r="D124" i="23" s="1"/>
  <c r="D125" i="23" s="1"/>
  <c r="D126" i="23" s="1"/>
  <c r="D127" i="23" s="1"/>
  <c r="D128" i="23" s="1"/>
  <c r="D129" i="23" s="1"/>
  <c r="D130" i="23" s="1"/>
  <c r="D131" i="23" s="1"/>
  <c r="D132" i="23" s="1"/>
  <c r="D133" i="23" s="1"/>
  <c r="D134" i="23" s="1"/>
  <c r="D135" i="23" s="1"/>
  <c r="I55" i="23"/>
  <c r="J55" i="23"/>
  <c r="K55" i="23"/>
  <c r="M55" i="23"/>
  <c r="M60" i="23"/>
  <c r="L55" i="23"/>
  <c r="I60" i="23"/>
  <c r="L60" i="23"/>
  <c r="J60" i="23"/>
  <c r="K60" i="23"/>
  <c r="H60" i="23"/>
  <c r="G66" i="23" l="1"/>
  <c r="C67" i="23"/>
  <c r="C68" i="23" s="1"/>
  <c r="N68" i="23" s="1"/>
  <c r="E66" i="23"/>
  <c r="G52" i="23"/>
  <c r="H66" i="23" l="1"/>
  <c r="L66" i="23" s="1"/>
  <c r="M66" i="23" s="1"/>
  <c r="P66" i="23" s="1"/>
  <c r="C38" i="14" s="1"/>
  <c r="E38" i="14" s="1"/>
  <c r="I68" i="23"/>
  <c r="K68" i="23"/>
  <c r="F68" i="23"/>
  <c r="E68" i="23"/>
  <c r="C69" i="23"/>
  <c r="N67" i="23"/>
  <c r="O67" i="23" s="1"/>
  <c r="I67" i="23"/>
  <c r="K67" i="23"/>
  <c r="E67" i="23"/>
  <c r="F67" i="23"/>
  <c r="G53" i="23"/>
  <c r="G57" i="23" s="1"/>
  <c r="M52" i="23"/>
  <c r="N69" i="23" l="1"/>
  <c r="O69" i="23" s="1"/>
  <c r="C70" i="23"/>
  <c r="C71" i="23" s="1"/>
  <c r="O68" i="23"/>
  <c r="I69" i="23"/>
  <c r="K69" i="23"/>
  <c r="J67" i="23"/>
  <c r="J68" i="23"/>
  <c r="G67" i="23"/>
  <c r="H67" i="23" s="1"/>
  <c r="G68" i="23"/>
  <c r="H68" i="23" s="1"/>
  <c r="F69" i="23"/>
  <c r="E69" i="23"/>
  <c r="G58" i="23"/>
  <c r="G61" i="23" s="1"/>
  <c r="C30" i="14" s="1"/>
  <c r="C32" i="14" s="1"/>
  <c r="M53" i="23"/>
  <c r="M57" i="23" s="1"/>
  <c r="L52" i="23"/>
  <c r="H52" i="23"/>
  <c r="H53" i="23" s="1"/>
  <c r="H57" i="23" s="1"/>
  <c r="H58" i="23" s="1"/>
  <c r="I52" i="23"/>
  <c r="I53" i="23" s="1"/>
  <c r="I57" i="23" s="1"/>
  <c r="I58" i="23" s="1"/>
  <c r="K52" i="23"/>
  <c r="K53" i="23" s="1"/>
  <c r="K57" i="23" s="1"/>
  <c r="K58" i="23" s="1"/>
  <c r="J52" i="23"/>
  <c r="J53" i="23" s="1"/>
  <c r="J57" i="23" s="1"/>
  <c r="J58" i="23" s="1"/>
  <c r="C72" i="23" l="1"/>
  <c r="I71" i="23"/>
  <c r="E71" i="23"/>
  <c r="K71" i="23"/>
  <c r="N71" i="23"/>
  <c r="F71" i="23"/>
  <c r="K70" i="23"/>
  <c r="N70" i="23"/>
  <c r="O70" i="23" s="1"/>
  <c r="I70" i="23"/>
  <c r="F70" i="23"/>
  <c r="E70" i="23"/>
  <c r="J69" i="23"/>
  <c r="G69" i="23"/>
  <c r="L68" i="23"/>
  <c r="M68" i="23" s="1"/>
  <c r="P68" i="23" s="1"/>
  <c r="C40" i="14" s="1"/>
  <c r="E40" i="14" s="1"/>
  <c r="L67" i="23"/>
  <c r="M67" i="23" s="1"/>
  <c r="P67" i="23" s="1"/>
  <c r="C39" i="14" s="1"/>
  <c r="E39" i="14" s="1"/>
  <c r="M58" i="23"/>
  <c r="M61" i="23" s="1"/>
  <c r="L53" i="23"/>
  <c r="L57" i="23" s="1"/>
  <c r="I61" i="23"/>
  <c r="E30" i="14" s="1"/>
  <c r="E32" i="14" s="1"/>
  <c r="J61" i="23"/>
  <c r="F30" i="14" s="1"/>
  <c r="F32" i="14" s="1"/>
  <c r="K61" i="23"/>
  <c r="G30" i="14" s="1"/>
  <c r="G32" i="14" s="1"/>
  <c r="H61" i="23"/>
  <c r="D30" i="14" s="1"/>
  <c r="D32" i="14" s="1"/>
  <c r="J71" i="23" l="1"/>
  <c r="O71" i="23"/>
  <c r="G70" i="23"/>
  <c r="H70" i="23" s="1"/>
  <c r="G71" i="23"/>
  <c r="H71" i="23" s="1"/>
  <c r="J70" i="23"/>
  <c r="K72" i="23"/>
  <c r="N72" i="23"/>
  <c r="O72" i="23" s="1"/>
  <c r="F72" i="23"/>
  <c r="G72" i="23" s="1"/>
  <c r="C73" i="23"/>
  <c r="I72" i="23"/>
  <c r="E72" i="23"/>
  <c r="H69" i="23"/>
  <c r="L69" i="23" s="1"/>
  <c r="L58" i="23"/>
  <c r="L61" i="23" s="1"/>
  <c r="H30" i="14" s="1"/>
  <c r="H32" i="14" s="1"/>
  <c r="C33" i="14" s="1"/>
  <c r="L71" i="23" l="1"/>
  <c r="M71" i="23" s="1"/>
  <c r="P71" i="23" s="1"/>
  <c r="C43" i="14" s="1"/>
  <c r="E43" i="14" s="1"/>
  <c r="H72" i="23"/>
  <c r="J72" i="23"/>
  <c r="C74" i="23"/>
  <c r="I73" i="23"/>
  <c r="E73" i="23"/>
  <c r="N73" i="23"/>
  <c r="O73" i="23" s="1"/>
  <c r="K73" i="23"/>
  <c r="F73" i="23"/>
  <c r="L70" i="23"/>
  <c r="M70" i="23" s="1"/>
  <c r="P70" i="23" s="1"/>
  <c r="C42" i="14" s="1"/>
  <c r="E42" i="14" s="1"/>
  <c r="M69" i="23"/>
  <c r="L72" i="23" l="1"/>
  <c r="M72" i="23" s="1"/>
  <c r="P72" i="23" s="1"/>
  <c r="C44" i="14" s="1"/>
  <c r="E44" i="14" s="1"/>
  <c r="J73" i="23"/>
  <c r="G73" i="23"/>
  <c r="H73" i="23" s="1"/>
  <c r="K74" i="23"/>
  <c r="N74" i="23"/>
  <c r="O74" i="23" s="1"/>
  <c r="F74" i="23"/>
  <c r="G74" i="23" s="1"/>
  <c r="C75" i="23"/>
  <c r="I74" i="23"/>
  <c r="E74" i="23"/>
  <c r="P69" i="23"/>
  <c r="C41" i="14" s="1"/>
  <c r="E41" i="14" s="1"/>
  <c r="H74" i="23" l="1"/>
  <c r="L73" i="23"/>
  <c r="M73" i="23" s="1"/>
  <c r="P73" i="23" s="1"/>
  <c r="C45" i="14" s="1"/>
  <c r="E45" i="14" s="1"/>
  <c r="J74" i="23"/>
  <c r="C76" i="23"/>
  <c r="I75" i="23"/>
  <c r="E75" i="23"/>
  <c r="N75" i="23"/>
  <c r="O75" i="23" s="1"/>
  <c r="K75" i="23"/>
  <c r="F75" i="23"/>
  <c r="L74" i="23" l="1"/>
  <c r="M74" i="23" s="1"/>
  <c r="P74" i="23" s="1"/>
  <c r="C46" i="14" s="1"/>
  <c r="E46" i="14" s="1"/>
  <c r="J75" i="23"/>
  <c r="K76" i="23"/>
  <c r="N76" i="23"/>
  <c r="F76" i="23"/>
  <c r="C77" i="23"/>
  <c r="I76" i="23"/>
  <c r="E76" i="23"/>
  <c r="G75" i="23"/>
  <c r="H75" i="23" s="1"/>
  <c r="O76" i="23" l="1"/>
  <c r="L75" i="23"/>
  <c r="M75" i="23" s="1"/>
  <c r="P75" i="23" s="1"/>
  <c r="C47" i="14" s="1"/>
  <c r="E47" i="14" s="1"/>
  <c r="J76" i="23"/>
  <c r="C78" i="23"/>
  <c r="I77" i="23"/>
  <c r="E77" i="23"/>
  <c r="F77" i="23"/>
  <c r="G77" i="23" s="1"/>
  <c r="K77" i="23"/>
  <c r="N77" i="23"/>
  <c r="G76" i="23"/>
  <c r="H76" i="23" s="1"/>
  <c r="O77" i="23" l="1"/>
  <c r="L76" i="23"/>
  <c r="M76" i="23" s="1"/>
  <c r="P76" i="23" s="1"/>
  <c r="Q76" i="23" s="1"/>
  <c r="H77" i="23"/>
  <c r="K78" i="23"/>
  <c r="N78" i="23"/>
  <c r="F78" i="23"/>
  <c r="C79" i="23"/>
  <c r="I78" i="23"/>
  <c r="E78" i="23"/>
  <c r="J77" i="23"/>
  <c r="O78" i="23" l="1"/>
  <c r="C48" i="14"/>
  <c r="E48" i="14" s="1"/>
  <c r="L77" i="23"/>
  <c r="M77" i="23" s="1"/>
  <c r="P77" i="23" s="1"/>
  <c r="Q77" i="23" s="1"/>
  <c r="J78" i="23"/>
  <c r="C80" i="23"/>
  <c r="I79" i="23"/>
  <c r="J79" i="23" s="1"/>
  <c r="E79" i="23"/>
  <c r="F79" i="23"/>
  <c r="K79" i="23"/>
  <c r="N79" i="23"/>
  <c r="G78" i="23"/>
  <c r="H78" i="23" s="1"/>
  <c r="O79" i="23" l="1"/>
  <c r="C49" i="14"/>
  <c r="E49" i="14" s="1"/>
  <c r="L78" i="23"/>
  <c r="M78" i="23" s="1"/>
  <c r="P78" i="23" s="1"/>
  <c r="Q78" i="23" s="1"/>
  <c r="K80" i="23"/>
  <c r="N80" i="23"/>
  <c r="F80" i="23"/>
  <c r="C81" i="23"/>
  <c r="I80" i="23"/>
  <c r="E80" i="23"/>
  <c r="G79" i="23"/>
  <c r="H79" i="23" s="1"/>
  <c r="L79" i="23" s="1"/>
  <c r="M79" i="23" s="1"/>
  <c r="P79" i="23" l="1"/>
  <c r="Q79" i="23" s="1"/>
  <c r="O80" i="23"/>
  <c r="C50" i="14"/>
  <c r="E50" i="14" s="1"/>
  <c r="J80" i="23"/>
  <c r="C82" i="23"/>
  <c r="I81" i="23"/>
  <c r="J81" i="23" s="1"/>
  <c r="E81" i="23"/>
  <c r="N81" i="23"/>
  <c r="K81" i="23"/>
  <c r="F81" i="23"/>
  <c r="G80" i="23"/>
  <c r="H80" i="23" s="1"/>
  <c r="C51" i="14" l="1"/>
  <c r="E51" i="14" s="1"/>
  <c r="O81" i="23"/>
  <c r="L80" i="23"/>
  <c r="M80" i="23" s="1"/>
  <c r="P80" i="23" s="1"/>
  <c r="Q80" i="23" s="1"/>
  <c r="K82" i="23"/>
  <c r="N82" i="23"/>
  <c r="F82" i="23"/>
  <c r="C83" i="23"/>
  <c r="I82" i="23"/>
  <c r="E82" i="23"/>
  <c r="G81" i="23"/>
  <c r="H81" i="23" s="1"/>
  <c r="L81" i="23" s="1"/>
  <c r="M81" i="23" s="1"/>
  <c r="P81" i="23" l="1"/>
  <c r="Q81" i="23" s="1"/>
  <c r="O82" i="23"/>
  <c r="C52" i="14"/>
  <c r="E52" i="14" s="1"/>
  <c r="C84" i="23"/>
  <c r="I83" i="23"/>
  <c r="E83" i="23"/>
  <c r="F83" i="23"/>
  <c r="G83" i="23" s="1"/>
  <c r="K83" i="23"/>
  <c r="N83" i="23"/>
  <c r="J82" i="23"/>
  <c r="G82" i="23"/>
  <c r="H82" i="23" s="1"/>
  <c r="C53" i="14" l="1"/>
  <c r="E53" i="14" s="1"/>
  <c r="O83" i="23"/>
  <c r="H83" i="23"/>
  <c r="L82" i="23"/>
  <c r="M82" i="23" s="1"/>
  <c r="P82" i="23" s="1"/>
  <c r="Q82" i="23" s="1"/>
  <c r="J83" i="23"/>
  <c r="K84" i="23"/>
  <c r="N84" i="23"/>
  <c r="F84" i="23"/>
  <c r="G84" i="23" s="1"/>
  <c r="C85" i="23"/>
  <c r="I84" i="23"/>
  <c r="E84" i="23"/>
  <c r="O84" i="23" l="1"/>
  <c r="C54" i="14"/>
  <c r="E54" i="14" s="1"/>
  <c r="L83" i="23"/>
  <c r="M83" i="23" s="1"/>
  <c r="P83" i="23" s="1"/>
  <c r="Q83" i="23" s="1"/>
  <c r="H84" i="23"/>
  <c r="J84" i="23"/>
  <c r="C86" i="23"/>
  <c r="I85" i="23"/>
  <c r="E85" i="23"/>
  <c r="F85" i="23"/>
  <c r="K85" i="23"/>
  <c r="N85" i="23"/>
  <c r="O85" i="23" l="1"/>
  <c r="C55" i="14"/>
  <c r="E55" i="14" s="1"/>
  <c r="L84" i="23"/>
  <c r="M84" i="23" s="1"/>
  <c r="P84" i="23" s="1"/>
  <c r="Q84" i="23" s="1"/>
  <c r="G85" i="23"/>
  <c r="H85" i="23" s="1"/>
  <c r="J85" i="23"/>
  <c r="K86" i="23"/>
  <c r="N86" i="23"/>
  <c r="F86" i="23"/>
  <c r="G86" i="23" s="1"/>
  <c r="C87" i="23"/>
  <c r="I86" i="23"/>
  <c r="E86" i="23"/>
  <c r="O86" i="23" l="1"/>
  <c r="C56" i="14"/>
  <c r="E56" i="14" s="1"/>
  <c r="H86" i="23"/>
  <c r="C88" i="23"/>
  <c r="I87" i="23"/>
  <c r="E87" i="23"/>
  <c r="N87" i="23"/>
  <c r="F87" i="23"/>
  <c r="K87" i="23"/>
  <c r="J86" i="23"/>
  <c r="L85" i="23"/>
  <c r="M85" i="23" s="1"/>
  <c r="P85" i="23" s="1"/>
  <c r="Q85" i="23" s="1"/>
  <c r="O87" i="23" l="1"/>
  <c r="C57" i="14"/>
  <c r="E57" i="14" s="1"/>
  <c r="L86" i="23"/>
  <c r="M86" i="23" s="1"/>
  <c r="P86" i="23" s="1"/>
  <c r="Q86" i="23" s="1"/>
  <c r="G87" i="23"/>
  <c r="H87" i="23" s="1"/>
  <c r="J87" i="23"/>
  <c r="K88" i="23"/>
  <c r="N88" i="23"/>
  <c r="F88" i="23"/>
  <c r="C89" i="23"/>
  <c r="I88" i="23"/>
  <c r="J88" i="23" s="1"/>
  <c r="E88" i="23"/>
  <c r="O88" i="23" l="1"/>
  <c r="C58" i="14"/>
  <c r="E58" i="14" s="1"/>
  <c r="L87" i="23"/>
  <c r="M87" i="23" s="1"/>
  <c r="P87" i="23" s="1"/>
  <c r="Q87" i="23" s="1"/>
  <c r="C90" i="23"/>
  <c r="I89" i="23"/>
  <c r="E89" i="23"/>
  <c r="F89" i="23"/>
  <c r="N89" i="23"/>
  <c r="K89" i="23"/>
  <c r="G88" i="23"/>
  <c r="H88" i="23" s="1"/>
  <c r="L88" i="23" s="1"/>
  <c r="M88" i="23" s="1"/>
  <c r="O89" i="23" l="1"/>
  <c r="P88" i="23"/>
  <c r="Q88" i="23" s="1"/>
  <c r="C59" i="14"/>
  <c r="E59" i="14" s="1"/>
  <c r="J89" i="23"/>
  <c r="G89" i="23"/>
  <c r="H89" i="23" s="1"/>
  <c r="K90" i="23"/>
  <c r="N90" i="23"/>
  <c r="C91" i="23"/>
  <c r="F90" i="23"/>
  <c r="G90" i="23" s="1"/>
  <c r="I90" i="23"/>
  <c r="E90" i="23"/>
  <c r="C60" i="14" l="1"/>
  <c r="E60" i="14" s="1"/>
  <c r="O90" i="23"/>
  <c r="L89" i="23"/>
  <c r="M89" i="23" s="1"/>
  <c r="P89" i="23" s="1"/>
  <c r="Q89" i="23" s="1"/>
  <c r="H90" i="23"/>
  <c r="C92" i="23"/>
  <c r="I91" i="23"/>
  <c r="E91" i="23"/>
  <c r="K91" i="23"/>
  <c r="N91" i="23"/>
  <c r="F91" i="23"/>
  <c r="G91" i="23" s="1"/>
  <c r="J90" i="23"/>
  <c r="O91" i="23" l="1"/>
  <c r="C61" i="14"/>
  <c r="E61" i="14" s="1"/>
  <c r="L90" i="23"/>
  <c r="M90" i="23" s="1"/>
  <c r="P90" i="23" s="1"/>
  <c r="Q90" i="23" s="1"/>
  <c r="H91" i="23"/>
  <c r="C93" i="23"/>
  <c r="I92" i="23"/>
  <c r="K92" i="23"/>
  <c r="N92" i="23"/>
  <c r="F92" i="23"/>
  <c r="E92" i="23"/>
  <c r="J91" i="23"/>
  <c r="O92" i="23" l="1"/>
  <c r="C62" i="14"/>
  <c r="E62" i="14" s="1"/>
  <c r="L91" i="23"/>
  <c r="M91" i="23" s="1"/>
  <c r="P91" i="23" s="1"/>
  <c r="Q91" i="23" s="1"/>
  <c r="G92" i="23"/>
  <c r="H92" i="23" s="1"/>
  <c r="K93" i="23"/>
  <c r="C94" i="23"/>
  <c r="I93" i="23"/>
  <c r="J93" i="23" s="1"/>
  <c r="E93" i="23"/>
  <c r="N93" i="23"/>
  <c r="F93" i="23"/>
  <c r="G93" i="23" s="1"/>
  <c r="J92" i="23"/>
  <c r="O93" i="23" l="1"/>
  <c r="C63" i="14"/>
  <c r="E63" i="14" s="1"/>
  <c r="H93" i="23"/>
  <c r="L93" i="23" s="1"/>
  <c r="M93" i="23" s="1"/>
  <c r="L92" i="23"/>
  <c r="M92" i="23" s="1"/>
  <c r="P92" i="23" s="1"/>
  <c r="Q92" i="23" s="1"/>
  <c r="C95" i="23"/>
  <c r="I94" i="23"/>
  <c r="E94" i="23"/>
  <c r="K94" i="23"/>
  <c r="N94" i="23"/>
  <c r="F94" i="23"/>
  <c r="G94" i="23" s="1"/>
  <c r="P93" i="23" l="1"/>
  <c r="Q93" i="23" s="1"/>
  <c r="O94" i="23"/>
  <c r="C64" i="14"/>
  <c r="E64" i="14" s="1"/>
  <c r="H94" i="23"/>
  <c r="K95" i="23"/>
  <c r="N95" i="23"/>
  <c r="F95" i="23"/>
  <c r="G95" i="23" s="1"/>
  <c r="C96" i="23"/>
  <c r="I95" i="23"/>
  <c r="E95" i="23"/>
  <c r="J94" i="23"/>
  <c r="C65" i="14" l="1"/>
  <c r="E65" i="14" s="1"/>
  <c r="O95" i="23"/>
  <c r="H95" i="23"/>
  <c r="L94" i="23"/>
  <c r="M94" i="23" s="1"/>
  <c r="P94" i="23" s="1"/>
  <c r="Q94" i="23" s="1"/>
  <c r="C97" i="23"/>
  <c r="I96" i="23"/>
  <c r="E96" i="23"/>
  <c r="K96" i="23"/>
  <c r="N96" i="23"/>
  <c r="F96" i="23"/>
  <c r="G96" i="23" s="1"/>
  <c r="J95" i="23"/>
  <c r="L95" i="23" l="1"/>
  <c r="M95" i="23" s="1"/>
  <c r="P95" i="23" s="1"/>
  <c r="Q95" i="23" s="1"/>
  <c r="O96" i="23"/>
  <c r="C66" i="14"/>
  <c r="E66" i="14" s="1"/>
  <c r="H96" i="23"/>
  <c r="K97" i="23"/>
  <c r="N97" i="23"/>
  <c r="F97" i="23"/>
  <c r="G97" i="23" s="1"/>
  <c r="C98" i="23"/>
  <c r="I97" i="23"/>
  <c r="E97" i="23"/>
  <c r="J96" i="23"/>
  <c r="C67" i="14" l="1"/>
  <c r="E67" i="14" s="1"/>
  <c r="O97" i="23"/>
  <c r="L96" i="23"/>
  <c r="M96" i="23" s="1"/>
  <c r="P96" i="23" s="1"/>
  <c r="Q96" i="23" s="1"/>
  <c r="H97" i="23"/>
  <c r="C99" i="23"/>
  <c r="I98" i="23"/>
  <c r="J98" i="23" s="1"/>
  <c r="E98" i="23"/>
  <c r="K98" i="23"/>
  <c r="N98" i="23"/>
  <c r="F98" i="23"/>
  <c r="J97" i="23"/>
  <c r="O98" i="23" l="1"/>
  <c r="C68" i="14"/>
  <c r="E68" i="14" s="1"/>
  <c r="L97" i="23"/>
  <c r="M97" i="23" s="1"/>
  <c r="P97" i="23" s="1"/>
  <c r="Q97" i="23" s="1"/>
  <c r="G98" i="23"/>
  <c r="H98" i="23" s="1"/>
  <c r="L98" i="23" s="1"/>
  <c r="M98" i="23" s="1"/>
  <c r="K99" i="23"/>
  <c r="N99" i="23"/>
  <c r="F99" i="23"/>
  <c r="C100" i="23"/>
  <c r="I99" i="23"/>
  <c r="E99" i="23"/>
  <c r="P98" i="23" l="1"/>
  <c r="Q98" i="23" s="1"/>
  <c r="O99" i="23"/>
  <c r="C69" i="14"/>
  <c r="E69" i="14" s="1"/>
  <c r="G99" i="23"/>
  <c r="H99" i="23" s="1"/>
  <c r="C101" i="23"/>
  <c r="I100" i="23"/>
  <c r="J100" i="23" s="1"/>
  <c r="E100" i="23"/>
  <c r="K100" i="23"/>
  <c r="F100" i="23"/>
  <c r="G100" i="23" s="1"/>
  <c r="N100" i="23"/>
  <c r="J99" i="23"/>
  <c r="C70" i="14" l="1"/>
  <c r="E70" i="14" s="1"/>
  <c r="O100" i="23"/>
  <c r="H100" i="23"/>
  <c r="L100" i="23" s="1"/>
  <c r="M100" i="23" s="1"/>
  <c r="L99" i="23"/>
  <c r="M99" i="23" s="1"/>
  <c r="P99" i="23" s="1"/>
  <c r="Q99" i="23" s="1"/>
  <c r="K101" i="23"/>
  <c r="N101" i="23"/>
  <c r="F101" i="23"/>
  <c r="C102" i="23"/>
  <c r="I101" i="23"/>
  <c r="E101" i="23"/>
  <c r="P100" i="23" l="1"/>
  <c r="Q100" i="23" s="1"/>
  <c r="O101" i="23"/>
  <c r="C71" i="14"/>
  <c r="E71" i="14" s="1"/>
  <c r="J101" i="23"/>
  <c r="C103" i="23"/>
  <c r="I102" i="23"/>
  <c r="E102" i="23"/>
  <c r="K102" i="23"/>
  <c r="N102" i="23"/>
  <c r="F102" i="23"/>
  <c r="G101" i="23"/>
  <c r="H101" i="23" s="1"/>
  <c r="C72" i="14" l="1"/>
  <c r="E72" i="14" s="1"/>
  <c r="O102" i="23"/>
  <c r="G102" i="23"/>
  <c r="H102" i="23" s="1"/>
  <c r="L101" i="23"/>
  <c r="M101" i="23" s="1"/>
  <c r="P101" i="23" s="1"/>
  <c r="Q101" i="23" s="1"/>
  <c r="K103" i="23"/>
  <c r="N103" i="23"/>
  <c r="F103" i="23"/>
  <c r="C104" i="23"/>
  <c r="I103" i="23"/>
  <c r="E103" i="23"/>
  <c r="J102" i="23"/>
  <c r="O103" i="23" l="1"/>
  <c r="C73" i="14"/>
  <c r="E73" i="14" s="1"/>
  <c r="C105" i="23"/>
  <c r="I104" i="23"/>
  <c r="J104" i="23" s="1"/>
  <c r="E104" i="23"/>
  <c r="K104" i="23"/>
  <c r="N104" i="23"/>
  <c r="F104" i="23"/>
  <c r="L102" i="23"/>
  <c r="M102" i="23" s="1"/>
  <c r="P102" i="23" s="1"/>
  <c r="Q102" i="23" s="1"/>
  <c r="G103" i="23"/>
  <c r="H103" i="23" s="1"/>
  <c r="J103" i="23"/>
  <c r="O104" i="23" l="1"/>
  <c r="C74" i="14"/>
  <c r="E74" i="14" s="1"/>
  <c r="K105" i="23"/>
  <c r="N105" i="23"/>
  <c r="F105" i="23"/>
  <c r="C106" i="23"/>
  <c r="I105" i="23"/>
  <c r="J105" i="23" s="1"/>
  <c r="E105" i="23"/>
  <c r="G104" i="23"/>
  <c r="H104" i="23" s="1"/>
  <c r="L104" i="23" s="1"/>
  <c r="M104" i="23" s="1"/>
  <c r="L103" i="23"/>
  <c r="M103" i="23" s="1"/>
  <c r="P103" i="23" s="1"/>
  <c r="Q103" i="23" s="1"/>
  <c r="P104" i="23" l="1"/>
  <c r="Q104" i="23" s="1"/>
  <c r="O105" i="23"/>
  <c r="C75" i="14"/>
  <c r="E75" i="14" s="1"/>
  <c r="C107" i="23"/>
  <c r="I106" i="23"/>
  <c r="J106" i="23" s="1"/>
  <c r="E106" i="23"/>
  <c r="K106" i="23"/>
  <c r="N106" i="23"/>
  <c r="F106" i="23"/>
  <c r="G105" i="23"/>
  <c r="H105" i="23" s="1"/>
  <c r="L105" i="23" s="1"/>
  <c r="M105" i="23" s="1"/>
  <c r="C76" i="14" l="1"/>
  <c r="E76" i="14" s="1"/>
  <c r="P105" i="23"/>
  <c r="Q105" i="23" s="1"/>
  <c r="O106" i="23"/>
  <c r="K107" i="23"/>
  <c r="N107" i="23"/>
  <c r="F107" i="23"/>
  <c r="C108" i="23"/>
  <c r="I107" i="23"/>
  <c r="J107" i="23" s="1"/>
  <c r="E107" i="23"/>
  <c r="G106" i="23"/>
  <c r="H106" i="23" s="1"/>
  <c r="L106" i="23" s="1"/>
  <c r="M106" i="23" s="1"/>
  <c r="P106" i="23" l="1"/>
  <c r="Q106" i="23" s="1"/>
  <c r="C77" i="14"/>
  <c r="E77" i="14" s="1"/>
  <c r="O107" i="23"/>
  <c r="C109" i="23"/>
  <c r="I108" i="23"/>
  <c r="E108" i="23"/>
  <c r="K108" i="23"/>
  <c r="F108" i="23"/>
  <c r="N108" i="23"/>
  <c r="G107" i="23"/>
  <c r="H107" i="23" s="1"/>
  <c r="L107" i="23" s="1"/>
  <c r="M107" i="23" s="1"/>
  <c r="C78" i="14" l="1"/>
  <c r="E78" i="14" s="1"/>
  <c r="P107" i="23"/>
  <c r="Q107" i="23" s="1"/>
  <c r="O108" i="23"/>
  <c r="K109" i="23"/>
  <c r="N109" i="23"/>
  <c r="F109" i="23"/>
  <c r="G109" i="23" s="1"/>
  <c r="C110" i="23"/>
  <c r="I109" i="23"/>
  <c r="J109" i="23" s="1"/>
  <c r="E109" i="23"/>
  <c r="G108" i="23"/>
  <c r="H108" i="23" s="1"/>
  <c r="J108" i="23"/>
  <c r="C79" i="14" l="1"/>
  <c r="E79" i="14" s="1"/>
  <c r="O109" i="23"/>
  <c r="L108" i="23"/>
  <c r="M108" i="23" s="1"/>
  <c r="P108" i="23" s="1"/>
  <c r="Q108" i="23" s="1"/>
  <c r="H109" i="23"/>
  <c r="L109" i="23" s="1"/>
  <c r="M109" i="23" s="1"/>
  <c r="C111" i="23"/>
  <c r="I110" i="23"/>
  <c r="E110" i="23"/>
  <c r="K110" i="23"/>
  <c r="N110" i="23"/>
  <c r="F110" i="23"/>
  <c r="P109" i="23" l="1"/>
  <c r="Q109" i="23" s="1"/>
  <c r="O110" i="23"/>
  <c r="C80" i="14"/>
  <c r="E80" i="14" s="1"/>
  <c r="G110" i="23"/>
  <c r="H110" i="23" s="1"/>
  <c r="J110" i="23"/>
  <c r="N111" i="23"/>
  <c r="C112" i="23"/>
  <c r="K111" i="23"/>
  <c r="F111" i="23"/>
  <c r="I111" i="23"/>
  <c r="E111" i="23"/>
  <c r="C81" i="14" l="1"/>
  <c r="E81" i="14" s="1"/>
  <c r="O111" i="23"/>
  <c r="L110" i="23"/>
  <c r="M110" i="23" s="1"/>
  <c r="P110" i="23" s="1"/>
  <c r="Q110" i="23" s="1"/>
  <c r="G111" i="23"/>
  <c r="H111" i="23" s="1"/>
  <c r="N112" i="23"/>
  <c r="F112" i="23"/>
  <c r="K112" i="23"/>
  <c r="C113" i="23"/>
  <c r="I112" i="23"/>
  <c r="E112" i="23"/>
  <c r="J111" i="23"/>
  <c r="O112" i="23" l="1"/>
  <c r="C82" i="14"/>
  <c r="E82" i="14" s="1"/>
  <c r="N113" i="23"/>
  <c r="F113" i="23"/>
  <c r="E113" i="23"/>
  <c r="K113" i="23"/>
  <c r="C114" i="23"/>
  <c r="I113" i="23"/>
  <c r="L111" i="23"/>
  <c r="M111" i="23" s="1"/>
  <c r="P111" i="23" s="1"/>
  <c r="Q111" i="23" s="1"/>
  <c r="G112" i="23"/>
  <c r="H112" i="23" s="1"/>
  <c r="J112" i="23"/>
  <c r="O113" i="23" l="1"/>
  <c r="C83" i="14"/>
  <c r="E83" i="14" s="1"/>
  <c r="L112" i="23"/>
  <c r="M112" i="23" s="1"/>
  <c r="P112" i="23" s="1"/>
  <c r="Q112" i="23" s="1"/>
  <c r="N114" i="23"/>
  <c r="F114" i="23"/>
  <c r="E114" i="23"/>
  <c r="K114" i="23"/>
  <c r="I114" i="23"/>
  <c r="J114" i="23" s="1"/>
  <c r="C115" i="23"/>
  <c r="G113" i="23"/>
  <c r="H113" i="23" s="1"/>
  <c r="J113" i="23"/>
  <c r="O114" i="23" l="1"/>
  <c r="C84" i="14"/>
  <c r="E84" i="14" s="1"/>
  <c r="G114" i="23"/>
  <c r="H114" i="23" s="1"/>
  <c r="L114" i="23" s="1"/>
  <c r="M114" i="23" s="1"/>
  <c r="L113" i="23"/>
  <c r="M113" i="23" s="1"/>
  <c r="P113" i="23" s="1"/>
  <c r="Q113" i="23" s="1"/>
  <c r="N115" i="23"/>
  <c r="F115" i="23"/>
  <c r="I115" i="23"/>
  <c r="J115" i="23" s="1"/>
  <c r="C116" i="23"/>
  <c r="E115" i="23"/>
  <c r="K115" i="23"/>
  <c r="P114" i="23" l="1"/>
  <c r="Q114" i="23" s="1"/>
  <c r="O115" i="23"/>
  <c r="C85" i="14"/>
  <c r="E85" i="14" s="1"/>
  <c r="N116" i="23"/>
  <c r="F116" i="23"/>
  <c r="C117" i="23"/>
  <c r="I116" i="23"/>
  <c r="E116" i="23"/>
  <c r="K116" i="23"/>
  <c r="G115" i="23"/>
  <c r="H115" i="23" s="1"/>
  <c r="L115" i="23" s="1"/>
  <c r="M115" i="23" s="1"/>
  <c r="P115" i="23" l="1"/>
  <c r="Q115" i="23" s="1"/>
  <c r="C86" i="14"/>
  <c r="E86" i="14" s="1"/>
  <c r="O116" i="23"/>
  <c r="J116" i="23"/>
  <c r="K117" i="23"/>
  <c r="N117" i="23"/>
  <c r="F117" i="23"/>
  <c r="I117" i="23"/>
  <c r="E117" i="23"/>
  <c r="C118" i="23"/>
  <c r="G116" i="23"/>
  <c r="H116" i="23" s="1"/>
  <c r="C87" i="14" l="1"/>
  <c r="E87" i="14" s="1"/>
  <c r="O117" i="23"/>
  <c r="L116" i="23"/>
  <c r="M116" i="23" s="1"/>
  <c r="P116" i="23" s="1"/>
  <c r="Q116" i="23" s="1"/>
  <c r="G117" i="23"/>
  <c r="H117" i="23" s="1"/>
  <c r="N118" i="23"/>
  <c r="F118" i="23"/>
  <c r="C119" i="23"/>
  <c r="I118" i="23"/>
  <c r="E118" i="23"/>
  <c r="K118" i="23"/>
  <c r="J117" i="23"/>
  <c r="O118" i="23" l="1"/>
  <c r="C88" i="14"/>
  <c r="E88" i="14" s="1"/>
  <c r="L117" i="23"/>
  <c r="M117" i="23" s="1"/>
  <c r="P117" i="23" s="1"/>
  <c r="Q117" i="23" s="1"/>
  <c r="J118" i="23"/>
  <c r="G118" i="23"/>
  <c r="H118" i="23" s="1"/>
  <c r="K119" i="23"/>
  <c r="N119" i="23"/>
  <c r="F119" i="23"/>
  <c r="I119" i="23"/>
  <c r="J119" i="23" s="1"/>
  <c r="E119" i="23"/>
  <c r="C120" i="23"/>
  <c r="O119" i="23" l="1"/>
  <c r="C89" i="14"/>
  <c r="E89" i="14" s="1"/>
  <c r="L118" i="23"/>
  <c r="M118" i="23" s="1"/>
  <c r="P118" i="23" s="1"/>
  <c r="Q118" i="23" s="1"/>
  <c r="G119" i="23"/>
  <c r="H119" i="23" s="1"/>
  <c r="L119" i="23" s="1"/>
  <c r="M119" i="23" s="1"/>
  <c r="N120" i="23"/>
  <c r="F120" i="23"/>
  <c r="G120" i="23" s="1"/>
  <c r="C121" i="23"/>
  <c r="I120" i="23"/>
  <c r="J120" i="23" s="1"/>
  <c r="E120" i="23"/>
  <c r="K120" i="23"/>
  <c r="P119" i="23" l="1"/>
  <c r="Q119" i="23" s="1"/>
  <c r="O120" i="23"/>
  <c r="C90" i="14"/>
  <c r="E90" i="14" s="1"/>
  <c r="H120" i="23"/>
  <c r="L120" i="23" s="1"/>
  <c r="M120" i="23" s="1"/>
  <c r="K121" i="23"/>
  <c r="N121" i="23"/>
  <c r="F121" i="23"/>
  <c r="G121" i="23" s="1"/>
  <c r="C122" i="23"/>
  <c r="I121" i="23"/>
  <c r="E121" i="23"/>
  <c r="C91" i="14" l="1"/>
  <c r="E91" i="14" s="1"/>
  <c r="P120" i="23"/>
  <c r="Q120" i="23" s="1"/>
  <c r="O121" i="23"/>
  <c r="H121" i="23"/>
  <c r="J121" i="23"/>
  <c r="N122" i="23"/>
  <c r="F122" i="23"/>
  <c r="C123" i="23"/>
  <c r="I122" i="23"/>
  <c r="E122" i="23"/>
  <c r="K122" i="23"/>
  <c r="C92" i="14" l="1"/>
  <c r="E92" i="14" s="1"/>
  <c r="O122" i="23"/>
  <c r="L121" i="23"/>
  <c r="M121" i="23" s="1"/>
  <c r="P121" i="23" s="1"/>
  <c r="Q121" i="23" s="1"/>
  <c r="K123" i="23"/>
  <c r="N123" i="23"/>
  <c r="F123" i="23"/>
  <c r="E123" i="23"/>
  <c r="C124" i="23"/>
  <c r="I123" i="23"/>
  <c r="J123" i="23" s="1"/>
  <c r="G122" i="23"/>
  <c r="H122" i="23" s="1"/>
  <c r="J122" i="23"/>
  <c r="O123" i="23" l="1"/>
  <c r="C93" i="14"/>
  <c r="E93" i="14" s="1"/>
  <c r="L122" i="23"/>
  <c r="M122" i="23" s="1"/>
  <c r="P122" i="23" s="1"/>
  <c r="Q122" i="23" s="1"/>
  <c r="N124" i="23"/>
  <c r="F124" i="23"/>
  <c r="C125" i="23"/>
  <c r="I124" i="23"/>
  <c r="E124" i="23"/>
  <c r="K124" i="23"/>
  <c r="G123" i="23"/>
  <c r="H123" i="23" s="1"/>
  <c r="L123" i="23" s="1"/>
  <c r="M123" i="23" s="1"/>
  <c r="P123" i="23" s="1"/>
  <c r="Q123" i="23" s="1"/>
  <c r="O124" i="23" l="1"/>
  <c r="C94" i="14"/>
  <c r="E94" i="14" s="1"/>
  <c r="C95" i="14"/>
  <c r="E95" i="14" s="1"/>
  <c r="J124" i="23"/>
  <c r="K125" i="23"/>
  <c r="N125" i="23"/>
  <c r="F125" i="23"/>
  <c r="I125" i="23"/>
  <c r="E125" i="23"/>
  <c r="C126" i="23"/>
  <c r="G124" i="23"/>
  <c r="H124" i="23" s="1"/>
  <c r="O125" i="23" l="1"/>
  <c r="L124" i="23"/>
  <c r="M124" i="23" s="1"/>
  <c r="P124" i="23" s="1"/>
  <c r="Q124" i="23" s="1"/>
  <c r="J125" i="23"/>
  <c r="G125" i="23"/>
  <c r="H125" i="23" s="1"/>
  <c r="N126" i="23"/>
  <c r="F126" i="23"/>
  <c r="C127" i="23"/>
  <c r="I126" i="23"/>
  <c r="E126" i="23"/>
  <c r="K126" i="23"/>
  <c r="O126" i="23" l="1"/>
  <c r="C96" i="14"/>
  <c r="E96" i="14" s="1"/>
  <c r="L125" i="23"/>
  <c r="M125" i="23" s="1"/>
  <c r="P125" i="23" s="1"/>
  <c r="Q125" i="23" s="1"/>
  <c r="J126" i="23"/>
  <c r="K127" i="23"/>
  <c r="N127" i="23"/>
  <c r="F127" i="23"/>
  <c r="I127" i="23"/>
  <c r="E127" i="23"/>
  <c r="C128" i="23"/>
  <c r="G126" i="23"/>
  <c r="H126" i="23" s="1"/>
  <c r="O127" i="23" l="1"/>
  <c r="C97" i="14"/>
  <c r="E97" i="14" s="1"/>
  <c r="L126" i="23"/>
  <c r="M126" i="23" s="1"/>
  <c r="P126" i="23" s="1"/>
  <c r="Q126" i="23" s="1"/>
  <c r="N128" i="23"/>
  <c r="F128" i="23"/>
  <c r="C129" i="23"/>
  <c r="I128" i="23"/>
  <c r="E128" i="23"/>
  <c r="K128" i="23"/>
  <c r="J127" i="23"/>
  <c r="G127" i="23"/>
  <c r="H127" i="23" s="1"/>
  <c r="O128" i="23" l="1"/>
  <c r="C98" i="14"/>
  <c r="E98" i="14" s="1"/>
  <c r="L127" i="23"/>
  <c r="M127" i="23" s="1"/>
  <c r="P127" i="23" s="1"/>
  <c r="Q127" i="23" s="1"/>
  <c r="G128" i="23"/>
  <c r="H128" i="23" s="1"/>
  <c r="J128" i="23"/>
  <c r="K129" i="23"/>
  <c r="N129" i="23"/>
  <c r="F129" i="23"/>
  <c r="G129" i="23" s="1"/>
  <c r="C130" i="23"/>
  <c r="I129" i="23"/>
  <c r="E129" i="23"/>
  <c r="O129" i="23" l="1"/>
  <c r="C99" i="14"/>
  <c r="E99" i="14" s="1"/>
  <c r="L128" i="23"/>
  <c r="M128" i="23" s="1"/>
  <c r="P128" i="23" s="1"/>
  <c r="Q128" i="23" s="1"/>
  <c r="H129" i="23"/>
  <c r="N130" i="23"/>
  <c r="F130" i="23"/>
  <c r="G130" i="23" s="1"/>
  <c r="C131" i="23"/>
  <c r="I130" i="23"/>
  <c r="E130" i="23"/>
  <c r="K130" i="23"/>
  <c r="J129" i="23"/>
  <c r="O130" i="23" l="1"/>
  <c r="C100" i="14"/>
  <c r="E100" i="14" s="1"/>
  <c r="H130" i="23"/>
  <c r="L129" i="23"/>
  <c r="M129" i="23" s="1"/>
  <c r="P129" i="23" s="1"/>
  <c r="Q129" i="23" s="1"/>
  <c r="K131" i="23"/>
  <c r="N131" i="23"/>
  <c r="F131" i="23"/>
  <c r="E131" i="23"/>
  <c r="C132" i="23"/>
  <c r="I131" i="23"/>
  <c r="J130" i="23"/>
  <c r="L130" i="23" l="1"/>
  <c r="M130" i="23" s="1"/>
  <c r="P130" i="23" s="1"/>
  <c r="Q130" i="23" s="1"/>
  <c r="O131" i="23"/>
  <c r="C101" i="14"/>
  <c r="E101" i="14" s="1"/>
  <c r="N132" i="23"/>
  <c r="F132" i="23"/>
  <c r="C133" i="23"/>
  <c r="I132" i="23"/>
  <c r="J132" i="23" s="1"/>
  <c r="E132" i="23"/>
  <c r="K132" i="23"/>
  <c r="J131" i="23"/>
  <c r="G131" i="23"/>
  <c r="H131" i="23" s="1"/>
  <c r="C102" i="14" l="1"/>
  <c r="E102" i="14" s="1"/>
  <c r="O132" i="23"/>
  <c r="L131" i="23"/>
  <c r="M131" i="23" s="1"/>
  <c r="P131" i="23" s="1"/>
  <c r="Q131" i="23" s="1"/>
  <c r="G132" i="23"/>
  <c r="H132" i="23" s="1"/>
  <c r="L132" i="23" s="1"/>
  <c r="M132" i="23" s="1"/>
  <c r="K133" i="23"/>
  <c r="N133" i="23"/>
  <c r="F133" i="23"/>
  <c r="I133" i="23"/>
  <c r="E133" i="23"/>
  <c r="C134" i="23"/>
  <c r="P132" i="23" l="1"/>
  <c r="Q132" i="23" s="1"/>
  <c r="O133" i="23"/>
  <c r="C103" i="14"/>
  <c r="E103" i="14" s="1"/>
  <c r="N134" i="23"/>
  <c r="F134" i="23"/>
  <c r="C135" i="23"/>
  <c r="I134" i="23"/>
  <c r="J134" i="23" s="1"/>
  <c r="E134" i="23"/>
  <c r="K134" i="23"/>
  <c r="G133" i="23"/>
  <c r="H133" i="23" s="1"/>
  <c r="J133" i="23"/>
  <c r="C104" i="14" l="1"/>
  <c r="E104" i="14" s="1"/>
  <c r="O134" i="23"/>
  <c r="L133" i="23"/>
  <c r="M133" i="23" s="1"/>
  <c r="P133" i="23" s="1"/>
  <c r="Q133" i="23" s="1"/>
  <c r="G134" i="23"/>
  <c r="H134" i="23" s="1"/>
  <c r="L134" i="23" s="1"/>
  <c r="M134" i="23" s="1"/>
  <c r="K135" i="23"/>
  <c r="N135" i="23"/>
  <c r="F135" i="23"/>
  <c r="G135" i="23" s="1"/>
  <c r="I135" i="23"/>
  <c r="J135" i="23" s="1"/>
  <c r="E135" i="23"/>
  <c r="P134" i="23" l="1"/>
  <c r="Q134" i="23" s="1"/>
  <c r="O135" i="23"/>
  <c r="C105" i="14"/>
  <c r="E105" i="14" s="1"/>
  <c r="H135" i="23"/>
  <c r="L135" i="23" s="1"/>
  <c r="M135" i="23" s="1"/>
  <c r="C106" i="14" l="1"/>
  <c r="E106" i="14" s="1"/>
  <c r="P135" i="23"/>
  <c r="C107" i="14" l="1"/>
  <c r="C112" i="14" s="1"/>
  <c r="Q135" i="23"/>
  <c r="Q136" i="23" s="1"/>
  <c r="E107" i="14" l="1"/>
  <c r="E108" i="14" s="1"/>
  <c r="C113" i="14" l="1"/>
  <c r="C18" i="14" s="1"/>
  <c r="C20" i="14" l="1"/>
  <c r="C21" i="14" s="1"/>
  <c r="C22" i="14" s="1"/>
  <c r="C119" i="14" s="1"/>
  <c r="C23" i="14" l="1"/>
  <c r="C24"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tc={BC5E4A3B-FD06-4AD3-B598-7A2A7A734FDD}</author>
    <author>tc={A9CBB165-F8A2-4A5F-9785-874DB4B57715}</author>
  </authors>
  <commentList>
    <comment ref="C11" authorId="0" shapeId="0" xr:uid="{BC5E4A3B-FD06-4AD3-B598-7A2A7A734FDD}">
      <text>
        <t xml:space="preserve">[Threaded comment]
Your version of Excel allows you to read this threaded comment; however, any edits to it will get removed if the file is opened in a newer version of Excel. Learn more: https://go.microsoft.com/fwlink/?linkid=870924
Comment:
    Technically I should use the MV of debt. I am using the BV of debt as a proxy for that. Using MV of debt won't affect the valuation much. </t>
      </text>
    </comment>
    <comment ref="C19" authorId="1" shapeId="0" xr:uid="{A9CBB165-F8A2-4A5F-9785-874DB4B57715}">
      <text>
        <t>[Threaded comment]
Your version of Excel allows you to read this threaded comment; however, any edits to it will get removed if the file is opened in a newer version of Excel. Learn more: https://go.microsoft.com/fwlink/?linkid=870924
Comment:
    For the first 395 mm$, please refer to TI's 10K for 2022 (Search for "CHIPS" or 395)</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tc={1046A001-7665-47FE-AF0A-248B76E2FD63}</author>
    <author>tc={AB218B71-C0CD-4753-964D-98E95DB72ED1}</author>
    <author>tc={A1A51E05-7BF9-4A3E-ACE9-185F2BCEF755}</author>
    <author>tc={270A5784-7F28-4A88-B4CF-A0AA89D8BCF5}</author>
    <author>tc={CEA02702-85E8-4ADB-A66B-91B24DB7E11B}</author>
    <author>tc={AAB051CE-10F1-45E1-83D6-52C6F21BE48C}</author>
    <author>tc={B44FBCAD-3C32-422C-872E-1241A421E624}</author>
    <author>tc={97E4B3FE-E57B-4D12-8E01-F7C4BE0C09DD}</author>
  </authors>
  <commentList>
    <comment ref="B11" authorId="0" shapeId="0" xr:uid="{1046A001-7665-47FE-AF0A-248B76E2FD63}">
      <text>
        <t>[Threaded comment]
Your version of Excel allows you to read this threaded comment; however, any edits to it will get removed if the file is opened in a newer version of Excel. Learn more: https://go.microsoft.com/fwlink/?linkid=870924
Comment:
    This is the part of COGS that is not CapEx depreciation</t>
      </text>
    </comment>
    <comment ref="B33" authorId="1" shapeId="0" xr:uid="{AB218B71-C0CD-4753-964D-98E95DB72ED1}">
      <text>
        <t xml:space="preserve">[Threaded comment]
Your version of Excel allows you to read this threaded comment; however, any edits to it will get removed if the file is opened in a newer version of Excel. Learn more: https://go.microsoft.com/fwlink/?linkid=870924
Comment:
    Target RMC value is discretionary. If there is one value in this entire valuation that I cannot properly justify, it is this value. </t>
      </text>
    </comment>
    <comment ref="C33" authorId="2" shapeId="0" xr:uid="{A1A51E05-7BF9-4A3E-ACE9-185F2BCEF755}">
      <text>
        <t xml:space="preserve">[Threaded comment]
Your version of Excel allows you to read this threaded comment; however, any edits to it will get removed if the file is opened in a newer version of Excel. Learn more: https://go.microsoft.com/fwlink/?linkid=870924
Comment:
    Is 5% a good target RMC margin? I don't know, but I am averse to making this 0%. TI would at least need silicon ingots for their fabrication plants. Furthermore, changing this to 0% actually won't have a significant impact on the final value of TI's equity. </t>
      </text>
    </comment>
    <comment ref="G47" authorId="3" shapeId="0" xr:uid="{270A5784-7F28-4A88-B4CF-A0AA89D8BCF5}">
      <text>
        <t>[Threaded comment]
Your version of Excel allows you to read this threaded comment; however, any edits to it will get removed if the file is opened in a newer version of Excel. Learn more: https://go.microsoft.com/fwlink/?linkid=870924
Comment:
    TI has been making large capital expenses for three years. I have given it 2 more years of extraordinary capex. They have mentioned that we should expect "above average capital expenses" to continue for a while</t>
      </text>
    </comment>
    <comment ref="I47" authorId="4" shapeId="0" xr:uid="{CEA02702-85E8-4ADB-A66B-91B24DB7E11B}">
      <text>
        <t xml:space="preserve">[Threaded comment]
Your version of Excel allows you to read this threaded comment; however, any edits to it will get removed if the file is opened in a newer version of Excel. Learn more: https://go.microsoft.com/fwlink/?linkid=870924
Comment:
    In this year I have returned CapEx to a normal figure. </t>
      </text>
    </comment>
    <comment ref="L47" authorId="5" shapeId="0" xr:uid="{AAB051CE-10F1-45E1-83D6-52C6F21BE48C}">
      <text>
        <t>[Threaded comment]
Your version of Excel allows you to read this threaded comment; however, any edits to it will get removed if the file is opened in a newer version of Excel. Learn more: https://go.microsoft.com/fwlink/?linkid=870924
Comment:
    The effect of extraordinary CapEx will be felt until 2029 since the last extraordinary capex to have an effect on capex depreciation, i.e., capex of 2025, will see its final portion depreciation in 2029. This is because I have chosen five years as the lifetime of TI's CapEx.</t>
      </text>
    </comment>
    <comment ref="B57" authorId="6" shapeId="0" xr:uid="{B44FBCAD-3C32-422C-872E-1241A421E624}">
      <text>
        <t xml:space="preserve">[Threaded comment]
Your version of Excel allows you to read this threaded comment; however, any edits to it will get removed if the file is opened in a newer version of Excel. Learn more: https://go.microsoft.com/fwlink/?linkid=870924
Comment:
    CapEx depreciation is absorbed in the COGS. So no need to subtract it from Gross profit while calculating op ex.
</t>
      </text>
    </comment>
    <comment ref="L65" authorId="7" shapeId="0" xr:uid="{97E4B3FE-E57B-4D12-8E01-F7C4BE0C09DD}">
      <text>
        <t xml:space="preserve">[Threaded comment]
Your version of Excel allows you to read this threaded comment; however, any edits to it will get removed if the file is opened in a newer version of Excel. Learn more: https://go.microsoft.com/fwlink/?linkid=870924
Comment:
    CapEx depreciation is absorbed in the COGS. So no need to subtract it from Gross profit while calculating op ex.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tc={3114B6C8-2FC2-424A-8FD5-B55BB15BF309}</author>
    <author>tc={CC9F10FF-2E45-46D3-915B-C46C194707A6}</author>
    <author>tc={8E663F2D-82B0-4E65-AA1D-473EFBA486C6}</author>
  </authors>
  <commentList>
    <comment ref="D10" authorId="0" shapeId="0" xr:uid="{3114B6C8-2FC2-424A-8FD5-B55BB15BF309}">
      <text>
        <t>[Threaded comment]
Your version of Excel allows you to read this threaded comment; however, any edits to it will get removed if the file is opened in a newer version of Excel. Learn more: https://go.microsoft.com/fwlink/?linkid=870924
Comment:
    I used U.S. because TI is listed in the U.S. So it doesn't make sense to take global ERP</t>
      </text>
    </comment>
    <comment ref="B16" authorId="1" shapeId="0" xr:uid="{CC9F10FF-2E45-46D3-915B-C46C194707A6}">
      <text>
        <t xml:space="preserve">[Threaded comment]
Your version of Excel allows you to read this threaded comment; however, any edits to it will get removed if the file is opened in a newer version of Excel. Learn more: https://go.microsoft.com/fwlink/?linkid=870924
Comment:
    I am using Beta (5Y) calculated by CapiQ, which is similar to what was computed by Yahoo finance instead of using the bottom up beta method suggested by Prof. Damodaran because if I used that method, I would be overestimating TI's beta. This is because TI is a very different animal than the typical semiconductor company. Prof. Damodaran's bottom up beta method uses semiconductor industry's beta as the base for calculating a company's beta. In TI's case, I don't think it is appropriate to use it. </t>
      </text>
    </comment>
    <comment ref="B25" authorId="2" shapeId="0" xr:uid="{8E663F2D-82B0-4E65-AA1D-473EFBA486C6}">
      <text>
        <t xml:space="preserve">[Threaded comment]
Your version of Excel allows you to read this threaded comment; however, any edits to it will get removed if the file is opened in a newer version of Excel. Learn more: https://go.microsoft.com/fwlink/?linkid=870924
Comment:
    I am not computing a separate WACC for the terminal phase. I think TI is a going concern given the already low beta and slow revenue growth. I don't know why TI isn't using more leverage - which would have given them a much better cost of capital given their excellent margins - but I can't bestow a better D/E ratio and hence a lower cost of capital at any time in the future when the management of the company doesn’t seem to be keen on using more debt now when TI is already in a steady state.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<sst xmlns="http://schemas.openxmlformats.org/spreadsheetml/2006/main" count="1808" uniqueCount="468">
  <si>
    <t>Texas Instruments Incorporated (NasdaqGS:TXN) &gt; Financials &gt; Key Stats</t>
  </si>
  <si>
    <t>In Millions of the trading currency, except per share items.</t>
  </si>
  <si>
    <t>Currency:</t>
  </si>
  <si>
    <t>Trading Currency</t>
  </si>
  <si>
    <t> </t>
  </si>
  <si>
    <t>Conversion:</t>
  </si>
  <si>
    <t>Today's Spot Rate</t>
  </si>
  <si>
    <t>Order:</t>
  </si>
  <si>
    <t>Latest on Right</t>
  </si>
  <si>
    <t>Units:</t>
  </si>
  <si>
    <t>S&amp;P Capital IQ (Default)</t>
  </si>
  <si>
    <t>Decimals:</t>
  </si>
  <si>
    <t>Capital IQ (Default)</t>
  </si>
  <si>
    <t>Dilution:</t>
  </si>
  <si>
    <t>Basic</t>
  </si>
  <si>
    <t>Key Financials¹</t>
  </si>
  <si>
    <t xml:space="preserve">For the Fiscal Period Ending
</t>
  </si>
  <si>
    <t>12 months
Dec-31-2019A</t>
  </si>
  <si>
    <t>12 months
Dec-31-2020A</t>
  </si>
  <si>
    <t>12 months
Dec-31-2021A</t>
  </si>
  <si>
    <t>12 months
Dec-31-2022A</t>
  </si>
  <si>
    <t>LTM²
12 months
Sep-30-2023A</t>
  </si>
  <si>
    <t>12 months†
Dec-31-2023E</t>
  </si>
  <si>
    <t>12 months
Dec-31-2024E</t>
  </si>
  <si>
    <t>12 months
Dec-31-2025E</t>
  </si>
  <si>
    <t>Currency</t>
  </si>
  <si>
    <t>USD</t>
  </si>
  <si>
    <t>Total Revenue</t>
  </si>
  <si>
    <t xml:space="preserve">  Growth Over Prior Year</t>
  </si>
  <si>
    <t>Gross Profit</t>
  </si>
  <si>
    <t>-</t>
  </si>
  <si>
    <t xml:space="preserve">  Margin %</t>
  </si>
  <si>
    <t>EBITDA</t>
  </si>
  <si>
    <t>EBIT</t>
  </si>
  <si>
    <t>Earnings from Cont. Ops.</t>
  </si>
  <si>
    <t>Net Income</t>
  </si>
  <si>
    <t>Diluted EPS Excl. Extra Items³</t>
  </si>
  <si>
    <t>¹All results are taken from the most recently filed statement for each period. When there has been more than one, earlier filings can be viewed on the individual statement pages.</t>
  </si>
  <si>
    <t>²Growth rates for the LTM period are calculated against the LTM period ending 12 months before.</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</si>
  <si>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</si>
  <si>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</si>
  <si>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Current Capitalization (Millions of USD)</t>
  </si>
  <si>
    <t>Share Price</t>
  </si>
  <si>
    <t>Shares Out.</t>
  </si>
  <si>
    <t>Market Capitalization</t>
  </si>
  <si>
    <t>- Cash &amp; Short Term Investments</t>
  </si>
  <si>
    <t>+ Total Debt</t>
  </si>
  <si>
    <t>+ Pref. Equity</t>
  </si>
  <si>
    <t>+ Total Minority Interest</t>
  </si>
  <si>
    <t>- Long Term Marketable Securities</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</si>
  <si>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</si>
  <si>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</si>
  <si>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</si>
  <si>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</si>
  <si>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</si>
  <si>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</si>
  <si>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</si>
  <si>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</si>
  <si>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</si>
  <si>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LTM
12 months
Sep-30-2023A</t>
  </si>
  <si>
    <t>12 months
Dec-31-2023E</t>
  </si>
  <si>
    <t>TEV/Total Revenue</t>
  </si>
  <si>
    <t>TEV/EBITDA</t>
  </si>
  <si>
    <t>TEV/EBIT</t>
  </si>
  <si>
    <t>P/Diluted EPS Before Extra</t>
  </si>
  <si>
    <t>P/BV</t>
  </si>
  <si>
    <t>Price/Tang BV</t>
  </si>
  <si>
    <t xml:space="preserve">
               </t>
  </si>
  <si>
    <t>Texas Instruments Incorporated (NasdaqGS:TXN) &gt; Financials &gt; Income Statement</t>
  </si>
  <si>
    <t>In Millions of the reported currency, except per share items.</t>
  </si>
  <si>
    <t>Template:</t>
  </si>
  <si>
    <t>Standard</t>
  </si>
  <si>
    <t>Restatement:</t>
  </si>
  <si>
    <t>Latest Filings</t>
  </si>
  <si>
    <t>Period Type:</t>
  </si>
  <si>
    <t>Annual</t>
  </si>
  <si>
    <t>Reported Currency</t>
  </si>
  <si>
    <t>Source:</t>
  </si>
  <si>
    <t>Capital IQ &amp; Proprietary Data</t>
  </si>
  <si>
    <t>Income Statement</t>
  </si>
  <si>
    <t>12 months
Dec-31-2018</t>
  </si>
  <si>
    <t>12 months
Dec-31-2019</t>
  </si>
  <si>
    <t>12 months
Dec-31-2020</t>
  </si>
  <si>
    <t>12 months
Dec-31-2021</t>
  </si>
  <si>
    <t>12 months
Dec-31-2022</t>
  </si>
  <si>
    <t>LTM
12 months
Sep-30-2023</t>
  </si>
  <si>
    <t xml:space="preserve"> </t>
  </si>
  <si>
    <t>Revenue</t>
  </si>
  <si>
    <t>Other Revenue</t>
  </si>
  <si>
    <t xml:space="preserve">  Total Revenue</t>
  </si>
  <si>
    <t>Cost Of Goods Sold</t>
  </si>
  <si>
    <t xml:space="preserve">  Gross Profit</t>
  </si>
  <si>
    <t>Selling General &amp; Admin Exp.</t>
  </si>
  <si>
    <t>Stock-Based Compensation</t>
  </si>
  <si>
    <t>R &amp; D Exp.</t>
  </si>
  <si>
    <t>Depreciation &amp; Amort.</t>
  </si>
  <si>
    <t>Amort. of Goodwill and Intangibles</t>
  </si>
  <si>
    <t>Other Operating Expense/(Income)</t>
  </si>
  <si>
    <t xml:space="preserve">  Other Operating Exp., Total</t>
  </si>
  <si>
    <t xml:space="preserve">  Operating Income</t>
  </si>
  <si>
    <t>Interest Expense</t>
  </si>
  <si>
    <t>Interest and Invest. Income</t>
  </si>
  <si>
    <t xml:space="preserve">  Net Interest Exp.</t>
  </si>
  <si>
    <t>Other Non-Operating Inc. (Exp.)</t>
  </si>
  <si>
    <t xml:space="preserve">  EBT Excl. Unusual Items</t>
  </si>
  <si>
    <t>Restructuring Charges</t>
  </si>
  <si>
    <t>Impairment of Goodwill</t>
  </si>
  <si>
    <t>Gain (Loss) On Sale Of Assets</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</si>
  <si>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</si>
  <si>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</si>
  <si>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</si>
  <si>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</si>
  <si>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</si>
  <si>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</si>
  <si>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</si>
  <si>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</si>
  <si>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</si>
  <si>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</si>
  <si>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</si>
  <si>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</si>
  <si>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</si>
  <si>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</si>
  <si>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</si>
  <si>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</si>
  <si>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</si>
  <si>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</si>
  <si>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</si>
  <si>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</si>
  <si>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</si>
  <si>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</si>
  <si>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Payout Ratio %</t>
  </si>
  <si>
    <t>Shares per Depository Receipt</t>
  </si>
  <si>
    <t>Supplemental Items</t>
  </si>
  <si>
    <t>EBITA</t>
  </si>
  <si>
    <t>EBITDAR</t>
  </si>
  <si>
    <t>NA</t>
  </si>
  <si>
    <t>Effective Tax Rate %</t>
  </si>
  <si>
    <t>Current Domestic Taxes</t>
  </si>
  <si>
    <t>Current Foreign Taxes</t>
  </si>
  <si>
    <t>Total Current Taxes</t>
  </si>
  <si>
    <t>Deferred Domestic Taxes</t>
  </si>
  <si>
    <t>Deferred Foreign Taxes</t>
  </si>
  <si>
    <t>Total Deferred Taxes</t>
  </si>
  <si>
    <t>Normalized Net Income</t>
  </si>
  <si>
    <t>Interest on Long Term Debt</t>
  </si>
  <si>
    <t>Non-Cash Pension Expense</t>
  </si>
  <si>
    <t>Filing Date</t>
  </si>
  <si>
    <t>Restatement Type</t>
  </si>
  <si>
    <t>NC</t>
  </si>
  <si>
    <t>O</t>
  </si>
  <si>
    <t>Calculation Type</t>
  </si>
  <si>
    <t>REP</t>
  </si>
  <si>
    <t>LTM</t>
  </si>
  <si>
    <t>Supplemental Operating Expense Items</t>
  </si>
  <si>
    <t>Advertising Exp.</t>
  </si>
  <si>
    <t>R&amp;D Exp.</t>
  </si>
  <si>
    <t>Net Rental Exp.</t>
  </si>
  <si>
    <t>Imputed Oper. Lease Interest Exp.</t>
  </si>
  <si>
    <t>Imputed Oper. Lease Depreciation</t>
  </si>
  <si>
    <t>Stock-Based Comp., COGS</t>
  </si>
  <si>
    <t>Stock-Based Comp., R&amp;D Exp.</t>
  </si>
  <si>
    <t>Stock-Based Comp., SG&amp;A Exp.</t>
  </si>
  <si>
    <t>Stock-Based Comp., Unallocated</t>
  </si>
  <si>
    <t xml:space="preserve">  Stock-Based Comp., Total</t>
  </si>
  <si>
    <t>Note: For multiple class companies, per share items are primary class equivalent, and for foreign companies listed as primary ADRs, per share items are ADR-equivalent.</t>
  </si>
  <si>
    <t>Texas Instruments Incorporated (NasdaqGS:TXN) &gt; Financials &gt; Balance Sheet</t>
  </si>
  <si>
    <t>Balance Sheet</t>
  </si>
  <si>
    <t xml:space="preserve">Balance Sheet as of:
</t>
  </si>
  <si>
    <t>ASSETS</t>
  </si>
  <si>
    <t>Cash And Equivalents</t>
  </si>
  <si>
    <t>Short Term Investments</t>
  </si>
  <si>
    <t xml:space="preserve">  Total Cash &amp; ST Investments</t>
  </si>
  <si>
    <t>Accounts Receivable</t>
  </si>
  <si>
    <t xml:space="preserve">  Total Receivables</t>
  </si>
  <si>
    <t>Inventory</t>
  </si>
  <si>
    <t>Prepaid Exp.</t>
  </si>
  <si>
    <t>Other Current Assets</t>
  </si>
  <si>
    <t xml:space="preserve">  Total Current Assets</t>
  </si>
  <si>
    <t>Gross Property, Plant &amp; Equipment</t>
  </si>
  <si>
    <t>Accumulated Depreciation</t>
  </si>
  <si>
    <t xml:space="preserve">  Net Property, Plant &amp; Equipment</t>
  </si>
  <si>
    <t>Long-term Investments</t>
  </si>
  <si>
    <t>Goodwill</t>
  </si>
  <si>
    <t>Other Intangibles</t>
  </si>
  <si>
    <t>Deferred Tax Assets, LT</t>
  </si>
  <si>
    <t>Other Long-Term Assets</t>
  </si>
  <si>
    <t>Total Assets</t>
  </si>
  <si>
    <t>LIABILITIES</t>
  </si>
  <si>
    <t>Accounts Payable</t>
  </si>
  <si>
    <t>Accrued Exp.</t>
  </si>
  <si>
    <t>Curr. Port. of LT Debt</t>
  </si>
  <si>
    <t>Curr. Port. of Leases</t>
  </si>
  <si>
    <t>Curr. Income Taxes Payable</t>
  </si>
  <si>
    <t>Other Current Liabilities</t>
  </si>
  <si>
    <t xml:space="preserve">  Total Current Liabilities</t>
  </si>
  <si>
    <t>Long-Term Debt</t>
  </si>
  <si>
    <t>Long-Term Leases</t>
  </si>
  <si>
    <t>Pension &amp; Other Post-Retire. Benefits</t>
  </si>
  <si>
    <t>Def. Tax Liability, Non-Curr.</t>
  </si>
  <si>
    <t>Other Non-Current Liabilities</t>
  </si>
  <si>
    <t>Total Liabilities</t>
  </si>
  <si>
    <t>Common Stock</t>
  </si>
  <si>
    <t>Additional Paid In Capital</t>
  </si>
  <si>
    <t>Retained Earnings</t>
  </si>
  <si>
    <t>Treasury Stock</t>
  </si>
  <si>
    <t>Comprehensive Inc. and Other</t>
  </si>
  <si>
    <t xml:space="preserve">  Total Common Equity</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</si>
  <si>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</si>
  <si>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</si>
  <si>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</si>
  <si>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</si>
  <si>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</si>
  <si>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</si>
  <si>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</si>
  <si>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</si>
  <si>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</si>
  <si>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 of Unfunded Proj. Benefit Obligation</t>
  </si>
  <si>
    <t>Debt Equivalent Oper. Leases</t>
  </si>
  <si>
    <t>Equity Method Investments</t>
  </si>
  <si>
    <t>Inventory Method</t>
  </si>
  <si>
    <t>FIFO</t>
  </si>
  <si>
    <t>Raw Materials Inventory</t>
  </si>
  <si>
    <t>Work in Progress Inventory</t>
  </si>
  <si>
    <t>Finished Goods Inventory</t>
  </si>
  <si>
    <t>Land</t>
  </si>
  <si>
    <t>Buildings</t>
  </si>
  <si>
    <t>Machinery</t>
  </si>
  <si>
    <t>Full Time Employees</t>
  </si>
  <si>
    <t>Accum. Allowance for Doubtful Accts</t>
  </si>
  <si>
    <t>RUP</t>
  </si>
  <si>
    <t>Note: For multiple class companies, total share counts are primary class equivalent, and for foreign companies listed as primary ADRs, total share counts are ADR-equivalent.</t>
  </si>
  <si>
    <t>Texas Instruments Incorporated (NasdaqGS:TXN) &gt; Financials &gt; Cash Flow</t>
  </si>
  <si>
    <t>Cash Flow</t>
  </si>
  <si>
    <t>Depreciation &amp; Amort., Total</t>
  </si>
  <si>
    <t>Other Amortization</t>
  </si>
  <si>
    <t>(Gain) Loss From Sale Of Assets</t>
  </si>
  <si>
    <t>Other Operating Activities</t>
  </si>
  <si>
    <t>Change in Acc. Receivable</t>
  </si>
  <si>
    <t>Change In Inventories</t>
  </si>
  <si>
    <t>Change in Acc. Payable</t>
  </si>
  <si>
    <t>Change in Inc. Taxes</t>
  </si>
  <si>
    <t>Change in Other Net Operating Assets</t>
  </si>
  <si>
    <t xml:space="preserve">  Cash from Ops.</t>
  </si>
  <si>
    <t>Capital Expenditure</t>
  </si>
  <si>
    <t>Sale of Property, Plant, and Equipment</t>
  </si>
  <si>
    <t>Cash Acquisitions</t>
  </si>
  <si>
    <t>Divestitures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</si>
  <si>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</si>
  <si>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</si>
  <si>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</si>
  <si>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</si>
  <si>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</si>
  <si>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</si>
  <si>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</si>
  <si>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</si>
  <si>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</si>
  <si>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</si>
  <si>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</si>
  <si>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Repurchase of Common Stock</t>
  </si>
  <si>
    <t>Common Dividends Paid</t>
  </si>
  <si>
    <t>Total Dividends Paid</t>
  </si>
  <si>
    <t>Special Dividend Paid</t>
  </si>
  <si>
    <t>Other Financing Activities</t>
  </si>
  <si>
    <t xml:space="preserve">  Cash from Financing</t>
  </si>
  <si>
    <t xml:space="preserve">  Net Change in Cash</t>
  </si>
  <si>
    <t>Cash Interest Paid</t>
  </si>
  <si>
    <t>Cash Taxes Paid</t>
  </si>
  <si>
    <t>Levered Free Cash Flow</t>
  </si>
  <si>
    <t>Unlevered Free Cash Flow</t>
  </si>
  <si>
    <t>Change in Net Working Capital</t>
  </si>
  <si>
    <t>Net Debt Issued</t>
  </si>
  <si>
    <t>Average</t>
  </si>
  <si>
    <t>NM</t>
  </si>
  <si>
    <t>12 months
Dec-31-2017</t>
  </si>
  <si>
    <t>Reclassified
12 months
Dec-31-2017</t>
  </si>
  <si>
    <t>Ticker</t>
  </si>
  <si>
    <t>TXN</t>
  </si>
  <si>
    <t>Exchange</t>
  </si>
  <si>
    <t>Nasdaq</t>
  </si>
  <si>
    <t>Date of valuation</t>
  </si>
  <si>
    <t>No. of outstanding shares (mm)</t>
  </si>
  <si>
    <t>R&amp;D Depreciation</t>
  </si>
  <si>
    <t>Change in WC</t>
  </si>
  <si>
    <t>12 months
Dec-31-1991A</t>
  </si>
  <si>
    <t>12 months
Dec-31-1992A</t>
  </si>
  <si>
    <t>12 months
Dec-31-1993A</t>
  </si>
  <si>
    <t>12 months
Dec-31-1994A</t>
  </si>
  <si>
    <t>12 months
Dec-31-1995A</t>
  </si>
  <si>
    <t>12 months
Dec-31-1996A</t>
  </si>
  <si>
    <t>12 months
Dec-31-1997A</t>
  </si>
  <si>
    <t>12 months
Dec-31-1998A</t>
  </si>
  <si>
    <t>12 months
Dec-31-1999A</t>
  </si>
  <si>
    <t>12 months
Dec-31-2000A</t>
  </si>
  <si>
    <t>12 months
Dec-31-2001A</t>
  </si>
  <si>
    <t>12 months
Dec-31-2002A</t>
  </si>
  <si>
    <t>12 months
Dec-31-2003A</t>
  </si>
  <si>
    <t>12 months
Dec-31-2004A</t>
  </si>
  <si>
    <t>12 months
Dec-31-2005A</t>
  </si>
  <si>
    <t>12 months
Dec-31-2006A</t>
  </si>
  <si>
    <t>12 months
Dec-31-2007A</t>
  </si>
  <si>
    <t>12 months
Dec-31-2008A</t>
  </si>
  <si>
    <t>12 months
Dec-31-2009A</t>
  </si>
  <si>
    <t>12 months
Dec-31-2010A</t>
  </si>
  <si>
    <t>12 months
Dec-31-2011A</t>
  </si>
  <si>
    <t>12 months
Dec-31-2012A</t>
  </si>
  <si>
    <t>12 months
Dec-31-2013A</t>
  </si>
  <si>
    <t>12 months
Dec-31-2014A</t>
  </si>
  <si>
    <t>12 months
Dec-31-2015A</t>
  </si>
  <si>
    <t>12 months
Dec-31-2016A</t>
  </si>
  <si>
    <t>12 months
Dec-31-2017A</t>
  </si>
  <si>
    <t>12 months
Dec-31-2018A</t>
  </si>
  <si>
    <t>Revenue CAGR (10y)</t>
  </si>
  <si>
    <t>Std. Dev</t>
  </si>
  <si>
    <t>Year</t>
  </si>
  <si>
    <t>Historical</t>
  </si>
  <si>
    <t>12 months
Dec-31-2001</t>
  </si>
  <si>
    <t>Reclassified
12 months
Dec-31-2002</t>
  </si>
  <si>
    <t>12 months
Dec-31-2003</t>
  </si>
  <si>
    <t>Reclassified
12 months
Dec-31-2004</t>
  </si>
  <si>
    <t>Reclassified
12 months
Dec-31-2005</t>
  </si>
  <si>
    <t>Reclassified
12 months
Dec-31-2006</t>
  </si>
  <si>
    <t>Restated
12 months
Dec-31-2007</t>
  </si>
  <si>
    <t>Restated
12 months
Dec-31-2008</t>
  </si>
  <si>
    <t>12 months
Dec-31-2009</t>
  </si>
  <si>
    <t>Reclassified
12 months
Dec-31-2010</t>
  </si>
  <si>
    <t>12 months
Dec-31-2011</t>
  </si>
  <si>
    <t>12 months
Dec-31-2012</t>
  </si>
  <si>
    <t>Reclassified
12 months
Dec-31-2013</t>
  </si>
  <si>
    <t>12 months
Dec-31-2014</t>
  </si>
  <si>
    <t>Reclassified
12 months
Dec-31-2015</t>
  </si>
  <si>
    <t>Reclassified
12 months
Dec-31-2016</t>
  </si>
  <si>
    <t>Income/(Loss) from Affiliates</t>
  </si>
  <si>
    <t>Currency Exchange Gains (Loss)</t>
  </si>
  <si>
    <t>Merger &amp; Related Restruct. Charges</t>
  </si>
  <si>
    <t>Gain (Loss) On Sale Of Invest.</t>
  </si>
  <si>
    <t>In Process R &amp; D Exp.</t>
  </si>
  <si>
    <t>Legal Settlements</t>
  </si>
  <si>
    <t>NI per SFAS 123 (after Options)</t>
  </si>
  <si>
    <t>Interest Capitalized</t>
  </si>
  <si>
    <t>RC</t>
  </si>
  <si>
    <t>RD</t>
  </si>
  <si>
    <t>RS</t>
  </si>
  <si>
    <t>Selling and Marketing Exp.</t>
  </si>
  <si>
    <t>Reclassified
Dec-31-2004</t>
  </si>
  <si>
    <t>Reclassified
Dec-31-2005</t>
  </si>
  <si>
    <t>Restated
Dec-31-2014</t>
  </si>
  <si>
    <t>Deferred Tax Assets, Curr.</t>
  </si>
  <si>
    <t>Deferred Charges, LT</t>
  </si>
  <si>
    <t>Short-term Borrowings</t>
  </si>
  <si>
    <t>Def. Tax Liability, Curr.</t>
  </si>
  <si>
    <t>R&amp;D Expenditure</t>
  </si>
  <si>
    <t>12 months
Dec-31-2002</t>
  </si>
  <si>
    <t>Restated
12 months
Dec-31-2006</t>
  </si>
  <si>
    <t>12 months
Dec-31-2008</t>
  </si>
  <si>
    <t>12 months
Dec-31-2010</t>
  </si>
  <si>
    <t>12 months
Dec-31-2013</t>
  </si>
  <si>
    <t>Restated
12 months
Dec-31-2014</t>
  </si>
  <si>
    <t>Restated
12 months
Dec-31-2015</t>
  </si>
  <si>
    <t>12 months
Dec-31-2016</t>
  </si>
  <si>
    <t>(Gain) Loss On Sale Of Invest.</t>
  </si>
  <si>
    <t>Asset Writedown &amp; Restructuring Costs</t>
  </si>
  <si>
    <t>Net Cash From Discontinued Ops.</t>
  </si>
  <si>
    <t>Foreign Exchange Rate Adj.</t>
  </si>
  <si>
    <t>Net Cash From Discontinued Ops. - Investing</t>
  </si>
  <si>
    <t>Non-cash current assets</t>
  </si>
  <si>
    <t>WC</t>
  </si>
  <si>
    <t>Marginal tax rate</t>
  </si>
  <si>
    <t>FCFF</t>
  </si>
  <si>
    <t>INPUTS</t>
  </si>
  <si>
    <t>Parameter</t>
  </si>
  <si>
    <t>Value</t>
  </si>
  <si>
    <t>Base year</t>
  </si>
  <si>
    <t>Op. Inc. (1-t)</t>
  </si>
  <si>
    <t>CapEx</t>
  </si>
  <si>
    <t>Coefficient of variation</t>
  </si>
  <si>
    <t>BASIS FOR ASSUMPTIONS</t>
  </si>
  <si>
    <t>SG&amp;A Expenditure</t>
  </si>
  <si>
    <t>Last 3y Avg</t>
  </si>
  <si>
    <t>CapEx Depreciation</t>
  </si>
  <si>
    <t>Non-debt current liabilitiies</t>
  </si>
  <si>
    <t>WC % Revenue</t>
  </si>
  <si>
    <t>R&amp;D Exp</t>
  </si>
  <si>
    <t>CapEx Dpcn</t>
  </si>
  <si>
    <t>R&amp;D Dpcn</t>
  </si>
  <si>
    <t>Projection</t>
  </si>
  <si>
    <t>COST OF EQUITY</t>
  </si>
  <si>
    <t>Risk free rate</t>
  </si>
  <si>
    <t>Source</t>
  </si>
  <si>
    <t>10 y treasury yield</t>
  </si>
  <si>
    <t>ERP</t>
  </si>
  <si>
    <t>Share price</t>
  </si>
  <si>
    <t>No. of outstanding shares</t>
  </si>
  <si>
    <t>MV of Equity</t>
  </si>
  <si>
    <t>BV of Debt</t>
  </si>
  <si>
    <t>Cash</t>
  </si>
  <si>
    <t>Credit spread</t>
  </si>
  <si>
    <t>Ratings spread for A+ from Prof. Damodaran's site</t>
  </si>
  <si>
    <t>Latest 10Q</t>
  </si>
  <si>
    <t>Google finance</t>
  </si>
  <si>
    <t>Credit Rating</t>
  </si>
  <si>
    <t>A+</t>
  </si>
  <si>
    <t>Capital IQ</t>
  </si>
  <si>
    <t>Implied ERP for the U.S. from Prof. Damodaran's website</t>
  </si>
  <si>
    <t>Cost of equity</t>
  </si>
  <si>
    <t>COST OF DEBT</t>
  </si>
  <si>
    <t>Cost of debt</t>
  </si>
  <si>
    <t>WACC</t>
  </si>
  <si>
    <t>Equity weight</t>
  </si>
  <si>
    <t>Debt weight</t>
  </si>
  <si>
    <t>GLOBAL INPUTS</t>
  </si>
  <si>
    <t>BV of debt</t>
  </si>
  <si>
    <t>Discount factor</t>
  </si>
  <si>
    <t>PV calcuation year</t>
  </si>
  <si>
    <t>Op. Inc.</t>
  </si>
  <si>
    <t>PV</t>
  </si>
  <si>
    <t>DCF</t>
  </si>
  <si>
    <t>Total PV</t>
  </si>
  <si>
    <t>All dollar figures are in millions except the final value</t>
  </si>
  <si>
    <t>Firm value</t>
  </si>
  <si>
    <t>Equity value</t>
  </si>
  <si>
    <t>Share value</t>
  </si>
  <si>
    <t>Current share price</t>
  </si>
  <si>
    <t>CapEx Depreciation implied</t>
  </si>
  <si>
    <t>CapEx Depreciation actual</t>
  </si>
  <si>
    <t>COGS</t>
  </si>
  <si>
    <t>RMC margin CAGR (10y)</t>
  </si>
  <si>
    <t>Raw materials cost (RMC)</t>
  </si>
  <si>
    <t>Paramaters</t>
  </si>
  <si>
    <t>No. of years to target RMC</t>
  </si>
  <si>
    <t>Raw materials margin (RMC)</t>
  </si>
  <si>
    <t>RMC growth</t>
  </si>
  <si>
    <t>Target RMC</t>
  </si>
  <si>
    <t>Target RMC year</t>
  </si>
  <si>
    <t>NORMAL CAPEX + GROSS MARGIN GROWTH YEARS</t>
  </si>
  <si>
    <t>Revenue growth mean</t>
  </si>
  <si>
    <t>Revenue growth std. dev.</t>
  </si>
  <si>
    <t>RMC margin</t>
  </si>
  <si>
    <t>RMC</t>
  </si>
  <si>
    <t>SG&amp;A Exp</t>
  </si>
  <si>
    <t>CapEx margin mean</t>
  </si>
  <si>
    <t>CapEx margin std. dev</t>
  </si>
  <si>
    <t>R&amp;D Exp margin mean</t>
  </si>
  <si>
    <t>SG&amp;A Exp margin mean</t>
  </si>
  <si>
    <t>R&amp;D Exp margin std. dev.</t>
  </si>
  <si>
    <t>SG&amp;A Exp margin std. dev</t>
  </si>
  <si>
    <t>WC margin std. dev.</t>
  </si>
  <si>
    <t>WC margin mean</t>
  </si>
  <si>
    <t>EXTRAORDINARY CAPEX, DEPRECIATION YEARS</t>
  </si>
  <si>
    <t>Discnt factor</t>
  </si>
  <si>
    <t>TERMINAL PHASE (FIXED GROSS MARGIN PHASE)</t>
  </si>
  <si>
    <t>Total Value in 2099</t>
  </si>
  <si>
    <t xml:space="preserve">Total PV </t>
  </si>
  <si>
    <t>Value of operating assets</t>
  </si>
  <si>
    <t>FCFF CAGR (10y)</t>
  </si>
  <si>
    <t>Trials</t>
  </si>
  <si>
    <t>MONTE CARLO FOR THE SHARE VALUE</t>
  </si>
  <si>
    <t>Share value average</t>
  </si>
  <si>
    <t>Share value std. dev</t>
  </si>
  <si>
    <t>CapEx margin</t>
  </si>
  <si>
    <t>R&amp;D margin</t>
  </si>
  <si>
    <t>SG&amp;A margin</t>
  </si>
  <si>
    <t>VALUATION RESULT</t>
  </si>
  <si>
    <t>CALCULATIONS</t>
  </si>
  <si>
    <t>Near term revenue growth</t>
  </si>
  <si>
    <t>Leverage</t>
  </si>
  <si>
    <t>BV of liabilities</t>
  </si>
  <si>
    <t>Beta (5Y)</t>
  </si>
  <si>
    <t>Value of CHIPS act tax credits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</si>
</sst>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164" formatCode="_(* #,##0.0_);_(* \(#,##0.0\)_)\ ;_(* 0_)"/>
    <numFmt numFmtId="165" formatCode="_(#,##0.0%_);_(\(#,##0.0%\)_);_(#,##0.0%_)"/>
    <numFmt numFmtId="166" formatCode="_(* #,##0.0#_);_(* \(#,##0.0#\)_)\ ;_(* 0_)"/>
    <numFmt numFmtId="167" formatCode="_(#,##0.00%_);_(\(#,##0.00%\)_);_(#,##0.00%_)"/>
    <numFmt numFmtId="168" formatCode="_(&quot;$&quot;#,##0.0#_);_(\(&quot;$&quot;#,##0.0#\)_);_(&quot;$&quot;&quot; - &quot;_)"/>
    <numFmt numFmtId="169" formatCode="#,##0.0\x"/>
    <numFmt numFmtId="170" formatCode="#,##0.00\x"/>
    <numFmt numFmtId="171" formatCode="_(* #,##0.0##_);_(* \(#,##0.0##\)_)\ ;_(* 0_)"/>
    <numFmt numFmtId="172" formatCode="mmm\-dd\-yyyy"/>
    <numFmt numFmtId="173" formatCode="0.0%"/>
    <numFmt numFmtId="174" formatCode="_(* #,##0_);_(* \(#,##0\)_)\ ;_(* 0_)"/>
    <numFmt numFmtId="175" formatCode="_([$$-409]* #,##0.00_);_([$$-409]* \(#,##0.00\);_([$$-409]* &quot;-&quot;??_);_(@_)"/>
  </numFmts>
  <fonts count="45" x14ac:knownFonts="1">
    <font>
      <sz val="10"/>
      <name val="Arial"/>
    </font>
    <font>
      <sz val="10"/>
      <name val="Arial"/>
    </font>
    <font>
      <sz val="8"/>
      <name val="Arial"/>
    </font>
    <font>
      <b/>
      <sz val="13"/>
      <color indexed="8"/>
      <name val="Verdana"/>
    </font>
    <font>
      <b/>
      <sz val="12"/>
      <color indexed="8"/>
      <name val="Verdana"/>
    </font>
    <font>
      <b/>
      <sz val="10"/>
      <color indexed="9"/>
      <name val="Arial"/>
    </font>
    <font>
      <b/>
      <u val="singleAccounting"/>
      <sz val="8"/>
      <color indexed="8"/>
      <name val="Verdana"/>
    </font>
    <font>
      <b/>
      <sz val="8"/>
      <color indexed="9"/>
      <name val="Verdana"/>
    </font>
    <font>
      <b/>
      <u val="singleAccounting"/>
      <sz val="8"/>
      <color indexed="8"/>
      <name val="Arial"/>
    </font>
    <font>
      <sz val="8"/>
      <color indexed="8"/>
      <name val="Arial"/>
    </font>
    <font>
      <vertAlign val="superscript"/>
      <sz val="8"/>
      <color indexed="8"/>
      <name val="Arial"/>
    </font>
    <font>
      <vertAlign val="subscript"/>
      <sz val="8"/>
      <color indexed="8"/>
      <name val="Arial"/>
    </font>
    <font>
      <b/>
      <sz val="8"/>
      <color indexed="8"/>
      <name val="Arial"/>
    </font>
    <font>
      <i/>
      <sz val="8"/>
      <color indexed="8"/>
      <name val="Arial"/>
    </font>
    <font>
      <sz val="1"/>
      <color indexed="9"/>
      <name val="Symbol"/>
    </font>
    <font>
      <sz val="10"/>
      <color indexed="8"/>
      <name val="Arial"/>
    </font>
    <font>
      <b/>
      <sz val="8"/>
      <color indexed="8"/>
      <name val="Verdana"/>
    </font>
    <font>
      <i/>
      <sz val="8"/>
      <name val="Arial"/>
    </font>
    <font>
      <b/>
      <sz val="8"/>
      <name val="Arial"/>
    </font>
    <font>
      <b/>
      <i/>
      <sz val="8"/>
      <color indexed="8"/>
      <name val="Arial"/>
    </font>
    <font>
      <b/>
      <u val="double"/>
      <sz val="8"/>
      <color indexed="8"/>
      <name val="Arial"/>
    </font>
    <font>
      <b/>
      <u/>
      <sz val="8"/>
      <color indexed="8"/>
      <name val="Arial"/>
    </font>
    <font>
      <b/>
      <sz val="8"/>
      <name val="Arial"/>
      <family val="2"/>
    </font>
    <font>
      <sz val="8"/>
      <name val="Arial"/>
      <family val="2"/>
    </font>
    <font>
      <i/>
      <sz val="8"/>
      <name val="Arial"/>
      <family val="2"/>
    </font>
    <font>
      <sz val="10"/>
      <name val="Arial"/>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family val="1"/>
      <charset val="2"/>
    </font>
    <font>
      <sz val="10"/>
      <color indexed="8"/>
      <name val="Arial"/>
      <family val="2"/>
    </font>
    <font>
      <b/>
      <sz val="8"/>
      <color indexed="8"/>
      <name val="Verdana"/>
      <family val="2"/>
    </font>
    <font>
      <b/>
      <i/>
      <sz val="8"/>
      <color indexed="8"/>
      <name val="Arial"/>
      <family val="2"/>
    </font>
    <font>
      <b/>
      <u val="double"/>
      <sz val="8"/>
      <color indexed="8"/>
      <name val="Arial"/>
      <family val="2"/>
    </font>
    <font>
      <u/>
      <sz val="10"/>
      <color theme="10"/>
      <name val="Arial"/>
      <family val="2"/>
    </font>
    <font>
      <u/>
      <sz val="8"/>
      <color theme="10"/>
      <name val="Arial"/>
      <family val="2"/>
    </font>
    <font>
      <sz val="9"/>
      <color indexed="81"/>
      <name val="Tahoma"/>
      <charset val="1"/>
    </font>
  </fonts>
  <fills count="6">
    <fill>
      <patternFill patternType="none"/>
    </fill>
    <fill>
      <patternFill patternType="gray125"/>
    </fill>
    <fill>
      <patternFill patternType="solid">
        <fgColor indexed="6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s>
  <borders count="5">
    <border>
      <left/>
      <right/>
      <top/>
      <bottom/>
      <diagonal/>
    </border>
    <border>
      <left/>
      <right/>
      <top style="thin">
        <color indexed="8"/>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35">
    <xf numFmtId="0" fontId="0" fillId="0" borderId="0"/>
    <xf numFmtId="0" fontId="15" fillId="0" borderId="0" applyAlignment="0"/>
    <xf numFmtId="0" fontId="16" fillId="0" borderId="0" applyAlignment="0"/>
    <xf numFmtId="0" fontId="8" fillId="2" borderId="0" applyAlignment="0"/>
    <xf numFmtId="44" fontId="1" fillId="0" borderId="0" applyFont="0" applyFill="0" applyBorder="0" applyAlignment="0" applyProtection="0"/>
    <xf numFmtId="0" fontId="14" fillId="0" borderId="0" applyAlignment="0"/>
    <xf numFmtId="0" fontId="6" fillId="3" borderId="0" applyAlignment="0"/>
    <xf numFmtId="0" fontId="5" fillId="4" borderId="0" applyAlignment="0"/>
    <xf numFmtId="0" fontId="4" fillId="0" borderId="0" applyAlignment="0"/>
    <xf numFmtId="0" fontId="7" fillId="5" borderId="0" applyAlignment="0"/>
    <xf numFmtId="0" fontId="11" fillId="0" borderId="0" applyAlignment="0"/>
    <xf numFmtId="0" fontId="10" fillId="0" borderId="0" applyAlignment="0"/>
    <xf numFmtId="0" fontId="12" fillId="0" borderId="0" applyAlignment="0"/>
    <xf numFmtId="0" fontId="13" fillId="0" borderId="0" applyAlignment="0"/>
    <xf numFmtId="0" fontId="9" fillId="0" borderId="0" applyAlignment="0"/>
    <xf numFmtId="0" fontId="3" fillId="0" borderId="0" applyAlignment="0"/>
    <xf numFmtId="0" fontId="12" fillId="0" borderId="0" applyAlignment="0">
      <alignment wrapText="1"/>
    </xf>
    <xf numFmtId="9" fontId="1" fillId="0" borderId="0" applyFont="0" applyFill="0" applyBorder="0" applyAlignment="0" applyProtection="0"/>
    <xf numFmtId="0" fontId="25" fillId="0" borderId="0"/>
    <xf numFmtId="0" fontId="26" fillId="0" borderId="0" applyAlignment="0"/>
    <xf numFmtId="0" fontId="27" fillId="0" borderId="0" applyAlignment="0"/>
    <xf numFmtId="0" fontId="28" fillId="4" borderId="0" applyAlignment="0"/>
    <xf numFmtId="0" fontId="29" fillId="3" borderId="0" applyAlignment="0"/>
    <xf numFmtId="0" fontId="30" fillId="5" borderId="0" applyAlignment="0"/>
    <xf numFmtId="0" fontId="31" fillId="2" borderId="0" applyAlignment="0"/>
    <xf numFmtId="0" fontId="32" fillId="0" borderId="0" applyAlignment="0"/>
    <xf numFmtId="0" fontId="33" fillId="0" borderId="0" applyAlignment="0"/>
    <xf numFmtId="0" fontId="34" fillId="0" borderId="0" applyAlignment="0"/>
    <xf numFmtId="0" fontId="35" fillId="0" borderId="0" applyAlignment="0"/>
    <xf numFmtId="0" fontId="36" fillId="0" borderId="0" applyAlignment="0"/>
    <xf numFmtId="0" fontId="35" fillId="0" borderId="0" applyAlignment="0">
      <alignment wrapText="1"/>
    </xf>
    <xf numFmtId="0" fontId="37" fillId="0" borderId="0" applyAlignment="0"/>
    <xf numFmtId="0" fontId="38" fillId="0" borderId="0" applyAlignment="0"/>
    <xf numFmtId="0" fontId="39" fillId="0" borderId="0" applyAlignment="0"/>
    <xf numFmtId="0" fontId="42" fillId="0" borderId="0" applyNumberFormat="0" applyFill="0" applyBorder="0" applyAlignment="0" applyProtection="0"/>
  </cellStyleXfs>
  <cellXfs count="111">
    <xf numFmtId="0" fontId="2" fillId="0" borderId="0" xfId="0" applyFont="1"/>
    <xf numFmtId="0" fontId="3" fillId="0" borderId="0" xfId="0" applyFont="1"/>
    <xf numFmtId="0" fontId="17" fillId="0" borderId="0" xfId="0" applyFont="1" applyAlignment="1">
      <alignment wrapText="1"/>
    </xf>
    <xf numFmtId="0" fontId="18" fillId="0" borderId="0" xfId="0" applyFont="1"/>
    <xf numFmtId="0" fontId="9" fillId="0" borderId="0" xfId="0" applyFont="1" applyAlignment="1">
      <alignment horizontal="left" vertical="top"/>
    </xf>
    <xf numFmtId="49" fontId="2" fillId="0" borderId="0" xfId="0" applyNumberFormat="1" applyFont="1"/>
    <xf numFmtId="0" fontId="7" fillId="5" borderId="0" xfId="0" applyFont="1" applyFill="1"/>
    <xf numFmtId="0" fontId="12" fillId="2" borderId="0" xfId="0" applyFont="1" applyFill="1" applyAlignment="1">
      <alignment wrapText="1"/>
    </xf>
    <xf numFmtId="0" fontId="19" fillId="2" borderId="0" xfId="0" applyFont="1" applyFill="1" applyAlignment="1">
      <alignment wrapText="1"/>
    </xf>
    <xf numFmtId="0" fontId="12" fillId="0" borderId="0" xfId="0" applyFont="1" applyAlignment="1">
      <alignment horizontal="left" vertical="top"/>
    </xf>
    <xf numFmtId="0" fontId="13" fillId="0" borderId="0" xfId="0" applyFont="1" applyAlignment="1">
      <alignment horizontal="left" vertical="top"/>
    </xf>
    <xf numFmtId="0" fontId="2" fillId="0" borderId="0" xfId="0" applyFont="1" applyAlignment="1">
      <alignment vertical="top" wrapText="1"/>
    </xf>
    <xf numFmtId="0" fontId="12" fillId="2" borderId="0" xfId="0" applyFont="1" applyFill="1" applyAlignment="1">
      <alignment horizontal="right" wrapText="1"/>
    </xf>
    <xf numFmtId="0" fontId="19" fillId="2" borderId="0" xfId="0" applyFont="1" applyFill="1" applyAlignment="1">
      <alignment horizontal="right" wrapText="1"/>
    </xf>
    <xf numFmtId="164" fontId="12" fillId="0" borderId="0" xfId="0" applyNumberFormat="1" applyFont="1" applyAlignment="1">
      <alignment horizontal="right" vertical="top" wrapText="1"/>
    </xf>
    <xf numFmtId="165" fontId="13" fillId="0" borderId="0" xfId="0" applyNumberFormat="1" applyFont="1" applyAlignment="1">
      <alignment horizontal="right" vertical="top" wrapText="1"/>
    </xf>
    <xf numFmtId="166" fontId="12" fillId="0" borderId="0" xfId="0" applyNumberFormat="1" applyFont="1" applyAlignment="1">
      <alignment horizontal="right" vertical="top" wrapText="1"/>
    </xf>
    <xf numFmtId="167" fontId="13" fillId="0" borderId="0" xfId="0" applyNumberFormat="1" applyFont="1" applyAlignment="1">
      <alignment horizontal="right" vertical="top" wrapText="1"/>
    </xf>
    <xf numFmtId="49" fontId="13" fillId="0" borderId="0" xfId="0" applyNumberFormat="1" applyFont="1" applyAlignment="1">
      <alignment horizontal="right" vertical="top" wrapText="1"/>
    </xf>
    <xf numFmtId="168" fontId="9" fillId="0" borderId="0" xfId="0" applyNumberFormat="1" applyFont="1" applyAlignment="1">
      <alignment horizontal="right" vertical="top" wrapText="1"/>
    </xf>
    <xf numFmtId="164" fontId="9" fillId="0" borderId="0" xfId="0" applyNumberFormat="1" applyFont="1" applyAlignment="1">
      <alignment horizontal="right" vertical="top" wrapText="1"/>
    </xf>
    <xf numFmtId="0" fontId="2" fillId="0" borderId="0" xfId="0" applyFont="1" applyAlignment="1">
      <alignment horizontal="center" vertical="top" wrapText="1"/>
    </xf>
    <xf numFmtId="169" fontId="9" fillId="0" borderId="0" xfId="0" applyNumberFormat="1" applyFont="1" applyAlignment="1">
      <alignment horizontal="right" vertical="top" wrapText="1"/>
    </xf>
    <xf numFmtId="170" fontId="9" fillId="0" borderId="0" xfId="0" applyNumberFormat="1" applyFont="1" applyAlignment="1">
      <alignment horizontal="right" vertical="top" wrapText="1"/>
    </xf>
    <xf numFmtId="49" fontId="9" fillId="0" borderId="0" xfId="0" applyNumberFormat="1" applyFont="1" applyAlignment="1">
      <alignment horizontal="right" vertical="top" wrapText="1"/>
    </xf>
    <xf numFmtId="0" fontId="9" fillId="0" borderId="0" xfId="0" applyFont="1" applyAlignment="1">
      <alignment horizontal="center" vertical="center"/>
    </xf>
    <xf numFmtId="0" fontId="9" fillId="0" borderId="0" xfId="0" applyFont="1" applyAlignment="1">
      <alignment horizontal="left" vertical="center"/>
    </xf>
    <xf numFmtId="164" fontId="12" fillId="0" borderId="1" xfId="0" applyNumberFormat="1" applyFont="1" applyBorder="1" applyAlignment="1">
      <alignment horizontal="right" vertical="top" wrapText="1"/>
    </xf>
    <xf numFmtId="164" fontId="20" fillId="0" borderId="1" xfId="0" applyNumberFormat="1" applyFont="1" applyBorder="1" applyAlignment="1">
      <alignment horizontal="right" vertical="top" wrapText="1"/>
    </xf>
    <xf numFmtId="172" fontId="9" fillId="0" borderId="0" xfId="0" applyNumberFormat="1" applyFont="1" applyAlignment="1">
      <alignment horizontal="right" vertical="top" wrapText="1"/>
    </xf>
    <xf numFmtId="172" fontId="12" fillId="2" borderId="0" xfId="0" applyNumberFormat="1" applyFont="1" applyFill="1" applyAlignment="1">
      <alignment horizontal="right" wrapText="1"/>
    </xf>
    <xf numFmtId="0" fontId="14" fillId="0" borderId="0" xfId="5" applyAlignment="1"/>
    <xf numFmtId="14" fontId="2" fillId="0" borderId="0" xfId="0" applyNumberFormat="1" applyFont="1"/>
    <xf numFmtId="0" fontId="22" fillId="0" borderId="0" xfId="0" applyFont="1"/>
    <xf numFmtId="0" fontId="23" fillId="0" borderId="0" xfId="0" applyFont="1"/>
    <xf numFmtId="0" fontId="24" fillId="0" borderId="0" xfId="0" applyFont="1"/>
    <xf numFmtId="44" fontId="2" fillId="0" borderId="0" xfId="4" applyFont="1"/>
    <xf numFmtId="2" fontId="2" fillId="0" borderId="0" xfId="4" applyNumberFormat="1" applyFont="1"/>
    <xf numFmtId="44" fontId="2" fillId="0" borderId="0" xfId="0" applyNumberFormat="1" applyFont="1"/>
    <xf numFmtId="2" fontId="2" fillId="0" borderId="0" xfId="0" applyNumberFormat="1" applyFont="1"/>
    <xf numFmtId="9" fontId="2" fillId="0" borderId="0" xfId="17" applyFont="1"/>
    <xf numFmtId="10" fontId="2" fillId="0" borderId="0" xfId="17" applyNumberFormat="1" applyFont="1"/>
    <xf numFmtId="2" fontId="23" fillId="0" borderId="0" xfId="0" applyNumberFormat="1" applyFont="1"/>
    <xf numFmtId="0" fontId="23" fillId="0" borderId="0" xfId="18" applyFont="1"/>
    <xf numFmtId="0" fontId="26" fillId="0" borderId="0" xfId="18" applyFont="1"/>
    <xf numFmtId="0" fontId="24" fillId="0" borderId="0" xfId="18" applyFont="1" applyAlignment="1">
      <alignment wrapText="1"/>
    </xf>
    <xf numFmtId="0" fontId="22" fillId="0" borderId="0" xfId="18" applyFont="1"/>
    <xf numFmtId="0" fontId="32" fillId="0" borderId="0" xfId="18" applyFont="1" applyAlignment="1">
      <alignment horizontal="left" vertical="top"/>
    </xf>
    <xf numFmtId="49" fontId="23" fillId="0" borderId="0" xfId="18" applyNumberFormat="1" applyFont="1"/>
    <xf numFmtId="0" fontId="32" fillId="0" borderId="0" xfId="18" applyFont="1" applyAlignment="1">
      <alignment horizontal="left" vertical="center"/>
    </xf>
    <xf numFmtId="0" fontId="30" fillId="5" borderId="0" xfId="18" applyFont="1" applyFill="1"/>
    <xf numFmtId="0" fontId="35" fillId="2" borderId="0" xfId="18" applyFont="1" applyFill="1" applyAlignment="1">
      <alignment wrapText="1"/>
    </xf>
    <xf numFmtId="0" fontId="40" fillId="2" borderId="0" xfId="18" applyFont="1" applyFill="1" applyAlignment="1">
      <alignment wrapText="1"/>
    </xf>
    <xf numFmtId="0" fontId="35" fillId="0" borderId="0" xfId="18" applyFont="1" applyAlignment="1">
      <alignment horizontal="left" vertical="top"/>
    </xf>
    <xf numFmtId="0" fontId="23" fillId="0" borderId="0" xfId="18" applyFont="1" applyAlignment="1">
      <alignment vertical="top" wrapText="1"/>
    </xf>
    <xf numFmtId="0" fontId="35" fillId="2" borderId="0" xfId="18" applyFont="1" applyFill="1" applyAlignment="1">
      <alignment horizontal="right" wrapText="1"/>
    </xf>
    <xf numFmtId="0" fontId="40" fillId="2" borderId="0" xfId="18" applyFont="1" applyFill="1" applyAlignment="1">
      <alignment horizontal="right" wrapText="1"/>
    </xf>
    <xf numFmtId="164" fontId="32" fillId="0" borderId="0" xfId="18" applyNumberFormat="1" applyFont="1" applyAlignment="1">
      <alignment horizontal="right" vertical="top" wrapText="1"/>
    </xf>
    <xf numFmtId="164" fontId="35" fillId="0" borderId="1" xfId="18" applyNumberFormat="1" applyFont="1" applyBorder="1" applyAlignment="1">
      <alignment horizontal="right" vertical="top" wrapText="1"/>
    </xf>
    <xf numFmtId="164" fontId="35" fillId="0" borderId="0" xfId="18" applyNumberFormat="1" applyFont="1" applyAlignment="1">
      <alignment horizontal="right" vertical="top" wrapText="1"/>
    </xf>
    <xf numFmtId="164" fontId="41" fillId="0" borderId="1" xfId="18" applyNumberFormat="1" applyFont="1" applyBorder="1" applyAlignment="1">
      <alignment horizontal="right" vertical="top" wrapText="1"/>
    </xf>
    <xf numFmtId="168" fontId="32" fillId="0" borderId="0" xfId="18" applyNumberFormat="1" applyFont="1" applyAlignment="1">
      <alignment horizontal="right" vertical="top" wrapText="1"/>
    </xf>
    <xf numFmtId="166" fontId="32" fillId="0" borderId="0" xfId="18" applyNumberFormat="1" applyFont="1" applyAlignment="1">
      <alignment horizontal="right" vertical="top" wrapText="1"/>
    </xf>
    <xf numFmtId="165" fontId="32" fillId="0" borderId="0" xfId="18" applyNumberFormat="1" applyFont="1" applyAlignment="1">
      <alignment horizontal="right" vertical="top" wrapText="1"/>
    </xf>
    <xf numFmtId="171" fontId="32" fillId="0" borderId="0" xfId="18" applyNumberFormat="1" applyFont="1" applyAlignment="1">
      <alignment horizontal="right" vertical="top" wrapText="1"/>
    </xf>
    <xf numFmtId="172" fontId="32" fillId="0" borderId="0" xfId="18" applyNumberFormat="1" applyFont="1" applyAlignment="1">
      <alignment horizontal="right" vertical="top" wrapText="1"/>
    </xf>
    <xf numFmtId="49" fontId="32" fillId="0" borderId="0" xfId="18" applyNumberFormat="1" applyFont="1" applyAlignment="1">
      <alignment horizontal="right" vertical="top" wrapText="1"/>
    </xf>
    <xf numFmtId="0" fontId="32" fillId="0" borderId="0" xfId="18" applyFont="1" applyAlignment="1">
      <alignment horizontal="center" vertical="center"/>
    </xf>
    <xf numFmtId="0" fontId="37" fillId="0" borderId="0" xfId="31" applyAlignment="1"/>
    <xf numFmtId="164" fontId="20" fillId="0" borderId="0" xfId="0" applyNumberFormat="1" applyFont="1" applyAlignment="1">
      <alignment horizontal="right" vertical="top" wrapText="1"/>
    </xf>
    <xf numFmtId="164" fontId="21" fillId="0" borderId="0" xfId="0" applyNumberFormat="1" applyFont="1" applyAlignment="1">
      <alignment horizontal="right" vertical="top" wrapText="1"/>
    </xf>
    <xf numFmtId="174" fontId="9" fillId="0" borderId="0" xfId="0" applyNumberFormat="1" applyFont="1" applyAlignment="1">
      <alignment horizontal="right" vertical="top" wrapText="1"/>
    </xf>
    <xf numFmtId="0" fontId="2" fillId="0" borderId="3" xfId="0" applyFont="1" applyBorder="1"/>
    <xf numFmtId="0" fontId="24" fillId="0" borderId="4" xfId="0" applyFont="1" applyBorder="1"/>
    <xf numFmtId="0" fontId="23" fillId="0" borderId="3" xfId="0" applyFont="1" applyBorder="1"/>
    <xf numFmtId="0" fontId="2" fillId="0" borderId="4" xfId="0" applyFont="1" applyBorder="1"/>
    <xf numFmtId="0" fontId="26" fillId="0" borderId="0" xfId="0" applyFont="1"/>
    <xf numFmtId="0" fontId="24" fillId="0" borderId="0" xfId="0" applyFont="1" applyAlignment="1">
      <alignment wrapText="1"/>
    </xf>
    <xf numFmtId="0" fontId="32" fillId="0" borderId="0" xfId="0" applyFont="1" applyAlignment="1">
      <alignment horizontal="left" vertical="top"/>
    </xf>
    <xf numFmtId="49" fontId="23" fillId="0" borderId="0" xfId="0" applyNumberFormat="1" applyFont="1"/>
    <xf numFmtId="0" fontId="32" fillId="0" borderId="0" xfId="0" applyFont="1" applyAlignment="1">
      <alignment horizontal="left" vertical="center"/>
    </xf>
    <xf numFmtId="0" fontId="30" fillId="5" borderId="0" xfId="0" applyFont="1" applyFill="1"/>
    <xf numFmtId="0" fontId="35" fillId="2" borderId="0" xfId="0" applyFont="1" applyFill="1" applyAlignment="1">
      <alignment wrapText="1"/>
    </xf>
    <xf numFmtId="0" fontId="35" fillId="2" borderId="0" xfId="0" applyFont="1" applyFill="1" applyAlignment="1">
      <alignment horizontal="right" wrapText="1"/>
    </xf>
    <xf numFmtId="0" fontId="40" fillId="2" borderId="0" xfId="0" applyFont="1" applyFill="1" applyAlignment="1">
      <alignment wrapText="1"/>
    </xf>
    <xf numFmtId="0" fontId="40" fillId="2" borderId="0" xfId="0" applyFont="1" applyFill="1" applyAlignment="1">
      <alignment horizontal="right" wrapText="1"/>
    </xf>
    <xf numFmtId="0" fontId="35" fillId="0" borderId="0" xfId="0" applyFont="1" applyAlignment="1">
      <alignment horizontal="left" vertical="top"/>
    </xf>
    <xf numFmtId="164" fontId="35" fillId="0" borderId="0" xfId="0" applyNumberFormat="1" applyFont="1" applyAlignment="1">
      <alignment horizontal="right" vertical="top" wrapText="1"/>
    </xf>
    <xf numFmtId="164" fontId="32" fillId="0" borderId="0" xfId="0" applyNumberFormat="1" applyFont="1" applyAlignment="1">
      <alignment horizontal="right" vertical="top" wrapText="1"/>
    </xf>
    <xf numFmtId="164" fontId="35" fillId="0" borderId="1" xfId="0" applyNumberFormat="1" applyFont="1" applyBorder="1" applyAlignment="1">
      <alignment horizontal="right" vertical="top" wrapText="1"/>
    </xf>
    <xf numFmtId="164" fontId="41" fillId="0" borderId="1" xfId="0" applyNumberFormat="1" applyFont="1" applyBorder="1" applyAlignment="1">
      <alignment horizontal="right" vertical="top" wrapText="1"/>
    </xf>
    <xf numFmtId="172" fontId="32" fillId="0" borderId="0" xfId="0" applyNumberFormat="1" applyFont="1" applyAlignment="1">
      <alignment horizontal="right" vertical="top" wrapText="1"/>
    </xf>
    <xf numFmtId="49" fontId="32" fillId="0" borderId="0" xfId="0" applyNumberFormat="1" applyFont="1" applyAlignment="1">
      <alignment horizontal="right" vertical="top" wrapText="1"/>
    </xf>
    <xf numFmtId="0" fontId="32" fillId="0" borderId="0" xfId="0" applyFont="1" applyAlignment="1">
      <alignment horizontal="center" vertical="center" wrapText="1"/>
    </xf>
    <xf numFmtId="0" fontId="23" fillId="0" borderId="0" xfId="0" applyFont="1" applyAlignment="1">
      <alignment vertical="top" wrapText="1"/>
    </xf>
    <xf numFmtId="9" fontId="2" fillId="0" borderId="0" xfId="0" applyNumberFormat="1" applyFont="1"/>
    <xf numFmtId="2" fontId="2" fillId="0" borderId="2" xfId="0" applyNumberFormat="1" applyFont="1" applyBorder="1"/>
    <xf numFmtId="175" fontId="2" fillId="0" borderId="0" xfId="0" applyNumberFormat="1" applyFont="1"/>
    <xf numFmtId="10" fontId="2" fillId="0" borderId="0" xfId="0" applyNumberFormat="1" applyFont="1"/>
    <xf numFmtId="2" fontId="2" fillId="0" borderId="0" xfId="17" applyNumberFormat="1" applyFont="1"/>
    <xf numFmtId="175" fontId="2" fillId="0" borderId="0" xfId="17" applyNumberFormat="1" applyFont="1"/>
    <xf numFmtId="173" fontId="2" fillId="0" borderId="0" xfId="0" applyNumberFormat="1" applyFont="1"/>
    <xf numFmtId="0" fontId="23" fillId="0" borderId="4" xfId="0" applyFont="1" applyBorder="1"/>
    <xf numFmtId="0" fontId="2" fillId="0" borderId="2" xfId="0" applyFont="1" applyBorder="1"/>
    <xf numFmtId="9" fontId="2" fillId="0" borderId="2" xfId="17" applyFont="1" applyBorder="1"/>
    <xf numFmtId="11" fontId="2" fillId="0" borderId="0" xfId="0" applyNumberFormat="1" applyFont="1"/>
    <xf numFmtId="0" fontId="43" fillId="0" borderId="0" xfId="34" applyFont="1"/>
    <xf numFmtId="0" fontId="23" fillId="0" borderId="0" xfId="0" applyFont="1" applyAlignment="1">
      <alignment horizontal="right"/>
    </xf>
    <xf numFmtId="175" fontId="23" fillId="0" borderId="0" xfId="0" applyNumberFormat="1" applyFont="1"/>
    <xf numFmtId="2" fontId="2" fillId="0" borderId="2" xfId="17" applyNumberFormat="1" applyFont="1" applyBorder="1"/>
    <xf numFmtId="9" fontId="2" fillId="0" borderId="3" xfId="17" applyFont="1" applyBorder="1"/>
  </cellXfs>
  <cellStyles count="41">
    <cellStyle name="ChartingText" xfId="1" xr:uid="{00000000-0005-0000-0000-000000000000}"/>
    <cellStyle name="ChartingText 2" xfId="32" xr:uid="{9DFCA430-B322-4857-B1C0-7B39581D4D6C}"/>
    <cellStyle name="CHPAboveAverage" xfId="2" xr:uid="{00000000-0005-0000-0000-000001000000}"/>
    <cellStyle name="CHPAboveAverage 2" xfId="33" xr:uid="{125077F5-E191-4D8C-9CCA-6C97027169F3}"/>
    <cellStyle name="CHPBelowAverage" xfId="2" xr:uid="{00000000-0005-0000-0000-000002000000}"/>
    <cellStyle name="CHPBelowAverage 2" xfId="33" xr:uid="{3F19FDE4-55E4-491A-B0AF-DCF24FC3EE9D}"/>
    <cellStyle name="CHPBottom" xfId="2" xr:uid="{00000000-0005-0000-0000-000003000000}"/>
    <cellStyle name="CHPBottom 2" xfId="33" xr:uid="{1C0CB9FE-583C-47E7-893F-63A76256EEBA}"/>
    <cellStyle name="CHPTop" xfId="2" xr:uid="{00000000-0005-0000-0000-000004000000}"/>
    <cellStyle name="CHPTop 2" xfId="33" xr:uid="{E579AC6F-9414-49A7-A10B-237B07AF0934}"/>
    <cellStyle name="ColumnHeaderNormal" xfId="3" xr:uid="{00000000-0005-0000-0000-000005000000}"/>
    <cellStyle name="ColumnHeaderNormal 2" xfId="24" xr:uid="{2CF06D2B-53EE-4B26-BD49-7B67B64D814A}"/>
    <cellStyle name="Currency" xfId="4" builtinId="4"/>
    <cellStyle name="Hyperlink" xfId="34" builtinId="8"/>
    <cellStyle name="Invisible" xfId="5" xr:uid="{00000000-0005-0000-0000-000007000000}"/>
    <cellStyle name="Invisible 2" xfId="31" xr:uid="{7465E122-F755-4E23-BDA3-CABCC9BB8055}"/>
    <cellStyle name="NewColumnHeaderNormal" xfId="6" xr:uid="{00000000-0005-0000-0000-000008000000}"/>
    <cellStyle name="NewColumnHeaderNormal 2" xfId="22" xr:uid="{753EC354-A28B-4C79-BC8E-D3F0DA4B560E}"/>
    <cellStyle name="NewSectionHeaderNormal" xfId="7" xr:uid="{00000000-0005-0000-0000-000009000000}"/>
    <cellStyle name="NewSectionHeaderNormal 2" xfId="21" xr:uid="{243BD589-22E3-4166-B9A3-4DCBD7008593}"/>
    <cellStyle name="NewTitleNormal" xfId="8" xr:uid="{00000000-0005-0000-0000-00000A000000}"/>
    <cellStyle name="NewTitleNormal 2" xfId="20" xr:uid="{C51C2632-378A-40C5-AB04-87F7CE04BD1A}"/>
    <cellStyle name="Normal" xfId="0" builtinId="0"/>
    <cellStyle name="Normal 2" xfId="18" xr:uid="{E61BA86E-EEEC-4B12-9D00-598EF4E92942}"/>
    <cellStyle name="Percent" xfId="17" builtinId="5"/>
    <cellStyle name="SectionHeaderNormal" xfId="9" xr:uid="{00000000-0005-0000-0000-00000C000000}"/>
    <cellStyle name="SectionHeaderNormal 2" xfId="23" xr:uid="{A2CFABDA-26C5-42BF-AF5A-805D2972D623}"/>
    <cellStyle name="SubScript" xfId="10" xr:uid="{00000000-0005-0000-0000-00000D000000}"/>
    <cellStyle name="SubScript 2" xfId="27" xr:uid="{5E23B005-E1D2-4D00-90C2-D15DA091BC71}"/>
    <cellStyle name="SuperScript" xfId="11" xr:uid="{00000000-0005-0000-0000-00000E000000}"/>
    <cellStyle name="SuperScript 2" xfId="26" xr:uid="{E86E42E2-F7ED-47A9-98A7-C85E2DC68ACC}"/>
    <cellStyle name="TextBold" xfId="12" xr:uid="{00000000-0005-0000-0000-00000F000000}"/>
    <cellStyle name="TextBold 2" xfId="28" xr:uid="{A4D9AFC1-2340-4B4B-8C04-505B2C7D600D}"/>
    <cellStyle name="TextItalic" xfId="13" xr:uid="{00000000-0005-0000-0000-000010000000}"/>
    <cellStyle name="TextItalic 2" xfId="29" xr:uid="{A7FBEF46-7037-4C6F-BE25-863990BE2A1F}"/>
    <cellStyle name="TextNormal" xfId="14" xr:uid="{00000000-0005-0000-0000-000011000000}"/>
    <cellStyle name="TextNormal 2" xfId="25" xr:uid="{79287309-20EB-474D-8A7D-92D2AA9A2F2F}"/>
    <cellStyle name="TitleNormal" xfId="15" xr:uid="{00000000-0005-0000-0000-000012000000}"/>
    <cellStyle name="TitleNormal 2" xfId="19" xr:uid="{59631C05-557C-41A9-9E3D-148BA80BA352}"/>
    <cellStyle name="Total" xfId="16" builtinId="25" customBuiltin="1"/>
    <cellStyle name="Total 2" xfId="30" xr:uid="{ADB515CE-ECD6-4A0F-B133-BF2F9C6213B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944880</xdr:colOff>
      <xdr:row>2</xdr:row>
      <xdr:rowOff>91440</xdr:rowOff>
    </xdr:to>
    <xdr:pic>
      <xdr:nvPicPr>
        <xdr:cNvPr id="2" name="Picture 2">
          <a:extLst>
            <a:ext uri="{FF2B5EF4-FFF2-40B4-BE49-F238E27FC236}">
              <a16:creationId xmlns:a16="http://schemas.microsoft.com/office/drawing/2014/main" id="{17A8BB14-CD63-41B9-A35C-25DE94825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448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944880</xdr:colOff>
      <xdr:row>2</xdr:row>
      <xdr:rowOff>91440</xdr:rowOff>
    </xdr:to>
    <xdr:pic>
      <xdr:nvPicPr>
        <xdr:cNvPr id="2" name="Picture 2">
          <a:extLst>
            <a:ext uri="{FF2B5EF4-FFF2-40B4-BE49-F238E27FC236}">
              <a16:creationId xmlns:a16="http://schemas.microsoft.com/office/drawing/2014/main" id="{93BF619A-4A13-48D3-A5EF-99111DE7B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448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944880</xdr:colOff>
      <xdr:row>2</xdr:row>
      <xdr:rowOff>91440</xdr:rowOff>
    </xdr:to>
    <xdr:pic>
      <xdr:nvPicPr>
        <xdr:cNvPr id="2" name="Picture 2">
          <a:extLst>
            <a:ext uri="{FF2B5EF4-FFF2-40B4-BE49-F238E27FC236}">
              <a16:creationId xmlns:a16="http://schemas.microsoft.com/office/drawing/2014/main" id="{BD9C53E0-56DD-4212-BF41-1BE713450C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448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15240</xdr:colOff>
      <xdr:row>63</xdr:row>
      <xdr:rowOff>0</xdr:rowOff>
    </xdr:from>
    <xdr:to>
      <xdr:col>3</xdr:col>
      <xdr:colOff>594360</xdr:colOff>
      <xdr:row>63</xdr:row>
      <xdr:rowOff>1905000</xdr:rowOff>
    </xdr:to>
    <xdr:pic>
      <xdr:nvPicPr>
        <xdr:cNvPr id="3" name="Picture 3">
          <a:extLst>
            <a:ext uri="{FF2B5EF4-FFF2-40B4-BE49-F238E27FC236}">
              <a16:creationId xmlns:a16="http://schemas.microsoft.com/office/drawing/2014/main" id="{85D22BC7-550C-4B3F-A946-5559F366FDB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240" y="9144000"/>
          <a:ext cx="574548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wrap="none" lIns="18288" tIns="0" rIns="0" bIns="0" upright="1">
        <a:spAutoFit/>
      </a:bodyPr>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1" dT="2024-01-10T01:30:08.75" personId="{00000000-0000-0000-0000-000000000000}" id="{BC5E4A3B-FD06-4AD3-B598-7A2A7A734FDD}">
    <text xml:space="preserve">Technically I should use the MV of debt. I am using the BV of debt as a proxy for that. Using MV of debt won't affect the valuation much. </text>
  </threadedComment>
  <threadedComment ref="C19" dT="2024-01-10T22:21:48.03" personId="{00000000-0000-0000-0000-000000000000}" id="{A9CBB165-F8A2-4A5F-9785-874DB4B57715}">
    <text>For the first 395 mm$, please refer to TI's 10K for 2022 (Search for "CHIPS" or 395)</text>
  </threadedComment>
</ThreadedComments>
</file>

<file path=xl/threadedComments/threadedComment2.xml><?xml version="1.0" encoding="utf-8"?>
<ThreadedComments xmlns="http://schemas.microsoft.com/office/spreadsheetml/2018/threadedcomments" xmlns:x="http://schemas.openxmlformats.org/spreadsheetml/2006/main">
  <threadedComment ref="B11" dT="2024-01-02T23:54:36.44" personId="{00000000-0000-0000-0000-000000000000}" id="{1046A001-7665-47FE-AF0A-248B76E2FD63}">
    <text>This is the part of COGS that is not CapEx depreciation</text>
  </threadedComment>
  <threadedComment ref="B33" dT="2024-01-10T01:25:59.02" personId="{00000000-0000-0000-0000-000000000000}" id="{AB218B71-C0CD-4753-964D-98E95DB72ED1}">
    <text xml:space="preserve">Target RMC value is discretionary. If there is one value in this entire valuation that I cannot properly justify, it is this value. </text>
  </threadedComment>
  <threadedComment ref="C33" dT="2024-01-10T01:28:50.00" personId="{00000000-0000-0000-0000-000000000000}" id="{A1A51E05-7BF9-4A3E-ACE9-185F2BCEF755}">
    <text xml:space="preserve">Is 5% a good target RMC margin? I don't know, but I am averse to making this 0%. TI would at least need silicon ingots for their fabrication plants. Furthermore, changing this to 0% actually won't have a significant impact on the final value of TI's equity. </text>
  </threadedComment>
  <threadedComment ref="G47" dT="2024-01-02T04:38:35.61" personId="{00000000-0000-0000-0000-000000000000}" id="{270A5784-7F28-4A88-B4CF-A0AA89D8BCF5}">
    <text>TI has been making large capital expenses for three years. I have given it 2 more years of extraordinary capex. They have mentioned that we should expect "above average capital expenses" to continue for a while</text>
  </threadedComment>
  <threadedComment ref="I47" dT="2024-01-10T01:24:06.13" personId="{00000000-0000-0000-0000-000000000000}" id="{CEA02702-85E8-4ADB-A66B-91B24DB7E11B}">
    <text xml:space="preserve">In this year I have returned CapEx to a normal figure. </text>
  </threadedComment>
  <threadedComment ref="L47" dT="2024-01-02T04:41:13.29" personId="{00000000-0000-0000-0000-000000000000}" id="{AAB051CE-10F1-45E1-83D6-52C6F21BE48C}">
    <text>The effect of extraordinary CapEx will be felt until 2029 since the last extraordinary capex to have an effect on capex depreciation, i.e., capex of 2025, will see its final portion depreciation in 2029. This is because I have chosen five years as the lifetime of TI's CapEx.</text>
  </threadedComment>
  <threadedComment ref="B57" dT="2024-01-01T18:44:28.52" personId="{00000000-0000-0000-0000-000000000000}" id="{B44FBCAD-3C32-422C-872E-1241A421E624}">
    <text xml:space="preserve">CapEx depreciation is absorbed in the COGS. So no need to subtract it from Gross profit while calculating op ex.
</text>
  </threadedComment>
  <threadedComment ref="L65" dT="2024-01-01T18:44:28.52" personId="{00000000-0000-0000-0000-000000000000}" id="{97E4B3FE-E57B-4D12-8E01-F7C4BE0C09DD}">
    <text xml:space="preserve">CapEx depreciation is absorbed in the COGS. So no need to subtract it from Gross profit while calculating op ex.
</text>
  </threadedComment>
</ThreadedComments>
</file>

<file path=xl/threadedComments/threadedComment3.xml><?xml version="1.0" encoding="utf-8"?>
<ThreadedComments xmlns="http://schemas.microsoft.com/office/spreadsheetml/2018/threadedcomments" xmlns:x="http://schemas.openxmlformats.org/spreadsheetml/2006/main">
  <threadedComment ref="D10" dT="2024-01-01T03:18:34.32" personId="{00000000-0000-0000-0000-000000000000}" id="{3114B6C8-2FC2-424A-8FD5-B55BB15BF309}">
    <text>I used U.S. because TI is listed in the U.S. So it doesn't make sense to take global ERP</text>
  </threadedComment>
  <threadedComment ref="B16" dT="2024-01-10T01:21:49.27" personId="{00000000-0000-0000-0000-000000000000}" id="{CC9F10FF-2E45-46D3-915B-C46C194707A6}">
    <text xml:space="preserve">I am using Beta (5Y) calculated by CapiQ, which is similar to what was computed by Yahoo finance instead of using the bottom up beta method suggested by Prof. Damodaran because if I used that method, I would be overestimating TI's beta. This is because TI is a very different animal than the typical semiconductor company. Prof. Damodaran's bottom up beta method uses semiconductor industry's beta as the base for calculating a company's beta. In TI's case, I don't think it is appropriate to use it. </text>
  </threadedComment>
  <threadedComment ref="B25" dT="2024-01-10T01:36:39.24" personId="{00000000-0000-0000-0000-000000000000}" id="{8E663F2D-82B0-4E65-AA1D-473EFBA486C6}">
    <text xml:space="preserve">I am not computing a separate WACC for the terminal phase. I think TI is a going concern given the already low beta and slow revenue growth. I don't know why TI isn't using more leverage - which would have given them a much better cost of capital given their excellent margins - but I can't bestow a better D/E ratio and hence a lower cost of capital at any time in the future when the management of the company doesn’t seem to be keen on using more debt now when TI is already in a steady state.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pages.stern.nyu.edu/~adamodar/" TargetMode="External"/><Relationship Id="rId1" Type="http://schemas.openxmlformats.org/officeDocument/2006/relationships/hyperlink" Target="https://pages.stern.nyu.edu/~adamodar/New_Home_Page/datafile/ratings.htm"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H619"/>
  <sheetViews>
    <sheetView tabSelected="1" zoomScale="130" zoomScaleNormal="130" workbookViewId="0">
      <selection activeCell="C20" sqref="C20"/>
    </sheetView>
  </sheetViews>
  <sheetFormatPr defaultRowHeight="10" x14ac:dyDescent="0.2"/>
  <cols>
    <col min="2" max="2" width="24" customWidth="1"/>
    <col min="3" max="3" width="10.90625" customWidth="1"/>
    <col min="4" max="4" width="9.36328125" bestFit="1" customWidth="1"/>
  </cols>
  <sheetData>
    <row r="2" spans="2:3" x14ac:dyDescent="0.2">
      <c r="B2" t="s">
        <v>417</v>
      </c>
    </row>
    <row r="4" spans="2:3" ht="10.5" thickBot="1" x14ac:dyDescent="0.25">
      <c r="B4" s="74" t="s">
        <v>409</v>
      </c>
      <c r="C4" s="72"/>
    </row>
    <row r="5" spans="2:3" x14ac:dyDescent="0.2">
      <c r="B5" s="34" t="s">
        <v>275</v>
      </c>
      <c r="C5" t="s">
        <v>276</v>
      </c>
    </row>
    <row r="6" spans="2:3" x14ac:dyDescent="0.2">
      <c r="B6" s="34" t="s">
        <v>277</v>
      </c>
      <c r="C6" t="s">
        <v>278</v>
      </c>
    </row>
    <row r="7" spans="2:3" x14ac:dyDescent="0.2">
      <c r="B7" s="34" t="s">
        <v>279</v>
      </c>
      <c r="C7" s="32">
        <v>45301</v>
      </c>
    </row>
    <row r="8" spans="2:3" x14ac:dyDescent="0.2">
      <c r="B8" s="34" t="s">
        <v>421</v>
      </c>
      <c r="C8" s="97">
        <v>167.6</v>
      </c>
    </row>
    <row r="9" spans="2:3" x14ac:dyDescent="0.2">
      <c r="B9" s="34" t="s">
        <v>412</v>
      </c>
      <c r="C9">
        <v>2023</v>
      </c>
    </row>
    <row r="10" spans="2:3" x14ac:dyDescent="0.2">
      <c r="B10" s="34" t="s">
        <v>280</v>
      </c>
      <c r="C10">
        <f>BS_More!X73*1000000</f>
        <v>908204093</v>
      </c>
    </row>
    <row r="11" spans="2:3" x14ac:dyDescent="0.2">
      <c r="B11" s="34" t="s">
        <v>410</v>
      </c>
      <c r="C11" s="97">
        <f>BS_More!X54</f>
        <v>10922</v>
      </c>
    </row>
    <row r="12" spans="2:3" x14ac:dyDescent="0.2">
      <c r="B12" s="34" t="s">
        <v>465</v>
      </c>
      <c r="C12" s="97">
        <f>BS_More!X59</f>
        <v>15007</v>
      </c>
    </row>
    <row r="13" spans="2:3" x14ac:dyDescent="0.2">
      <c r="B13" s="34" t="s">
        <v>394</v>
      </c>
      <c r="C13" s="97">
        <f>BS_More!X20</f>
        <v>8948</v>
      </c>
    </row>
    <row r="14" spans="2:3" x14ac:dyDescent="0.2">
      <c r="B14" s="34" t="s">
        <v>366</v>
      </c>
      <c r="C14" s="40">
        <v>0.21</v>
      </c>
    </row>
    <row r="15" spans="2:3" x14ac:dyDescent="0.2">
      <c r="B15" s="34"/>
      <c r="C15" s="40"/>
    </row>
    <row r="16" spans="2:3" x14ac:dyDescent="0.2">
      <c r="B16" s="34"/>
      <c r="C16" s="40"/>
    </row>
    <row r="17" spans="2:8" ht="10.5" thickBot="1" x14ac:dyDescent="0.25">
      <c r="B17" s="74" t="s">
        <v>461</v>
      </c>
      <c r="C17" s="110"/>
    </row>
    <row r="18" spans="2:8" x14ac:dyDescent="0.2">
      <c r="B18" s="34" t="s">
        <v>452</v>
      </c>
      <c r="C18" s="97">
        <f ca="1">C33+E108+C113</f>
        <v>128657.80286058433</v>
      </c>
    </row>
    <row r="19" spans="2:8" x14ac:dyDescent="0.2">
      <c r="B19" s="34" t="s">
        <v>467</v>
      </c>
      <c r="C19" s="97">
        <v>1000</v>
      </c>
    </row>
    <row r="20" spans="2:8" x14ac:dyDescent="0.2">
      <c r="B20" s="34" t="s">
        <v>418</v>
      </c>
      <c r="C20" s="97">
        <f ca="1">C18+C19+BS_More!X20</f>
        <v>138605.80286058434</v>
      </c>
    </row>
    <row r="21" spans="2:8" x14ac:dyDescent="0.2">
      <c r="B21" s="34" t="s">
        <v>419</v>
      </c>
      <c r="C21" s="97">
        <f ca="1">C20-C12</f>
        <v>123598.80286058434</v>
      </c>
    </row>
    <row r="22" spans="2:8" x14ac:dyDescent="0.2">
      <c r="B22" s="34" t="s">
        <v>420</v>
      </c>
      <c r="C22" s="97">
        <f ca="1">$C$21*1000000/$C$10</f>
        <v>136.09144003338503</v>
      </c>
    </row>
    <row r="23" spans="2:8" x14ac:dyDescent="0.2">
      <c r="B23" s="34" t="s">
        <v>456</v>
      </c>
      <c r="C23" s="97">
        <f ca="1">AVERAGE(C119:C619)</f>
        <v>136.09029876289901</v>
      </c>
    </row>
    <row r="24" spans="2:8" x14ac:dyDescent="0.2">
      <c r="B24" s="34" t="s">
        <v>457</v>
      </c>
      <c r="C24" s="97">
        <f ca="1">_xlfn.STDEV.S(C119:C619)</f>
        <v>5.7831817618711847</v>
      </c>
    </row>
    <row r="25" spans="2:8" x14ac:dyDescent="0.2">
      <c r="B25" s="34"/>
      <c r="C25" s="97"/>
    </row>
    <row r="26" spans="2:8" x14ac:dyDescent="0.2">
      <c r="B26" s="34"/>
      <c r="C26" s="97"/>
    </row>
    <row r="27" spans="2:8" ht="10.5" x14ac:dyDescent="0.25">
      <c r="B27" s="33" t="s">
        <v>462</v>
      </c>
      <c r="C27" s="97"/>
    </row>
    <row r="28" spans="2:8" ht="10.5" thickBot="1" x14ac:dyDescent="0.25">
      <c r="B28" s="74" t="s">
        <v>447</v>
      </c>
    </row>
    <row r="29" spans="2:8" x14ac:dyDescent="0.2">
      <c r="B29" s="75"/>
      <c r="C29" s="73">
        <v>2024</v>
      </c>
      <c r="D29" s="73">
        <v>2025</v>
      </c>
      <c r="E29" s="73">
        <v>2026</v>
      </c>
      <c r="F29" s="73">
        <v>2027</v>
      </c>
      <c r="G29" s="75">
        <v>2028</v>
      </c>
      <c r="H29" s="73">
        <v>2029</v>
      </c>
    </row>
    <row r="30" spans="2:8" x14ac:dyDescent="0.2">
      <c r="B30" s="34" t="s">
        <v>367</v>
      </c>
      <c r="C30" s="97">
        <f>FCFF!G61</f>
        <v>5008.8246721236646</v>
      </c>
      <c r="D30" s="39">
        <f>FCFF!H61</f>
        <v>4353.8660527582952</v>
      </c>
      <c r="E30" s="39">
        <f>FCFF!I61</f>
        <v>7203.4968583236059</v>
      </c>
      <c r="F30" s="39">
        <f>FCFF!J61</f>
        <v>7162.6970887963653</v>
      </c>
      <c r="G30" s="39">
        <f>FCFF!K61</f>
        <v>7354.445567225941</v>
      </c>
      <c r="H30" s="39">
        <f>FCFF!L61</f>
        <v>7630.1957267781763</v>
      </c>
    </row>
    <row r="31" spans="2:8" x14ac:dyDescent="0.2">
      <c r="B31" s="34" t="s">
        <v>411</v>
      </c>
      <c r="C31" s="108">
        <f>(1+WACC!$C$25)^(C29-$C$9)</f>
        <v>1.080067753100864</v>
      </c>
      <c r="D31" s="42">
        <f>(1+WACC!$C$25)^(D29-$C$9)</f>
        <v>1.1665463512883489</v>
      </c>
      <c r="E31" s="42">
        <f>(1+WACC!$C$25)^(E29-$C$9)</f>
        <v>1.2599490965240183</v>
      </c>
      <c r="F31" s="42">
        <f>(1+WACC!$C$25)^(F29-$C$9)</f>
        <v>1.36083038970416</v>
      </c>
      <c r="G31" s="42">
        <f>(1+WACC!$C$25)^(G29-$C$9)</f>
        <v>1.4697890213591454</v>
      </c>
      <c r="H31" s="42">
        <f>(1+WACC!$C$25)^(H29-$C$9)</f>
        <v>1.5874717258316899</v>
      </c>
    </row>
    <row r="32" spans="2:8" x14ac:dyDescent="0.2">
      <c r="B32" t="s">
        <v>415</v>
      </c>
      <c r="C32" s="97">
        <f>C30/C31</f>
        <v>4637.509691168334</v>
      </c>
      <c r="D32" s="39">
        <f t="shared" ref="D32:H32" si="0">D30/D31</f>
        <v>3732.2700876393201</v>
      </c>
      <c r="E32" s="39">
        <f t="shared" si="0"/>
        <v>5717.2919748875638</v>
      </c>
      <c r="F32" s="39">
        <f t="shared" si="0"/>
        <v>5263.4752596563567</v>
      </c>
      <c r="G32" s="39">
        <f t="shared" si="0"/>
        <v>5003.7423469288997</v>
      </c>
      <c r="H32" s="39">
        <f t="shared" si="0"/>
        <v>4806.5081113685046</v>
      </c>
    </row>
    <row r="33" spans="2:5" x14ac:dyDescent="0.2">
      <c r="B33" t="s">
        <v>416</v>
      </c>
      <c r="C33" s="97">
        <f>SUM(C32:H32)</f>
        <v>29160.797471648977</v>
      </c>
    </row>
    <row r="36" spans="2:5" ht="10.5" thickBot="1" x14ac:dyDescent="0.25">
      <c r="B36" s="72" t="s">
        <v>433</v>
      </c>
      <c r="C36" s="72"/>
      <c r="D36" s="72"/>
      <c r="E36" s="72"/>
    </row>
    <row r="37" spans="2:5" x14ac:dyDescent="0.2">
      <c r="B37" s="73" t="s">
        <v>313</v>
      </c>
      <c r="C37" s="73" t="s">
        <v>367</v>
      </c>
      <c r="D37" s="73" t="s">
        <v>448</v>
      </c>
      <c r="E37" s="73" t="s">
        <v>415</v>
      </c>
    </row>
    <row r="38" spans="2:5" x14ac:dyDescent="0.2">
      <c r="B38" cm="1">
        <f t="array" ref="B38:B107">_xlfn.SEQUENCE(FCFF!C35-'Valuation main'!H29,1,'Valuation main'!H29+1,1)</f>
        <v>2030</v>
      </c>
      <c r="C38" s="39">
        <f ca="1">FCFF!P66</f>
        <v>7359.4872600549224</v>
      </c>
      <c r="D38" s="39">
        <f>H31*(1+WACC!C25)</f>
        <v>1.7145770200301842</v>
      </c>
      <c r="E38" s="39">
        <f t="shared" ref="E38:E69" ca="1" si="1">C38/D38</f>
        <v>4292.3048507470157</v>
      </c>
    </row>
    <row r="39" spans="2:5" x14ac:dyDescent="0.2">
      <c r="B39">
        <v>2031</v>
      </c>
      <c r="C39" s="39">
        <f ca="1">FCFF!P67</f>
        <v>7052.5150201527267</v>
      </c>
      <c r="D39" s="39">
        <f>D38*(1+WACC!$C$25)</f>
        <v>1.8518593495423761</v>
      </c>
      <c r="E39" s="39">
        <f t="shared" ca="1" si="1"/>
        <v>3808.3426918440191</v>
      </c>
    </row>
    <row r="40" spans="2:5" x14ac:dyDescent="0.2">
      <c r="B40">
        <v>2032</v>
      </c>
      <c r="C40" s="39">
        <f ca="1">FCFF!P68</f>
        <v>9650.2305739915846</v>
      </c>
      <c r="D40" s="39">
        <f>D39*(1+WACC!$C$25)</f>
        <v>2.0001335667190618</v>
      </c>
      <c r="E40" s="39">
        <f t="shared" ca="1" si="1"/>
        <v>4824.7930711054623</v>
      </c>
    </row>
    <row r="41" spans="2:5" x14ac:dyDescent="0.2">
      <c r="B41">
        <v>2033</v>
      </c>
      <c r="C41" s="39">
        <f ca="1">FCFF!P69</f>
        <v>7415.5347979048984</v>
      </c>
      <c r="D41" s="39">
        <f>D40*(1+WACC!$C$25)</f>
        <v>2.1602797673078742</v>
      </c>
      <c r="E41" s="39">
        <f t="shared" ca="1" si="1"/>
        <v>3432.6733556117533</v>
      </c>
    </row>
    <row r="42" spans="2:5" x14ac:dyDescent="0.2">
      <c r="B42">
        <v>2034</v>
      </c>
      <c r="C42" s="39">
        <f ca="1">FCFF!P70</f>
        <v>9250.5079467188916</v>
      </c>
      <c r="D42" s="39">
        <f>D41*(1+WACC!$C$25)</f>
        <v>2.3332485143454731</v>
      </c>
      <c r="E42" s="39">
        <f t="shared" ca="1" si="1"/>
        <v>3964.6475246182081</v>
      </c>
    </row>
    <row r="43" spans="2:5" x14ac:dyDescent="0.2">
      <c r="B43">
        <v>2035</v>
      </c>
      <c r="C43" s="39">
        <f ca="1">FCFF!P71</f>
        <v>11291.153995728082</v>
      </c>
      <c r="D43" s="39">
        <f>D42*(1+WACC!$C$25)</f>
        <v>2.5200664803150441</v>
      </c>
      <c r="E43" s="39">
        <f t="shared" ca="1" si="1"/>
        <v>4480.4984645946834</v>
      </c>
    </row>
    <row r="44" spans="2:5" x14ac:dyDescent="0.2">
      <c r="B44">
        <v>2036</v>
      </c>
      <c r="C44" s="39">
        <f ca="1">FCFF!P72</f>
        <v>8015.7232460568957</v>
      </c>
      <c r="D44" s="39">
        <f>D43*(1+WACC!$C$25)</f>
        <v>2.7218425410586726</v>
      </c>
      <c r="E44" s="39">
        <f t="shared" ca="1" si="1"/>
        <v>2944.9621442609773</v>
      </c>
    </row>
    <row r="45" spans="2:5" x14ac:dyDescent="0.2">
      <c r="B45">
        <v>2037</v>
      </c>
      <c r="C45" s="39">
        <f ca="1">FCFF!P73</f>
        <v>10886.086976702401</v>
      </c>
      <c r="D45" s="39">
        <f>D44*(1+WACC!$C$25)</f>
        <v>2.9397743576155868</v>
      </c>
      <c r="E45" s="39">
        <f t="shared" ca="1" si="1"/>
        <v>3703.034876980139</v>
      </c>
    </row>
    <row r="46" spans="2:5" x14ac:dyDescent="0.2">
      <c r="B46">
        <v>2038</v>
      </c>
      <c r="C46" s="39">
        <f ca="1">FCFF!P74</f>
        <v>10844.164811609666</v>
      </c>
      <c r="D46" s="39">
        <f>D45*(1+WACC!$C$25)</f>
        <v>3.1751554850534025</v>
      </c>
      <c r="E46" s="39">
        <f t="shared" ca="1" si="1"/>
        <v>3415.3177262206668</v>
      </c>
    </row>
    <row r="47" spans="2:5" x14ac:dyDescent="0.2">
      <c r="B47">
        <v>2039</v>
      </c>
      <c r="C47" s="39">
        <f ca="1">FCFF!P75</f>
        <v>11583.640017643607</v>
      </c>
      <c r="D47" s="39">
        <f>D46*(1+WACC!$C$25)</f>
        <v>3.4293830504875125</v>
      </c>
      <c r="E47" s="39">
        <f t="shared" ca="1" si="1"/>
        <v>3377.7620776416056</v>
      </c>
    </row>
    <row r="48" spans="2:5" x14ac:dyDescent="0.2">
      <c r="B48">
        <v>2040</v>
      </c>
      <c r="C48" s="39">
        <f ca="1">FCFF!P76</f>
        <v>10827.916146505229</v>
      </c>
      <c r="D48" s="39">
        <f>D47*(1+WACC!$C$25)</f>
        <v>3.7039660458622343</v>
      </c>
      <c r="E48" s="39">
        <f t="shared" ca="1" si="1"/>
        <v>2923.3302931060302</v>
      </c>
    </row>
    <row r="49" spans="2:5" x14ac:dyDescent="0.2">
      <c r="B49">
        <v>2041</v>
      </c>
      <c r="C49" s="39">
        <f ca="1">FCFF!P77</f>
        <v>10616.67944356511</v>
      </c>
      <c r="D49" s="39">
        <f>D48*(1+WACC!$C$25)</f>
        <v>4.0005342847163154</v>
      </c>
      <c r="E49" s="39">
        <f t="shared" ca="1" si="1"/>
        <v>2653.8153876408928</v>
      </c>
    </row>
    <row r="50" spans="2:5" x14ac:dyDescent="0.2">
      <c r="B50">
        <v>2042</v>
      </c>
      <c r="C50" s="39">
        <f ca="1">FCFF!P78</f>
        <v>12788.649359129577</v>
      </c>
      <c r="D50" s="39">
        <f>D49*(1+WACC!$C$25)</f>
        <v>4.3208480760965227</v>
      </c>
      <c r="E50" s="39">
        <f t="shared" ca="1" si="1"/>
        <v>2959.7544588244145</v>
      </c>
    </row>
    <row r="51" spans="2:5" x14ac:dyDescent="0.2">
      <c r="B51">
        <v>2043</v>
      </c>
      <c r="C51" s="39">
        <f ca="1">FCFF!P79</f>
        <v>12180.743076740491</v>
      </c>
      <c r="D51" s="39">
        <f>D50*(1+WACC!$C$25)</f>
        <v>4.6668086730397622</v>
      </c>
      <c r="E51" s="39">
        <f t="shared" ca="1" si="1"/>
        <v>2610.0798061657988</v>
      </c>
    </row>
    <row r="52" spans="2:5" x14ac:dyDescent="0.2">
      <c r="B52">
        <v>2044</v>
      </c>
      <c r="C52" s="39">
        <f ca="1">FCFF!P80</f>
        <v>12394.200712746106</v>
      </c>
      <c r="D52" s="39">
        <f>D51*(1+WACC!$C$25)</f>
        <v>5.0404695576416803</v>
      </c>
      <c r="E52" s="39">
        <f t="shared" ca="1" si="1"/>
        <v>2458.9377182043863</v>
      </c>
    </row>
    <row r="53" spans="2:5" x14ac:dyDescent="0.2">
      <c r="B53">
        <v>2045</v>
      </c>
      <c r="C53" s="39">
        <f ca="1">FCFF!P81</f>
        <v>12127.872379757959</v>
      </c>
      <c r="D53" s="39">
        <f>D52*(1+WACC!$C$25)</f>
        <v>5.4440486296953559</v>
      </c>
      <c r="E53" s="39">
        <f t="shared" ca="1" si="1"/>
        <v>2227.7303537673624</v>
      </c>
    </row>
    <row r="54" spans="2:5" x14ac:dyDescent="0.2">
      <c r="B54">
        <v>2046</v>
      </c>
      <c r="C54" s="39">
        <f ca="1">FCFF!P82</f>
        <v>12502.538232208421</v>
      </c>
      <c r="D54" s="39">
        <f>D53*(1+WACC!$C$25)</f>
        <v>5.8799413712469004</v>
      </c>
      <c r="E54" s="39">
        <f t="shared" ca="1" si="1"/>
        <v>2126.3032133868255</v>
      </c>
    </row>
    <row r="55" spans="2:5" x14ac:dyDescent="0.2">
      <c r="B55">
        <v>2047</v>
      </c>
      <c r="C55" s="39">
        <f ca="1">FCFF!P83</f>
        <v>12089.317857675322</v>
      </c>
      <c r="D55" s="39">
        <f>D54*(1+WACC!$C$25)</f>
        <v>6.350735065207453</v>
      </c>
      <c r="E55" s="39">
        <f t="shared" ca="1" si="1"/>
        <v>1903.6092253173549</v>
      </c>
    </row>
    <row r="56" spans="2:5" x14ac:dyDescent="0.2">
      <c r="B56">
        <v>2048</v>
      </c>
      <c r="C56" s="39">
        <f ca="1">FCFF!P84</f>
        <v>15397.800382926607</v>
      </c>
      <c r="D56" s="39">
        <f>D55*(1+WACC!$C$25)</f>
        <v>6.8592241524174824</v>
      </c>
      <c r="E56" s="39">
        <f t="shared" ca="1" si="1"/>
        <v>2244.831199677265</v>
      </c>
    </row>
    <row r="57" spans="2:5" x14ac:dyDescent="0.2">
      <c r="B57">
        <v>2049</v>
      </c>
      <c r="C57" s="39">
        <f ca="1">FCFF!P85</f>
        <v>12821.447656230879</v>
      </c>
      <c r="D57" s="39">
        <f>D56*(1+WACC!$C$25)</f>
        <v>7.4084268183167286</v>
      </c>
      <c r="E57" s="39">
        <f t="shared" ca="1" si="1"/>
        <v>1730.6572597209033</v>
      </c>
    </row>
    <row r="58" spans="2:5" x14ac:dyDescent="0.2">
      <c r="B58">
        <v>2050</v>
      </c>
      <c r="C58" s="39">
        <f ca="1">FCFF!P86</f>
        <v>15273.228723301112</v>
      </c>
      <c r="D58" s="39">
        <f>D57*(1+WACC!$C$25)</f>
        <v>8.0016029076715327</v>
      </c>
      <c r="E58" s="39">
        <f t="shared" ca="1" si="1"/>
        <v>1908.771142424215</v>
      </c>
    </row>
    <row r="59" spans="2:5" x14ac:dyDescent="0.2">
      <c r="B59">
        <v>2051</v>
      </c>
      <c r="C59" s="39">
        <f ca="1">FCFF!P87</f>
        <v>15029.901821534531</v>
      </c>
      <c r="D59" s="39">
        <f>D58*(1+WACC!$C$25)</f>
        <v>8.6422732736941317</v>
      </c>
      <c r="E59" s="39">
        <f t="shared" ca="1" si="1"/>
        <v>1739.1143910345263</v>
      </c>
    </row>
    <row r="60" spans="2:5" x14ac:dyDescent="0.2">
      <c r="B60">
        <v>2052</v>
      </c>
      <c r="C60" s="39">
        <f ca="1">FCFF!P88</f>
        <v>11730.4782790959</v>
      </c>
      <c r="D60" s="39">
        <f>D59*(1+WACC!$C$25)</f>
        <v>9.3342406764024695</v>
      </c>
      <c r="E60" s="39">
        <f t="shared" ca="1" si="1"/>
        <v>1256.7147865333347</v>
      </c>
    </row>
    <row r="61" spans="2:5" x14ac:dyDescent="0.2">
      <c r="B61">
        <v>2053</v>
      </c>
      <c r="C61" s="39">
        <f ca="1">FCFF!P89</f>
        <v>18284.46085098257</v>
      </c>
      <c r="D61" s="39">
        <f>D60*(1+WACC!$C$25)</f>
        <v>10.081612354264704</v>
      </c>
      <c r="E61" s="39">
        <f t="shared" ca="1" si="1"/>
        <v>1813.6445053104935</v>
      </c>
    </row>
    <row r="62" spans="2:5" x14ac:dyDescent="0.2">
      <c r="B62">
        <v>2054</v>
      </c>
      <c r="C62" s="39">
        <f ca="1">FCFF!P90</f>
        <v>13756.933194423766</v>
      </c>
      <c r="D62" s="39">
        <f>D61*(1+WACC!$C$25)</f>
        <v>10.888824403104591</v>
      </c>
      <c r="E62" s="39">
        <f t="shared" ca="1" si="1"/>
        <v>1263.3993060354089</v>
      </c>
    </row>
    <row r="63" spans="2:5" x14ac:dyDescent="0.2">
      <c r="B63">
        <v>2055</v>
      </c>
      <c r="C63" s="39">
        <f ca="1">FCFF!P91</f>
        <v>15996.186016899421</v>
      </c>
      <c r="D63" s="39">
        <f>D62*(1+WACC!$C$25)</f>
        <v>11.760668106971032</v>
      </c>
      <c r="E63" s="39">
        <f t="shared" ca="1" si="1"/>
        <v>1360.1426272218177</v>
      </c>
    </row>
    <row r="64" spans="2:5" x14ac:dyDescent="0.2">
      <c r="B64">
        <v>2056</v>
      </c>
      <c r="C64" s="39">
        <f ca="1">FCFF!P92</f>
        <v>18854.50388504783</v>
      </c>
      <c r="D64" s="39">
        <f>D63*(1+WACC!$C$25)</f>
        <v>12.702318377261195</v>
      </c>
      <c r="E64" s="39">
        <f t="shared" ca="1" si="1"/>
        <v>1484.3356405551801</v>
      </c>
    </row>
    <row r="65" spans="2:5" x14ac:dyDescent="0.2">
      <c r="B65">
        <v>2057</v>
      </c>
      <c r="C65" s="39">
        <f ca="1">FCFF!P93</f>
        <v>15998.928779586477</v>
      </c>
      <c r="D65" s="39">
        <f>D64*(1+WACC!$C$25)</f>
        <v>13.719364468900311</v>
      </c>
      <c r="E65" s="39">
        <f t="shared" ca="1" si="1"/>
        <v>1166.156698865577</v>
      </c>
    </row>
    <row r="66" spans="2:5" x14ac:dyDescent="0.2">
      <c r="B66">
        <v>2058</v>
      </c>
      <c r="C66" s="39">
        <f ca="1">FCFF!P94</f>
        <v>19869.531054817784</v>
      </c>
      <c r="D66" s="39">
        <f>D65*(1+WACC!$C$25)</f>
        <v>14.817843155896988</v>
      </c>
      <c r="E66" s="39">
        <f t="shared" ca="1" si="1"/>
        <v>1340.9192448437004</v>
      </c>
    </row>
    <row r="67" spans="2:5" x14ac:dyDescent="0.2">
      <c r="B67">
        <v>2059</v>
      </c>
      <c r="C67" s="39">
        <f ca="1">FCFF!P95</f>
        <v>14336.540131744359</v>
      </c>
      <c r="D67" s="39">
        <f>D66*(1+WACC!$C$25)</f>
        <v>16.004274563190677</v>
      </c>
      <c r="E67" s="39">
        <f t="shared" ca="1" si="1"/>
        <v>895.79443761343271</v>
      </c>
    </row>
    <row r="68" spans="2:5" x14ac:dyDescent="0.2">
      <c r="B68">
        <v>2060</v>
      </c>
      <c r="C68" s="39">
        <f ca="1">FCFF!P96</f>
        <v>16004.108439997184</v>
      </c>
      <c r="D68" s="39">
        <f>D67*(1+WACC!$C$25)</f>
        <v>17.285700867474667</v>
      </c>
      <c r="E68" s="39">
        <f t="shared" ca="1" si="1"/>
        <v>925.85823176606232</v>
      </c>
    </row>
    <row r="69" spans="2:5" x14ac:dyDescent="0.2">
      <c r="B69">
        <v>2061</v>
      </c>
      <c r="C69" s="39">
        <f ca="1">FCFF!P97</f>
        <v>17139.392447139395</v>
      </c>
      <c r="D69" s="39">
        <f>D68*(1+WACC!$C$25)</f>
        <v>18.669728096707018</v>
      </c>
      <c r="E69" s="39">
        <f t="shared" ca="1" si="1"/>
        <v>918.03117637061109</v>
      </c>
    </row>
    <row r="70" spans="2:5" x14ac:dyDescent="0.2">
      <c r="B70">
        <v>2062</v>
      </c>
      <c r="C70" s="39">
        <f ca="1">FCFF!P98</f>
        <v>18571.682482624339</v>
      </c>
      <c r="D70" s="39">
        <f>D69*(1+WACC!$C$25)</f>
        <v>20.164571276414421</v>
      </c>
      <c r="E70" s="39">
        <f t="shared" ref="E70:E101" ca="1" si="2">C70/D70</f>
        <v>921.00557101091408</v>
      </c>
    </row>
    <row r="71" spans="2:5" x14ac:dyDescent="0.2">
      <c r="B71">
        <v>2063</v>
      </c>
      <c r="C71" s="39">
        <f ca="1">FCFF!P99</f>
        <v>21370.846913911289</v>
      </c>
      <c r="D71" s="39">
        <f>D70*(1+WACC!$C$25)</f>
        <v>21.779103190759145</v>
      </c>
      <c r="E71" s="39">
        <f t="shared" ca="1" si="2"/>
        <v>981.25467916323214</v>
      </c>
    </row>
    <row r="72" spans="2:5" x14ac:dyDescent="0.2">
      <c r="B72">
        <v>2064</v>
      </c>
      <c r="C72" s="39">
        <f ca="1">FCFF!P100</f>
        <v>14940.156398214742</v>
      </c>
      <c r="D72" s="39">
        <f>D71*(1+WACC!$C$25)</f>
        <v>23.522907047795087</v>
      </c>
      <c r="E72" s="39">
        <f t="shared" ca="1" si="2"/>
        <v>635.13222952667127</v>
      </c>
    </row>
    <row r="73" spans="2:5" x14ac:dyDescent="0.2">
      <c r="B73">
        <v>2065</v>
      </c>
      <c r="C73" s="39">
        <f ca="1">FCFF!P101</f>
        <v>21523.208917624106</v>
      </c>
      <c r="D73" s="39">
        <f>D72*(1+WACC!$C$25)</f>
        <v>25.40633336151252</v>
      </c>
      <c r="E73" s="39">
        <f t="shared" ca="1" si="2"/>
        <v>847.15919496786296</v>
      </c>
    </row>
    <row r="74" spans="2:5" x14ac:dyDescent="0.2">
      <c r="B74">
        <v>2066</v>
      </c>
      <c r="C74" s="39">
        <f ca="1">FCFF!P102</f>
        <v>19642.676734326247</v>
      </c>
      <c r="D74" s="39">
        <f>D73*(1+WACC!$C$25)</f>
        <v>27.440561388300349</v>
      </c>
      <c r="E74" s="39">
        <f t="shared" ca="1" si="2"/>
        <v>715.82634394284537</v>
      </c>
    </row>
    <row r="75" spans="2:5" x14ac:dyDescent="0.2">
      <c r="B75">
        <v>2067</v>
      </c>
      <c r="C75" s="39">
        <f ca="1">FCFF!P103</f>
        <v>21708.989763199235</v>
      </c>
      <c r="D75" s="39">
        <f>D74*(1+WACC!$C$25)</f>
        <v>29.637665482487883</v>
      </c>
      <c r="E75" s="39">
        <f t="shared" ca="1" si="2"/>
        <v>732.47974865046331</v>
      </c>
    </row>
    <row r="76" spans="2:5" x14ac:dyDescent="0.2">
      <c r="B76">
        <v>2068</v>
      </c>
      <c r="C76" s="39">
        <f ca="1">FCFF!P104</f>
        <v>21676.4864352652</v>
      </c>
      <c r="D76" s="39">
        <f>D75*(1+WACC!$C$25)</f>
        <v>32.010686764825721</v>
      </c>
      <c r="E76" s="39">
        <f t="shared" ca="1" si="2"/>
        <v>677.16405444584086</v>
      </c>
    </row>
    <row r="77" spans="2:5" x14ac:dyDescent="0.2">
      <c r="B77">
        <v>2069</v>
      </c>
      <c r="C77" s="39">
        <f ca="1">FCFF!P105</f>
        <v>23875.719738483269</v>
      </c>
      <c r="D77" s="39">
        <f>D76*(1+WACC!$C$25)</f>
        <v>34.573710529300882</v>
      </c>
      <c r="E77" s="39">
        <f t="shared" ca="1" si="2"/>
        <v>690.57440965871535</v>
      </c>
    </row>
    <row r="78" spans="2:5" x14ac:dyDescent="0.2">
      <c r="B78">
        <v>2070</v>
      </c>
      <c r="C78" s="39">
        <f ca="1">FCFF!P106</f>
        <v>19046.193368187247</v>
      </c>
      <c r="D78" s="39">
        <f>D77*(1+WACC!$C$25)</f>
        <v>37.341949847741688</v>
      </c>
      <c r="E78" s="39">
        <f t="shared" ca="1" si="2"/>
        <v>510.04817493050899</v>
      </c>
    </row>
    <row r="79" spans="2:5" x14ac:dyDescent="0.2">
      <c r="B79">
        <v>2071</v>
      </c>
      <c r="C79" s="39">
        <f ca="1">FCFF!P107</f>
        <v>19123.390728908769</v>
      </c>
      <c r="D79" s="39">
        <f>D78*(1+WACC!$C$25)</f>
        <v>40.331835868455514</v>
      </c>
      <c r="E79" s="39">
        <f t="shared" ca="1" si="2"/>
        <v>474.15125835780827</v>
      </c>
    </row>
    <row r="80" spans="2:5" x14ac:dyDescent="0.2">
      <c r="B80">
        <v>2072</v>
      </c>
      <c r="C80" s="39">
        <f ca="1">FCFF!P108</f>
        <v>26079.121466085489</v>
      </c>
      <c r="D80" s="39">
        <f>D79*(1+WACC!$C$25)</f>
        <v>43.561115344875581</v>
      </c>
      <c r="E80" s="39">
        <f t="shared" ca="1" si="2"/>
        <v>598.67891948164663</v>
      </c>
    </row>
    <row r="81" spans="2:5" x14ac:dyDescent="0.2">
      <c r="B81">
        <v>2073</v>
      </c>
      <c r="C81" s="39">
        <f ca="1">FCFF!P109</f>
        <v>24069.234124542403</v>
      </c>
      <c r="D81" s="39">
        <f>D80*(1+WACC!$C$25)</f>
        <v>47.04895597310734</v>
      </c>
      <c r="E81" s="39">
        <f t="shared" ca="1" si="2"/>
        <v>511.57849577576405</v>
      </c>
    </row>
    <row r="82" spans="2:5" x14ac:dyDescent="0.2">
      <c r="B82">
        <v>2074</v>
      </c>
      <c r="C82" s="39">
        <f ca="1">FCFF!P110</f>
        <v>24629.219994521052</v>
      </c>
      <c r="D82" s="39">
        <f>D81*(1+WACC!$C$25)</f>
        <v>50.816060163615518</v>
      </c>
      <c r="E82" s="39">
        <f t="shared" ca="1" si="2"/>
        <v>484.67393802708978</v>
      </c>
    </row>
    <row r="83" spans="2:5" x14ac:dyDescent="0.2">
      <c r="B83">
        <v>2075</v>
      </c>
      <c r="C83" s="39">
        <f ca="1">FCFF!P111</f>
        <v>31599.094328870149</v>
      </c>
      <c r="D83" s="39">
        <f>D82*(1+WACC!$C$25)</f>
        <v>54.884787922354533</v>
      </c>
      <c r="E83" s="39">
        <f t="shared" ca="1" si="2"/>
        <v>575.73501738903246</v>
      </c>
    </row>
    <row r="84" spans="2:5" x14ac:dyDescent="0.2">
      <c r="B84">
        <v>2076</v>
      </c>
      <c r="C84" s="39">
        <f ca="1">FCFF!P112</f>
        <v>24146.676666611809</v>
      </c>
      <c r="D84" s="39">
        <f>D83*(1+WACC!$C$25)</f>
        <v>59.279289570714901</v>
      </c>
      <c r="E84" s="39">
        <f t="shared" ca="1" si="2"/>
        <v>407.33748399273543</v>
      </c>
    </row>
    <row r="85" spans="2:5" x14ac:dyDescent="0.2">
      <c r="B85">
        <v>2077</v>
      </c>
      <c r="C85" s="39">
        <f ca="1">FCFF!P113</f>
        <v>26215.712258964941</v>
      </c>
      <c r="D85" s="39">
        <f>D84*(1+WACC!$C$25)</f>
        <v>64.02564909205752</v>
      </c>
      <c r="E85" s="39">
        <f t="shared" ca="1" si="2"/>
        <v>409.45640740434197</v>
      </c>
    </row>
    <row r="86" spans="2:5" x14ac:dyDescent="0.2">
      <c r="B86">
        <v>2078</v>
      </c>
      <c r="C86" s="39">
        <f ca="1">FCFF!P114</f>
        <v>25894.020116540949</v>
      </c>
      <c r="D86" s="39">
        <f>D85*(1+WACC!$C$25)</f>
        <v>69.15203895568294</v>
      </c>
      <c r="E86" s="39">
        <f t="shared" ca="1" si="2"/>
        <v>374.45056584861504</v>
      </c>
    </row>
    <row r="87" spans="2:5" x14ac:dyDescent="0.2">
      <c r="B87">
        <v>2079</v>
      </c>
      <c r="C87" s="39">
        <f ca="1">FCFF!P115</f>
        <v>28535.615744445109</v>
      </c>
      <c r="D87" s="39">
        <f>D86*(1+WACC!$C$25)</f>
        <v>74.688887337207888</v>
      </c>
      <c r="E87" s="39">
        <f t="shared" ca="1" si="2"/>
        <v>382.05972483713083</v>
      </c>
    </row>
    <row r="88" spans="2:5" x14ac:dyDescent="0.2">
      <c r="B88">
        <v>2080</v>
      </c>
      <c r="C88" s="39">
        <f ca="1">FCFF!P116</f>
        <v>26657.566841311927</v>
      </c>
      <c r="D88" s="39">
        <f>D87*(1+WACC!$C$25)</f>
        <v>80.6690587279017</v>
      </c>
      <c r="E88" s="39">
        <f t="shared" ca="1" si="2"/>
        <v>330.45590542004982</v>
      </c>
    </row>
    <row r="89" spans="2:5" x14ac:dyDescent="0.2">
      <c r="B89">
        <v>2081</v>
      </c>
      <c r="C89" s="39">
        <f ca="1">FCFF!P117</f>
        <v>30036.51629535461</v>
      </c>
      <c r="D89" s="39">
        <f>D88*(1+WACC!$C$25)</f>
        <v>87.128049005006432</v>
      </c>
      <c r="E89" s="39">
        <f t="shared" ca="1" si="2"/>
        <v>344.73991600143245</v>
      </c>
    </row>
    <row r="90" spans="2:5" x14ac:dyDescent="0.2">
      <c r="B90">
        <v>2082</v>
      </c>
      <c r="C90" s="39">
        <f ca="1">FCFF!P118</f>
        <v>28644.729133870333</v>
      </c>
      <c r="D90" s="39">
        <f>D89*(1+WACC!$C$25)</f>
        <v>94.10419612089926</v>
      </c>
      <c r="E90" s="39">
        <f t="shared" ca="1" si="2"/>
        <v>304.39374985010608</v>
      </c>
    </row>
    <row r="91" spans="2:5" x14ac:dyDescent="0.2">
      <c r="B91">
        <v>2083</v>
      </c>
      <c r="C91" s="39">
        <f ca="1">FCFF!P119</f>
        <v>25068.724310405916</v>
      </c>
      <c r="D91" s="39">
        <f>D90*(1+WACC!$C$25)</f>
        <v>101.6389076616627</v>
      </c>
      <c r="E91" s="39">
        <f t="shared" ca="1" si="2"/>
        <v>246.64495995819934</v>
      </c>
    </row>
    <row r="92" spans="2:5" x14ac:dyDescent="0.2">
      <c r="B92">
        <v>2084</v>
      </c>
      <c r="C92" s="39">
        <f ca="1">FCFF!P120</f>
        <v>34836.408971917888</v>
      </c>
      <c r="D92" s="39">
        <f>D91*(1+WACC!$C$25)</f>
        <v>109.77690662575823</v>
      </c>
      <c r="E92" s="39">
        <f t="shared" ca="1" si="2"/>
        <v>317.33822752611445</v>
      </c>
    </row>
    <row r="93" spans="2:5" x14ac:dyDescent="0.2">
      <c r="B93">
        <v>2085</v>
      </c>
      <c r="C93" s="39">
        <f ca="1">FCFF!P121</f>
        <v>27720.185926180988</v>
      </c>
      <c r="D93" s="39">
        <f>D92*(1+WACC!$C$25)</f>
        <v>118.56649688164605</v>
      </c>
      <c r="E93" s="39">
        <f t="shared" ca="1" si="2"/>
        <v>233.79442469192188</v>
      </c>
    </row>
    <row r="94" spans="2:5" x14ac:dyDescent="0.2">
      <c r="B94">
        <v>2086</v>
      </c>
      <c r="C94" s="39">
        <f ca="1">FCFF!P122</f>
        <v>32167.810556579399</v>
      </c>
      <c r="D94" s="39">
        <f>D93*(1+WACC!$C$25)</f>
        <v>128.05984988000003</v>
      </c>
      <c r="E94" s="39">
        <f t="shared" ca="1" si="2"/>
        <v>251.193567591424</v>
      </c>
    </row>
    <row r="95" spans="2:5" x14ac:dyDescent="0.2">
      <c r="B95">
        <v>2087</v>
      </c>
      <c r="C95" s="39">
        <f ca="1">FCFF!P123</f>
        <v>38187.294103460525</v>
      </c>
      <c r="D95" s="39">
        <f>D94*(1+WACC!$C$25)</f>
        <v>138.31331432232557</v>
      </c>
      <c r="E95" s="39">
        <f t="shared" ca="1" si="2"/>
        <v>276.09268341635419</v>
      </c>
    </row>
    <row r="96" spans="2:5" x14ac:dyDescent="0.2">
      <c r="B96">
        <v>2088</v>
      </c>
      <c r="C96" s="39">
        <f ca="1">FCFF!P124</f>
        <v>27148.017882795219</v>
      </c>
      <c r="D96" s="39">
        <f>D95*(1+WACC!$C$25)</f>
        <v>149.38775062404773</v>
      </c>
      <c r="E96" s="39">
        <f t="shared" ca="1" si="2"/>
        <v>181.72854045521092</v>
      </c>
    </row>
    <row r="97" spans="2:5" x14ac:dyDescent="0.2">
      <c r="B97">
        <v>2089</v>
      </c>
      <c r="C97" s="39">
        <f ca="1">FCFF!P125</f>
        <v>39111.273484866862</v>
      </c>
      <c r="D97" s="39">
        <f>D96*(1+WACC!$C$25)</f>
        <v>161.34889215730743</v>
      </c>
      <c r="E97" s="39">
        <f t="shared" ca="1" si="2"/>
        <v>242.4018718810616</v>
      </c>
    </row>
    <row r="98" spans="2:5" x14ac:dyDescent="0.2">
      <c r="B98">
        <v>2090</v>
      </c>
      <c r="C98" s="39">
        <f ca="1">FCFF!P126</f>
        <v>34026.862369207221</v>
      </c>
      <c r="D98" s="39">
        <f>D97*(1+WACC!$C$25)</f>
        <v>174.26773541765667</v>
      </c>
      <c r="E98" s="39">
        <f t="shared" ca="1" si="2"/>
        <v>195.25623769458616</v>
      </c>
    </row>
    <row r="99" spans="2:5" x14ac:dyDescent="0.2">
      <c r="B99">
        <v>2091</v>
      </c>
      <c r="C99" s="39">
        <f ca="1">FCFF!P127</f>
        <v>40922.346041191027</v>
      </c>
      <c r="D99" s="39">
        <f>D98*(1+WACC!$C$25)</f>
        <v>188.22096143052428</v>
      </c>
      <c r="E99" s="39">
        <f t="shared" ca="1" si="2"/>
        <v>217.41651795937827</v>
      </c>
    </row>
    <row r="100" spans="2:5" x14ac:dyDescent="0.2">
      <c r="B100">
        <v>2092</v>
      </c>
      <c r="C100" s="39">
        <f ca="1">FCFF!P128</f>
        <v>42187.925761173239</v>
      </c>
      <c r="D100" s="39">
        <f>D99*(1+WACC!$C$25)</f>
        <v>203.29139089875076</v>
      </c>
      <c r="E100" s="39">
        <f t="shared" ca="1" si="2"/>
        <v>207.52440904979065</v>
      </c>
    </row>
    <row r="101" spans="2:5" x14ac:dyDescent="0.2">
      <c r="B101">
        <v>2093</v>
      </c>
      <c r="C101" s="39">
        <f ca="1">FCFF!P129</f>
        <v>36730.490473432146</v>
      </c>
      <c r="D101" s="39">
        <f>D100*(1+WACC!$C$25)</f>
        <v>219.56847579276317</v>
      </c>
      <c r="E101" s="39">
        <f t="shared" ca="1" si="2"/>
        <v>167.28489980546999</v>
      </c>
    </row>
    <row r="102" spans="2:5" x14ac:dyDescent="0.2">
      <c r="B102">
        <v>2094</v>
      </c>
      <c r="C102" s="39">
        <f ca="1">FCFF!P130</f>
        <v>40408.045605730455</v>
      </c>
      <c r="D102" s="39">
        <f>D101*(1+WACC!$C$25)</f>
        <v>237.14883030127118</v>
      </c>
      <c r="E102" s="39">
        <f t="shared" ref="E102:E107" ca="1" si="3">C102/D102</f>
        <v>170.39108122269266</v>
      </c>
    </row>
    <row r="103" spans="2:5" x14ac:dyDescent="0.2">
      <c r="B103">
        <v>2095</v>
      </c>
      <c r="C103" s="39">
        <f ca="1">FCFF!P131</f>
        <v>40226.652905487463</v>
      </c>
      <c r="D103" s="39">
        <f>D102*(1+WACC!$C$25)</f>
        <v>256.13680429399204</v>
      </c>
      <c r="E103" s="39">
        <f t="shared" ca="1" si="3"/>
        <v>157.05143591670486</v>
      </c>
    </row>
    <row r="104" spans="2:5" x14ac:dyDescent="0.2">
      <c r="B104">
        <v>2096</v>
      </c>
      <c r="C104" s="39">
        <f ca="1">FCFF!P132</f>
        <v>38079.440718790051</v>
      </c>
      <c r="D104" s="39">
        <f>D103*(1+WACC!$C$25)</f>
        <v>276.64510270024772</v>
      </c>
      <c r="E104" s="39">
        <f t="shared" ca="1" si="3"/>
        <v>137.64726122786323</v>
      </c>
    </row>
    <row r="105" spans="2:5" x14ac:dyDescent="0.2">
      <c r="B105">
        <v>2097</v>
      </c>
      <c r="C105" s="39">
        <f ca="1">FCFF!P133</f>
        <v>45365.91865458354</v>
      </c>
      <c r="D105" s="39">
        <f>D104*(1+WACC!$C$25)</f>
        <v>298.79545447981434</v>
      </c>
      <c r="E105" s="39">
        <f t="shared" ca="1" si="3"/>
        <v>151.82934671333265</v>
      </c>
    </row>
    <row r="106" spans="2:5" x14ac:dyDescent="0.2">
      <c r="B106">
        <v>2098</v>
      </c>
      <c r="C106" s="39">
        <f ca="1">FCFF!P134</f>
        <v>45692.694104778224</v>
      </c>
      <c r="D106" s="39">
        <f>D105*(1+WACC!$C$25)</f>
        <v>322.71933515676454</v>
      </c>
      <c r="E106" s="39">
        <f t="shared" ca="1" si="3"/>
        <v>141.58647817795759</v>
      </c>
    </row>
    <row r="107" spans="2:5" x14ac:dyDescent="0.2">
      <c r="B107" s="103">
        <v>2099</v>
      </c>
      <c r="C107" s="96">
        <f ca="1">FCFF!P135</f>
        <v>39946.565816179027</v>
      </c>
      <c r="D107" s="96">
        <f>D106*(1+WACC!$C$25)</f>
        <v>348.55874720497133</v>
      </c>
      <c r="E107" s="96">
        <f t="shared" ca="1" si="3"/>
        <v>114.60497301101525</v>
      </c>
    </row>
    <row r="108" spans="2:5" x14ac:dyDescent="0.2">
      <c r="B108" s="34" t="s">
        <v>414</v>
      </c>
      <c r="E108" s="39">
        <f ca="1">SUM($E$38:$E$107)</f>
        <v>93474.410592992004</v>
      </c>
    </row>
    <row r="109" spans="2:5" x14ac:dyDescent="0.2">
      <c r="E109" s="39"/>
    </row>
    <row r="110" spans="2:5" x14ac:dyDescent="0.2">
      <c r="E110" s="39"/>
    </row>
    <row r="111" spans="2:5" x14ac:dyDescent="0.2">
      <c r="B111" s="34" t="s">
        <v>449</v>
      </c>
    </row>
    <row r="112" spans="2:5" x14ac:dyDescent="0.2">
      <c r="B112" s="34" t="s">
        <v>450</v>
      </c>
      <c r="C112" s="39">
        <f ca="1">C107*(1+FCFF!C28)/(WACC!C25-FCFF!C28)</f>
        <v>690219.31404536683</v>
      </c>
    </row>
    <row r="113" spans="2:3" x14ac:dyDescent="0.2">
      <c r="B113" s="34" t="s">
        <v>451</v>
      </c>
      <c r="C113" s="39">
        <f ca="1">C112/E107</f>
        <v>6022.5947959433352</v>
      </c>
    </row>
    <row r="117" spans="2:3" ht="10.5" thickBot="1" x14ac:dyDescent="0.25">
      <c r="B117" s="72" t="s">
        <v>455</v>
      </c>
      <c r="C117" s="72"/>
    </row>
    <row r="118" spans="2:3" x14ac:dyDescent="0.2">
      <c r="B118" s="73" t="s">
        <v>454</v>
      </c>
      <c r="C118" s="73" t="s">
        <v>420</v>
      </c>
    </row>
    <row r="119" spans="2:3" x14ac:dyDescent="0.2">
      <c r="B119">
        <v>0</v>
      </c>
      <c r="C119" s="97">
        <f ca="1">C22</f>
        <v>136.09144003338503</v>
      </c>
    </row>
    <row r="120" spans="2:3" x14ac:dyDescent="0.2">
      <c r="B120" cm="1">
        <f t="array" ref="B120:B619">_xlfn.SEQUENCE(500,1,1,1)</f>
        <v>1</v>
      </c>
      <c r="C120" s="39">
        <f t="dataTable" ref="C120:C619" dt2D="0" dtr="0" r1="F118" ca="1"/>
        <v>135.9407956791614</v>
      </c>
    </row>
    <row r="121" spans="2:3" x14ac:dyDescent="0.2">
      <c r="B121">
        <v>2</v>
      </c>
      <c r="C121" s="39">
        <v>133.57755045187045</v>
      </c>
    </row>
    <row r="122" spans="2:3" x14ac:dyDescent="0.2">
      <c r="B122">
        <v>3</v>
      </c>
      <c r="C122" s="39">
        <v>136.18490827007128</v>
      </c>
    </row>
    <row r="123" spans="2:3" x14ac:dyDescent="0.2">
      <c r="B123">
        <v>4</v>
      </c>
      <c r="C123" s="39">
        <v>138.59763965904318</v>
      </c>
    </row>
    <row r="124" spans="2:3" x14ac:dyDescent="0.2">
      <c r="B124">
        <v>5</v>
      </c>
      <c r="C124" s="39">
        <v>129.97883194566998</v>
      </c>
    </row>
    <row r="125" spans="2:3" x14ac:dyDescent="0.2">
      <c r="B125">
        <v>6</v>
      </c>
      <c r="C125" s="39">
        <v>133.88741560702584</v>
      </c>
    </row>
    <row r="126" spans="2:3" x14ac:dyDescent="0.2">
      <c r="B126">
        <v>7</v>
      </c>
      <c r="C126" s="39">
        <v>136.94025966113779</v>
      </c>
    </row>
    <row r="127" spans="2:3" x14ac:dyDescent="0.2">
      <c r="B127">
        <v>8</v>
      </c>
      <c r="C127" s="39">
        <v>141.27846354194023</v>
      </c>
    </row>
    <row r="128" spans="2:3" x14ac:dyDescent="0.2">
      <c r="B128">
        <v>9</v>
      </c>
      <c r="C128" s="39">
        <v>131.89337063076229</v>
      </c>
    </row>
    <row r="129" spans="2:3" x14ac:dyDescent="0.2">
      <c r="B129">
        <v>10</v>
      </c>
      <c r="C129" s="39">
        <v>128.7615995040282</v>
      </c>
    </row>
    <row r="130" spans="2:3" x14ac:dyDescent="0.2">
      <c r="B130">
        <v>11</v>
      </c>
      <c r="C130" s="39">
        <v>139.81188642897087</v>
      </c>
    </row>
    <row r="131" spans="2:3" x14ac:dyDescent="0.2">
      <c r="B131">
        <v>12</v>
      </c>
      <c r="C131" s="39">
        <v>135.79275019673599</v>
      </c>
    </row>
    <row r="132" spans="2:3" x14ac:dyDescent="0.2">
      <c r="B132">
        <v>13</v>
      </c>
      <c r="C132" s="39">
        <v>135.23168519624645</v>
      </c>
    </row>
    <row r="133" spans="2:3" x14ac:dyDescent="0.2">
      <c r="B133">
        <v>14</v>
      </c>
      <c r="C133" s="39">
        <v>141.83360726988914</v>
      </c>
    </row>
    <row r="134" spans="2:3" x14ac:dyDescent="0.2">
      <c r="B134">
        <v>15</v>
      </c>
      <c r="C134" s="39">
        <v>134.48502940459164</v>
      </c>
    </row>
    <row r="135" spans="2:3" x14ac:dyDescent="0.2">
      <c r="B135">
        <v>16</v>
      </c>
      <c r="C135" s="39">
        <v>124.76429977352421</v>
      </c>
    </row>
    <row r="136" spans="2:3" x14ac:dyDescent="0.2">
      <c r="B136">
        <v>17</v>
      </c>
      <c r="C136" s="39">
        <v>141.29639226049778</v>
      </c>
    </row>
    <row r="137" spans="2:3" x14ac:dyDescent="0.2">
      <c r="B137">
        <v>18</v>
      </c>
      <c r="C137" s="39">
        <v>144.41506451813345</v>
      </c>
    </row>
    <row r="138" spans="2:3" x14ac:dyDescent="0.2">
      <c r="B138">
        <v>19</v>
      </c>
      <c r="C138" s="39">
        <v>145.08264735103819</v>
      </c>
    </row>
    <row r="139" spans="2:3" x14ac:dyDescent="0.2">
      <c r="B139">
        <v>20</v>
      </c>
      <c r="C139" s="39">
        <v>139.5020085755169</v>
      </c>
    </row>
    <row r="140" spans="2:3" x14ac:dyDescent="0.2">
      <c r="B140">
        <v>21</v>
      </c>
      <c r="C140" s="39">
        <v>130.02614599941597</v>
      </c>
    </row>
    <row r="141" spans="2:3" x14ac:dyDescent="0.2">
      <c r="B141">
        <v>22</v>
      </c>
      <c r="C141" s="39">
        <v>139.98142286554321</v>
      </c>
    </row>
    <row r="142" spans="2:3" x14ac:dyDescent="0.2">
      <c r="B142">
        <v>23</v>
      </c>
      <c r="C142" s="39">
        <v>142.76165535633615</v>
      </c>
    </row>
    <row r="143" spans="2:3" x14ac:dyDescent="0.2">
      <c r="B143">
        <v>24</v>
      </c>
      <c r="C143" s="39">
        <v>133.00506115299132</v>
      </c>
    </row>
    <row r="144" spans="2:3" x14ac:dyDescent="0.2">
      <c r="B144">
        <v>25</v>
      </c>
      <c r="C144" s="39">
        <v>125.88303029723023</v>
      </c>
    </row>
    <row r="145" spans="2:3" x14ac:dyDescent="0.2">
      <c r="B145">
        <v>26</v>
      </c>
      <c r="C145" s="39">
        <v>145.82605538736226</v>
      </c>
    </row>
    <row r="146" spans="2:3" x14ac:dyDescent="0.2">
      <c r="B146">
        <v>27</v>
      </c>
      <c r="C146" s="39">
        <v>149.97565926134803</v>
      </c>
    </row>
    <row r="147" spans="2:3" x14ac:dyDescent="0.2">
      <c r="B147">
        <v>28</v>
      </c>
      <c r="C147" s="39">
        <v>142.09043908689563</v>
      </c>
    </row>
    <row r="148" spans="2:3" x14ac:dyDescent="0.2">
      <c r="B148">
        <v>29</v>
      </c>
      <c r="C148" s="39">
        <v>139.18048936593468</v>
      </c>
    </row>
    <row r="149" spans="2:3" x14ac:dyDescent="0.2">
      <c r="B149">
        <v>30</v>
      </c>
      <c r="C149" s="39">
        <v>150.54304312920885</v>
      </c>
    </row>
    <row r="150" spans="2:3" x14ac:dyDescent="0.2">
      <c r="B150">
        <v>31</v>
      </c>
      <c r="C150" s="39">
        <v>136.45770438060561</v>
      </c>
    </row>
    <row r="151" spans="2:3" x14ac:dyDescent="0.2">
      <c r="B151">
        <v>32</v>
      </c>
      <c r="C151" s="39">
        <v>129.35812551530853</v>
      </c>
    </row>
    <row r="152" spans="2:3" x14ac:dyDescent="0.2">
      <c r="B152">
        <v>33</v>
      </c>
      <c r="C152" s="39">
        <v>130.43770047149468</v>
      </c>
    </row>
    <row r="153" spans="2:3" x14ac:dyDescent="0.2">
      <c r="B153">
        <v>34</v>
      </c>
      <c r="C153" s="39">
        <v>139.78339576362711</v>
      </c>
    </row>
    <row r="154" spans="2:3" x14ac:dyDescent="0.2">
      <c r="B154">
        <v>35</v>
      </c>
      <c r="C154" s="39">
        <v>136.23188948911334</v>
      </c>
    </row>
    <row r="155" spans="2:3" x14ac:dyDescent="0.2">
      <c r="B155">
        <v>36</v>
      </c>
      <c r="C155" s="39">
        <v>133.27306055930654</v>
      </c>
    </row>
    <row r="156" spans="2:3" x14ac:dyDescent="0.2">
      <c r="B156">
        <v>37</v>
      </c>
      <c r="C156" s="39">
        <v>138.84231535150914</v>
      </c>
    </row>
    <row r="157" spans="2:3" x14ac:dyDescent="0.2">
      <c r="B157">
        <v>38</v>
      </c>
      <c r="C157" s="39">
        <v>135.96448830500847</v>
      </c>
    </row>
    <row r="158" spans="2:3" x14ac:dyDescent="0.2">
      <c r="B158">
        <v>39</v>
      </c>
      <c r="C158" s="39">
        <v>137.75904342398383</v>
      </c>
    </row>
    <row r="159" spans="2:3" x14ac:dyDescent="0.2">
      <c r="B159">
        <v>40</v>
      </c>
      <c r="C159" s="39">
        <v>138.59534397131725</v>
      </c>
    </row>
    <row r="160" spans="2:3" x14ac:dyDescent="0.2">
      <c r="B160">
        <v>41</v>
      </c>
      <c r="C160" s="39">
        <v>135.62135211338222</v>
      </c>
    </row>
    <row r="161" spans="2:3" x14ac:dyDescent="0.2">
      <c r="B161">
        <v>42</v>
      </c>
      <c r="C161" s="39">
        <v>132.2830057237361</v>
      </c>
    </row>
    <row r="162" spans="2:3" x14ac:dyDescent="0.2">
      <c r="B162">
        <v>43</v>
      </c>
      <c r="C162" s="39">
        <v>140.67610656058557</v>
      </c>
    </row>
    <row r="163" spans="2:3" x14ac:dyDescent="0.2">
      <c r="B163">
        <v>44</v>
      </c>
      <c r="C163" s="39">
        <v>137.59667360986001</v>
      </c>
    </row>
    <row r="164" spans="2:3" x14ac:dyDescent="0.2">
      <c r="B164">
        <v>45</v>
      </c>
      <c r="C164" s="39">
        <v>129.63847485967023</v>
      </c>
    </row>
    <row r="165" spans="2:3" x14ac:dyDescent="0.2">
      <c r="B165">
        <v>46</v>
      </c>
      <c r="C165" s="39">
        <v>137.7088532699276</v>
      </c>
    </row>
    <row r="166" spans="2:3" x14ac:dyDescent="0.2">
      <c r="B166">
        <v>47</v>
      </c>
      <c r="C166" s="39">
        <v>137.61810408511684</v>
      </c>
    </row>
    <row r="167" spans="2:3" x14ac:dyDescent="0.2">
      <c r="B167">
        <v>48</v>
      </c>
      <c r="C167" s="39">
        <v>137.16284284873657</v>
      </c>
    </row>
    <row r="168" spans="2:3" x14ac:dyDescent="0.2">
      <c r="B168">
        <v>49</v>
      </c>
      <c r="C168" s="39">
        <v>128.78318632495464</v>
      </c>
    </row>
    <row r="169" spans="2:3" x14ac:dyDescent="0.2">
      <c r="B169">
        <v>50</v>
      </c>
      <c r="C169" s="39">
        <v>139.72058708664554</v>
      </c>
    </row>
    <row r="170" spans="2:3" x14ac:dyDescent="0.2">
      <c r="B170">
        <v>51</v>
      </c>
      <c r="C170" s="39">
        <v>139.72285153222023</v>
      </c>
    </row>
    <row r="171" spans="2:3" x14ac:dyDescent="0.2">
      <c r="B171">
        <v>52</v>
      </c>
      <c r="C171" s="39">
        <v>146.89163470198073</v>
      </c>
    </row>
    <row r="172" spans="2:3" x14ac:dyDescent="0.2">
      <c r="B172">
        <v>53</v>
      </c>
      <c r="C172" s="39">
        <v>141.58902278402061</v>
      </c>
    </row>
    <row r="173" spans="2:3" x14ac:dyDescent="0.2">
      <c r="B173">
        <v>54</v>
      </c>
      <c r="C173" s="39">
        <v>141.32263666222454</v>
      </c>
    </row>
    <row r="174" spans="2:3" x14ac:dyDescent="0.2">
      <c r="B174">
        <v>55</v>
      </c>
      <c r="C174" s="39">
        <v>140.11960430218826</v>
      </c>
    </row>
    <row r="175" spans="2:3" x14ac:dyDescent="0.2">
      <c r="B175">
        <v>56</v>
      </c>
      <c r="C175" s="39">
        <v>126.3125673482686</v>
      </c>
    </row>
    <row r="176" spans="2:3" x14ac:dyDescent="0.2">
      <c r="B176">
        <v>57</v>
      </c>
      <c r="C176" s="39">
        <v>137.27875402632583</v>
      </c>
    </row>
    <row r="177" spans="2:3" x14ac:dyDescent="0.2">
      <c r="B177">
        <v>58</v>
      </c>
      <c r="C177" s="39">
        <v>134.36286626286548</v>
      </c>
    </row>
    <row r="178" spans="2:3" x14ac:dyDescent="0.2">
      <c r="B178">
        <v>59</v>
      </c>
      <c r="C178" s="39">
        <v>134.94894675967944</v>
      </c>
    </row>
    <row r="179" spans="2:3" x14ac:dyDescent="0.2">
      <c r="B179">
        <v>60</v>
      </c>
      <c r="C179" s="39">
        <v>142.08707675929298</v>
      </c>
    </row>
    <row r="180" spans="2:3" x14ac:dyDescent="0.2">
      <c r="B180">
        <v>61</v>
      </c>
      <c r="C180" s="39">
        <v>140.10866944120437</v>
      </c>
    </row>
    <row r="181" spans="2:3" x14ac:dyDescent="0.2">
      <c r="B181">
        <v>62</v>
      </c>
      <c r="C181" s="39">
        <v>142.6954968711407</v>
      </c>
    </row>
    <row r="182" spans="2:3" x14ac:dyDescent="0.2">
      <c r="B182">
        <v>63</v>
      </c>
      <c r="C182" s="39">
        <v>141.58486623598014</v>
      </c>
    </row>
    <row r="183" spans="2:3" x14ac:dyDescent="0.2">
      <c r="B183">
        <v>64</v>
      </c>
      <c r="C183" s="39">
        <v>129.09226137072002</v>
      </c>
    </row>
    <row r="184" spans="2:3" x14ac:dyDescent="0.2">
      <c r="B184">
        <v>65</v>
      </c>
      <c r="C184" s="39">
        <v>131.7941946144918</v>
      </c>
    </row>
    <row r="185" spans="2:3" x14ac:dyDescent="0.2">
      <c r="B185">
        <v>66</v>
      </c>
      <c r="C185" s="39">
        <v>129.79068823071003</v>
      </c>
    </row>
    <row r="186" spans="2:3" x14ac:dyDescent="0.2">
      <c r="B186">
        <v>67</v>
      </c>
      <c r="C186" s="39">
        <v>135.564675135486</v>
      </c>
    </row>
    <row r="187" spans="2:3" x14ac:dyDescent="0.2">
      <c r="B187">
        <v>68</v>
      </c>
      <c r="C187" s="39">
        <v>132.34200332735983</v>
      </c>
    </row>
    <row r="188" spans="2:3" x14ac:dyDescent="0.2">
      <c r="B188">
        <v>69</v>
      </c>
      <c r="C188" s="39">
        <v>136.55714556123766</v>
      </c>
    </row>
    <row r="189" spans="2:3" x14ac:dyDescent="0.2">
      <c r="B189">
        <v>70</v>
      </c>
      <c r="C189" s="39">
        <v>141.21924081659813</v>
      </c>
    </row>
    <row r="190" spans="2:3" x14ac:dyDescent="0.2">
      <c r="B190">
        <v>71</v>
      </c>
      <c r="C190" s="39">
        <v>128.24099051061114</v>
      </c>
    </row>
    <row r="191" spans="2:3" x14ac:dyDescent="0.2">
      <c r="B191">
        <v>72</v>
      </c>
      <c r="C191" s="39">
        <v>136.66809929868037</v>
      </c>
    </row>
    <row r="192" spans="2:3" x14ac:dyDescent="0.2">
      <c r="B192">
        <v>73</v>
      </c>
      <c r="C192" s="39">
        <v>134.78790113579126</v>
      </c>
    </row>
    <row r="193" spans="2:3" x14ac:dyDescent="0.2">
      <c r="B193">
        <v>74</v>
      </c>
      <c r="C193" s="39">
        <v>136.96250272635658</v>
      </c>
    </row>
    <row r="194" spans="2:3" x14ac:dyDescent="0.2">
      <c r="B194">
        <v>75</v>
      </c>
      <c r="C194" s="39">
        <v>130.0593075696973</v>
      </c>
    </row>
    <row r="195" spans="2:3" x14ac:dyDescent="0.2">
      <c r="B195">
        <v>76</v>
      </c>
      <c r="C195" s="39">
        <v>145.19174817818597</v>
      </c>
    </row>
    <row r="196" spans="2:3" x14ac:dyDescent="0.2">
      <c r="B196">
        <v>77</v>
      </c>
      <c r="C196" s="39">
        <v>143.80422433267509</v>
      </c>
    </row>
    <row r="197" spans="2:3" x14ac:dyDescent="0.2">
      <c r="B197">
        <v>78</v>
      </c>
      <c r="C197" s="39">
        <v>136.36508931686319</v>
      </c>
    </row>
    <row r="198" spans="2:3" x14ac:dyDescent="0.2">
      <c r="B198">
        <v>79</v>
      </c>
      <c r="C198" s="39">
        <v>135.23478018083631</v>
      </c>
    </row>
    <row r="199" spans="2:3" x14ac:dyDescent="0.2">
      <c r="B199">
        <v>80</v>
      </c>
      <c r="C199" s="39">
        <v>145.11785897860653</v>
      </c>
    </row>
    <row r="200" spans="2:3" x14ac:dyDescent="0.2">
      <c r="B200">
        <v>81</v>
      </c>
      <c r="C200" s="39">
        <v>133.56428723427328</v>
      </c>
    </row>
    <row r="201" spans="2:3" x14ac:dyDescent="0.2">
      <c r="B201">
        <v>82</v>
      </c>
      <c r="C201" s="39">
        <v>132.27841170465774</v>
      </c>
    </row>
    <row r="202" spans="2:3" x14ac:dyDescent="0.2">
      <c r="B202">
        <v>83</v>
      </c>
      <c r="C202" s="39">
        <v>134.85782711061677</v>
      </c>
    </row>
    <row r="203" spans="2:3" x14ac:dyDescent="0.2">
      <c r="B203">
        <v>84</v>
      </c>
      <c r="C203" s="39">
        <v>128.47009969682861</v>
      </c>
    </row>
    <row r="204" spans="2:3" x14ac:dyDescent="0.2">
      <c r="B204">
        <v>85</v>
      </c>
      <c r="C204" s="39">
        <v>133.67236964628415</v>
      </c>
    </row>
    <row r="205" spans="2:3" x14ac:dyDescent="0.2">
      <c r="B205">
        <v>86</v>
      </c>
      <c r="C205" s="39">
        <v>142.93049244900155</v>
      </c>
    </row>
    <row r="206" spans="2:3" x14ac:dyDescent="0.2">
      <c r="B206">
        <v>87</v>
      </c>
      <c r="C206" s="39">
        <v>139.57017268221679</v>
      </c>
    </row>
    <row r="207" spans="2:3" x14ac:dyDescent="0.2">
      <c r="B207">
        <v>88</v>
      </c>
      <c r="C207" s="39">
        <v>138.19922499698603</v>
      </c>
    </row>
    <row r="208" spans="2:3" x14ac:dyDescent="0.2">
      <c r="B208">
        <v>89</v>
      </c>
      <c r="C208" s="39">
        <v>138.18401245038393</v>
      </c>
    </row>
    <row r="209" spans="2:3" x14ac:dyDescent="0.2">
      <c r="B209">
        <v>90</v>
      </c>
      <c r="C209" s="39">
        <v>135.01748290952804</v>
      </c>
    </row>
    <row r="210" spans="2:3" x14ac:dyDescent="0.2">
      <c r="B210">
        <v>91</v>
      </c>
      <c r="C210" s="39">
        <v>124.44669250149498</v>
      </c>
    </row>
    <row r="211" spans="2:3" x14ac:dyDescent="0.2">
      <c r="B211">
        <v>92</v>
      </c>
      <c r="C211" s="39">
        <v>128.08005685317241</v>
      </c>
    </row>
    <row r="212" spans="2:3" x14ac:dyDescent="0.2">
      <c r="B212">
        <v>93</v>
      </c>
      <c r="C212" s="39">
        <v>134.59146280728496</v>
      </c>
    </row>
    <row r="213" spans="2:3" x14ac:dyDescent="0.2">
      <c r="B213">
        <v>94</v>
      </c>
      <c r="C213" s="39">
        <v>138.44148727873187</v>
      </c>
    </row>
    <row r="214" spans="2:3" x14ac:dyDescent="0.2">
      <c r="B214">
        <v>95</v>
      </c>
      <c r="C214" s="39">
        <v>139.29477184466464</v>
      </c>
    </row>
    <row r="215" spans="2:3" x14ac:dyDescent="0.2">
      <c r="B215">
        <v>96</v>
      </c>
      <c r="C215" s="39">
        <v>136.78907806602487</v>
      </c>
    </row>
    <row r="216" spans="2:3" x14ac:dyDescent="0.2">
      <c r="B216">
        <v>97</v>
      </c>
      <c r="C216" s="39">
        <v>140.82956696243804</v>
      </c>
    </row>
    <row r="217" spans="2:3" x14ac:dyDescent="0.2">
      <c r="B217">
        <v>98</v>
      </c>
      <c r="C217" s="39">
        <v>130.01545926461992</v>
      </c>
    </row>
    <row r="218" spans="2:3" x14ac:dyDescent="0.2">
      <c r="B218">
        <v>99</v>
      </c>
      <c r="C218" s="39">
        <v>151.19100606287614</v>
      </c>
    </row>
    <row r="219" spans="2:3" x14ac:dyDescent="0.2">
      <c r="B219">
        <v>100</v>
      </c>
      <c r="C219" s="39">
        <v>134.7466576232701</v>
      </c>
    </row>
    <row r="220" spans="2:3" x14ac:dyDescent="0.2">
      <c r="B220">
        <v>101</v>
      </c>
      <c r="C220" s="39">
        <v>139.89487185629284</v>
      </c>
    </row>
    <row r="221" spans="2:3" x14ac:dyDescent="0.2">
      <c r="B221">
        <v>102</v>
      </c>
      <c r="C221" s="39">
        <v>137.03027984763142</v>
      </c>
    </row>
    <row r="222" spans="2:3" x14ac:dyDescent="0.2">
      <c r="B222">
        <v>103</v>
      </c>
      <c r="C222" s="39">
        <v>123.35857065147643</v>
      </c>
    </row>
    <row r="223" spans="2:3" x14ac:dyDescent="0.2">
      <c r="B223">
        <v>104</v>
      </c>
      <c r="C223" s="39">
        <v>134.25098516867459</v>
      </c>
    </row>
    <row r="224" spans="2:3" x14ac:dyDescent="0.2">
      <c r="B224">
        <v>105</v>
      </c>
      <c r="C224" s="39">
        <v>139.62712890835198</v>
      </c>
    </row>
    <row r="225" spans="2:3" x14ac:dyDescent="0.2">
      <c r="B225">
        <v>106</v>
      </c>
      <c r="C225" s="39">
        <v>130.97154145586987</v>
      </c>
    </row>
    <row r="226" spans="2:3" x14ac:dyDescent="0.2">
      <c r="B226">
        <v>107</v>
      </c>
      <c r="C226" s="39">
        <v>145.66226047402589</v>
      </c>
    </row>
    <row r="227" spans="2:3" x14ac:dyDescent="0.2">
      <c r="B227">
        <v>108</v>
      </c>
      <c r="C227" s="39">
        <v>133.19746769578705</v>
      </c>
    </row>
    <row r="228" spans="2:3" x14ac:dyDescent="0.2">
      <c r="B228">
        <v>109</v>
      </c>
      <c r="C228" s="39">
        <v>143.40041084862659</v>
      </c>
    </row>
    <row r="229" spans="2:3" x14ac:dyDescent="0.2">
      <c r="B229">
        <v>110</v>
      </c>
      <c r="C229" s="39">
        <v>135.08057064845516</v>
      </c>
    </row>
    <row r="230" spans="2:3" x14ac:dyDescent="0.2">
      <c r="B230">
        <v>111</v>
      </c>
      <c r="C230" s="39">
        <v>136.66919348461983</v>
      </c>
    </row>
    <row r="231" spans="2:3" x14ac:dyDescent="0.2">
      <c r="B231">
        <v>112</v>
      </c>
      <c r="C231" s="39">
        <v>129.87026577764595</v>
      </c>
    </row>
    <row r="232" spans="2:3" x14ac:dyDescent="0.2">
      <c r="B232">
        <v>113</v>
      </c>
      <c r="C232" s="39">
        <v>127.78699102639774</v>
      </c>
    </row>
    <row r="233" spans="2:3" x14ac:dyDescent="0.2">
      <c r="B233">
        <v>114</v>
      </c>
      <c r="C233" s="39">
        <v>144.01182581494925</v>
      </c>
    </row>
    <row r="234" spans="2:3" x14ac:dyDescent="0.2">
      <c r="B234">
        <v>115</v>
      </c>
      <c r="C234" s="39">
        <v>131.21112016040203</v>
      </c>
    </row>
    <row r="235" spans="2:3" x14ac:dyDescent="0.2">
      <c r="B235">
        <v>116</v>
      </c>
      <c r="C235" s="39">
        <v>132.94241833609615</v>
      </c>
    </row>
    <row r="236" spans="2:3" x14ac:dyDescent="0.2">
      <c r="B236">
        <v>117</v>
      </c>
      <c r="C236" s="39">
        <v>132.59532054304975</v>
      </c>
    </row>
    <row r="237" spans="2:3" x14ac:dyDescent="0.2">
      <c r="B237">
        <v>118</v>
      </c>
      <c r="C237" s="39">
        <v>141.00171047909652</v>
      </c>
    </row>
    <row r="238" spans="2:3" x14ac:dyDescent="0.2">
      <c r="B238">
        <v>119</v>
      </c>
      <c r="C238" s="39">
        <v>135.28513048262005</v>
      </c>
    </row>
    <row r="239" spans="2:3" x14ac:dyDescent="0.2">
      <c r="B239">
        <v>120</v>
      </c>
      <c r="C239" s="39">
        <v>145.14397968494561</v>
      </c>
    </row>
    <row r="240" spans="2:3" x14ac:dyDescent="0.2">
      <c r="B240">
        <v>121</v>
      </c>
      <c r="C240" s="39">
        <v>122.96053411845301</v>
      </c>
    </row>
    <row r="241" spans="2:3" x14ac:dyDescent="0.2">
      <c r="B241">
        <v>122</v>
      </c>
      <c r="C241" s="39">
        <v>145.94672723589943</v>
      </c>
    </row>
    <row r="242" spans="2:3" x14ac:dyDescent="0.2">
      <c r="B242">
        <v>123</v>
      </c>
      <c r="C242" s="39">
        <v>134.90154465006825</v>
      </c>
    </row>
    <row r="243" spans="2:3" x14ac:dyDescent="0.2">
      <c r="B243">
        <v>124</v>
      </c>
      <c r="C243" s="39">
        <v>141.24373436090227</v>
      </c>
    </row>
    <row r="244" spans="2:3" x14ac:dyDescent="0.2">
      <c r="B244">
        <v>125</v>
      </c>
      <c r="C244" s="39">
        <v>146.22042644972726</v>
      </c>
    </row>
    <row r="245" spans="2:3" x14ac:dyDescent="0.2">
      <c r="B245">
        <v>126</v>
      </c>
      <c r="C245" s="39">
        <v>130.97609589721634</v>
      </c>
    </row>
    <row r="246" spans="2:3" x14ac:dyDescent="0.2">
      <c r="B246">
        <v>127</v>
      </c>
      <c r="C246" s="39">
        <v>130.07286131178685</v>
      </c>
    </row>
    <row r="247" spans="2:3" x14ac:dyDescent="0.2">
      <c r="B247">
        <v>128</v>
      </c>
      <c r="C247" s="39">
        <v>146.51658294522841</v>
      </c>
    </row>
    <row r="248" spans="2:3" x14ac:dyDescent="0.2">
      <c r="B248">
        <v>129</v>
      </c>
      <c r="C248" s="39">
        <v>139.59101798091291</v>
      </c>
    </row>
    <row r="249" spans="2:3" x14ac:dyDescent="0.2">
      <c r="B249">
        <v>130</v>
      </c>
      <c r="C249" s="39">
        <v>128.14320359424869</v>
      </c>
    </row>
    <row r="250" spans="2:3" x14ac:dyDescent="0.2">
      <c r="B250">
        <v>131</v>
      </c>
      <c r="C250" s="39">
        <v>137.78474607908387</v>
      </c>
    </row>
    <row r="251" spans="2:3" x14ac:dyDescent="0.2">
      <c r="B251">
        <v>132</v>
      </c>
      <c r="C251" s="39">
        <v>127.81254007068735</v>
      </c>
    </row>
    <row r="252" spans="2:3" x14ac:dyDescent="0.2">
      <c r="B252">
        <v>133</v>
      </c>
      <c r="C252" s="39">
        <v>144.07075668924054</v>
      </c>
    </row>
    <row r="253" spans="2:3" x14ac:dyDescent="0.2">
      <c r="B253">
        <v>134</v>
      </c>
      <c r="C253" s="39">
        <v>133.10580486505327</v>
      </c>
    </row>
    <row r="254" spans="2:3" x14ac:dyDescent="0.2">
      <c r="B254">
        <v>135</v>
      </c>
      <c r="C254" s="39">
        <v>131.46440702171762</v>
      </c>
    </row>
    <row r="255" spans="2:3" x14ac:dyDescent="0.2">
      <c r="B255">
        <v>136</v>
      </c>
      <c r="C255" s="39">
        <v>140.94243528203532</v>
      </c>
    </row>
    <row r="256" spans="2:3" x14ac:dyDescent="0.2">
      <c r="B256">
        <v>137</v>
      </c>
      <c r="C256" s="39">
        <v>137.71366741583407</v>
      </c>
    </row>
    <row r="257" spans="2:3" x14ac:dyDescent="0.2">
      <c r="B257">
        <v>138</v>
      </c>
      <c r="C257" s="39">
        <v>139.91038370867034</v>
      </c>
    </row>
    <row r="258" spans="2:3" x14ac:dyDescent="0.2">
      <c r="B258">
        <v>139</v>
      </c>
      <c r="C258" s="39">
        <v>132.31600532864439</v>
      </c>
    </row>
    <row r="259" spans="2:3" x14ac:dyDescent="0.2">
      <c r="B259">
        <v>140</v>
      </c>
      <c r="C259" s="39">
        <v>135.3574642957451</v>
      </c>
    </row>
    <row r="260" spans="2:3" x14ac:dyDescent="0.2">
      <c r="B260">
        <v>141</v>
      </c>
      <c r="C260" s="39">
        <v>128.64971118341089</v>
      </c>
    </row>
    <row r="261" spans="2:3" x14ac:dyDescent="0.2">
      <c r="B261">
        <v>142</v>
      </c>
      <c r="C261" s="39">
        <v>132.1909482352396</v>
      </c>
    </row>
    <row r="262" spans="2:3" x14ac:dyDescent="0.2">
      <c r="B262">
        <v>143</v>
      </c>
      <c r="C262" s="39">
        <v>138.10800793017415</v>
      </c>
    </row>
    <row r="263" spans="2:3" x14ac:dyDescent="0.2">
      <c r="B263">
        <v>144</v>
      </c>
      <c r="C263" s="39">
        <v>135.9790292763289</v>
      </c>
    </row>
    <row r="264" spans="2:3" x14ac:dyDescent="0.2">
      <c r="B264">
        <v>145</v>
      </c>
      <c r="C264" s="39">
        <v>127.40450763041444</v>
      </c>
    </row>
    <row r="265" spans="2:3" x14ac:dyDescent="0.2">
      <c r="B265">
        <v>146</v>
      </c>
      <c r="C265" s="39">
        <v>139.29332785105518</v>
      </c>
    </row>
    <row r="266" spans="2:3" x14ac:dyDescent="0.2">
      <c r="B266">
        <v>147</v>
      </c>
      <c r="C266" s="39">
        <v>124.87732865467949</v>
      </c>
    </row>
    <row r="267" spans="2:3" x14ac:dyDescent="0.2">
      <c r="B267">
        <v>148</v>
      </c>
      <c r="C267" s="39">
        <v>135.63750993954585</v>
      </c>
    </row>
    <row r="268" spans="2:3" x14ac:dyDescent="0.2">
      <c r="B268">
        <v>149</v>
      </c>
      <c r="C268" s="39">
        <v>138.7423523322212</v>
      </c>
    </row>
    <row r="269" spans="2:3" x14ac:dyDescent="0.2">
      <c r="B269">
        <v>150</v>
      </c>
      <c r="C269" s="39">
        <v>128.86768045223377</v>
      </c>
    </row>
    <row r="270" spans="2:3" x14ac:dyDescent="0.2">
      <c r="B270">
        <v>151</v>
      </c>
      <c r="C270" s="39">
        <v>140.0838977948215</v>
      </c>
    </row>
    <row r="271" spans="2:3" x14ac:dyDescent="0.2">
      <c r="B271">
        <v>152</v>
      </c>
      <c r="C271" s="39">
        <v>141.05566253410316</v>
      </c>
    </row>
    <row r="272" spans="2:3" x14ac:dyDescent="0.2">
      <c r="B272">
        <v>153</v>
      </c>
      <c r="C272" s="39">
        <v>134.05629936091935</v>
      </c>
    </row>
    <row r="273" spans="2:3" x14ac:dyDescent="0.2">
      <c r="B273">
        <v>154</v>
      </c>
      <c r="C273" s="39">
        <v>140.28942144559815</v>
      </c>
    </row>
    <row r="274" spans="2:3" x14ac:dyDescent="0.2">
      <c r="B274">
        <v>155</v>
      </c>
      <c r="C274" s="39">
        <v>152.16041723785375</v>
      </c>
    </row>
    <row r="275" spans="2:3" x14ac:dyDescent="0.2">
      <c r="B275">
        <v>156</v>
      </c>
      <c r="C275" s="39">
        <v>124.4343300648456</v>
      </c>
    </row>
    <row r="276" spans="2:3" x14ac:dyDescent="0.2">
      <c r="B276">
        <v>157</v>
      </c>
      <c r="C276" s="39">
        <v>137.22137518329555</v>
      </c>
    </row>
    <row r="277" spans="2:3" x14ac:dyDescent="0.2">
      <c r="B277">
        <v>158</v>
      </c>
      <c r="C277" s="39">
        <v>129.00621836199409</v>
      </c>
    </row>
    <row r="278" spans="2:3" x14ac:dyDescent="0.2">
      <c r="B278">
        <v>159</v>
      </c>
      <c r="C278" s="39">
        <v>141.64806673851072</v>
      </c>
    </row>
    <row r="279" spans="2:3" x14ac:dyDescent="0.2">
      <c r="B279">
        <v>160</v>
      </c>
      <c r="C279" s="39">
        <v>142.22872382434599</v>
      </c>
    </row>
    <row r="280" spans="2:3" x14ac:dyDescent="0.2">
      <c r="B280">
        <v>161</v>
      </c>
      <c r="C280" s="39">
        <v>125.88877267399519</v>
      </c>
    </row>
    <row r="281" spans="2:3" x14ac:dyDescent="0.2">
      <c r="B281">
        <v>162</v>
      </c>
      <c r="C281" s="39">
        <v>127.93615956649282</v>
      </c>
    </row>
    <row r="282" spans="2:3" x14ac:dyDescent="0.2">
      <c r="B282">
        <v>163</v>
      </c>
      <c r="C282" s="39">
        <v>136.7843248544942</v>
      </c>
    </row>
    <row r="283" spans="2:3" x14ac:dyDescent="0.2">
      <c r="B283">
        <v>164</v>
      </c>
      <c r="C283" s="39">
        <v>134.40090898805326</v>
      </c>
    </row>
    <row r="284" spans="2:3" x14ac:dyDescent="0.2">
      <c r="B284">
        <v>165</v>
      </c>
      <c r="C284" s="39">
        <v>143.91541357771857</v>
      </c>
    </row>
    <row r="285" spans="2:3" x14ac:dyDescent="0.2">
      <c r="B285">
        <v>166</v>
      </c>
      <c r="C285" s="39">
        <v>126.43635979122156</v>
      </c>
    </row>
    <row r="286" spans="2:3" x14ac:dyDescent="0.2">
      <c r="B286">
        <v>167</v>
      </c>
      <c r="C286" s="39">
        <v>127.42080461221244</v>
      </c>
    </row>
    <row r="287" spans="2:3" x14ac:dyDescent="0.2">
      <c r="B287">
        <v>168</v>
      </c>
      <c r="C287" s="39">
        <v>127.84985552034887</v>
      </c>
    </row>
    <row r="288" spans="2:3" x14ac:dyDescent="0.2">
      <c r="B288">
        <v>169</v>
      </c>
      <c r="C288" s="39">
        <v>140.17994658752573</v>
      </c>
    </row>
    <row r="289" spans="2:3" x14ac:dyDescent="0.2">
      <c r="B289">
        <v>170</v>
      </c>
      <c r="C289" s="39">
        <v>130.95560550474767</v>
      </c>
    </row>
    <row r="290" spans="2:3" x14ac:dyDescent="0.2">
      <c r="B290">
        <v>171</v>
      </c>
      <c r="C290" s="39">
        <v>126.62074002889017</v>
      </c>
    </row>
    <row r="291" spans="2:3" x14ac:dyDescent="0.2">
      <c r="B291">
        <v>172</v>
      </c>
      <c r="C291" s="39">
        <v>132.30699940955967</v>
      </c>
    </row>
    <row r="292" spans="2:3" x14ac:dyDescent="0.2">
      <c r="B292">
        <v>173</v>
      </c>
      <c r="C292" s="39">
        <v>146.94283868142267</v>
      </c>
    </row>
    <row r="293" spans="2:3" x14ac:dyDescent="0.2">
      <c r="B293">
        <v>174</v>
      </c>
      <c r="C293" s="39">
        <v>128.43931906433443</v>
      </c>
    </row>
    <row r="294" spans="2:3" x14ac:dyDescent="0.2">
      <c r="B294">
        <v>175</v>
      </c>
      <c r="C294" s="39">
        <v>134.8491588320623</v>
      </c>
    </row>
    <row r="295" spans="2:3" x14ac:dyDescent="0.2">
      <c r="B295">
        <v>176</v>
      </c>
      <c r="C295" s="39">
        <v>138.06394587139766</v>
      </c>
    </row>
    <row r="296" spans="2:3" x14ac:dyDescent="0.2">
      <c r="B296">
        <v>177</v>
      </c>
      <c r="C296" s="39">
        <v>137.52597550637395</v>
      </c>
    </row>
    <row r="297" spans="2:3" x14ac:dyDescent="0.2">
      <c r="B297">
        <v>178</v>
      </c>
      <c r="C297" s="39">
        <v>132.64313874602479</v>
      </c>
    </row>
    <row r="298" spans="2:3" x14ac:dyDescent="0.2">
      <c r="B298">
        <v>179</v>
      </c>
      <c r="C298" s="39">
        <v>130.50564179077227</v>
      </c>
    </row>
    <row r="299" spans="2:3" x14ac:dyDescent="0.2">
      <c r="B299">
        <v>180</v>
      </c>
      <c r="C299" s="39">
        <v>134.21545343836939</v>
      </c>
    </row>
    <row r="300" spans="2:3" x14ac:dyDescent="0.2">
      <c r="B300">
        <v>181</v>
      </c>
      <c r="C300" s="39">
        <v>129.97752031908743</v>
      </c>
    </row>
    <row r="301" spans="2:3" x14ac:dyDescent="0.2">
      <c r="B301">
        <v>182</v>
      </c>
      <c r="C301" s="39">
        <v>132.8672591034447</v>
      </c>
    </row>
    <row r="302" spans="2:3" x14ac:dyDescent="0.2">
      <c r="B302">
        <v>183</v>
      </c>
      <c r="C302" s="39">
        <v>139.81359929735729</v>
      </c>
    </row>
    <row r="303" spans="2:3" x14ac:dyDescent="0.2">
      <c r="B303">
        <v>184</v>
      </c>
      <c r="C303" s="39">
        <v>143.36184494026264</v>
      </c>
    </row>
    <row r="304" spans="2:3" x14ac:dyDescent="0.2">
      <c r="B304">
        <v>185</v>
      </c>
      <c r="C304" s="39">
        <v>139.93606858888532</v>
      </c>
    </row>
    <row r="305" spans="2:3" x14ac:dyDescent="0.2">
      <c r="B305">
        <v>186</v>
      </c>
      <c r="C305" s="39">
        <v>146.46798046533394</v>
      </c>
    </row>
    <row r="306" spans="2:3" x14ac:dyDescent="0.2">
      <c r="B306">
        <v>187</v>
      </c>
      <c r="C306" s="39">
        <v>137.92664171327056</v>
      </c>
    </row>
    <row r="307" spans="2:3" x14ac:dyDescent="0.2">
      <c r="B307">
        <v>188</v>
      </c>
      <c r="C307" s="39">
        <v>135.76622437871791</v>
      </c>
    </row>
    <row r="308" spans="2:3" x14ac:dyDescent="0.2">
      <c r="B308">
        <v>189</v>
      </c>
      <c r="C308" s="39">
        <v>138.11099926872328</v>
      </c>
    </row>
    <row r="309" spans="2:3" x14ac:dyDescent="0.2">
      <c r="B309">
        <v>190</v>
      </c>
      <c r="C309" s="39">
        <v>128.333464949534</v>
      </c>
    </row>
    <row r="310" spans="2:3" x14ac:dyDescent="0.2">
      <c r="B310">
        <v>191</v>
      </c>
      <c r="C310" s="39">
        <v>134.35242469400924</v>
      </c>
    </row>
    <row r="311" spans="2:3" x14ac:dyDescent="0.2">
      <c r="B311">
        <v>192</v>
      </c>
      <c r="C311" s="39">
        <v>134.42642696435468</v>
      </c>
    </row>
    <row r="312" spans="2:3" x14ac:dyDescent="0.2">
      <c r="B312">
        <v>193</v>
      </c>
      <c r="C312" s="39">
        <v>132.24588831729528</v>
      </c>
    </row>
    <row r="313" spans="2:3" x14ac:dyDescent="0.2">
      <c r="B313">
        <v>194</v>
      </c>
      <c r="C313" s="39">
        <v>140.0338979684152</v>
      </c>
    </row>
    <row r="314" spans="2:3" x14ac:dyDescent="0.2">
      <c r="B314">
        <v>195</v>
      </c>
      <c r="C314" s="39">
        <v>133.61985245465368</v>
      </c>
    </row>
    <row r="315" spans="2:3" x14ac:dyDescent="0.2">
      <c r="B315">
        <v>196</v>
      </c>
      <c r="C315" s="39">
        <v>142.40149298202044</v>
      </c>
    </row>
    <row r="316" spans="2:3" x14ac:dyDescent="0.2">
      <c r="B316">
        <v>197</v>
      </c>
      <c r="C316" s="39">
        <v>124.54479800723163</v>
      </c>
    </row>
    <row r="317" spans="2:3" x14ac:dyDescent="0.2">
      <c r="B317">
        <v>198</v>
      </c>
      <c r="C317" s="39">
        <v>138.34503986594169</v>
      </c>
    </row>
    <row r="318" spans="2:3" x14ac:dyDescent="0.2">
      <c r="B318">
        <v>199</v>
      </c>
      <c r="C318" s="39">
        <v>137.65163914646689</v>
      </c>
    </row>
    <row r="319" spans="2:3" x14ac:dyDescent="0.2">
      <c r="B319">
        <v>200</v>
      </c>
      <c r="C319" s="39">
        <v>129.88142869085638</v>
      </c>
    </row>
    <row r="320" spans="2:3" x14ac:dyDescent="0.2">
      <c r="B320">
        <v>201</v>
      </c>
      <c r="C320" s="39">
        <v>129.60980494732445</v>
      </c>
    </row>
    <row r="321" spans="2:3" x14ac:dyDescent="0.2">
      <c r="B321">
        <v>202</v>
      </c>
      <c r="C321" s="39">
        <v>137.04210172169309</v>
      </c>
    </row>
    <row r="322" spans="2:3" x14ac:dyDescent="0.2">
      <c r="B322">
        <v>203</v>
      </c>
      <c r="C322" s="39">
        <v>136.46175863203408</v>
      </c>
    </row>
    <row r="323" spans="2:3" x14ac:dyDescent="0.2">
      <c r="B323">
        <v>204</v>
      </c>
      <c r="C323" s="39">
        <v>138.53430641139386</v>
      </c>
    </row>
    <row r="324" spans="2:3" x14ac:dyDescent="0.2">
      <c r="B324">
        <v>205</v>
      </c>
      <c r="C324" s="39">
        <v>137.40336201543067</v>
      </c>
    </row>
    <row r="325" spans="2:3" x14ac:dyDescent="0.2">
      <c r="B325">
        <v>206</v>
      </c>
      <c r="C325" s="39">
        <v>135.32723777069853</v>
      </c>
    </row>
    <row r="326" spans="2:3" x14ac:dyDescent="0.2">
      <c r="B326">
        <v>207</v>
      </c>
      <c r="C326" s="39">
        <v>137.16644345582876</v>
      </c>
    </row>
    <row r="327" spans="2:3" x14ac:dyDescent="0.2">
      <c r="B327">
        <v>208</v>
      </c>
      <c r="C327" s="39">
        <v>144.29578437953214</v>
      </c>
    </row>
    <row r="328" spans="2:3" x14ac:dyDescent="0.2">
      <c r="B328">
        <v>209</v>
      </c>
      <c r="C328" s="39">
        <v>131.43062493616145</v>
      </c>
    </row>
    <row r="329" spans="2:3" x14ac:dyDescent="0.2">
      <c r="B329">
        <v>210</v>
      </c>
      <c r="C329" s="39">
        <v>130.30842867968877</v>
      </c>
    </row>
    <row r="330" spans="2:3" x14ac:dyDescent="0.2">
      <c r="B330">
        <v>211</v>
      </c>
      <c r="C330" s="39">
        <v>139.54883492250309</v>
      </c>
    </row>
    <row r="331" spans="2:3" x14ac:dyDescent="0.2">
      <c r="B331">
        <v>212</v>
      </c>
      <c r="C331" s="39">
        <v>139.60555282637677</v>
      </c>
    </row>
    <row r="332" spans="2:3" x14ac:dyDescent="0.2">
      <c r="B332">
        <v>213</v>
      </c>
      <c r="C332" s="39">
        <v>138.7778998039575</v>
      </c>
    </row>
    <row r="333" spans="2:3" x14ac:dyDescent="0.2">
      <c r="B333">
        <v>214</v>
      </c>
      <c r="C333" s="39">
        <v>136.25742724295426</v>
      </c>
    </row>
    <row r="334" spans="2:3" x14ac:dyDescent="0.2">
      <c r="B334">
        <v>215</v>
      </c>
      <c r="C334" s="39">
        <v>127.74915026371636</v>
      </c>
    </row>
    <row r="335" spans="2:3" x14ac:dyDescent="0.2">
      <c r="B335">
        <v>216</v>
      </c>
      <c r="C335" s="39">
        <v>135.07866801298454</v>
      </c>
    </row>
    <row r="336" spans="2:3" x14ac:dyDescent="0.2">
      <c r="B336">
        <v>217</v>
      </c>
      <c r="C336" s="39">
        <v>126.59302571731105</v>
      </c>
    </row>
    <row r="337" spans="2:3" x14ac:dyDescent="0.2">
      <c r="B337">
        <v>218</v>
      </c>
      <c r="C337" s="39">
        <v>137.22074201828585</v>
      </c>
    </row>
    <row r="338" spans="2:3" x14ac:dyDescent="0.2">
      <c r="B338">
        <v>219</v>
      </c>
      <c r="C338" s="39">
        <v>141.12825561617072</v>
      </c>
    </row>
    <row r="339" spans="2:3" x14ac:dyDescent="0.2">
      <c r="B339">
        <v>220</v>
      </c>
      <c r="C339" s="39">
        <v>138.95911422301475</v>
      </c>
    </row>
    <row r="340" spans="2:3" x14ac:dyDescent="0.2">
      <c r="B340">
        <v>221</v>
      </c>
      <c r="C340" s="39">
        <v>134.81864177047342</v>
      </c>
    </row>
    <row r="341" spans="2:3" x14ac:dyDescent="0.2">
      <c r="B341">
        <v>222</v>
      </c>
      <c r="C341" s="39">
        <v>137.58299109566676</v>
      </c>
    </row>
    <row r="342" spans="2:3" x14ac:dyDescent="0.2">
      <c r="B342">
        <v>223</v>
      </c>
      <c r="C342" s="39">
        <v>137.98400851548578</v>
      </c>
    </row>
    <row r="343" spans="2:3" x14ac:dyDescent="0.2">
      <c r="B343">
        <v>224</v>
      </c>
      <c r="C343" s="39">
        <v>140.02075439288024</v>
      </c>
    </row>
    <row r="344" spans="2:3" x14ac:dyDescent="0.2">
      <c r="B344">
        <v>225</v>
      </c>
      <c r="C344" s="39">
        <v>132.65183657232626</v>
      </c>
    </row>
    <row r="345" spans="2:3" x14ac:dyDescent="0.2">
      <c r="B345">
        <v>226</v>
      </c>
      <c r="C345" s="39">
        <v>124.43770891657019</v>
      </c>
    </row>
    <row r="346" spans="2:3" x14ac:dyDescent="0.2">
      <c r="B346">
        <v>227</v>
      </c>
      <c r="C346" s="39">
        <v>130.9572369994313</v>
      </c>
    </row>
    <row r="347" spans="2:3" x14ac:dyDescent="0.2">
      <c r="B347">
        <v>228</v>
      </c>
      <c r="C347" s="39">
        <v>137.43502978020874</v>
      </c>
    </row>
    <row r="348" spans="2:3" x14ac:dyDescent="0.2">
      <c r="B348">
        <v>229</v>
      </c>
      <c r="C348" s="39">
        <v>136.75827857356066</v>
      </c>
    </row>
    <row r="349" spans="2:3" x14ac:dyDescent="0.2">
      <c r="B349">
        <v>230</v>
      </c>
      <c r="C349" s="39">
        <v>126.41169296204976</v>
      </c>
    </row>
    <row r="350" spans="2:3" x14ac:dyDescent="0.2">
      <c r="B350">
        <v>231</v>
      </c>
      <c r="C350" s="39">
        <v>144.49857602824488</v>
      </c>
    </row>
    <row r="351" spans="2:3" x14ac:dyDescent="0.2">
      <c r="B351">
        <v>232</v>
      </c>
      <c r="C351" s="39">
        <v>137.95292485865033</v>
      </c>
    </row>
    <row r="352" spans="2:3" x14ac:dyDescent="0.2">
      <c r="B352">
        <v>233</v>
      </c>
      <c r="C352" s="39">
        <v>134.93153325717452</v>
      </c>
    </row>
    <row r="353" spans="2:3" x14ac:dyDescent="0.2">
      <c r="B353">
        <v>234</v>
      </c>
      <c r="C353" s="39">
        <v>131.605775582295</v>
      </c>
    </row>
    <row r="354" spans="2:3" x14ac:dyDescent="0.2">
      <c r="B354">
        <v>235</v>
      </c>
      <c r="C354" s="39">
        <v>131.0874915322627</v>
      </c>
    </row>
    <row r="355" spans="2:3" x14ac:dyDescent="0.2">
      <c r="B355">
        <v>236</v>
      </c>
      <c r="C355" s="39">
        <v>137.90040667115971</v>
      </c>
    </row>
    <row r="356" spans="2:3" x14ac:dyDescent="0.2">
      <c r="B356">
        <v>237</v>
      </c>
      <c r="C356" s="39">
        <v>132.06012324629035</v>
      </c>
    </row>
    <row r="357" spans="2:3" x14ac:dyDescent="0.2">
      <c r="B357">
        <v>238</v>
      </c>
      <c r="C357" s="39">
        <v>132.99785173021746</v>
      </c>
    </row>
    <row r="358" spans="2:3" x14ac:dyDescent="0.2">
      <c r="B358">
        <v>239</v>
      </c>
      <c r="C358" s="39">
        <v>142.36000651553283</v>
      </c>
    </row>
    <row r="359" spans="2:3" x14ac:dyDescent="0.2">
      <c r="B359">
        <v>240</v>
      </c>
      <c r="C359" s="39">
        <v>140.7145266767142</v>
      </c>
    </row>
    <row r="360" spans="2:3" x14ac:dyDescent="0.2">
      <c r="B360">
        <v>241</v>
      </c>
      <c r="C360" s="39">
        <v>138.86051947942093</v>
      </c>
    </row>
    <row r="361" spans="2:3" x14ac:dyDescent="0.2">
      <c r="B361">
        <v>242</v>
      </c>
      <c r="C361" s="39">
        <v>131.85425597156652</v>
      </c>
    </row>
    <row r="362" spans="2:3" x14ac:dyDescent="0.2">
      <c r="B362">
        <v>243</v>
      </c>
      <c r="C362" s="39">
        <v>132.58893364576255</v>
      </c>
    </row>
    <row r="363" spans="2:3" x14ac:dyDescent="0.2">
      <c r="B363">
        <v>244</v>
      </c>
      <c r="C363" s="39">
        <v>141.13803883078606</v>
      </c>
    </row>
    <row r="364" spans="2:3" x14ac:dyDescent="0.2">
      <c r="B364">
        <v>245</v>
      </c>
      <c r="C364" s="39">
        <v>131.35034365042006</v>
      </c>
    </row>
    <row r="365" spans="2:3" x14ac:dyDescent="0.2">
      <c r="B365">
        <v>246</v>
      </c>
      <c r="C365" s="39">
        <v>142.21653299435974</v>
      </c>
    </row>
    <row r="366" spans="2:3" x14ac:dyDescent="0.2">
      <c r="B366">
        <v>247</v>
      </c>
      <c r="C366" s="39">
        <v>137.7853897907834</v>
      </c>
    </row>
    <row r="367" spans="2:3" x14ac:dyDescent="0.2">
      <c r="B367">
        <v>248</v>
      </c>
      <c r="C367" s="39">
        <v>142.10064344276608</v>
      </c>
    </row>
    <row r="368" spans="2:3" x14ac:dyDescent="0.2">
      <c r="B368">
        <v>249</v>
      </c>
      <c r="C368" s="39">
        <v>133.40923792745662</v>
      </c>
    </row>
    <row r="369" spans="2:3" x14ac:dyDescent="0.2">
      <c r="B369">
        <v>250</v>
      </c>
      <c r="C369" s="39">
        <v>147.91757234826267</v>
      </c>
    </row>
    <row r="370" spans="2:3" x14ac:dyDescent="0.2">
      <c r="B370">
        <v>251</v>
      </c>
      <c r="C370" s="39">
        <v>141.40018612454801</v>
      </c>
    </row>
    <row r="371" spans="2:3" x14ac:dyDescent="0.2">
      <c r="B371">
        <v>252</v>
      </c>
      <c r="C371" s="39">
        <v>127.16061800031368</v>
      </c>
    </row>
    <row r="372" spans="2:3" x14ac:dyDescent="0.2">
      <c r="B372">
        <v>253</v>
      </c>
      <c r="C372" s="39">
        <v>145.29876250898886</v>
      </c>
    </row>
    <row r="373" spans="2:3" x14ac:dyDescent="0.2">
      <c r="B373">
        <v>254</v>
      </c>
      <c r="C373" s="39">
        <v>125.38368518355892</v>
      </c>
    </row>
    <row r="374" spans="2:3" x14ac:dyDescent="0.2">
      <c r="B374">
        <v>255</v>
      </c>
      <c r="C374" s="39">
        <v>127.62426441727743</v>
      </c>
    </row>
    <row r="375" spans="2:3" x14ac:dyDescent="0.2">
      <c r="B375">
        <v>256</v>
      </c>
      <c r="C375" s="39">
        <v>128.97239088038975</v>
      </c>
    </row>
    <row r="376" spans="2:3" x14ac:dyDescent="0.2">
      <c r="B376">
        <v>257</v>
      </c>
      <c r="C376" s="39">
        <v>140.62019675228791</v>
      </c>
    </row>
    <row r="377" spans="2:3" x14ac:dyDescent="0.2">
      <c r="B377">
        <v>258</v>
      </c>
      <c r="C377" s="39">
        <v>126.5910080030185</v>
      </c>
    </row>
    <row r="378" spans="2:3" x14ac:dyDescent="0.2">
      <c r="B378">
        <v>259</v>
      </c>
      <c r="C378" s="39">
        <v>135.03526413545831</v>
      </c>
    </row>
    <row r="379" spans="2:3" x14ac:dyDescent="0.2">
      <c r="B379">
        <v>260</v>
      </c>
      <c r="C379" s="39">
        <v>132.30549964216686</v>
      </c>
    </row>
    <row r="380" spans="2:3" x14ac:dyDescent="0.2">
      <c r="B380">
        <v>261</v>
      </c>
      <c r="C380" s="39">
        <v>136.54028133691304</v>
      </c>
    </row>
    <row r="381" spans="2:3" x14ac:dyDescent="0.2">
      <c r="B381">
        <v>262</v>
      </c>
      <c r="C381" s="39">
        <v>142.28568782535783</v>
      </c>
    </row>
    <row r="382" spans="2:3" x14ac:dyDescent="0.2">
      <c r="B382">
        <v>263</v>
      </c>
      <c r="C382" s="39">
        <v>138.96324517415439</v>
      </c>
    </row>
    <row r="383" spans="2:3" x14ac:dyDescent="0.2">
      <c r="B383">
        <v>264</v>
      </c>
      <c r="C383" s="39">
        <v>129.04509603224597</v>
      </c>
    </row>
    <row r="384" spans="2:3" x14ac:dyDescent="0.2">
      <c r="B384">
        <v>265</v>
      </c>
      <c r="C384" s="39">
        <v>137.624026099167</v>
      </c>
    </row>
    <row r="385" spans="2:3" x14ac:dyDescent="0.2">
      <c r="B385">
        <v>266</v>
      </c>
      <c r="C385" s="39">
        <v>133.09766000050942</v>
      </c>
    </row>
    <row r="386" spans="2:3" x14ac:dyDescent="0.2">
      <c r="B386">
        <v>267</v>
      </c>
      <c r="C386" s="39">
        <v>136.86703319680731</v>
      </c>
    </row>
    <row r="387" spans="2:3" x14ac:dyDescent="0.2">
      <c r="B387">
        <v>268</v>
      </c>
      <c r="C387" s="39">
        <v>139.66531990881182</v>
      </c>
    </row>
    <row r="388" spans="2:3" x14ac:dyDescent="0.2">
      <c r="B388">
        <v>269</v>
      </c>
      <c r="C388" s="39">
        <v>133.43435508416482</v>
      </c>
    </row>
    <row r="389" spans="2:3" x14ac:dyDescent="0.2">
      <c r="B389">
        <v>270</v>
      </c>
      <c r="C389" s="39">
        <v>140.84785166196835</v>
      </c>
    </row>
    <row r="390" spans="2:3" x14ac:dyDescent="0.2">
      <c r="B390">
        <v>271</v>
      </c>
      <c r="C390" s="39">
        <v>131.25657303095096</v>
      </c>
    </row>
    <row r="391" spans="2:3" x14ac:dyDescent="0.2">
      <c r="B391">
        <v>272</v>
      </c>
      <c r="C391" s="39">
        <v>142.64947128117262</v>
      </c>
    </row>
    <row r="392" spans="2:3" x14ac:dyDescent="0.2">
      <c r="B392">
        <v>273</v>
      </c>
      <c r="C392" s="39">
        <v>141.41151949873372</v>
      </c>
    </row>
    <row r="393" spans="2:3" x14ac:dyDescent="0.2">
      <c r="B393">
        <v>274</v>
      </c>
      <c r="C393" s="39">
        <v>132.65654200362687</v>
      </c>
    </row>
    <row r="394" spans="2:3" x14ac:dyDescent="0.2">
      <c r="B394">
        <v>275</v>
      </c>
      <c r="C394" s="39">
        <v>150.77258327198462</v>
      </c>
    </row>
    <row r="395" spans="2:3" x14ac:dyDescent="0.2">
      <c r="B395">
        <v>276</v>
      </c>
      <c r="C395" s="39">
        <v>129.94857082627684</v>
      </c>
    </row>
    <row r="396" spans="2:3" x14ac:dyDescent="0.2">
      <c r="B396">
        <v>277</v>
      </c>
      <c r="C396" s="39">
        <v>147.65785814658213</v>
      </c>
    </row>
    <row r="397" spans="2:3" x14ac:dyDescent="0.2">
      <c r="B397">
        <v>278</v>
      </c>
      <c r="C397" s="39">
        <v>143.431056945943</v>
      </c>
    </row>
    <row r="398" spans="2:3" x14ac:dyDescent="0.2">
      <c r="B398">
        <v>279</v>
      </c>
      <c r="C398" s="39">
        <v>141.36871858774865</v>
      </c>
    </row>
    <row r="399" spans="2:3" x14ac:dyDescent="0.2">
      <c r="B399">
        <v>280</v>
      </c>
      <c r="C399" s="39">
        <v>127.63199160578272</v>
      </c>
    </row>
    <row r="400" spans="2:3" x14ac:dyDescent="0.2">
      <c r="B400">
        <v>281</v>
      </c>
      <c r="C400" s="39">
        <v>131.83259975692934</v>
      </c>
    </row>
    <row r="401" spans="2:3" x14ac:dyDescent="0.2">
      <c r="B401">
        <v>282</v>
      </c>
      <c r="C401" s="39">
        <v>135.01573616549859</v>
      </c>
    </row>
    <row r="402" spans="2:3" x14ac:dyDescent="0.2">
      <c r="B402">
        <v>283</v>
      </c>
      <c r="C402" s="39">
        <v>125.37001761010238</v>
      </c>
    </row>
    <row r="403" spans="2:3" x14ac:dyDescent="0.2">
      <c r="B403">
        <v>284</v>
      </c>
      <c r="C403" s="39">
        <v>135.36334084180893</v>
      </c>
    </row>
    <row r="404" spans="2:3" x14ac:dyDescent="0.2">
      <c r="B404">
        <v>285</v>
      </c>
      <c r="C404" s="39">
        <v>136.0138558869117</v>
      </c>
    </row>
    <row r="405" spans="2:3" x14ac:dyDescent="0.2">
      <c r="B405">
        <v>286</v>
      </c>
      <c r="C405" s="39">
        <v>132.52617430309317</v>
      </c>
    </row>
    <row r="406" spans="2:3" x14ac:dyDescent="0.2">
      <c r="B406">
        <v>287</v>
      </c>
      <c r="C406" s="39">
        <v>140.52020203384706</v>
      </c>
    </row>
    <row r="407" spans="2:3" x14ac:dyDescent="0.2">
      <c r="B407">
        <v>288</v>
      </c>
      <c r="C407" s="39">
        <v>146.34235543849158</v>
      </c>
    </row>
    <row r="408" spans="2:3" x14ac:dyDescent="0.2">
      <c r="B408">
        <v>289</v>
      </c>
      <c r="C408" s="39">
        <v>134.94333230181843</v>
      </c>
    </row>
    <row r="409" spans="2:3" x14ac:dyDescent="0.2">
      <c r="B409">
        <v>290</v>
      </c>
      <c r="C409" s="39">
        <v>138.93754076190018</v>
      </c>
    </row>
    <row r="410" spans="2:3" x14ac:dyDescent="0.2">
      <c r="B410">
        <v>291</v>
      </c>
      <c r="C410" s="39">
        <v>130.60052239753804</v>
      </c>
    </row>
    <row r="411" spans="2:3" x14ac:dyDescent="0.2">
      <c r="B411">
        <v>292</v>
      </c>
      <c r="C411" s="39">
        <v>132.78440168006634</v>
      </c>
    </row>
    <row r="412" spans="2:3" x14ac:dyDescent="0.2">
      <c r="B412">
        <v>293</v>
      </c>
      <c r="C412" s="39">
        <v>138.31340713577043</v>
      </c>
    </row>
    <row r="413" spans="2:3" x14ac:dyDescent="0.2">
      <c r="B413">
        <v>294</v>
      </c>
      <c r="C413" s="39">
        <v>146.32547984586117</v>
      </c>
    </row>
    <row r="414" spans="2:3" x14ac:dyDescent="0.2">
      <c r="B414">
        <v>295</v>
      </c>
      <c r="C414" s="39">
        <v>136.48376348251116</v>
      </c>
    </row>
    <row r="415" spans="2:3" x14ac:dyDescent="0.2">
      <c r="B415">
        <v>296</v>
      </c>
      <c r="C415" s="39">
        <v>130.62963653473906</v>
      </c>
    </row>
    <row r="416" spans="2:3" x14ac:dyDescent="0.2">
      <c r="B416">
        <v>297</v>
      </c>
      <c r="C416" s="39">
        <v>138.6582414246476</v>
      </c>
    </row>
    <row r="417" spans="2:3" x14ac:dyDescent="0.2">
      <c r="B417">
        <v>298</v>
      </c>
      <c r="C417" s="39">
        <v>131.36497404606803</v>
      </c>
    </row>
    <row r="418" spans="2:3" x14ac:dyDescent="0.2">
      <c r="B418">
        <v>299</v>
      </c>
      <c r="C418" s="39">
        <v>139.36736233980628</v>
      </c>
    </row>
    <row r="419" spans="2:3" x14ac:dyDescent="0.2">
      <c r="B419">
        <v>300</v>
      </c>
      <c r="C419" s="39">
        <v>129.14924781138762</v>
      </c>
    </row>
    <row r="420" spans="2:3" x14ac:dyDescent="0.2">
      <c r="B420">
        <v>301</v>
      </c>
      <c r="C420" s="39">
        <v>130.64129533717323</v>
      </c>
    </row>
    <row r="421" spans="2:3" x14ac:dyDescent="0.2">
      <c r="B421">
        <v>302</v>
      </c>
      <c r="C421" s="39">
        <v>132.26456126983501</v>
      </c>
    </row>
    <row r="422" spans="2:3" x14ac:dyDescent="0.2">
      <c r="B422">
        <v>303</v>
      </c>
      <c r="C422" s="39">
        <v>146.78994218690585</v>
      </c>
    </row>
    <row r="423" spans="2:3" x14ac:dyDescent="0.2">
      <c r="B423">
        <v>304</v>
      </c>
      <c r="C423" s="39">
        <v>129.38813858000634</v>
      </c>
    </row>
    <row r="424" spans="2:3" x14ac:dyDescent="0.2">
      <c r="B424">
        <v>305</v>
      </c>
      <c r="C424" s="39">
        <v>136.90811708492436</v>
      </c>
    </row>
    <row r="425" spans="2:3" x14ac:dyDescent="0.2">
      <c r="B425">
        <v>306</v>
      </c>
      <c r="C425" s="39">
        <v>131.64131734882602</v>
      </c>
    </row>
    <row r="426" spans="2:3" x14ac:dyDescent="0.2">
      <c r="B426">
        <v>307</v>
      </c>
      <c r="C426" s="39">
        <v>142.45239437748245</v>
      </c>
    </row>
    <row r="427" spans="2:3" x14ac:dyDescent="0.2">
      <c r="B427">
        <v>308</v>
      </c>
      <c r="C427" s="39">
        <v>145.86643772143316</v>
      </c>
    </row>
    <row r="428" spans="2:3" x14ac:dyDescent="0.2">
      <c r="B428">
        <v>309</v>
      </c>
      <c r="C428" s="39">
        <v>139.70305811084498</v>
      </c>
    </row>
    <row r="429" spans="2:3" x14ac:dyDescent="0.2">
      <c r="B429">
        <v>310</v>
      </c>
      <c r="C429" s="39">
        <v>131.95253487090389</v>
      </c>
    </row>
    <row r="430" spans="2:3" x14ac:dyDescent="0.2">
      <c r="B430">
        <v>311</v>
      </c>
      <c r="C430" s="39">
        <v>133.84194430354029</v>
      </c>
    </row>
    <row r="431" spans="2:3" x14ac:dyDescent="0.2">
      <c r="B431">
        <v>312</v>
      </c>
      <c r="C431" s="39">
        <v>141.44940972056779</v>
      </c>
    </row>
    <row r="432" spans="2:3" x14ac:dyDescent="0.2">
      <c r="B432">
        <v>313</v>
      </c>
      <c r="C432" s="39">
        <v>144.50409014956287</v>
      </c>
    </row>
    <row r="433" spans="2:3" x14ac:dyDescent="0.2">
      <c r="B433">
        <v>314</v>
      </c>
      <c r="C433" s="39">
        <v>126.77111735593432</v>
      </c>
    </row>
    <row r="434" spans="2:3" x14ac:dyDescent="0.2">
      <c r="B434">
        <v>315</v>
      </c>
      <c r="C434" s="39">
        <v>138.7157887278791</v>
      </c>
    </row>
    <row r="435" spans="2:3" x14ac:dyDescent="0.2">
      <c r="B435">
        <v>316</v>
      </c>
      <c r="C435" s="39">
        <v>145.30169147231939</v>
      </c>
    </row>
    <row r="436" spans="2:3" x14ac:dyDescent="0.2">
      <c r="B436">
        <v>317</v>
      </c>
      <c r="C436" s="39">
        <v>134.87407261415481</v>
      </c>
    </row>
    <row r="437" spans="2:3" x14ac:dyDescent="0.2">
      <c r="B437">
        <v>318</v>
      </c>
      <c r="C437" s="39">
        <v>139.48868318269726</v>
      </c>
    </row>
    <row r="438" spans="2:3" x14ac:dyDescent="0.2">
      <c r="B438">
        <v>319</v>
      </c>
      <c r="C438" s="39">
        <v>134.76506445887523</v>
      </c>
    </row>
    <row r="439" spans="2:3" x14ac:dyDescent="0.2">
      <c r="B439">
        <v>320</v>
      </c>
      <c r="C439" s="39">
        <v>134.72390362939848</v>
      </c>
    </row>
    <row r="440" spans="2:3" x14ac:dyDescent="0.2">
      <c r="B440">
        <v>321</v>
      </c>
      <c r="C440" s="39">
        <v>138.86804948086038</v>
      </c>
    </row>
    <row r="441" spans="2:3" x14ac:dyDescent="0.2">
      <c r="B441">
        <v>322</v>
      </c>
      <c r="C441" s="39">
        <v>134.49223653843652</v>
      </c>
    </row>
    <row r="442" spans="2:3" x14ac:dyDescent="0.2">
      <c r="B442">
        <v>323</v>
      </c>
      <c r="C442" s="39">
        <v>147.72662967719774</v>
      </c>
    </row>
    <row r="443" spans="2:3" x14ac:dyDescent="0.2">
      <c r="B443">
        <v>324</v>
      </c>
      <c r="C443" s="39">
        <v>144.75330579530839</v>
      </c>
    </row>
    <row r="444" spans="2:3" x14ac:dyDescent="0.2">
      <c r="B444">
        <v>325</v>
      </c>
      <c r="C444" s="39">
        <v>130.24219189829276</v>
      </c>
    </row>
    <row r="445" spans="2:3" x14ac:dyDescent="0.2">
      <c r="B445">
        <v>326</v>
      </c>
      <c r="C445" s="39">
        <v>151.26952579246216</v>
      </c>
    </row>
    <row r="446" spans="2:3" x14ac:dyDescent="0.2">
      <c r="B446">
        <v>327</v>
      </c>
      <c r="C446" s="39">
        <v>132.1396181988012</v>
      </c>
    </row>
    <row r="447" spans="2:3" x14ac:dyDescent="0.2">
      <c r="B447">
        <v>328</v>
      </c>
      <c r="C447" s="39">
        <v>141.41506758121079</v>
      </c>
    </row>
    <row r="448" spans="2:3" x14ac:dyDescent="0.2">
      <c r="B448">
        <v>329</v>
      </c>
      <c r="C448" s="39">
        <v>150.65144253521763</v>
      </c>
    </row>
    <row r="449" spans="2:3" x14ac:dyDescent="0.2">
      <c r="B449">
        <v>330</v>
      </c>
      <c r="C449" s="39">
        <v>140.14603338590445</v>
      </c>
    </row>
    <row r="450" spans="2:3" x14ac:dyDescent="0.2">
      <c r="B450">
        <v>331</v>
      </c>
      <c r="C450" s="39">
        <v>138.8713021098628</v>
      </c>
    </row>
    <row r="451" spans="2:3" x14ac:dyDescent="0.2">
      <c r="B451">
        <v>332</v>
      </c>
      <c r="C451" s="39">
        <v>136.27444152818379</v>
      </c>
    </row>
    <row r="452" spans="2:3" x14ac:dyDescent="0.2">
      <c r="B452">
        <v>333</v>
      </c>
      <c r="C452" s="39">
        <v>146.91782439437759</v>
      </c>
    </row>
    <row r="453" spans="2:3" x14ac:dyDescent="0.2">
      <c r="B453">
        <v>334</v>
      </c>
      <c r="C453" s="39">
        <v>134.05447588372093</v>
      </c>
    </row>
    <row r="454" spans="2:3" x14ac:dyDescent="0.2">
      <c r="B454">
        <v>335</v>
      </c>
      <c r="C454" s="39">
        <v>136.20239698609069</v>
      </c>
    </row>
    <row r="455" spans="2:3" x14ac:dyDescent="0.2">
      <c r="B455">
        <v>336</v>
      </c>
      <c r="C455" s="39">
        <v>132.55712950302308</v>
      </c>
    </row>
    <row r="456" spans="2:3" x14ac:dyDescent="0.2">
      <c r="B456">
        <v>337</v>
      </c>
      <c r="C456" s="39">
        <v>140.02715602996221</v>
      </c>
    </row>
    <row r="457" spans="2:3" x14ac:dyDescent="0.2">
      <c r="B457">
        <v>338</v>
      </c>
      <c r="C457" s="39">
        <v>128.5718636770292</v>
      </c>
    </row>
    <row r="458" spans="2:3" x14ac:dyDescent="0.2">
      <c r="B458">
        <v>339</v>
      </c>
      <c r="C458" s="39">
        <v>132.39073584661975</v>
      </c>
    </row>
    <row r="459" spans="2:3" x14ac:dyDescent="0.2">
      <c r="B459">
        <v>340</v>
      </c>
      <c r="C459" s="39">
        <v>135.14788014836066</v>
      </c>
    </row>
    <row r="460" spans="2:3" x14ac:dyDescent="0.2">
      <c r="B460">
        <v>341</v>
      </c>
      <c r="C460" s="39">
        <v>133.61465623864723</v>
      </c>
    </row>
    <row r="461" spans="2:3" x14ac:dyDescent="0.2">
      <c r="B461">
        <v>342</v>
      </c>
      <c r="C461" s="39">
        <v>127.48311623091961</v>
      </c>
    </row>
    <row r="462" spans="2:3" x14ac:dyDescent="0.2">
      <c r="B462">
        <v>343</v>
      </c>
      <c r="C462" s="39">
        <v>138.33370077861267</v>
      </c>
    </row>
    <row r="463" spans="2:3" x14ac:dyDescent="0.2">
      <c r="B463">
        <v>344</v>
      </c>
      <c r="C463" s="39">
        <v>135.13346872176714</v>
      </c>
    </row>
    <row r="464" spans="2:3" x14ac:dyDescent="0.2">
      <c r="B464">
        <v>345</v>
      </c>
      <c r="C464" s="39">
        <v>134.09363911768457</v>
      </c>
    </row>
    <row r="465" spans="2:3" x14ac:dyDescent="0.2">
      <c r="B465">
        <v>346</v>
      </c>
      <c r="C465" s="39">
        <v>134.5880340646394</v>
      </c>
    </row>
    <row r="466" spans="2:3" x14ac:dyDescent="0.2">
      <c r="B466">
        <v>347</v>
      </c>
      <c r="C466" s="39">
        <v>138.64987150854842</v>
      </c>
    </row>
    <row r="467" spans="2:3" x14ac:dyDescent="0.2">
      <c r="B467">
        <v>348</v>
      </c>
      <c r="C467" s="39">
        <v>129.86800443631762</v>
      </c>
    </row>
    <row r="468" spans="2:3" x14ac:dyDescent="0.2">
      <c r="B468">
        <v>349</v>
      </c>
      <c r="C468" s="39">
        <v>151.14339517328509</v>
      </c>
    </row>
    <row r="469" spans="2:3" x14ac:dyDescent="0.2">
      <c r="B469">
        <v>350</v>
      </c>
      <c r="C469" s="39">
        <v>132.75749401817379</v>
      </c>
    </row>
    <row r="470" spans="2:3" x14ac:dyDescent="0.2">
      <c r="B470">
        <v>351</v>
      </c>
      <c r="C470" s="39">
        <v>134.5903133350289</v>
      </c>
    </row>
    <row r="471" spans="2:3" x14ac:dyDescent="0.2">
      <c r="B471">
        <v>352</v>
      </c>
      <c r="C471" s="39">
        <v>130.16592302537254</v>
      </c>
    </row>
    <row r="472" spans="2:3" x14ac:dyDescent="0.2">
      <c r="B472">
        <v>353</v>
      </c>
      <c r="C472" s="39">
        <v>146.52956325941236</v>
      </c>
    </row>
    <row r="473" spans="2:3" x14ac:dyDescent="0.2">
      <c r="B473">
        <v>354</v>
      </c>
      <c r="C473" s="39">
        <v>143.48392745497799</v>
      </c>
    </row>
    <row r="474" spans="2:3" x14ac:dyDescent="0.2">
      <c r="B474">
        <v>355</v>
      </c>
      <c r="C474" s="39">
        <v>135.74774540069123</v>
      </c>
    </row>
    <row r="475" spans="2:3" x14ac:dyDescent="0.2">
      <c r="B475">
        <v>356</v>
      </c>
      <c r="C475" s="39">
        <v>131.84566803535418</v>
      </c>
    </row>
    <row r="476" spans="2:3" x14ac:dyDescent="0.2">
      <c r="B476">
        <v>357</v>
      </c>
      <c r="C476" s="39">
        <v>138.67558721115864</v>
      </c>
    </row>
    <row r="477" spans="2:3" x14ac:dyDescent="0.2">
      <c r="B477">
        <v>358</v>
      </c>
      <c r="C477" s="39">
        <v>142.75371622782919</v>
      </c>
    </row>
    <row r="478" spans="2:3" x14ac:dyDescent="0.2">
      <c r="B478">
        <v>359</v>
      </c>
      <c r="C478" s="39">
        <v>127.9144710523384</v>
      </c>
    </row>
    <row r="479" spans="2:3" x14ac:dyDescent="0.2">
      <c r="B479">
        <v>360</v>
      </c>
      <c r="C479" s="39">
        <v>148.5633834435489</v>
      </c>
    </row>
    <row r="480" spans="2:3" x14ac:dyDescent="0.2">
      <c r="B480">
        <v>361</v>
      </c>
      <c r="C480" s="39">
        <v>133.80157844698982</v>
      </c>
    </row>
    <row r="481" spans="2:3" x14ac:dyDescent="0.2">
      <c r="B481">
        <v>362</v>
      </c>
      <c r="C481" s="39">
        <v>137.38555718874878</v>
      </c>
    </row>
    <row r="482" spans="2:3" x14ac:dyDescent="0.2">
      <c r="B482">
        <v>363</v>
      </c>
      <c r="C482" s="39">
        <v>137.4696621886402</v>
      </c>
    </row>
    <row r="483" spans="2:3" x14ac:dyDescent="0.2">
      <c r="B483">
        <v>364</v>
      </c>
      <c r="C483" s="39">
        <v>144.14147962627314</v>
      </c>
    </row>
    <row r="484" spans="2:3" x14ac:dyDescent="0.2">
      <c r="B484">
        <v>365</v>
      </c>
      <c r="C484" s="39">
        <v>140.40772139537509</v>
      </c>
    </row>
    <row r="485" spans="2:3" x14ac:dyDescent="0.2">
      <c r="B485">
        <v>366</v>
      </c>
      <c r="C485" s="39">
        <v>137.33404047370499</v>
      </c>
    </row>
    <row r="486" spans="2:3" x14ac:dyDescent="0.2">
      <c r="B486">
        <v>367</v>
      </c>
      <c r="C486" s="39">
        <v>135.91441459845072</v>
      </c>
    </row>
    <row r="487" spans="2:3" x14ac:dyDescent="0.2">
      <c r="B487">
        <v>368</v>
      </c>
      <c r="C487" s="39">
        <v>140.51511615871701</v>
      </c>
    </row>
    <row r="488" spans="2:3" x14ac:dyDescent="0.2">
      <c r="B488">
        <v>369</v>
      </c>
      <c r="C488" s="39">
        <v>134.25200784308075</v>
      </c>
    </row>
    <row r="489" spans="2:3" x14ac:dyDescent="0.2">
      <c r="B489">
        <v>370</v>
      </c>
      <c r="C489" s="39">
        <v>129.39623027737801</v>
      </c>
    </row>
    <row r="490" spans="2:3" x14ac:dyDescent="0.2">
      <c r="B490">
        <v>371</v>
      </c>
      <c r="C490" s="39">
        <v>136.58517277254649</v>
      </c>
    </row>
    <row r="491" spans="2:3" x14ac:dyDescent="0.2">
      <c r="B491">
        <v>372</v>
      </c>
      <c r="C491" s="39">
        <v>135.64485602519014</v>
      </c>
    </row>
    <row r="492" spans="2:3" x14ac:dyDescent="0.2">
      <c r="B492">
        <v>373</v>
      </c>
      <c r="C492" s="39">
        <v>125.92199374480263</v>
      </c>
    </row>
    <row r="493" spans="2:3" x14ac:dyDescent="0.2">
      <c r="B493">
        <v>374</v>
      </c>
      <c r="C493" s="39">
        <v>135.94926439328498</v>
      </c>
    </row>
    <row r="494" spans="2:3" x14ac:dyDescent="0.2">
      <c r="B494">
        <v>375</v>
      </c>
      <c r="C494" s="39">
        <v>138.07943759138948</v>
      </c>
    </row>
    <row r="495" spans="2:3" x14ac:dyDescent="0.2">
      <c r="B495">
        <v>376</v>
      </c>
      <c r="C495" s="39">
        <v>138.20447992478145</v>
      </c>
    </row>
    <row r="496" spans="2:3" x14ac:dyDescent="0.2">
      <c r="B496">
        <v>377</v>
      </c>
      <c r="C496" s="39">
        <v>129.26398907119304</v>
      </c>
    </row>
    <row r="497" spans="2:3" x14ac:dyDescent="0.2">
      <c r="B497">
        <v>378</v>
      </c>
      <c r="C497" s="39">
        <v>135.93148446082364</v>
      </c>
    </row>
    <row r="498" spans="2:3" x14ac:dyDescent="0.2">
      <c r="B498">
        <v>379</v>
      </c>
      <c r="C498" s="39">
        <v>138.32756975562091</v>
      </c>
    </row>
    <row r="499" spans="2:3" x14ac:dyDescent="0.2">
      <c r="B499">
        <v>380</v>
      </c>
      <c r="C499" s="39">
        <v>135.20934287630655</v>
      </c>
    </row>
    <row r="500" spans="2:3" x14ac:dyDescent="0.2">
      <c r="B500">
        <v>381</v>
      </c>
      <c r="C500" s="39">
        <v>148.72242976373161</v>
      </c>
    </row>
    <row r="501" spans="2:3" x14ac:dyDescent="0.2">
      <c r="B501">
        <v>382</v>
      </c>
      <c r="C501" s="39">
        <v>134.39642990555643</v>
      </c>
    </row>
    <row r="502" spans="2:3" x14ac:dyDescent="0.2">
      <c r="B502">
        <v>383</v>
      </c>
      <c r="C502" s="39">
        <v>133.04137319214516</v>
      </c>
    </row>
    <row r="503" spans="2:3" x14ac:dyDescent="0.2">
      <c r="B503">
        <v>384</v>
      </c>
      <c r="C503" s="39">
        <v>133.9628793096926</v>
      </c>
    </row>
    <row r="504" spans="2:3" x14ac:dyDescent="0.2">
      <c r="B504">
        <v>385</v>
      </c>
      <c r="C504" s="39">
        <v>133.15695089538465</v>
      </c>
    </row>
    <row r="505" spans="2:3" x14ac:dyDescent="0.2">
      <c r="B505">
        <v>386</v>
      </c>
      <c r="C505" s="39">
        <v>136.64719033743265</v>
      </c>
    </row>
    <row r="506" spans="2:3" x14ac:dyDescent="0.2">
      <c r="B506">
        <v>387</v>
      </c>
      <c r="C506" s="39">
        <v>143.44751634597566</v>
      </c>
    </row>
    <row r="507" spans="2:3" x14ac:dyDescent="0.2">
      <c r="B507">
        <v>388</v>
      </c>
      <c r="C507" s="39">
        <v>132.58895148334685</v>
      </c>
    </row>
    <row r="508" spans="2:3" x14ac:dyDescent="0.2">
      <c r="B508">
        <v>389</v>
      </c>
      <c r="C508" s="39">
        <v>134.13551144159993</v>
      </c>
    </row>
    <row r="509" spans="2:3" x14ac:dyDescent="0.2">
      <c r="B509">
        <v>390</v>
      </c>
      <c r="C509" s="39">
        <v>127.79141908044878</v>
      </c>
    </row>
    <row r="510" spans="2:3" x14ac:dyDescent="0.2">
      <c r="B510">
        <v>391</v>
      </c>
      <c r="C510" s="39">
        <v>137.41682888322825</v>
      </c>
    </row>
    <row r="511" spans="2:3" x14ac:dyDescent="0.2">
      <c r="B511">
        <v>392</v>
      </c>
      <c r="C511" s="39">
        <v>142.41922861303928</v>
      </c>
    </row>
    <row r="512" spans="2:3" x14ac:dyDescent="0.2">
      <c r="B512">
        <v>393</v>
      </c>
      <c r="C512" s="39">
        <v>131.18114025512983</v>
      </c>
    </row>
    <row r="513" spans="2:3" x14ac:dyDescent="0.2">
      <c r="B513">
        <v>394</v>
      </c>
      <c r="C513" s="39">
        <v>137.95917449405968</v>
      </c>
    </row>
    <row r="514" spans="2:3" x14ac:dyDescent="0.2">
      <c r="B514">
        <v>395</v>
      </c>
      <c r="C514" s="39">
        <v>136.50711309418969</v>
      </c>
    </row>
    <row r="515" spans="2:3" x14ac:dyDescent="0.2">
      <c r="B515">
        <v>396</v>
      </c>
      <c r="C515" s="39">
        <v>144.03472588182086</v>
      </c>
    </row>
    <row r="516" spans="2:3" x14ac:dyDescent="0.2">
      <c r="B516">
        <v>397</v>
      </c>
      <c r="C516" s="39">
        <v>140.3955515420505</v>
      </c>
    </row>
    <row r="517" spans="2:3" x14ac:dyDescent="0.2">
      <c r="B517">
        <v>398</v>
      </c>
      <c r="C517" s="39">
        <v>130.03484383494572</v>
      </c>
    </row>
    <row r="518" spans="2:3" x14ac:dyDescent="0.2">
      <c r="B518">
        <v>399</v>
      </c>
      <c r="C518" s="39">
        <v>135.58354291294691</v>
      </c>
    </row>
    <row r="519" spans="2:3" x14ac:dyDescent="0.2">
      <c r="B519">
        <v>400</v>
      </c>
      <c r="C519" s="39">
        <v>132.6131250438084</v>
      </c>
    </row>
    <row r="520" spans="2:3" x14ac:dyDescent="0.2">
      <c r="B520">
        <v>401</v>
      </c>
      <c r="C520" s="39">
        <v>137.9446295197553</v>
      </c>
    </row>
    <row r="521" spans="2:3" x14ac:dyDescent="0.2">
      <c r="B521">
        <v>402</v>
      </c>
      <c r="C521" s="39">
        <v>132.83042480433772</v>
      </c>
    </row>
    <row r="522" spans="2:3" x14ac:dyDescent="0.2">
      <c r="B522">
        <v>403</v>
      </c>
      <c r="C522" s="39">
        <v>129.06337433039744</v>
      </c>
    </row>
    <row r="523" spans="2:3" x14ac:dyDescent="0.2">
      <c r="B523">
        <v>404</v>
      </c>
      <c r="C523" s="39">
        <v>127.31192009007147</v>
      </c>
    </row>
    <row r="524" spans="2:3" x14ac:dyDescent="0.2">
      <c r="B524">
        <v>405</v>
      </c>
      <c r="C524" s="39">
        <v>134.93790170155089</v>
      </c>
    </row>
    <row r="525" spans="2:3" x14ac:dyDescent="0.2">
      <c r="B525">
        <v>406</v>
      </c>
      <c r="C525" s="39">
        <v>134.68787057532165</v>
      </c>
    </row>
    <row r="526" spans="2:3" x14ac:dyDescent="0.2">
      <c r="B526">
        <v>407</v>
      </c>
      <c r="C526" s="39">
        <v>145.95695151908205</v>
      </c>
    </row>
    <row r="527" spans="2:3" x14ac:dyDescent="0.2">
      <c r="B527">
        <v>408</v>
      </c>
      <c r="C527" s="39">
        <v>134.17894933424617</v>
      </c>
    </row>
    <row r="528" spans="2:3" x14ac:dyDescent="0.2">
      <c r="B528">
        <v>409</v>
      </c>
      <c r="C528" s="39">
        <v>140.52337632572838</v>
      </c>
    </row>
    <row r="529" spans="2:3" x14ac:dyDescent="0.2">
      <c r="B529">
        <v>410</v>
      </c>
      <c r="C529" s="39">
        <v>135.02319401439868</v>
      </c>
    </row>
    <row r="530" spans="2:3" x14ac:dyDescent="0.2">
      <c r="B530">
        <v>411</v>
      </c>
      <c r="C530" s="39">
        <v>142.14007384844953</v>
      </c>
    </row>
    <row r="531" spans="2:3" x14ac:dyDescent="0.2">
      <c r="B531">
        <v>412</v>
      </c>
      <c r="C531" s="39">
        <v>132.84374787307539</v>
      </c>
    </row>
    <row r="532" spans="2:3" x14ac:dyDescent="0.2">
      <c r="B532">
        <v>413</v>
      </c>
      <c r="C532" s="39">
        <v>141.64502536107787</v>
      </c>
    </row>
    <row r="533" spans="2:3" x14ac:dyDescent="0.2">
      <c r="B533">
        <v>414</v>
      </c>
      <c r="C533" s="39">
        <v>148.35640013671781</v>
      </c>
    </row>
    <row r="534" spans="2:3" x14ac:dyDescent="0.2">
      <c r="B534">
        <v>415</v>
      </c>
      <c r="C534" s="39">
        <v>137.27509903459313</v>
      </c>
    </row>
    <row r="535" spans="2:3" x14ac:dyDescent="0.2">
      <c r="B535">
        <v>416</v>
      </c>
      <c r="C535" s="39">
        <v>130.8857651324418</v>
      </c>
    </row>
    <row r="536" spans="2:3" x14ac:dyDescent="0.2">
      <c r="B536">
        <v>417</v>
      </c>
      <c r="C536" s="39">
        <v>141.26041881102913</v>
      </c>
    </row>
    <row r="537" spans="2:3" x14ac:dyDescent="0.2">
      <c r="B537">
        <v>418</v>
      </c>
      <c r="C537" s="39">
        <v>140.16006636134912</v>
      </c>
    </row>
    <row r="538" spans="2:3" x14ac:dyDescent="0.2">
      <c r="B538">
        <v>419</v>
      </c>
      <c r="C538" s="39">
        <v>138.43195048950855</v>
      </c>
    </row>
    <row r="539" spans="2:3" x14ac:dyDescent="0.2">
      <c r="B539">
        <v>420</v>
      </c>
      <c r="C539" s="39">
        <v>139.00200181493327</v>
      </c>
    </row>
    <row r="540" spans="2:3" x14ac:dyDescent="0.2">
      <c r="B540">
        <v>421</v>
      </c>
      <c r="C540" s="39">
        <v>134.15784753815936</v>
      </c>
    </row>
    <row r="541" spans="2:3" x14ac:dyDescent="0.2">
      <c r="B541">
        <v>422</v>
      </c>
      <c r="C541" s="39">
        <v>129.16008961061323</v>
      </c>
    </row>
    <row r="542" spans="2:3" x14ac:dyDescent="0.2">
      <c r="B542">
        <v>423</v>
      </c>
      <c r="C542" s="39">
        <v>137.56545743093753</v>
      </c>
    </row>
    <row r="543" spans="2:3" x14ac:dyDescent="0.2">
      <c r="B543">
        <v>424</v>
      </c>
      <c r="C543" s="39">
        <v>136.01494734120649</v>
      </c>
    </row>
    <row r="544" spans="2:3" x14ac:dyDescent="0.2">
      <c r="B544">
        <v>425</v>
      </c>
      <c r="C544" s="39">
        <v>129.39377006133606</v>
      </c>
    </row>
    <row r="545" spans="2:3" x14ac:dyDescent="0.2">
      <c r="B545">
        <v>426</v>
      </c>
      <c r="C545" s="39">
        <v>132.22957839922677</v>
      </c>
    </row>
    <row r="546" spans="2:3" x14ac:dyDescent="0.2">
      <c r="B546">
        <v>427</v>
      </c>
      <c r="C546" s="39">
        <v>130.06234663161484</v>
      </c>
    </row>
    <row r="547" spans="2:3" x14ac:dyDescent="0.2">
      <c r="B547">
        <v>428</v>
      </c>
      <c r="C547" s="39">
        <v>131.90449998305735</v>
      </c>
    </row>
    <row r="548" spans="2:3" x14ac:dyDescent="0.2">
      <c r="B548">
        <v>429</v>
      </c>
      <c r="C548" s="39">
        <v>138.96750415403201</v>
      </c>
    </row>
    <row r="549" spans="2:3" x14ac:dyDescent="0.2">
      <c r="B549">
        <v>430</v>
      </c>
      <c r="C549" s="39">
        <v>130.12546590876065</v>
      </c>
    </row>
    <row r="550" spans="2:3" x14ac:dyDescent="0.2">
      <c r="B550">
        <v>431</v>
      </c>
      <c r="C550" s="39">
        <v>127.33039440551751</v>
      </c>
    </row>
    <row r="551" spans="2:3" x14ac:dyDescent="0.2">
      <c r="B551">
        <v>432</v>
      </c>
      <c r="C551" s="39">
        <v>138.54286574503755</v>
      </c>
    </row>
    <row r="552" spans="2:3" x14ac:dyDescent="0.2">
      <c r="B552">
        <v>433</v>
      </c>
      <c r="C552" s="39">
        <v>121.74901114276271</v>
      </c>
    </row>
    <row r="553" spans="2:3" x14ac:dyDescent="0.2">
      <c r="B553">
        <v>434</v>
      </c>
      <c r="C553" s="39">
        <v>130.54496145164296</v>
      </c>
    </row>
    <row r="554" spans="2:3" x14ac:dyDescent="0.2">
      <c r="B554">
        <v>435</v>
      </c>
      <c r="C554" s="39">
        <v>139.37709912010354</v>
      </c>
    </row>
    <row r="555" spans="2:3" x14ac:dyDescent="0.2">
      <c r="B555">
        <v>436</v>
      </c>
      <c r="C555" s="39">
        <v>138.50559436178492</v>
      </c>
    </row>
    <row r="556" spans="2:3" x14ac:dyDescent="0.2">
      <c r="B556">
        <v>437</v>
      </c>
      <c r="C556" s="39">
        <v>138.58380580885782</v>
      </c>
    </row>
    <row r="557" spans="2:3" x14ac:dyDescent="0.2">
      <c r="B557">
        <v>438</v>
      </c>
      <c r="C557" s="39">
        <v>135.14853802245693</v>
      </c>
    </row>
    <row r="558" spans="2:3" x14ac:dyDescent="0.2">
      <c r="B558">
        <v>439</v>
      </c>
      <c r="C558" s="39">
        <v>128.19514663563632</v>
      </c>
    </row>
    <row r="559" spans="2:3" x14ac:dyDescent="0.2">
      <c r="B559">
        <v>440</v>
      </c>
      <c r="C559" s="39">
        <v>134.47245860735396</v>
      </c>
    </row>
    <row r="560" spans="2:3" x14ac:dyDescent="0.2">
      <c r="B560">
        <v>441</v>
      </c>
      <c r="C560" s="39">
        <v>145.04324416581065</v>
      </c>
    </row>
    <row r="561" spans="2:3" x14ac:dyDescent="0.2">
      <c r="B561">
        <v>442</v>
      </c>
      <c r="C561" s="39">
        <v>139.63869188218567</v>
      </c>
    </row>
    <row r="562" spans="2:3" x14ac:dyDescent="0.2">
      <c r="B562">
        <v>443</v>
      </c>
      <c r="C562" s="39">
        <v>141.18291005337778</v>
      </c>
    </row>
    <row r="563" spans="2:3" x14ac:dyDescent="0.2">
      <c r="B563">
        <v>444</v>
      </c>
      <c r="C563" s="39">
        <v>128.94278657367749</v>
      </c>
    </row>
    <row r="564" spans="2:3" x14ac:dyDescent="0.2">
      <c r="B564">
        <v>445</v>
      </c>
      <c r="C564" s="39">
        <v>135.20161397663864</v>
      </c>
    </row>
    <row r="565" spans="2:3" x14ac:dyDescent="0.2">
      <c r="B565">
        <v>446</v>
      </c>
      <c r="C565" s="39">
        <v>129.55036053711535</v>
      </c>
    </row>
    <row r="566" spans="2:3" x14ac:dyDescent="0.2">
      <c r="B566">
        <v>447</v>
      </c>
      <c r="C566" s="39">
        <v>138.08639507561563</v>
      </c>
    </row>
    <row r="567" spans="2:3" x14ac:dyDescent="0.2">
      <c r="B567">
        <v>448</v>
      </c>
      <c r="C567" s="39">
        <v>136.42689056198591</v>
      </c>
    </row>
    <row r="568" spans="2:3" x14ac:dyDescent="0.2">
      <c r="B568">
        <v>449</v>
      </c>
      <c r="C568" s="39">
        <v>136.39686250346489</v>
      </c>
    </row>
    <row r="569" spans="2:3" x14ac:dyDescent="0.2">
      <c r="B569">
        <v>450</v>
      </c>
      <c r="C569" s="39">
        <v>145.9866937898432</v>
      </c>
    </row>
    <row r="570" spans="2:3" x14ac:dyDescent="0.2">
      <c r="B570">
        <v>451</v>
      </c>
      <c r="C570" s="39">
        <v>126.17141056035408</v>
      </c>
    </row>
    <row r="571" spans="2:3" x14ac:dyDescent="0.2">
      <c r="B571">
        <v>452</v>
      </c>
      <c r="C571" s="39">
        <v>138.40607844203271</v>
      </c>
    </row>
    <row r="572" spans="2:3" x14ac:dyDescent="0.2">
      <c r="B572">
        <v>453</v>
      </c>
      <c r="C572" s="39">
        <v>122.51626213686542</v>
      </c>
    </row>
    <row r="573" spans="2:3" x14ac:dyDescent="0.2">
      <c r="B573">
        <v>454</v>
      </c>
      <c r="C573" s="39">
        <v>141.05009664392591</v>
      </c>
    </row>
    <row r="574" spans="2:3" x14ac:dyDescent="0.2">
      <c r="B574">
        <v>455</v>
      </c>
      <c r="C574" s="39">
        <v>131.84023450645165</v>
      </c>
    </row>
    <row r="575" spans="2:3" x14ac:dyDescent="0.2">
      <c r="B575">
        <v>456</v>
      </c>
      <c r="C575" s="39">
        <v>147.19578300834939</v>
      </c>
    </row>
    <row r="576" spans="2:3" x14ac:dyDescent="0.2">
      <c r="B576">
        <v>457</v>
      </c>
      <c r="C576" s="39">
        <v>130.39039262579956</v>
      </c>
    </row>
    <row r="577" spans="2:3" x14ac:dyDescent="0.2">
      <c r="B577">
        <v>458</v>
      </c>
      <c r="C577" s="39">
        <v>145.00319823971688</v>
      </c>
    </row>
    <row r="578" spans="2:3" x14ac:dyDescent="0.2">
      <c r="B578">
        <v>459</v>
      </c>
      <c r="C578" s="39">
        <v>131.51690632246579</v>
      </c>
    </row>
    <row r="579" spans="2:3" x14ac:dyDescent="0.2">
      <c r="B579">
        <v>460</v>
      </c>
      <c r="C579" s="39">
        <v>129.51204414487688</v>
      </c>
    </row>
    <row r="580" spans="2:3" x14ac:dyDescent="0.2">
      <c r="B580">
        <v>461</v>
      </c>
      <c r="C580" s="39">
        <v>132.17299914962982</v>
      </c>
    </row>
    <row r="581" spans="2:3" x14ac:dyDescent="0.2">
      <c r="B581">
        <v>462</v>
      </c>
      <c r="C581" s="39">
        <v>134.26435224442167</v>
      </c>
    </row>
    <row r="582" spans="2:3" x14ac:dyDescent="0.2">
      <c r="B582">
        <v>463</v>
      </c>
      <c r="C582" s="39">
        <v>131.26842446005685</v>
      </c>
    </row>
    <row r="583" spans="2:3" x14ac:dyDescent="0.2">
      <c r="B583">
        <v>464</v>
      </c>
      <c r="C583" s="39">
        <v>136.38441166547389</v>
      </c>
    </row>
    <row r="584" spans="2:3" x14ac:dyDescent="0.2">
      <c r="B584">
        <v>465</v>
      </c>
      <c r="C584" s="39">
        <v>126.03215544522395</v>
      </c>
    </row>
    <row r="585" spans="2:3" x14ac:dyDescent="0.2">
      <c r="B585">
        <v>466</v>
      </c>
      <c r="C585" s="39">
        <v>134.45100027575387</v>
      </c>
    </row>
    <row r="586" spans="2:3" x14ac:dyDescent="0.2">
      <c r="B586">
        <v>467</v>
      </c>
      <c r="C586" s="39">
        <v>133.3424975932152</v>
      </c>
    </row>
    <row r="587" spans="2:3" x14ac:dyDescent="0.2">
      <c r="B587">
        <v>468</v>
      </c>
      <c r="C587" s="39">
        <v>137.00241187301083</v>
      </c>
    </row>
    <row r="588" spans="2:3" x14ac:dyDescent="0.2">
      <c r="B588">
        <v>469</v>
      </c>
      <c r="C588" s="39">
        <v>137.55403005840711</v>
      </c>
    </row>
    <row r="589" spans="2:3" x14ac:dyDescent="0.2">
      <c r="B589">
        <v>470</v>
      </c>
      <c r="C589" s="39">
        <v>141.89817900597149</v>
      </c>
    </row>
    <row r="590" spans="2:3" x14ac:dyDescent="0.2">
      <c r="B590">
        <v>471</v>
      </c>
      <c r="C590" s="39">
        <v>141.25838256509201</v>
      </c>
    </row>
    <row r="591" spans="2:3" x14ac:dyDescent="0.2">
      <c r="B591">
        <v>472</v>
      </c>
      <c r="C591" s="39">
        <v>127.32153650626051</v>
      </c>
    </row>
    <row r="592" spans="2:3" x14ac:dyDescent="0.2">
      <c r="B592">
        <v>473</v>
      </c>
      <c r="C592" s="39">
        <v>135.38098981823478</v>
      </c>
    </row>
    <row r="593" spans="2:3" x14ac:dyDescent="0.2">
      <c r="B593">
        <v>474</v>
      </c>
      <c r="C593" s="39">
        <v>127.91599215824549</v>
      </c>
    </row>
    <row r="594" spans="2:3" x14ac:dyDescent="0.2">
      <c r="B594">
        <v>475</v>
      </c>
      <c r="C594" s="39">
        <v>129.24706001525189</v>
      </c>
    </row>
    <row r="595" spans="2:3" x14ac:dyDescent="0.2">
      <c r="B595">
        <v>476</v>
      </c>
      <c r="C595" s="39">
        <v>141.09236648152196</v>
      </c>
    </row>
    <row r="596" spans="2:3" x14ac:dyDescent="0.2">
      <c r="B596">
        <v>477</v>
      </c>
      <c r="C596" s="39">
        <v>134.96598346672948</v>
      </c>
    </row>
    <row r="597" spans="2:3" x14ac:dyDescent="0.2">
      <c r="B597">
        <v>478</v>
      </c>
      <c r="C597" s="39">
        <v>134.04149886081166</v>
      </c>
    </row>
    <row r="598" spans="2:3" x14ac:dyDescent="0.2">
      <c r="B598">
        <v>479</v>
      </c>
      <c r="C598" s="39">
        <v>130.78996150990861</v>
      </c>
    </row>
    <row r="599" spans="2:3" x14ac:dyDescent="0.2">
      <c r="B599">
        <v>480</v>
      </c>
      <c r="C599" s="39">
        <v>141.59371352554268</v>
      </c>
    </row>
    <row r="600" spans="2:3" x14ac:dyDescent="0.2">
      <c r="B600">
        <v>481</v>
      </c>
      <c r="C600" s="39">
        <v>130.79904705265369</v>
      </c>
    </row>
    <row r="601" spans="2:3" x14ac:dyDescent="0.2">
      <c r="B601">
        <v>482</v>
      </c>
      <c r="C601" s="39">
        <v>132.40413104934231</v>
      </c>
    </row>
    <row r="602" spans="2:3" x14ac:dyDescent="0.2">
      <c r="B602">
        <v>483</v>
      </c>
      <c r="C602" s="39">
        <v>128.19139311145042</v>
      </c>
    </row>
    <row r="603" spans="2:3" x14ac:dyDescent="0.2">
      <c r="B603">
        <v>484</v>
      </c>
      <c r="C603" s="39">
        <v>132.64843656404466</v>
      </c>
    </row>
    <row r="604" spans="2:3" x14ac:dyDescent="0.2">
      <c r="B604">
        <v>485</v>
      </c>
      <c r="C604" s="39">
        <v>130.35275030030971</v>
      </c>
    </row>
    <row r="605" spans="2:3" x14ac:dyDescent="0.2">
      <c r="B605">
        <v>486</v>
      </c>
      <c r="C605" s="39">
        <v>142.45317399232968</v>
      </c>
    </row>
    <row r="606" spans="2:3" x14ac:dyDescent="0.2">
      <c r="B606">
        <v>487</v>
      </c>
      <c r="C606" s="39">
        <v>131.89511089730877</v>
      </c>
    </row>
    <row r="607" spans="2:3" x14ac:dyDescent="0.2">
      <c r="B607">
        <v>488</v>
      </c>
      <c r="C607" s="39">
        <v>131.67216531105896</v>
      </c>
    </row>
    <row r="608" spans="2:3" x14ac:dyDescent="0.2">
      <c r="B608">
        <v>489</v>
      </c>
      <c r="C608" s="39">
        <v>142.86103268540938</v>
      </c>
    </row>
    <row r="609" spans="2:3" x14ac:dyDescent="0.2">
      <c r="B609">
        <v>490</v>
      </c>
      <c r="C609" s="39">
        <v>133.1666089396146</v>
      </c>
    </row>
    <row r="610" spans="2:3" x14ac:dyDescent="0.2">
      <c r="B610">
        <v>491</v>
      </c>
      <c r="C610" s="39">
        <v>140.9393710256526</v>
      </c>
    </row>
    <row r="611" spans="2:3" x14ac:dyDescent="0.2">
      <c r="B611">
        <v>492</v>
      </c>
      <c r="C611" s="39">
        <v>148.04998114730162</v>
      </c>
    </row>
    <row r="612" spans="2:3" x14ac:dyDescent="0.2">
      <c r="B612">
        <v>493</v>
      </c>
      <c r="C612" s="39">
        <v>132.0755949615002</v>
      </c>
    </row>
    <row r="613" spans="2:3" x14ac:dyDescent="0.2">
      <c r="B613">
        <v>494</v>
      </c>
      <c r="C613" s="39">
        <v>137.71847001493205</v>
      </c>
    </row>
    <row r="614" spans="2:3" x14ac:dyDescent="0.2">
      <c r="B614">
        <v>495</v>
      </c>
      <c r="C614" s="39">
        <v>140.4416288276195</v>
      </c>
    </row>
    <row r="615" spans="2:3" x14ac:dyDescent="0.2">
      <c r="B615">
        <v>496</v>
      </c>
      <c r="C615" s="39">
        <v>129.39328719988455</v>
      </c>
    </row>
    <row r="616" spans="2:3" x14ac:dyDescent="0.2">
      <c r="B616">
        <v>497</v>
      </c>
      <c r="C616" s="39">
        <v>135.83293318817402</v>
      </c>
    </row>
    <row r="617" spans="2:3" x14ac:dyDescent="0.2">
      <c r="B617">
        <v>498</v>
      </c>
      <c r="C617" s="39">
        <v>139.73101963296105</v>
      </c>
    </row>
    <row r="618" spans="2:3" x14ac:dyDescent="0.2">
      <c r="B618">
        <v>499</v>
      </c>
      <c r="C618" s="39">
        <v>135.76963946299139</v>
      </c>
    </row>
    <row r="619" spans="2:3" x14ac:dyDescent="0.2">
      <c r="B619">
        <v>500</v>
      </c>
      <c r="C619" s="39">
        <v>139.82492877374463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9F7CF-2D46-4E56-BFF0-E33B70F33EFD}">
  <dimension ref="B2:AC567"/>
  <sheetViews>
    <sheetView topLeftCell="F1" zoomScale="133" workbookViewId="0">
      <selection activeCell="N31" sqref="N31"/>
    </sheetView>
  </sheetViews>
  <sheetFormatPr defaultRowHeight="10" x14ac:dyDescent="0.2"/>
  <cols>
    <col min="2" max="2" width="19.453125" customWidth="1"/>
    <col min="3" max="3" width="9.6328125" customWidth="1"/>
    <col min="4" max="4" width="10.90625" customWidth="1"/>
    <col min="5" max="5" width="9.36328125" bestFit="1" customWidth="1"/>
    <col min="7" max="7" width="9.54296875" customWidth="1"/>
    <col min="8" max="8" width="9.36328125" customWidth="1"/>
    <col min="9" max="9" width="9.08984375" customWidth="1"/>
    <col min="11" max="11" width="10.08984375" customWidth="1"/>
    <col min="14" max="14" width="9.6328125" customWidth="1"/>
    <col min="15" max="15" width="9.81640625" customWidth="1"/>
    <col min="26" max="26" width="7.453125" customWidth="1"/>
    <col min="27" max="27" width="9.08984375" customWidth="1"/>
    <col min="28" max="28" width="8.08984375" customWidth="1"/>
  </cols>
  <sheetData>
    <row r="2" spans="2:29" ht="10.5" thickBot="1" x14ac:dyDescent="0.25">
      <c r="B2" s="72" t="s">
        <v>375</v>
      </c>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3" spans="2:29" x14ac:dyDescent="0.2">
      <c r="B3" s="75"/>
      <c r="C3" s="73">
        <v>2001</v>
      </c>
      <c r="D3" s="73">
        <f t="shared" ref="D3:K3" si="0">C3+1</f>
        <v>2002</v>
      </c>
      <c r="E3" s="73">
        <f t="shared" si="0"/>
        <v>2003</v>
      </c>
      <c r="F3" s="73">
        <f t="shared" si="0"/>
        <v>2004</v>
      </c>
      <c r="G3" s="73">
        <f t="shared" si="0"/>
        <v>2005</v>
      </c>
      <c r="H3" s="73">
        <f t="shared" si="0"/>
        <v>2006</v>
      </c>
      <c r="I3" s="73">
        <f t="shared" si="0"/>
        <v>2007</v>
      </c>
      <c r="J3" s="73">
        <f t="shared" si="0"/>
        <v>2008</v>
      </c>
      <c r="K3" s="73">
        <f t="shared" si="0"/>
        <v>2009</v>
      </c>
      <c r="L3" s="73">
        <f t="shared" ref="L3:U3" si="1">K3+1</f>
        <v>2010</v>
      </c>
      <c r="M3" s="73">
        <f t="shared" si="1"/>
        <v>2011</v>
      </c>
      <c r="N3" s="73">
        <f t="shared" si="1"/>
        <v>2012</v>
      </c>
      <c r="O3" s="73">
        <f t="shared" si="1"/>
        <v>2013</v>
      </c>
      <c r="P3" s="73">
        <f t="shared" si="1"/>
        <v>2014</v>
      </c>
      <c r="Q3" s="73">
        <f t="shared" si="1"/>
        <v>2015</v>
      </c>
      <c r="R3" s="73">
        <f t="shared" si="1"/>
        <v>2016</v>
      </c>
      <c r="S3" s="73">
        <f t="shared" si="1"/>
        <v>2017</v>
      </c>
      <c r="T3" s="73">
        <f t="shared" si="1"/>
        <v>2018</v>
      </c>
      <c r="U3" s="73">
        <f t="shared" si="1"/>
        <v>2019</v>
      </c>
      <c r="V3" s="73">
        <v>2020</v>
      </c>
      <c r="W3" s="73">
        <v>2021</v>
      </c>
      <c r="X3" s="73">
        <v>2022</v>
      </c>
      <c r="Y3" s="73">
        <v>2023</v>
      </c>
      <c r="Z3" s="75" t="s">
        <v>271</v>
      </c>
      <c r="AA3" s="75" t="s">
        <v>312</v>
      </c>
      <c r="AB3" s="75" t="s">
        <v>374</v>
      </c>
      <c r="AC3" s="102" t="s">
        <v>377</v>
      </c>
    </row>
    <row r="4" spans="2:29" x14ac:dyDescent="0.2">
      <c r="B4" t="s">
        <v>87</v>
      </c>
      <c r="C4" s="97">
        <f>IS_more!B18</f>
        <v>8201</v>
      </c>
      <c r="D4" s="39">
        <f>IS_more!C18</f>
        <v>8383</v>
      </c>
      <c r="E4" s="39">
        <f>IS_more!D18</f>
        <v>9834</v>
      </c>
      <c r="F4" s="39">
        <f>IS_more!E18</f>
        <v>11552</v>
      </c>
      <c r="G4" s="39">
        <f>IS_more!F18</f>
        <v>12335</v>
      </c>
      <c r="H4" s="39">
        <f>IS_more!G18</f>
        <v>14255</v>
      </c>
      <c r="I4" s="39">
        <f>IS_more!H18</f>
        <v>13835</v>
      </c>
      <c r="J4" s="39">
        <f>IS_more!I18</f>
        <v>12501</v>
      </c>
      <c r="K4" s="39">
        <f>IS_more!J18</f>
        <v>10427</v>
      </c>
      <c r="L4" s="39">
        <f>IS_more!K18</f>
        <v>13966</v>
      </c>
      <c r="M4" s="39">
        <f>IS_more!L18</f>
        <v>13735</v>
      </c>
      <c r="N4" s="39">
        <f>IS_more!M18</f>
        <v>12825</v>
      </c>
      <c r="O4" s="39">
        <f>IS_more!N18</f>
        <v>12205</v>
      </c>
      <c r="P4" s="39">
        <f>IS_more!O18</f>
        <v>13045</v>
      </c>
      <c r="Q4" s="39">
        <f>IS_more!P18</f>
        <v>13000</v>
      </c>
      <c r="R4" s="39">
        <f>IS_more!Q18</f>
        <v>13370</v>
      </c>
      <c r="S4" s="39">
        <f>IS_more!R18</f>
        <v>14961</v>
      </c>
      <c r="T4" s="39">
        <f>IS_more!S18</f>
        <v>15784</v>
      </c>
      <c r="U4" s="39">
        <f>IS_more!T18</f>
        <v>14383</v>
      </c>
      <c r="V4" s="39">
        <f>IS_more!U18</f>
        <v>14461</v>
      </c>
      <c r="W4" s="39">
        <f>IS_more!V18</f>
        <v>18344</v>
      </c>
      <c r="X4" s="39">
        <f>IS_more!W18</f>
        <v>20028</v>
      </c>
      <c r="Y4" s="39">
        <f>IS_more!X18</f>
        <v>18112</v>
      </c>
    </row>
    <row r="5" spans="2:29" x14ac:dyDescent="0.2">
      <c r="B5" s="34" t="s">
        <v>311</v>
      </c>
      <c r="C5" s="41">
        <f>('Key Stats'!L16/'Key Stats'!B16)^0.1-1</f>
        <v>1.9149972899645151E-2</v>
      </c>
      <c r="D5" s="41">
        <f>('Key Stats'!M16/'Key Stats'!C16)^0.1-1</f>
        <v>1.2004987973880166E-2</v>
      </c>
      <c r="E5" s="41">
        <f>('Key Stats'!N16/'Key Stats'!D16)^0.1-1</f>
        <v>1.4410583335177973E-2</v>
      </c>
      <c r="F5" s="41">
        <f>('Key Stats'!O16/'Key Stats'!E16)^0.1-1</f>
        <v>2.9853601705599697E-2</v>
      </c>
      <c r="G5" s="41">
        <f>('Key Stats'!P16/'Key Stats'!F16)^0.1-1</f>
        <v>7.8343524283970289E-3</v>
      </c>
      <c r="H5" s="41">
        <f>('Key Stats'!Q16/'Key Stats'!G16)^0.1-1</f>
        <v>3.6711900163778344E-2</v>
      </c>
      <c r="I5" s="41">
        <f>('Key Stats'!R16/'Key Stats'!H16)^0.1-1</f>
        <v>3.3283963845324616E-2</v>
      </c>
      <c r="J5" s="41">
        <f>('Key Stats'!S16/'Key Stats'!I16)^0.1-1</f>
        <v>3.4850560781853002E-2</v>
      </c>
      <c r="K5" s="41">
        <f>('Key Stats'!T16/'Key Stats'!J16)^0.1-1</f>
        <v>6.6428323499463371E-3</v>
      </c>
      <c r="L5" s="41">
        <f>('Key Stats'!U16/'Key Stats'!K16)^0.1-1</f>
        <v>1.6351288150735499E-2</v>
      </c>
      <c r="M5" s="41">
        <f>('Key Stats'!V16/'Key Stats'!L16)^0.1-1</f>
        <v>5.2921964006021671E-2</v>
      </c>
      <c r="N5" s="41">
        <f>('Key Stats'!W16/'Key Stats'!M16)^0.1-1</f>
        <v>4.3435938376197747E-2</v>
      </c>
      <c r="O5" s="41">
        <f>('Key Stats'!X16/'Key Stats'!N16)^0.1-1</f>
        <v>2.1834962068524089E-2</v>
      </c>
      <c r="P5" s="41">
        <f>('Key Stats'!Y16/'Key Stats'!O16)^0.1-1</f>
        <v>1.2228801392655697E-2</v>
      </c>
      <c r="Q5" s="41">
        <f>('Key Stats'!Z16/'Key Stats'!P16)^0.1-1</f>
        <v>5.2646706780787866E-3</v>
      </c>
      <c r="R5" s="41">
        <f>('Key Stats'!AA16/'Key Stats'!Q16)^0.1-1</f>
        <v>-6.3889365224998329E-3</v>
      </c>
      <c r="S5" s="41">
        <f>('Key Stats'!AB16/'Key Stats'!R16)^0.1-1</f>
        <v>7.8552117541696997E-3</v>
      </c>
      <c r="T5" s="41">
        <f>('Key Stats'!AC16/'Key Stats'!S16)^0.1-1</f>
        <v>2.3592821986861745E-2</v>
      </c>
      <c r="U5" s="41">
        <f>('Key Stats'!AD16/'Key Stats'!T16)^0.1-1</f>
        <v>3.2687715162897257E-2</v>
      </c>
      <c r="V5" s="41">
        <f>('Key Stats'!AE16/'Key Stats'!U16)^0.1-1</f>
        <v>3.4890291623788094E-3</v>
      </c>
      <c r="W5" s="41">
        <f>('Key Stats'!AF16/'Key Stats'!V16)^0.1-1</f>
        <v>2.9358221994429723E-2</v>
      </c>
      <c r="X5" s="41">
        <f>('Key Stats'!AG16/'Key Stats'!W16)^0.1-1</f>
        <v>4.5581814051168346E-2</v>
      </c>
      <c r="Y5" s="41">
        <f>('Key Stats'!AH16/'Key Stats'!X16)^0.1-1</f>
        <v>4.0262307204675052E-2</v>
      </c>
      <c r="Z5" s="98">
        <f>AVERAGE(L5:U5)</f>
        <v>2.0978443705364235E-2</v>
      </c>
      <c r="AA5" s="41">
        <f>_xlfn.STDEV.S(L5:U5)</f>
        <v>1.8060039931424649E-2</v>
      </c>
      <c r="AB5" s="101"/>
    </row>
    <row r="6" spans="2:29" x14ac:dyDescent="0.2">
      <c r="B6" t="s">
        <v>373</v>
      </c>
      <c r="C6" s="100">
        <f>-CF_More!B37</f>
        <v>1790</v>
      </c>
      <c r="D6" s="99">
        <f>-CF_More!C37</f>
        <v>802</v>
      </c>
      <c r="E6" s="99">
        <f>-CF_More!D37</f>
        <v>800</v>
      </c>
      <c r="F6" s="99">
        <f>-CF_More!E37</f>
        <v>1260</v>
      </c>
      <c r="G6" s="99">
        <f>-CF_More!F37</f>
        <v>1288</v>
      </c>
      <c r="H6" s="99">
        <f>-CF_More!G37</f>
        <v>1272</v>
      </c>
      <c r="I6" s="99">
        <f>-CF_More!H37</f>
        <v>686</v>
      </c>
      <c r="J6" s="99">
        <f>-CF_More!I37</f>
        <v>763</v>
      </c>
      <c r="K6" s="99">
        <f>-CF_More!J37</f>
        <v>753</v>
      </c>
      <c r="L6" s="99">
        <f>-CF_More!K37</f>
        <v>1199</v>
      </c>
      <c r="M6" s="99">
        <f>-CF_More!L37</f>
        <v>816</v>
      </c>
      <c r="N6" s="99">
        <f>-CF_More!M37</f>
        <v>495</v>
      </c>
      <c r="O6" s="99">
        <f>-CF_More!N37</f>
        <v>412</v>
      </c>
      <c r="P6" s="99">
        <f>-CF_More!O37</f>
        <v>385</v>
      </c>
      <c r="Q6" s="99">
        <f>-CF_More!P37</f>
        <v>551</v>
      </c>
      <c r="R6" s="99">
        <f>-CF_More!Q37</f>
        <v>531</v>
      </c>
      <c r="S6" s="99">
        <f>-CF_More!R37</f>
        <v>695</v>
      </c>
      <c r="T6" s="99">
        <f>-CF_More!S37</f>
        <v>1131</v>
      </c>
      <c r="U6" s="99">
        <f>-CF_More!T37</f>
        <v>847</v>
      </c>
      <c r="V6" s="99">
        <f>-CF_More!U37</f>
        <v>649</v>
      </c>
      <c r="W6" s="99">
        <f>-CF_More!V37</f>
        <v>2462</v>
      </c>
      <c r="X6" s="99">
        <f>-CF_More!W37</f>
        <v>2797</v>
      </c>
      <c r="Y6" s="99">
        <f>-CF_More!X37</f>
        <v>4890</v>
      </c>
    </row>
    <row r="7" spans="2:29" x14ac:dyDescent="0.2">
      <c r="B7" t="s">
        <v>458</v>
      </c>
      <c r="C7" s="100"/>
      <c r="D7" s="40">
        <f t="shared" ref="D7:Y7" si="2">D6/D4</f>
        <v>9.5669807944649882E-2</v>
      </c>
      <c r="E7" s="40">
        <f t="shared" si="2"/>
        <v>8.1350416920886723E-2</v>
      </c>
      <c r="F7" s="40">
        <f t="shared" si="2"/>
        <v>0.10907202216066482</v>
      </c>
      <c r="G7" s="40">
        <f t="shared" si="2"/>
        <v>0.10441832184839886</v>
      </c>
      <c r="H7" s="40">
        <f t="shared" si="2"/>
        <v>8.9231848474219569E-2</v>
      </c>
      <c r="I7" s="40">
        <f t="shared" si="2"/>
        <v>4.9584387423202023E-2</v>
      </c>
      <c r="J7" s="40">
        <f t="shared" si="2"/>
        <v>6.1035117190624752E-2</v>
      </c>
      <c r="K7" s="40">
        <f t="shared" si="2"/>
        <v>7.2216361369521434E-2</v>
      </c>
      <c r="L7" s="40">
        <f t="shared" si="2"/>
        <v>8.5851353286553064E-2</v>
      </c>
      <c r="M7" s="40">
        <f t="shared" si="2"/>
        <v>5.9410265744448493E-2</v>
      </c>
      <c r="N7" s="40">
        <f t="shared" si="2"/>
        <v>3.8596491228070177E-2</v>
      </c>
      <c r="O7" s="40">
        <f t="shared" si="2"/>
        <v>3.3756657107742727E-2</v>
      </c>
      <c r="P7" s="40">
        <f t="shared" si="2"/>
        <v>2.9513223457263319E-2</v>
      </c>
      <c r="Q7" s="40">
        <f t="shared" si="2"/>
        <v>4.2384615384615382E-2</v>
      </c>
      <c r="R7" s="40">
        <f t="shared" si="2"/>
        <v>3.9715781600598354E-2</v>
      </c>
      <c r="S7" s="40">
        <f t="shared" si="2"/>
        <v>4.6454114029810839E-2</v>
      </c>
      <c r="T7" s="40">
        <f t="shared" si="2"/>
        <v>7.1654840344652818E-2</v>
      </c>
      <c r="U7" s="40">
        <f t="shared" si="2"/>
        <v>5.888896614058263E-2</v>
      </c>
      <c r="V7" s="40">
        <f t="shared" si="2"/>
        <v>4.4879330613373902E-2</v>
      </c>
      <c r="W7" s="40">
        <f t="shared" si="2"/>
        <v>0.13421282163105103</v>
      </c>
      <c r="X7" s="40">
        <f t="shared" si="2"/>
        <v>0.1396544837227881</v>
      </c>
      <c r="Y7" s="40">
        <f t="shared" si="2"/>
        <v>0.26998674911660775</v>
      </c>
      <c r="Z7" s="95">
        <f>AVERAGE(L7:U7)</f>
        <v>5.0622630832433776E-2</v>
      </c>
      <c r="AA7" s="40">
        <f>_xlfn.STDEV.S(L7:U7)</f>
        <v>1.7974885330197064E-2</v>
      </c>
      <c r="AB7" s="101">
        <f>AA7/Z7</f>
        <v>0.35507608029491439</v>
      </c>
      <c r="AC7" s="95">
        <f>AVERAGE(W7:Y7)</f>
        <v>0.18128468482348228</v>
      </c>
    </row>
    <row r="8" spans="2:29" x14ac:dyDescent="0.2">
      <c r="B8" t="s">
        <v>422</v>
      </c>
      <c r="C8" s="100"/>
      <c r="D8" s="40"/>
      <c r="E8" s="40"/>
      <c r="F8" s="40"/>
      <c r="G8" s="100">
        <f>SUM(C6:G6)/5</f>
        <v>1188</v>
      </c>
      <c r="H8" s="99">
        <f t="shared" ref="H8:Y8" si="3">SUM(D6:H6)/5</f>
        <v>1084.4000000000001</v>
      </c>
      <c r="I8" s="99">
        <f t="shared" si="3"/>
        <v>1061.2</v>
      </c>
      <c r="J8" s="99">
        <f t="shared" si="3"/>
        <v>1053.8</v>
      </c>
      <c r="K8" s="99">
        <f t="shared" si="3"/>
        <v>952.4</v>
      </c>
      <c r="L8" s="99">
        <f t="shared" si="3"/>
        <v>934.6</v>
      </c>
      <c r="M8" s="99">
        <f t="shared" si="3"/>
        <v>843.4</v>
      </c>
      <c r="N8" s="99">
        <f t="shared" si="3"/>
        <v>805.2</v>
      </c>
      <c r="O8" s="99">
        <f t="shared" si="3"/>
        <v>735</v>
      </c>
      <c r="P8" s="99">
        <f t="shared" si="3"/>
        <v>661.4</v>
      </c>
      <c r="Q8" s="99">
        <f t="shared" si="3"/>
        <v>531.79999999999995</v>
      </c>
      <c r="R8" s="99">
        <f t="shared" si="3"/>
        <v>474.8</v>
      </c>
      <c r="S8" s="99">
        <f t="shared" si="3"/>
        <v>514.79999999999995</v>
      </c>
      <c r="T8" s="99">
        <f t="shared" si="3"/>
        <v>658.6</v>
      </c>
      <c r="U8" s="99">
        <f t="shared" si="3"/>
        <v>751</v>
      </c>
      <c r="V8" s="99">
        <f t="shared" si="3"/>
        <v>770.6</v>
      </c>
      <c r="W8" s="99">
        <f t="shared" si="3"/>
        <v>1156.8</v>
      </c>
      <c r="X8" s="99">
        <f t="shared" si="3"/>
        <v>1577.2</v>
      </c>
      <c r="Y8" s="99">
        <f t="shared" si="3"/>
        <v>2329</v>
      </c>
      <c r="Z8" s="95"/>
      <c r="AA8" s="40"/>
      <c r="AB8" s="101"/>
      <c r="AC8" s="95"/>
    </row>
    <row r="9" spans="2:29" x14ac:dyDescent="0.2">
      <c r="B9" t="s">
        <v>423</v>
      </c>
      <c r="C9" s="100"/>
      <c r="D9" s="40"/>
      <c r="E9" s="40"/>
      <c r="F9" s="40"/>
      <c r="G9" s="100">
        <f>CF_More!F19</f>
        <v>1346</v>
      </c>
      <c r="H9" s="99">
        <f>CF_More!G19</f>
        <v>1052</v>
      </c>
      <c r="I9" s="99">
        <f>CF_More!H19</f>
        <v>1022</v>
      </c>
      <c r="J9" s="99">
        <f>CF_More!I19</f>
        <v>1022</v>
      </c>
      <c r="K9" s="99">
        <f>CF_More!J19</f>
        <v>877</v>
      </c>
      <c r="L9" s="99">
        <f>CF_More!K19</f>
        <v>865</v>
      </c>
      <c r="M9" s="99">
        <f>CF_More!L19</f>
        <v>899</v>
      </c>
      <c r="N9" s="99">
        <f>CF_More!M19</f>
        <v>936</v>
      </c>
      <c r="O9" s="99">
        <f>CF_More!N19</f>
        <v>879</v>
      </c>
      <c r="P9" s="99">
        <f>CF_More!O19</f>
        <v>850</v>
      </c>
      <c r="Q9" s="99">
        <f>CF_More!P19</f>
        <v>766</v>
      </c>
      <c r="R9" s="99">
        <f>CF_More!Q19</f>
        <v>599</v>
      </c>
      <c r="S9" s="99">
        <f>CF_More!R19</f>
        <v>538</v>
      </c>
      <c r="T9" s="99">
        <f>CF_More!S19</f>
        <v>590</v>
      </c>
      <c r="U9" s="99">
        <f>CF_More!T19</f>
        <v>708</v>
      </c>
      <c r="V9" s="99">
        <f>CF_More!U19</f>
        <v>733</v>
      </c>
      <c r="W9" s="99">
        <f>CF_More!V19</f>
        <v>755</v>
      </c>
      <c r="X9" s="99">
        <f>CF_More!W19</f>
        <v>925</v>
      </c>
      <c r="Y9" s="99">
        <f>CF_More!X19</f>
        <v>1102</v>
      </c>
      <c r="Z9" s="95"/>
      <c r="AA9" s="40"/>
      <c r="AB9" s="101"/>
      <c r="AC9" s="95"/>
    </row>
    <row r="10" spans="2:29" x14ac:dyDescent="0.2">
      <c r="B10" t="s">
        <v>424</v>
      </c>
      <c r="C10" s="100"/>
      <c r="D10" s="40"/>
      <c r="E10" s="40"/>
      <c r="F10" s="40"/>
      <c r="G10" s="100">
        <f>IS_more!F22</f>
        <v>6319</v>
      </c>
      <c r="H10" s="99">
        <f>IS_more!G22</f>
        <v>6996</v>
      </c>
      <c r="I10" s="99">
        <f>IS_more!H22</f>
        <v>6466</v>
      </c>
      <c r="J10" s="99">
        <f>IS_more!I22</f>
        <v>6256</v>
      </c>
      <c r="K10" s="99">
        <f>IS_more!J22</f>
        <v>5428</v>
      </c>
      <c r="L10" s="99">
        <f>IS_more!K22</f>
        <v>6474</v>
      </c>
      <c r="M10" s="99">
        <f>IS_more!L22</f>
        <v>6867</v>
      </c>
      <c r="N10" s="99">
        <f>IS_more!M22</f>
        <v>6436</v>
      </c>
      <c r="O10" s="99">
        <f>IS_more!N22</f>
        <v>5841</v>
      </c>
      <c r="P10" s="99">
        <f>IS_more!O22</f>
        <v>5618</v>
      </c>
      <c r="Q10" s="99">
        <f>IS_more!P22</f>
        <v>5425</v>
      </c>
      <c r="R10" s="99">
        <f>IS_more!Q22</f>
        <v>5113</v>
      </c>
      <c r="S10" s="99">
        <f>IS_more!R22</f>
        <v>5347</v>
      </c>
      <c r="T10" s="99">
        <f>IS_more!S22</f>
        <v>5507</v>
      </c>
      <c r="U10" s="99">
        <f>IS_more!T22</f>
        <v>5219</v>
      </c>
      <c r="V10" s="99">
        <f>IS_more!U22</f>
        <v>5192</v>
      </c>
      <c r="W10" s="99">
        <f>IS_more!V22</f>
        <v>5968</v>
      </c>
      <c r="X10" s="99">
        <f>IS_more!W22</f>
        <v>6257</v>
      </c>
      <c r="Y10" s="99">
        <f>IS_more!X22</f>
        <v>6437</v>
      </c>
      <c r="Z10" s="95"/>
      <c r="AA10" s="40"/>
      <c r="AB10" s="101"/>
      <c r="AC10" s="95"/>
    </row>
    <row r="11" spans="2:29" x14ac:dyDescent="0.2">
      <c r="B11" t="s">
        <v>426</v>
      </c>
      <c r="C11" s="100"/>
      <c r="D11" s="40"/>
      <c r="E11" s="40"/>
      <c r="F11" s="40"/>
      <c r="G11" s="100">
        <f>G10-G9</f>
        <v>4973</v>
      </c>
      <c r="H11" s="99">
        <f t="shared" ref="H11:Y11" si="4">H10-H9</f>
        <v>5944</v>
      </c>
      <c r="I11" s="99">
        <f t="shared" si="4"/>
        <v>5444</v>
      </c>
      <c r="J11" s="99">
        <f t="shared" si="4"/>
        <v>5234</v>
      </c>
      <c r="K11" s="99">
        <f t="shared" si="4"/>
        <v>4551</v>
      </c>
      <c r="L11" s="99">
        <f t="shared" si="4"/>
        <v>5609</v>
      </c>
      <c r="M11" s="99">
        <f t="shared" si="4"/>
        <v>5968</v>
      </c>
      <c r="N11" s="99">
        <f t="shared" si="4"/>
        <v>5500</v>
      </c>
      <c r="O11" s="99">
        <f t="shared" si="4"/>
        <v>4962</v>
      </c>
      <c r="P11" s="99">
        <f t="shared" si="4"/>
        <v>4768</v>
      </c>
      <c r="Q11" s="99">
        <f t="shared" si="4"/>
        <v>4659</v>
      </c>
      <c r="R11" s="99">
        <f t="shared" si="4"/>
        <v>4514</v>
      </c>
      <c r="S11" s="99">
        <f t="shared" si="4"/>
        <v>4809</v>
      </c>
      <c r="T11" s="99">
        <f t="shared" si="4"/>
        <v>4917</v>
      </c>
      <c r="U11" s="99">
        <f t="shared" si="4"/>
        <v>4511</v>
      </c>
      <c r="V11" s="99">
        <f t="shared" si="4"/>
        <v>4459</v>
      </c>
      <c r="W11" s="99">
        <f t="shared" si="4"/>
        <v>5213</v>
      </c>
      <c r="X11" s="99">
        <f t="shared" si="4"/>
        <v>5332</v>
      </c>
      <c r="Y11" s="99">
        <f t="shared" si="4"/>
        <v>5335</v>
      </c>
      <c r="Z11" s="95"/>
      <c r="AA11" s="40"/>
      <c r="AB11" s="101"/>
      <c r="AC11" s="95"/>
    </row>
    <row r="12" spans="2:29" x14ac:dyDescent="0.2">
      <c r="B12" t="s">
        <v>436</v>
      </c>
      <c r="C12" s="100"/>
      <c r="D12" s="40"/>
      <c r="E12" s="40"/>
      <c r="F12" s="40"/>
      <c r="G12" s="40">
        <f t="shared" ref="G12:Y12" si="5">G11/G4</f>
        <v>0.40316173490068907</v>
      </c>
      <c r="H12" s="40">
        <f t="shared" si="5"/>
        <v>0.41697649947386883</v>
      </c>
      <c r="I12" s="40">
        <f t="shared" si="5"/>
        <v>0.39349475966750996</v>
      </c>
      <c r="J12" s="40">
        <f t="shared" si="5"/>
        <v>0.41868650507959365</v>
      </c>
      <c r="K12" s="40">
        <f t="shared" si="5"/>
        <v>0.43646302867555387</v>
      </c>
      <c r="L12" s="40">
        <f t="shared" si="5"/>
        <v>0.40161821566661893</v>
      </c>
      <c r="M12" s="40">
        <f t="shared" si="5"/>
        <v>0.43451037495449579</v>
      </c>
      <c r="N12" s="40">
        <f t="shared" si="5"/>
        <v>0.42884990253411304</v>
      </c>
      <c r="O12" s="40">
        <f t="shared" si="5"/>
        <v>0.40655469070053257</v>
      </c>
      <c r="P12" s="40">
        <f t="shared" si="5"/>
        <v>0.36550402453047143</v>
      </c>
      <c r="Q12" s="40">
        <f t="shared" si="5"/>
        <v>0.35838461538461536</v>
      </c>
      <c r="R12" s="40">
        <f t="shared" si="5"/>
        <v>0.33762154076290202</v>
      </c>
      <c r="S12" s="40">
        <f t="shared" si="5"/>
        <v>0.32143573290555444</v>
      </c>
      <c r="T12" s="40">
        <f t="shared" si="5"/>
        <v>0.31151799290420679</v>
      </c>
      <c r="U12" s="40">
        <f t="shared" si="5"/>
        <v>0.3136341514287701</v>
      </c>
      <c r="V12" s="40">
        <f t="shared" si="5"/>
        <v>0.30834658737293408</v>
      </c>
      <c r="W12" s="40">
        <f t="shared" si="5"/>
        <v>0.28418011338857391</v>
      </c>
      <c r="X12" s="40">
        <f t="shared" si="5"/>
        <v>0.26622728180547234</v>
      </c>
      <c r="Y12" s="40">
        <f t="shared" si="5"/>
        <v>0.29455609540636041</v>
      </c>
      <c r="Z12" s="95"/>
      <c r="AA12" s="40"/>
      <c r="AB12" s="101"/>
      <c r="AC12" s="95"/>
    </row>
    <row r="13" spans="2:29" x14ac:dyDescent="0.2">
      <c r="B13" t="s">
        <v>425</v>
      </c>
      <c r="C13" s="100"/>
      <c r="D13" s="40"/>
      <c r="E13" s="40"/>
      <c r="F13" s="40"/>
      <c r="G13" s="40"/>
      <c r="H13" s="40"/>
      <c r="I13" s="40"/>
      <c r="J13" s="40"/>
      <c r="K13" s="40"/>
      <c r="L13" s="40"/>
      <c r="M13" s="40"/>
      <c r="N13" s="40"/>
      <c r="O13" s="40"/>
      <c r="P13" s="40"/>
      <c r="Q13" s="40">
        <f>(Q12/G12)^0.1-1</f>
        <v>-1.1704073603919118E-2</v>
      </c>
      <c r="R13" s="40">
        <f t="shared" ref="R13:Y13" si="6">(R12/H12)^0.1-1</f>
        <v>-2.0889164391928006E-2</v>
      </c>
      <c r="S13" s="40">
        <f t="shared" si="6"/>
        <v>-2.0023818739087207E-2</v>
      </c>
      <c r="T13" s="40">
        <f t="shared" si="6"/>
        <v>-2.9133720444239897E-2</v>
      </c>
      <c r="U13" s="40">
        <f t="shared" si="6"/>
        <v>-3.2507541404830476E-2</v>
      </c>
      <c r="V13" s="40">
        <f t="shared" si="6"/>
        <v>-2.608159223366957E-2</v>
      </c>
      <c r="W13" s="40">
        <f t="shared" si="6"/>
        <v>-4.1572308253018719E-2</v>
      </c>
      <c r="X13" s="40">
        <f t="shared" si="6"/>
        <v>-4.655702273575868E-2</v>
      </c>
      <c r="Y13" s="40">
        <f t="shared" si="6"/>
        <v>-3.1711210432734616E-2</v>
      </c>
      <c r="Z13" s="95">
        <f>AVERAGE(Q13:U13)</f>
        <v>-2.2851663716800939E-2</v>
      </c>
      <c r="AA13" s="40"/>
      <c r="AB13" s="101"/>
      <c r="AC13" s="95"/>
    </row>
    <row r="14" spans="2:29" x14ac:dyDescent="0.2">
      <c r="B14" s="34" t="s">
        <v>29</v>
      </c>
      <c r="C14" s="100">
        <f>'Key Stats'!L19</f>
        <v>2624</v>
      </c>
      <c r="D14" s="99">
        <f>'Key Stats'!M19</f>
        <v>3096</v>
      </c>
      <c r="E14" s="99">
        <f>'Key Stats'!N19</f>
        <v>4064</v>
      </c>
      <c r="F14" s="99">
        <f>'Key Stats'!O19</f>
        <v>5257</v>
      </c>
      <c r="G14" s="99">
        <f>'Key Stats'!P19</f>
        <v>6016</v>
      </c>
      <c r="H14" s="99">
        <f>'Key Stats'!Q19</f>
        <v>7259</v>
      </c>
      <c r="I14" s="99">
        <f>'Key Stats'!R19</f>
        <v>7369</v>
      </c>
      <c r="J14" s="99">
        <f>'Key Stats'!S19</f>
        <v>6245</v>
      </c>
      <c r="K14" s="99">
        <f>'Key Stats'!T19</f>
        <v>4999</v>
      </c>
      <c r="L14" s="99">
        <f>'Key Stats'!U19</f>
        <v>7492</v>
      </c>
      <c r="M14" s="99">
        <f>'Key Stats'!V19</f>
        <v>6868</v>
      </c>
      <c r="N14" s="99">
        <f>'Key Stats'!W19</f>
        <v>6389</v>
      </c>
      <c r="O14" s="99">
        <f>'Key Stats'!X19</f>
        <v>6364</v>
      </c>
      <c r="P14" s="99">
        <f>'Key Stats'!Y19</f>
        <v>7427</v>
      </c>
      <c r="Q14" s="99">
        <f>'Key Stats'!Z19</f>
        <v>7575</v>
      </c>
      <c r="R14" s="99">
        <f>'Key Stats'!AA19</f>
        <v>8257</v>
      </c>
      <c r="S14" s="99">
        <f>'Key Stats'!AB19</f>
        <v>9614</v>
      </c>
      <c r="T14" s="99">
        <f>'Key Stats'!AC19</f>
        <v>10277</v>
      </c>
      <c r="U14" s="99">
        <f>'Key Stats'!AD19</f>
        <v>9164</v>
      </c>
      <c r="V14" s="99">
        <f>'Key Stats'!AE19</f>
        <v>9269</v>
      </c>
      <c r="W14" s="99">
        <f>'Key Stats'!AF19</f>
        <v>12376</v>
      </c>
      <c r="X14" s="99">
        <f>'Key Stats'!AG19</f>
        <v>13771</v>
      </c>
      <c r="Y14" s="99">
        <f>'Key Stats'!AH19</f>
        <v>11675</v>
      </c>
      <c r="Z14" s="98"/>
      <c r="AA14" s="41"/>
      <c r="AB14" s="101"/>
    </row>
    <row r="15" spans="2:29" x14ac:dyDescent="0.2">
      <c r="B15" t="s">
        <v>459</v>
      </c>
      <c r="C15" s="40">
        <f>IS_more!B27/IS_more!B18</f>
        <v>0.19326911352274112</v>
      </c>
      <c r="D15" s="40">
        <f>IS_more!C27/IS_more!C18</f>
        <v>0.19277108433734941</v>
      </c>
      <c r="E15" s="40">
        <f>IS_more!D27/IS_more!D18</f>
        <v>0.17531014846451087</v>
      </c>
      <c r="F15" s="40">
        <f>IS_more!E27/IS_more!E18</f>
        <v>0.1684556786703601</v>
      </c>
      <c r="G15" s="40">
        <f>IS_more!F27/IS_more!F18</f>
        <v>0.16100526955816782</v>
      </c>
      <c r="H15" s="40">
        <f>IS_more!G27/IS_more!G18</f>
        <v>0.15363030515608558</v>
      </c>
      <c r="I15" s="40">
        <f>IS_more!H27/IS_more!H18</f>
        <v>0.1546801590169859</v>
      </c>
      <c r="J15" s="40">
        <f>IS_more!I27/IS_more!I18</f>
        <v>0.15518758499320054</v>
      </c>
      <c r="K15" s="40">
        <f>IS_more!J27/IS_more!J18</f>
        <v>0.1415555768677472</v>
      </c>
      <c r="L15" s="40">
        <f>IS_more!K27/IS_more!K18</f>
        <v>0.11241586710582845</v>
      </c>
      <c r="M15" s="40">
        <f>IS_more!L27/IS_more!L18</f>
        <v>0.12486348744084456</v>
      </c>
      <c r="N15" s="40">
        <f>IS_more!M27/IS_more!M18</f>
        <v>0.14635477582846004</v>
      </c>
      <c r="O15" s="40">
        <f>IS_more!N27/IS_more!N18</f>
        <v>0.12470299057763212</v>
      </c>
      <c r="P15" s="40">
        <f>IS_more!O27/IS_more!O18</f>
        <v>0.10410118819471062</v>
      </c>
      <c r="Q15" s="40">
        <f>IS_more!P27/IS_more!P18</f>
        <v>9.7461538461538461E-2</v>
      </c>
      <c r="R15" s="40">
        <f>IS_more!Q27/IS_more!Q18</f>
        <v>0.10142109199700823</v>
      </c>
      <c r="S15" s="40">
        <f>IS_more!R27/IS_more!R18</f>
        <v>0.10079540137691331</v>
      </c>
      <c r="T15" s="40">
        <f>IS_more!S27/IS_more!S18</f>
        <v>9.8770907247845915E-2</v>
      </c>
      <c r="U15" s="40">
        <f>IS_more!T27/IS_more!T18</f>
        <v>0.10734895362580825</v>
      </c>
      <c r="V15" s="40">
        <f>IS_more!U27/IS_more!U18</f>
        <v>0.10580181176958717</v>
      </c>
      <c r="W15" s="40">
        <f>IS_more!V27/IS_more!V18</f>
        <v>8.471434801569995E-2</v>
      </c>
      <c r="X15" s="40">
        <f>IS_more!W27/IS_more!W18</f>
        <v>8.3383263431196328E-2</v>
      </c>
      <c r="Y15" s="40">
        <f>IS_more!X27/IS_more!X18</f>
        <v>0.10142446996466431</v>
      </c>
      <c r="Z15" s="95">
        <f>AVERAGE(L15:U15)</f>
        <v>0.11182362018565901</v>
      </c>
      <c r="AA15" s="40">
        <f>_xlfn.STDEV.S(L15:U15)</f>
        <v>1.5687232218666934E-2</v>
      </c>
      <c r="AB15" s="101"/>
    </row>
    <row r="16" spans="2:29" x14ac:dyDescent="0.2">
      <c r="B16" t="s">
        <v>460</v>
      </c>
      <c r="C16" s="40">
        <f>IS_more!B25/IS_more!B18</f>
        <v>0.15376173637361298</v>
      </c>
      <c r="D16" s="40">
        <f>IS_more!C25/IS_more!C18</f>
        <v>0.13765954908743885</v>
      </c>
      <c r="E16" s="40">
        <f>IS_more!D25/IS_more!D18</f>
        <v>0.12548301810046777</v>
      </c>
      <c r="F16" s="40">
        <f>IS_more!E25/IS_more!E18</f>
        <v>0.1169494459833795</v>
      </c>
      <c r="G16" s="40">
        <f>IS_more!F25/IS_more!F18</f>
        <v>0.11925415484394</v>
      </c>
      <c r="H16" s="40">
        <f>IS_more!G25/IS_more!G18</f>
        <v>0.11904594878989828</v>
      </c>
      <c r="I16" s="40">
        <f>IS_more!H25/IS_more!H18</f>
        <v>0.12143115287314782</v>
      </c>
      <c r="J16" s="40">
        <f>IS_more!I25/IS_more!I18</f>
        <v>0.1291096712263019</v>
      </c>
      <c r="K16" s="40">
        <f>IS_more!J25/IS_more!J18</f>
        <v>0.12659441833700968</v>
      </c>
      <c r="L16" s="40">
        <f>IS_more!K25/IS_more!K18</f>
        <v>0.1086925390233424</v>
      </c>
      <c r="M16" s="40">
        <f>IS_more!L25/IS_more!L18</f>
        <v>0.11925737167819439</v>
      </c>
      <c r="N16" s="40">
        <f>IS_more!M25/IS_more!M18</f>
        <v>0.14066276803118907</v>
      </c>
      <c r="O16" s="40">
        <f>IS_more!N25/IS_more!N18</f>
        <v>0.1522326915198689</v>
      </c>
      <c r="P16" s="40">
        <f>IS_more!O25/IS_more!O18</f>
        <v>0.14128018397853584</v>
      </c>
      <c r="Q16" s="40">
        <f>IS_more!P25/IS_more!P18</f>
        <v>0.13661538461538461</v>
      </c>
      <c r="R16" s="40">
        <f>IS_more!Q25/IS_more!Q18</f>
        <v>0.13448017950635752</v>
      </c>
      <c r="S16" s="40">
        <f>IS_more!R25/IS_more!R18</f>
        <v>0.1172381525299111</v>
      </c>
      <c r="T16" s="40">
        <f>IS_more!S25/IS_more!S18</f>
        <v>0.10871768879878357</v>
      </c>
      <c r="U16" s="40">
        <f>IS_more!T25/IS_more!T18</f>
        <v>0.11471876520892721</v>
      </c>
      <c r="V16" s="40">
        <f>IS_more!U25/IS_more!U18</f>
        <v>0.1117488417121914</v>
      </c>
      <c r="W16" s="40">
        <f>IS_more!V25/IS_more!V18</f>
        <v>9.0383776711731353E-2</v>
      </c>
      <c r="X16" s="40">
        <f>IS_more!W25/IS_more!W18</f>
        <v>8.7327741162372685E-2</v>
      </c>
      <c r="Y16" s="40">
        <f>IS_more!X25/IS_more!X18</f>
        <v>0.10120362190812721</v>
      </c>
      <c r="Z16" s="95">
        <f>AVERAGE(L16:U16)</f>
        <v>0.12738957248904945</v>
      </c>
      <c r="AA16" s="40">
        <f>_xlfn.STDEV.S(L16:U16)</f>
        <v>1.5454777625924539E-2</v>
      </c>
      <c r="AB16" s="101"/>
    </row>
    <row r="17" spans="2:27" x14ac:dyDescent="0.2">
      <c r="B17" t="s">
        <v>364</v>
      </c>
      <c r="L17" s="97">
        <f>BS_More!K29-BS_More!K20</f>
        <v>3988</v>
      </c>
      <c r="M17" s="39">
        <f>BS_More!L29-BS_More!L20</f>
        <v>4893</v>
      </c>
      <c r="N17" s="39">
        <f>BS_More!M29-BS_More!M20</f>
        <v>4265</v>
      </c>
      <c r="O17" s="39">
        <f>BS_More!N29-BS_More!N20</f>
        <v>4190</v>
      </c>
      <c r="P17" s="39">
        <f>BS_More!O29-BS_More!O20</f>
        <v>3880</v>
      </c>
      <c r="Q17" s="39">
        <f>BS_More!P29-BS_More!P20</f>
        <v>3856</v>
      </c>
      <c r="R17" s="39">
        <f>BS_More!Q29-BS_More!Q20</f>
        <v>3967</v>
      </c>
      <c r="S17" s="39">
        <f>BS_More!R29-BS_More!R20</f>
        <v>4265</v>
      </c>
      <c r="T17" s="39">
        <f>BS_More!S29-BS_More!S20</f>
        <v>3864</v>
      </c>
      <c r="U17" s="39">
        <f>BS_More!T29-BS_More!T20</f>
        <v>3374</v>
      </c>
      <c r="V17" s="39">
        <f>BS_More!U29-BS_More!U20</f>
        <v>3671</v>
      </c>
      <c r="W17" s="39">
        <f>BS_More!V29-BS_More!V20</f>
        <v>3946</v>
      </c>
      <c r="X17" s="39">
        <f>BS_More!W29-BS_More!W20</f>
        <v>4954</v>
      </c>
      <c r="Y17" s="39">
        <f>BS_More!X29-BS_More!X20</f>
        <v>6149</v>
      </c>
    </row>
    <row r="18" spans="2:27" x14ac:dyDescent="0.2">
      <c r="B18" t="s">
        <v>379</v>
      </c>
      <c r="L18" s="97">
        <f>BS_More!K52-BS_More!K47-BS_More!K48</f>
        <v>1981</v>
      </c>
      <c r="M18" s="39">
        <f>BS_More!L52-BS_More!L47-BS_More!L48</f>
        <v>3117</v>
      </c>
      <c r="N18" s="39">
        <f>BS_More!M52-BS_More!M47-BS_More!M48</f>
        <v>1930</v>
      </c>
      <c r="O18" s="39">
        <f>BS_More!N52-BS_More!N47-BS_More!N48</f>
        <v>1747</v>
      </c>
      <c r="P18" s="39">
        <f>BS_More!O52-BS_More!O47-BS_More!O48</f>
        <v>1657</v>
      </c>
      <c r="Q18" s="39">
        <f>BS_More!P52-BS_More!P47-BS_More!P48</f>
        <v>1555</v>
      </c>
      <c r="R18" s="39">
        <f>BS_More!Q52-BS_More!Q47-BS_More!Q48</f>
        <v>1633</v>
      </c>
      <c r="S18" s="39">
        <f>BS_More!R52-BS_More!R47-BS_More!R48</f>
        <v>1758</v>
      </c>
      <c r="T18" s="39">
        <f>BS_More!S52-BS_More!S47-BS_More!S48</f>
        <v>1725</v>
      </c>
      <c r="U18" s="39">
        <f>BS_More!T52-BS_More!T47-BS_More!T48</f>
        <v>1550</v>
      </c>
      <c r="V18" s="39">
        <f>BS_More!U52-BS_More!U47-BS_More!U48</f>
        <v>1768</v>
      </c>
      <c r="W18" s="39">
        <f>BS_More!V52-BS_More!V47-BS_More!V48</f>
        <v>1987</v>
      </c>
      <c r="X18" s="39">
        <f>BS_More!W52-BS_More!W47-BS_More!W48</f>
        <v>2410</v>
      </c>
      <c r="Y18" s="39">
        <f>BS_More!X52-BS_More!X47-BS_More!X48</f>
        <v>2352</v>
      </c>
    </row>
    <row r="19" spans="2:27" x14ac:dyDescent="0.2">
      <c r="B19" t="s">
        <v>365</v>
      </c>
      <c r="L19" s="97">
        <f t="shared" ref="L19:Y19" si="7">L17-L18</f>
        <v>2007</v>
      </c>
      <c r="M19" s="39">
        <f t="shared" si="7"/>
        <v>1776</v>
      </c>
      <c r="N19" s="39">
        <f t="shared" si="7"/>
        <v>2335</v>
      </c>
      <c r="O19" s="39">
        <f t="shared" si="7"/>
        <v>2443</v>
      </c>
      <c r="P19" s="39">
        <f t="shared" si="7"/>
        <v>2223</v>
      </c>
      <c r="Q19" s="39">
        <f t="shared" si="7"/>
        <v>2301</v>
      </c>
      <c r="R19" s="39">
        <f t="shared" si="7"/>
        <v>2334</v>
      </c>
      <c r="S19" s="39">
        <f t="shared" si="7"/>
        <v>2507</v>
      </c>
      <c r="T19" s="39">
        <f t="shared" si="7"/>
        <v>2139</v>
      </c>
      <c r="U19" s="39">
        <f t="shared" si="7"/>
        <v>1824</v>
      </c>
      <c r="V19" s="39">
        <f t="shared" si="7"/>
        <v>1903</v>
      </c>
      <c r="W19" s="39">
        <f t="shared" si="7"/>
        <v>1959</v>
      </c>
      <c r="X19" s="39">
        <f t="shared" si="7"/>
        <v>2544</v>
      </c>
      <c r="Y19" s="39">
        <f t="shared" si="7"/>
        <v>3797</v>
      </c>
    </row>
    <row r="20" spans="2:27" x14ac:dyDescent="0.2">
      <c r="B20" t="s">
        <v>380</v>
      </c>
      <c r="L20" s="40">
        <f t="shared" ref="L20:Y20" si="8">L19/L4</f>
        <v>0.14370614349133609</v>
      </c>
      <c r="M20" s="40">
        <f t="shared" si="8"/>
        <v>0.12930469603203495</v>
      </c>
      <c r="N20" s="40">
        <f t="shared" si="8"/>
        <v>0.1820662768031189</v>
      </c>
      <c r="O20" s="40">
        <f t="shared" si="8"/>
        <v>0.20016386726751331</v>
      </c>
      <c r="P20" s="40">
        <f t="shared" si="8"/>
        <v>0.17041011881947107</v>
      </c>
      <c r="Q20" s="40">
        <f t="shared" si="8"/>
        <v>0.17699999999999999</v>
      </c>
      <c r="R20" s="40">
        <f t="shared" si="8"/>
        <v>0.17456993268511592</v>
      </c>
      <c r="S20" s="40">
        <f t="shared" si="8"/>
        <v>0.1675690127665263</v>
      </c>
      <c r="T20" s="40">
        <f t="shared" si="8"/>
        <v>0.13551697921946274</v>
      </c>
      <c r="U20" s="40">
        <f t="shared" si="8"/>
        <v>0.12681638044914134</v>
      </c>
      <c r="V20" s="40">
        <f t="shared" si="8"/>
        <v>0.13159532535785906</v>
      </c>
      <c r="W20" s="40">
        <f t="shared" si="8"/>
        <v>0.10679241168774531</v>
      </c>
      <c r="X20" s="40">
        <f t="shared" si="8"/>
        <v>0.12702216896345117</v>
      </c>
      <c r="Y20" s="40">
        <f t="shared" si="8"/>
        <v>0.20964001766784451</v>
      </c>
      <c r="Z20" s="95">
        <f>AVERAGE(L20:U20)</f>
        <v>0.1607123407533721</v>
      </c>
      <c r="AA20" s="40">
        <f>_xlfn.STDEV.S(L20:U20)</f>
        <v>2.5100217656285687E-2</v>
      </c>
    </row>
    <row r="21" spans="2:27" x14ac:dyDescent="0.2">
      <c r="L21" s="40"/>
      <c r="M21" s="40"/>
      <c r="N21" s="40"/>
      <c r="O21" s="40"/>
      <c r="P21" s="40"/>
      <c r="Q21" s="40"/>
      <c r="R21" s="40"/>
      <c r="S21" s="40"/>
      <c r="T21" s="40"/>
      <c r="U21" s="40"/>
      <c r="V21" s="40"/>
      <c r="W21" s="40"/>
      <c r="X21" s="40"/>
      <c r="Y21" s="40"/>
      <c r="Z21" s="95"/>
      <c r="AA21" s="40"/>
    </row>
    <row r="23" spans="2:27" ht="10.5" thickBot="1" x14ac:dyDescent="0.25">
      <c r="B23" s="72" t="s">
        <v>368</v>
      </c>
      <c r="C23" s="72"/>
    </row>
    <row r="24" spans="2:27" x14ac:dyDescent="0.2">
      <c r="B24" s="73" t="s">
        <v>427</v>
      </c>
      <c r="C24" s="73" t="s">
        <v>370</v>
      </c>
    </row>
    <row r="25" spans="2:27" x14ac:dyDescent="0.2">
      <c r="B25" t="s">
        <v>366</v>
      </c>
      <c r="C25" s="95">
        <f>'Valuation main'!C14</f>
        <v>0.21</v>
      </c>
    </row>
    <row r="26" spans="2:27" x14ac:dyDescent="0.2">
      <c r="B26" t="s">
        <v>371</v>
      </c>
      <c r="C26">
        <f>U3</f>
        <v>2019</v>
      </c>
    </row>
    <row r="27" spans="2:27" x14ac:dyDescent="0.2">
      <c r="B27" t="s">
        <v>87</v>
      </c>
      <c r="C27" s="39">
        <f>U4</f>
        <v>14383</v>
      </c>
    </row>
    <row r="28" spans="2:27" x14ac:dyDescent="0.2">
      <c r="B28" t="s">
        <v>434</v>
      </c>
      <c r="C28" s="41">
        <f>Z5</f>
        <v>2.0978443705364235E-2</v>
      </c>
    </row>
    <row r="29" spans="2:27" x14ac:dyDescent="0.2">
      <c r="B29" t="s">
        <v>435</v>
      </c>
      <c r="C29" s="41">
        <f>AA5</f>
        <v>1.8060039931424649E-2</v>
      </c>
    </row>
    <row r="30" spans="2:27" x14ac:dyDescent="0.2">
      <c r="B30" s="34" t="s">
        <v>463</v>
      </c>
      <c r="C30" s="40">
        <f>C28+C29</f>
        <v>3.9038483636788884E-2</v>
      </c>
    </row>
    <row r="31" spans="2:27" x14ac:dyDescent="0.2">
      <c r="B31" t="s">
        <v>429</v>
      </c>
      <c r="C31" s="95">
        <f>U12</f>
        <v>0.3136341514287701</v>
      </c>
    </row>
    <row r="32" spans="2:27" x14ac:dyDescent="0.2">
      <c r="B32" t="s">
        <v>430</v>
      </c>
      <c r="C32" s="95">
        <f>Z13</f>
        <v>-2.2851663716800939E-2</v>
      </c>
    </row>
    <row r="33" spans="2:13" x14ac:dyDescent="0.2">
      <c r="B33" t="s">
        <v>431</v>
      </c>
      <c r="C33" s="95">
        <v>0.05</v>
      </c>
    </row>
    <row r="34" spans="2:13" x14ac:dyDescent="0.2">
      <c r="B34" t="s">
        <v>428</v>
      </c>
      <c r="C34" s="39">
        <f>ROUNDUP(NPER(C32,0,C31,-C33),0)</f>
        <v>80</v>
      </c>
    </row>
    <row r="35" spans="2:13" x14ac:dyDescent="0.2">
      <c r="B35" t="s">
        <v>432</v>
      </c>
      <c r="C35" s="39">
        <f>C26+C34</f>
        <v>2099</v>
      </c>
    </row>
    <row r="36" spans="2:13" x14ac:dyDescent="0.2">
      <c r="B36" s="34" t="s">
        <v>439</v>
      </c>
      <c r="C36" s="40">
        <f>Z7</f>
        <v>5.0622630832433776E-2</v>
      </c>
    </row>
    <row r="37" spans="2:13" x14ac:dyDescent="0.2">
      <c r="B37" s="34" t="s">
        <v>440</v>
      </c>
      <c r="C37" s="40">
        <f>AA7</f>
        <v>1.7974885330197064E-2</v>
      </c>
    </row>
    <row r="38" spans="2:13" x14ac:dyDescent="0.2">
      <c r="B38" s="34" t="s">
        <v>441</v>
      </c>
      <c r="C38" s="95">
        <f>Z15</f>
        <v>0.11182362018565901</v>
      </c>
    </row>
    <row r="39" spans="2:13" x14ac:dyDescent="0.2">
      <c r="B39" s="34" t="s">
        <v>443</v>
      </c>
      <c r="C39" s="95">
        <f>AA15</f>
        <v>1.5687232218666934E-2</v>
      </c>
    </row>
    <row r="40" spans="2:13" x14ac:dyDescent="0.2">
      <c r="B40" s="34" t="s">
        <v>442</v>
      </c>
      <c r="C40" s="95">
        <f>Z16</f>
        <v>0.12738957248904945</v>
      </c>
    </row>
    <row r="41" spans="2:13" x14ac:dyDescent="0.2">
      <c r="B41" s="34" t="s">
        <v>444</v>
      </c>
      <c r="C41" s="95">
        <f>AA16</f>
        <v>1.5454777625924539E-2</v>
      </c>
    </row>
    <row r="42" spans="2:13" x14ac:dyDescent="0.2">
      <c r="B42" s="34" t="s">
        <v>446</v>
      </c>
      <c r="C42" s="95">
        <f>Z20</f>
        <v>0.1607123407533721</v>
      </c>
    </row>
    <row r="43" spans="2:13" x14ac:dyDescent="0.2">
      <c r="B43" s="34" t="s">
        <v>445</v>
      </c>
      <c r="C43" s="95">
        <f>AA20</f>
        <v>2.5100217656285687E-2</v>
      </c>
    </row>
    <row r="44" spans="2:13" x14ac:dyDescent="0.2">
      <c r="B44" s="34"/>
      <c r="C44" s="95"/>
    </row>
    <row r="46" spans="2:13" ht="10.5" thickBot="1" x14ac:dyDescent="0.25">
      <c r="B46" s="74" t="s">
        <v>447</v>
      </c>
      <c r="C46" s="72"/>
      <c r="D46" s="72"/>
      <c r="E46" s="72"/>
      <c r="F46" s="72"/>
      <c r="G46" s="72"/>
      <c r="M46" s="74" t="s">
        <v>384</v>
      </c>
    </row>
    <row r="47" spans="2:13" x14ac:dyDescent="0.2">
      <c r="B47" s="75"/>
      <c r="C47" s="73">
        <v>2020</v>
      </c>
      <c r="D47" s="73">
        <v>2021</v>
      </c>
      <c r="E47" s="73">
        <v>2022</v>
      </c>
      <c r="F47" s="73">
        <v>2023</v>
      </c>
      <c r="G47" s="73">
        <v>2024</v>
      </c>
      <c r="H47" s="73">
        <v>2025</v>
      </c>
      <c r="I47" s="73">
        <v>2026</v>
      </c>
      <c r="J47" s="73">
        <v>2027</v>
      </c>
      <c r="K47" s="75">
        <v>2028</v>
      </c>
      <c r="L47" s="73">
        <v>2029</v>
      </c>
      <c r="M47" s="35">
        <v>2030</v>
      </c>
    </row>
    <row r="48" spans="2:13" x14ac:dyDescent="0.2">
      <c r="B48" s="34" t="s">
        <v>87</v>
      </c>
      <c r="G48" s="97">
        <f>'Key Stats'!AJ16</f>
        <v>17749.724490000001</v>
      </c>
      <c r="H48" s="39">
        <f>'Key Stats'!AK16</f>
        <v>20016.469300000001</v>
      </c>
      <c r="I48" s="39">
        <f>$U$4*(1+$C$30)^(I47-$U$3)</f>
        <v>18804.894983726856</v>
      </c>
      <c r="J48" s="39">
        <f>$U$4*(1+$C$30)^(J47-$U$3)</f>
        <v>19539.009568840611</v>
      </c>
      <c r="K48" s="39">
        <f>$U$4*(1+$C$30)^(K47-$U$3)</f>
        <v>20301.782874172855</v>
      </c>
      <c r="L48" s="39">
        <f>$U$4*(1+$C$30)^(L47-$U$3)</f>
        <v>21094.333692703894</v>
      </c>
      <c r="M48" s="39">
        <f>$U$4*(1+$C$30)^(M47-$U$3)</f>
        <v>21917.824493395481</v>
      </c>
    </row>
    <row r="49" spans="2:16" x14ac:dyDescent="0.2">
      <c r="B49" s="34" t="s">
        <v>436</v>
      </c>
      <c r="G49" s="40">
        <f t="shared" ref="G49:M49" si="9">$C$31*(1+$C$32)^(G47-$C$26)</f>
        <v>0.27939963295741882</v>
      </c>
      <c r="H49" s="40">
        <f t="shared" si="9"/>
        <v>0.27301488650247829</v>
      </c>
      <c r="I49" s="40">
        <f t="shared" si="9"/>
        <v>0.26677604212644307</v>
      </c>
      <c r="J49" s="40">
        <f t="shared" si="9"/>
        <v>0.26067976572407048</v>
      </c>
      <c r="K49" s="40">
        <f t="shared" si="9"/>
        <v>0.25472279937996961</v>
      </c>
      <c r="L49" s="40">
        <f t="shared" si="9"/>
        <v>0.24890195962753639</v>
      </c>
      <c r="M49" s="40">
        <f t="shared" si="9"/>
        <v>0.24321413574767517</v>
      </c>
    </row>
    <row r="50" spans="2:16" x14ac:dyDescent="0.2">
      <c r="B50" s="34" t="s">
        <v>437</v>
      </c>
      <c r="G50" s="97">
        <f>G49*G48</f>
        <v>4959.2665076013081</v>
      </c>
      <c r="H50" s="39">
        <f>H49*H48</f>
        <v>5464.7940941198412</v>
      </c>
      <c r="I50" s="39">
        <f t="shared" ref="I50:M50" si="10">I49*I48</f>
        <v>5016.6954563620538</v>
      </c>
      <c r="J50" s="39">
        <f t="shared" si="10"/>
        <v>5093.4244368857417</v>
      </c>
      <c r="K50" s="39">
        <f t="shared" si="10"/>
        <v>5171.3269661136346</v>
      </c>
      <c r="L50" s="39">
        <f t="shared" si="10"/>
        <v>5250.420993151165</v>
      </c>
      <c r="M50" s="39">
        <f t="shared" si="10"/>
        <v>5330.7247416304081</v>
      </c>
    </row>
    <row r="51" spans="2:16" x14ac:dyDescent="0.2">
      <c r="B51" s="34" t="s">
        <v>373</v>
      </c>
      <c r="C51" s="39">
        <f>V6</f>
        <v>649</v>
      </c>
      <c r="D51" s="39">
        <f>W6</f>
        <v>2462</v>
      </c>
      <c r="E51" s="39">
        <f>X6</f>
        <v>2797</v>
      </c>
      <c r="F51" s="39">
        <f>Y6</f>
        <v>4890</v>
      </c>
      <c r="G51" s="97">
        <f>$AC$7*G48</f>
        <v>3217.753209873295</v>
      </c>
      <c r="H51" s="39">
        <f>$AC$7*H48</f>
        <v>3628.6793283294091</v>
      </c>
      <c r="I51" s="39">
        <f>$Z$7*I48</f>
        <v>951.9532566038904</v>
      </c>
      <c r="J51" s="39">
        <f>$Z$7*J48</f>
        <v>989.11606823480929</v>
      </c>
      <c r="K51" s="39">
        <f>$Z$7*K48</f>
        <v>1027.7296596794788</v>
      </c>
      <c r="L51" s="39">
        <f>$Z$7*L48</f>
        <v>1067.8506671819189</v>
      </c>
      <c r="M51" s="39">
        <f>$Z$7*M48</f>
        <v>1109.5379379792344</v>
      </c>
    </row>
    <row r="52" spans="2:16" x14ac:dyDescent="0.2">
      <c r="B52" s="34" t="s">
        <v>378</v>
      </c>
      <c r="G52" s="97">
        <f t="shared" ref="G52:M52" si="11">SUM(C51:G51)/5</f>
        <v>2803.1506419746593</v>
      </c>
      <c r="H52" s="39">
        <f t="shared" si="11"/>
        <v>3399.0865076405412</v>
      </c>
      <c r="I52" s="39">
        <f t="shared" si="11"/>
        <v>3097.0771589613191</v>
      </c>
      <c r="J52" s="39">
        <f t="shared" si="11"/>
        <v>2735.5003726082809</v>
      </c>
      <c r="K52" s="39">
        <f t="shared" si="11"/>
        <v>1963.0463045441763</v>
      </c>
      <c r="L52" s="39">
        <f t="shared" si="11"/>
        <v>1533.0657960059011</v>
      </c>
      <c r="M52" s="39">
        <f t="shared" si="11"/>
        <v>1029.2375179358664</v>
      </c>
    </row>
    <row r="53" spans="2:16" x14ac:dyDescent="0.2">
      <c r="B53" s="34" t="s">
        <v>29</v>
      </c>
      <c r="G53" s="97">
        <f>G48-(G50+G52)</f>
        <v>9987.3073404240331</v>
      </c>
      <c r="H53" s="39">
        <f t="shared" ref="H53:M53" si="12">H48-(H50+H52)</f>
        <v>11152.588698239619</v>
      </c>
      <c r="I53" s="39">
        <f t="shared" si="12"/>
        <v>10691.122368403483</v>
      </c>
      <c r="J53" s="39">
        <f t="shared" si="12"/>
        <v>11710.084759346588</v>
      </c>
      <c r="K53" s="39">
        <f t="shared" si="12"/>
        <v>13167.409603515043</v>
      </c>
      <c r="L53" s="39">
        <f t="shared" si="12"/>
        <v>14310.846903546828</v>
      </c>
      <c r="M53" s="39">
        <f t="shared" si="12"/>
        <v>15557.862233829206</v>
      </c>
    </row>
    <row r="54" spans="2:16" x14ac:dyDescent="0.2">
      <c r="B54" t="s">
        <v>350</v>
      </c>
      <c r="C54">
        <f>IS_more!U27</f>
        <v>1530</v>
      </c>
      <c r="D54">
        <f>IS_more!V27</f>
        <v>1554</v>
      </c>
      <c r="E54">
        <f>IS_more!W27</f>
        <v>1670</v>
      </c>
      <c r="F54">
        <f>IS_more!X27</f>
        <v>1837</v>
      </c>
      <c r="G54" s="97">
        <f>G48*$C$38</f>
        <v>1984.8384497698503</v>
      </c>
      <c r="H54" s="39">
        <f t="shared" ref="H54:M54" si="13">H48*$C$38</f>
        <v>2238.314060461104</v>
      </c>
      <c r="I54" s="39">
        <f t="shared" si="13"/>
        <v>2102.8314342914764</v>
      </c>
      <c r="J54" s="39">
        <f t="shared" si="13"/>
        <v>2184.9227848299897</v>
      </c>
      <c r="K54" s="39">
        <f t="shared" si="13"/>
        <v>2270.2188572132222</v>
      </c>
      <c r="L54" s="39">
        <f t="shared" si="13"/>
        <v>2358.8447589224702</v>
      </c>
      <c r="M54" s="39">
        <f t="shared" si="13"/>
        <v>2450.9304814453903</v>
      </c>
    </row>
    <row r="55" spans="2:16" x14ac:dyDescent="0.2">
      <c r="B55" s="34" t="s">
        <v>281</v>
      </c>
      <c r="G55" s="97">
        <f t="shared" ref="G55:M55" si="14">SUM(C54:G54)/5</f>
        <v>1715.16768995397</v>
      </c>
      <c r="H55" s="39">
        <f t="shared" si="14"/>
        <v>1856.8305020461908</v>
      </c>
      <c r="I55" s="39">
        <f t="shared" si="14"/>
        <v>1966.5967889044859</v>
      </c>
      <c r="J55" s="39">
        <f t="shared" si="14"/>
        <v>2069.5813458704843</v>
      </c>
      <c r="K55" s="39">
        <f t="shared" si="14"/>
        <v>2156.2251173131285</v>
      </c>
      <c r="L55" s="39">
        <f t="shared" si="14"/>
        <v>2231.0263791436528</v>
      </c>
      <c r="M55" s="39">
        <f t="shared" si="14"/>
        <v>2273.5496633405101</v>
      </c>
    </row>
    <row r="56" spans="2:16" x14ac:dyDescent="0.2">
      <c r="B56" t="s">
        <v>376</v>
      </c>
      <c r="G56" s="97">
        <f>G48*$C$40</f>
        <v>2261.1298145795113</v>
      </c>
      <c r="H56" s="39">
        <f t="shared" ref="H56:M56" si="15">H48*$C$40</f>
        <v>2549.8894668671828</v>
      </c>
      <c r="I56" s="39">
        <f t="shared" si="15"/>
        <v>2395.5475326784344</v>
      </c>
      <c r="J56" s="39">
        <f t="shared" si="15"/>
        <v>2489.0660758340518</v>
      </c>
      <c r="K56" s="39">
        <f t="shared" si="15"/>
        <v>2586.2354411063857</v>
      </c>
      <c r="L56" s="39">
        <f t="shared" si="15"/>
        <v>2687.1981510549008</v>
      </c>
      <c r="M56" s="39">
        <f t="shared" si="15"/>
        <v>2792.102292103667</v>
      </c>
    </row>
    <row r="57" spans="2:16" x14ac:dyDescent="0.2">
      <c r="B57" s="34" t="s">
        <v>413</v>
      </c>
      <c r="G57" s="97">
        <f t="shared" ref="G57:M57" si="16">G53-G55-G56</f>
        <v>6011.0098358905507</v>
      </c>
      <c r="H57" s="39">
        <f t="shared" si="16"/>
        <v>6745.8687293262456</v>
      </c>
      <c r="I57" s="39">
        <f t="shared" si="16"/>
        <v>6328.9780468205627</v>
      </c>
      <c r="J57" s="39">
        <f t="shared" si="16"/>
        <v>7151.4373376420526</v>
      </c>
      <c r="K57" s="39">
        <f t="shared" si="16"/>
        <v>8424.9490450955291</v>
      </c>
      <c r="L57" s="39">
        <f t="shared" si="16"/>
        <v>9392.622373348273</v>
      </c>
      <c r="M57" s="39">
        <f t="shared" si="16"/>
        <v>10492.210278385028</v>
      </c>
    </row>
    <row r="58" spans="2:16" x14ac:dyDescent="0.2">
      <c r="B58" t="s">
        <v>372</v>
      </c>
      <c r="G58" s="97">
        <f>G57*(1-$C$25)</f>
        <v>4748.6977703535349</v>
      </c>
      <c r="H58" s="39">
        <f t="shared" ref="H58:M58" si="17">H57*(1-$C$25)</f>
        <v>5329.2362961677345</v>
      </c>
      <c r="I58" s="39">
        <f t="shared" si="17"/>
        <v>4999.8926569882451</v>
      </c>
      <c r="J58" s="39">
        <f t="shared" si="17"/>
        <v>5649.6354967372217</v>
      </c>
      <c r="K58" s="39">
        <f t="shared" si="17"/>
        <v>6655.7097456254687</v>
      </c>
      <c r="L58" s="39">
        <f t="shared" si="17"/>
        <v>7420.1716749451361</v>
      </c>
      <c r="M58" s="39">
        <f t="shared" si="17"/>
        <v>8288.8461199241719</v>
      </c>
    </row>
    <row r="59" spans="2:16" x14ac:dyDescent="0.2">
      <c r="B59" t="s">
        <v>365</v>
      </c>
      <c r="F59" s="39">
        <f>Y19</f>
        <v>3797</v>
      </c>
      <c r="G59" s="36">
        <f>G48*$C$42</f>
        <v>2852.5997705153536</v>
      </c>
      <c r="H59" s="37">
        <f t="shared" ref="H59:M59" si="18">H48*$C$42</f>
        <v>3216.8936348210113</v>
      </c>
      <c r="I59" s="37">
        <f t="shared" si="18"/>
        <v>3022.1786904560881</v>
      </c>
      <c r="J59" s="37">
        <f t="shared" si="18"/>
        <v>3140.1599638109101</v>
      </c>
      <c r="K59" s="37">
        <f t="shared" si="18"/>
        <v>3262.7470471750416</v>
      </c>
      <c r="L59" s="37">
        <f t="shared" si="18"/>
        <v>3390.1197443871661</v>
      </c>
      <c r="M59" s="37">
        <f t="shared" si="18"/>
        <v>3522.4648785551799</v>
      </c>
    </row>
    <row r="60" spans="2:16" x14ac:dyDescent="0.2">
      <c r="B60" t="s">
        <v>282</v>
      </c>
      <c r="G60" s="38">
        <f>G59-F59</f>
        <v>-944.40022948464639</v>
      </c>
      <c r="H60" s="39">
        <f t="shared" ref="H60:I60" si="19">H59-G59</f>
        <v>364.29386430565773</v>
      </c>
      <c r="I60" s="39">
        <f t="shared" si="19"/>
        <v>-194.71494436492321</v>
      </c>
      <c r="J60" s="39">
        <f t="shared" ref="J60" si="20">J59-I59</f>
        <v>117.98127335482195</v>
      </c>
      <c r="K60" s="39">
        <f t="shared" ref="K60" si="21">K59-J59</f>
        <v>122.58708336413156</v>
      </c>
      <c r="L60" s="39">
        <f t="shared" ref="L60:M60" si="22">L59-K59</f>
        <v>127.37269721212442</v>
      </c>
      <c r="M60" s="39">
        <f t="shared" si="22"/>
        <v>132.34513416801383</v>
      </c>
    </row>
    <row r="61" spans="2:16" x14ac:dyDescent="0.2">
      <c r="B61" t="s">
        <v>367</v>
      </c>
      <c r="G61" s="97">
        <f t="shared" ref="G61:M61" si="23">G58-(G51+G54-G52-G55)-G60</f>
        <v>5008.8246721236646</v>
      </c>
      <c r="H61" s="39">
        <f t="shared" si="23"/>
        <v>4353.8660527582952</v>
      </c>
      <c r="I61" s="39">
        <f t="shared" si="23"/>
        <v>7203.4968583236059</v>
      </c>
      <c r="J61" s="39">
        <f t="shared" si="23"/>
        <v>7162.6970887963653</v>
      </c>
      <c r="K61" s="39">
        <f t="shared" si="23"/>
        <v>7354.445567225941</v>
      </c>
      <c r="L61" s="39">
        <f t="shared" si="23"/>
        <v>7630.1957267781763</v>
      </c>
      <c r="M61" s="39">
        <f t="shared" si="23"/>
        <v>7898.8197476079094</v>
      </c>
    </row>
    <row r="63" spans="2:16" x14ac:dyDescent="0.2">
      <c r="B63" s="34"/>
      <c r="F63" s="39"/>
    </row>
    <row r="64" spans="2:16" ht="10.5" thickBot="1" x14ac:dyDescent="0.25">
      <c r="B64" s="72" t="s">
        <v>433</v>
      </c>
      <c r="C64" s="72"/>
      <c r="D64" s="72"/>
      <c r="E64" s="72"/>
      <c r="F64" s="72"/>
      <c r="G64" s="72"/>
      <c r="H64" s="72"/>
      <c r="I64" s="72"/>
      <c r="J64" s="72"/>
      <c r="K64" s="72"/>
      <c r="L64" s="72"/>
      <c r="M64" s="72"/>
      <c r="N64" s="72"/>
      <c r="O64" s="72"/>
      <c r="P64" s="72"/>
    </row>
    <row r="65" spans="2:17" x14ac:dyDescent="0.2">
      <c r="B65" s="73" t="s">
        <v>313</v>
      </c>
      <c r="C65" s="73" t="s">
        <v>87</v>
      </c>
      <c r="D65" s="73" t="s">
        <v>436</v>
      </c>
      <c r="E65" s="73" t="s">
        <v>437</v>
      </c>
      <c r="F65" s="73" t="s">
        <v>373</v>
      </c>
      <c r="G65" s="73" t="s">
        <v>382</v>
      </c>
      <c r="H65" s="73" t="s">
        <v>29</v>
      </c>
      <c r="I65" s="73" t="s">
        <v>381</v>
      </c>
      <c r="J65" s="73" t="s">
        <v>383</v>
      </c>
      <c r="K65" s="73" t="s">
        <v>438</v>
      </c>
      <c r="L65" s="73" t="s">
        <v>413</v>
      </c>
      <c r="M65" s="73" t="s">
        <v>372</v>
      </c>
      <c r="N65" s="73" t="s">
        <v>365</v>
      </c>
      <c r="O65" s="73" t="s">
        <v>282</v>
      </c>
      <c r="P65" s="73" t="s">
        <v>367</v>
      </c>
      <c r="Q65" s="34" t="s">
        <v>453</v>
      </c>
    </row>
    <row r="66" spans="2:17" x14ac:dyDescent="0.2">
      <c r="B66" cm="1">
        <f t="array" ref="B66:B135">_xlfn.SEQUENCE(C35-L47,1,2030,1)</f>
        <v>2030</v>
      </c>
      <c r="C66" s="39">
        <f ca="1">L48*(1+NORMINV(RAND(), $C$28,$C$29))</f>
        <v>21145.75426852439</v>
      </c>
      <c r="D66" s="40">
        <f>L49*(1+$C$32)</f>
        <v>0.24321413574767517</v>
      </c>
      <c r="E66" s="39">
        <f ca="1">C66*D66</f>
        <v>5142.9463491518727</v>
      </c>
      <c r="F66" s="39">
        <f ca="1">C66*NORMINV(RAND(),$C$36,$C$37)</f>
        <v>1315.4024409875753</v>
      </c>
      <c r="G66" s="39">
        <f ca="1">(F66+SUM(I51:L51))/5</f>
        <v>1070.4104185375345</v>
      </c>
      <c r="H66" s="39">
        <f ca="1">C66-(E66+G66)</f>
        <v>14932.397500834983</v>
      </c>
      <c r="I66" s="39">
        <f ca="1">C66*(NORMINV(RAND(),$C$38,$C$39))</f>
        <v>2497.8895554656629</v>
      </c>
      <c r="J66" s="39">
        <f ca="1">(I66+SUM(I54:L54))/5</f>
        <v>2282.9414781445644</v>
      </c>
      <c r="K66" s="39">
        <f ca="1">C66*NORMINV(RAND(),$C$40,$C$41)</f>
        <v>2592.4888043541796</v>
      </c>
      <c r="L66" s="39">
        <f ca="1">H66-(J66+K66)</f>
        <v>10056.967218336238</v>
      </c>
      <c r="M66" s="39">
        <f t="shared" ref="M66:M97" ca="1" si="24">L66*(1-$C$25)</f>
        <v>7945.0041024856282</v>
      </c>
      <c r="N66" s="39">
        <f ca="1">C66*NORMINV(RAND(),$C$42,$C$43)</f>
        <v>3515.6964870467323</v>
      </c>
      <c r="O66" s="39">
        <f ca="1">N66-L59</f>
        <v>125.57674265956621</v>
      </c>
      <c r="P66" s="99">
        <f ca="1">M66-(F66+I66-G66-J66)-O66</f>
        <v>7359.4872600549224</v>
      </c>
    </row>
    <row r="67" spans="2:17" x14ac:dyDescent="0.2">
      <c r="B67">
        <v>2031</v>
      </c>
      <c r="C67" s="39">
        <f ca="1">C66*(1+NORMINV(RAND(), $C$28,$C$29))</f>
        <v>21386.583071350287</v>
      </c>
      <c r="D67" s="40">
        <f>D66*(1+$C$32)</f>
        <v>0.23765628810639694</v>
      </c>
      <c r="E67" s="39">
        <f ca="1">C67*D67</f>
        <v>5082.655948016215</v>
      </c>
      <c r="F67" s="39">
        <f ca="1">C67*NORMINV(RAND(),$C$36,$C$37)</f>
        <v>1567.6021180027869</v>
      </c>
      <c r="G67" s="39">
        <f ca="1">(F67+F66+SUM(J51:L51))/5</f>
        <v>1193.5401908173139</v>
      </c>
      <c r="H67" s="39">
        <f ca="1">C67-(E67+G67)</f>
        <v>15110.386932516758</v>
      </c>
      <c r="I67" s="39">
        <f ca="1">C67*(NORMINV(RAND(),$C$38,$C$39))</f>
        <v>2446.9125334613409</v>
      </c>
      <c r="J67" s="39">
        <f ca="1">(I67+I66+SUM(J54:L54))/5</f>
        <v>2351.7576979785372</v>
      </c>
      <c r="K67" s="39">
        <f ca="1">C67*NORMINV(RAND(),$C$40,$C$41)</f>
        <v>2135.8319540439002</v>
      </c>
      <c r="L67" s="39">
        <f ca="1">H67-(J67+K67)</f>
        <v>10622.79728049432</v>
      </c>
      <c r="M67" s="39">
        <f t="shared" ca="1" si="24"/>
        <v>8392.0098515905138</v>
      </c>
      <c r="N67" s="39">
        <f ca="1">C67*NORMINV(RAND(),$C$42,$C$43)</f>
        <v>4385.9745558162431</v>
      </c>
      <c r="O67" s="39">
        <f ca="1">N67-N66</f>
        <v>870.27806876951081</v>
      </c>
      <c r="P67" s="99">
        <f ca="1">M67-(F67+I67-G67-J67)-O67</f>
        <v>7052.5150201527267</v>
      </c>
    </row>
    <row r="68" spans="2:17" x14ac:dyDescent="0.2">
      <c r="B68">
        <v>2032</v>
      </c>
      <c r="C68" s="39">
        <f ca="1">C67*(1+NORMINV(RAND(), $C$28,$C$29))</f>
        <v>22472.630225436755</v>
      </c>
      <c r="D68" s="40">
        <f>D67*(1+$C$32)</f>
        <v>0.23222544653040642</v>
      </c>
      <c r="E68" s="39">
        <f t="shared" ref="E68:E69" ca="1" si="25">C68*D68</f>
        <v>5218.7165888147583</v>
      </c>
      <c r="F68" s="39">
        <f ca="1">C68*NORMINV(RAND(),$C$36,$C$37)</f>
        <v>1281.4379964525931</v>
      </c>
      <c r="G68" s="39">
        <f ca="1">(SUM(F66:F68)+SUM(K51:L51))/5</f>
        <v>1252.0045764608706</v>
      </c>
      <c r="H68" s="39">
        <f t="shared" ref="H68:H69" ca="1" si="26">C68-(E68+G68)</f>
        <v>16001.909060161126</v>
      </c>
      <c r="I68" s="39">
        <f t="shared" ref="I68:I69" ca="1" si="27">C68*(NORMINV(RAND(),$C$38,$C$39))</f>
        <v>2791.8145924672863</v>
      </c>
      <c r="J68" s="39">
        <f ca="1">(SUM(I66:I68)+SUM(K54:L54))/5</f>
        <v>2473.1360595059969</v>
      </c>
      <c r="K68" s="39">
        <f t="shared" ref="K68:K69" ca="1" si="28">C68*NORMINV(RAND(),$C$40,$C$41)</f>
        <v>2659.3266818342786</v>
      </c>
      <c r="L68" s="39">
        <f t="shared" ref="L68:L69" ca="1" si="29">H68-(J68+K68)</f>
        <v>10869.44631882085</v>
      </c>
      <c r="M68" s="39">
        <f t="shared" ca="1" si="24"/>
        <v>8586.862591868472</v>
      </c>
      <c r="N68" s="39">
        <f t="shared" ref="N68:N69" ca="1" si="30">C68*NORMINV(RAND(),$C$42,$C$43)</f>
        <v>2974.4946207401172</v>
      </c>
      <c r="O68" s="39">
        <f t="shared" ref="O68:O131" ca="1" si="31">N68-N67</f>
        <v>-1411.4799350761259</v>
      </c>
      <c r="P68" s="99">
        <f t="shared" ref="P68:P69" ca="1" si="32">M68-(F68+I68-G68-J68)-O68</f>
        <v>9650.2305739915846</v>
      </c>
    </row>
    <row r="69" spans="2:17" x14ac:dyDescent="0.2">
      <c r="B69">
        <v>2033</v>
      </c>
      <c r="C69" s="39">
        <f ca="1">C68*(1+NORMINV(RAND(), $C$28,$C$29))</f>
        <v>22704.641137271537</v>
      </c>
      <c r="D69" s="40">
        <f>D68*(1+$C$32)</f>
        <v>0.22691870871980963</v>
      </c>
      <c r="E69" s="39">
        <f t="shared" ca="1" si="25"/>
        <v>5152.1078488163275</v>
      </c>
      <c r="F69" s="39">
        <f ca="1">C69*NORMINV(RAND(),$C$36,$C$37)</f>
        <v>949.30926095003656</v>
      </c>
      <c r="G69" s="39">
        <f ca="1">(SUM(F66:F69)+L51)/5</f>
        <v>1236.320496714982</v>
      </c>
      <c r="H69" s="39">
        <f t="shared" ca="1" si="26"/>
        <v>16316.212791740229</v>
      </c>
      <c r="I69" s="39">
        <f t="shared" ca="1" si="27"/>
        <v>2865.4075665739624</v>
      </c>
      <c r="J69" s="39">
        <f ca="1">(SUM(I66:I69)+L54)/5</f>
        <v>2592.1738013781446</v>
      </c>
      <c r="K69" s="39">
        <f t="shared" ca="1" si="28"/>
        <v>2847.6331587116515</v>
      </c>
      <c r="L69" s="39">
        <f t="shared" ca="1" si="29"/>
        <v>10876.405831650432</v>
      </c>
      <c r="M69" s="39">
        <f t="shared" ca="1" si="24"/>
        <v>8592.3606070038422</v>
      </c>
      <c r="N69" s="39">
        <f t="shared" ca="1" si="30"/>
        <v>4165.0979004081892</v>
      </c>
      <c r="O69" s="39">
        <f t="shared" ca="1" si="31"/>
        <v>1190.603279668072</v>
      </c>
      <c r="P69" s="99">
        <f t="shared" ca="1" si="32"/>
        <v>7415.5347979048984</v>
      </c>
    </row>
    <row r="70" spans="2:17" x14ac:dyDescent="0.2">
      <c r="B70">
        <v>2034</v>
      </c>
      <c r="C70" s="39">
        <f t="shared" ref="C70" ca="1" si="33">C69*(1+NORMINV(RAND(), $C$28,$C$29))</f>
        <v>23718.215623813481</v>
      </c>
      <c r="D70" s="40">
        <f t="shared" ref="D70" si="34">D69*(1+$C$32)</f>
        <v>0.22173323869709383</v>
      </c>
      <c r="E70" s="39">
        <f t="shared" ref="E70" ca="1" si="35">C70*D70</f>
        <v>5259.1167663841752</v>
      </c>
      <c r="F70" s="39">
        <f t="shared" ref="F70" ca="1" si="36">C70*NORMINV(RAND(),$C$36,$C$37)</f>
        <v>1342.8856847035422</v>
      </c>
      <c r="G70" s="39">
        <f ca="1">SUM(F66:F70)/5</f>
        <v>1291.3275002193068</v>
      </c>
      <c r="H70" s="39">
        <f t="shared" ref="H70" ca="1" si="37">C70-(E70+G70)</f>
        <v>17167.77135721</v>
      </c>
      <c r="I70" s="39">
        <f t="shared" ref="I70" ca="1" si="38">C70*(NORMINV(RAND(),$C$38,$C$39))</f>
        <v>2433.4551678584153</v>
      </c>
      <c r="J70" s="39">
        <f ca="1">SUM(I66:I70)/5</f>
        <v>2607.0958831653338</v>
      </c>
      <c r="K70" s="39">
        <f t="shared" ref="K70" ca="1" si="39">C70*NORMINV(RAND(),$C$40,$C$41)</f>
        <v>2651.8940144874991</v>
      </c>
      <c r="L70" s="39">
        <f t="shared" ref="L70" ca="1" si="40">H70-(J70+K70)</f>
        <v>11908.781459557167</v>
      </c>
      <c r="M70" s="39">
        <f t="shared" ca="1" si="24"/>
        <v>9407.9373530501616</v>
      </c>
      <c r="N70" s="39">
        <f t="shared" ref="N70" ca="1" si="41">C70*NORMINV(RAND(),$C$42,$C$43)</f>
        <v>4444.6098375621432</v>
      </c>
      <c r="O70" s="39">
        <f t="shared" ca="1" si="31"/>
        <v>279.51193715395402</v>
      </c>
      <c r="P70" s="99">
        <f t="shared" ref="P70" ca="1" si="42">M70-(F70+I70-G70-J70)-O70</f>
        <v>9250.5079467188916</v>
      </c>
    </row>
    <row r="71" spans="2:17" x14ac:dyDescent="0.2">
      <c r="B71">
        <v>2035</v>
      </c>
      <c r="C71" s="39">
        <f t="shared" ref="C71:C134" ca="1" si="43">C70*(1+NORMINV(RAND(), $C$28,$C$29))</f>
        <v>24466.957623146645</v>
      </c>
      <c r="D71" s="40">
        <f t="shared" ref="D71:D134" si="44">D70*(1+$C$32)</f>
        <v>0.2166662652915507</v>
      </c>
      <c r="E71" s="39">
        <f t="shared" ref="E71:E134" ca="1" si="45">C71*D71</f>
        <v>5301.1643312538199</v>
      </c>
      <c r="F71" s="39">
        <f t="shared" ref="F71:F134" ca="1" si="46">C71*NORMINV(RAND(),$C$36,$C$37)</f>
        <v>694.01378926048994</v>
      </c>
      <c r="G71" s="39">
        <f t="shared" ref="G71:G134" ca="1" si="47">SUM(F67:F71)/5</f>
        <v>1167.0497698738895</v>
      </c>
      <c r="H71" s="39">
        <f t="shared" ref="H71:H134" ca="1" si="48">C71-(E71+G71)</f>
        <v>17998.743522018936</v>
      </c>
      <c r="I71" s="39">
        <f t="shared" ref="I71:I134" ca="1" si="49">C71*(NORMINV(RAND(),$C$38,$C$39))</f>
        <v>3251.5853900450147</v>
      </c>
      <c r="J71" s="39">
        <f t="shared" ref="J71:J134" ca="1" si="50">SUM(I67:I71)/5</f>
        <v>2757.8350500812039</v>
      </c>
      <c r="K71" s="39">
        <f t="shared" ref="K71:K134" ca="1" si="51">C71*NORMINV(RAND(),$C$40,$C$41)</f>
        <v>2798.8973875580286</v>
      </c>
      <c r="L71" s="39">
        <f t="shared" ref="L71:L134" ca="1" si="52">H71-(J71+K71)</f>
        <v>12442.011084379705</v>
      </c>
      <c r="M71" s="39">
        <f t="shared" ca="1" si="24"/>
        <v>9829.1887566599671</v>
      </c>
      <c r="N71" s="39">
        <f t="shared" ref="N71:N134" ca="1" si="53">C71*NORMINV(RAND(),$C$42,$C$43)</f>
        <v>2961.9302391436163</v>
      </c>
      <c r="O71" s="39">
        <f t="shared" ca="1" si="31"/>
        <v>-1482.6795984185269</v>
      </c>
      <c r="P71" s="99">
        <f t="shared" ref="P71:P134" ca="1" si="54">M71-(F71+I71-G71-J71)-O71</f>
        <v>11291.153995728082</v>
      </c>
    </row>
    <row r="72" spans="2:17" x14ac:dyDescent="0.2">
      <c r="B72">
        <v>2036</v>
      </c>
      <c r="C72" s="39">
        <f t="shared" ca="1" si="43"/>
        <v>25314.330706088356</v>
      </c>
      <c r="D72" s="40">
        <f t="shared" si="44"/>
        <v>0.211715080658333</v>
      </c>
      <c r="E72" s="39">
        <f t="shared" ca="1" si="45"/>
        <v>5359.4255672512118</v>
      </c>
      <c r="F72" s="39">
        <f t="shared" ca="1" si="46"/>
        <v>2095.3297804470772</v>
      </c>
      <c r="G72" s="39">
        <f t="shared" ca="1" si="47"/>
        <v>1272.5953023627476</v>
      </c>
      <c r="H72" s="39">
        <f t="shared" ca="1" si="48"/>
        <v>18682.309836474396</v>
      </c>
      <c r="I72" s="39">
        <f t="shared" ca="1" si="49"/>
        <v>2685.0813319973759</v>
      </c>
      <c r="J72" s="39">
        <f t="shared" ca="1" si="50"/>
        <v>2805.4688097884109</v>
      </c>
      <c r="K72" s="39">
        <f t="shared" ca="1" si="51"/>
        <v>2899.4766607276365</v>
      </c>
      <c r="L72" s="39">
        <f t="shared" ca="1" si="52"/>
        <v>12977.364365958349</v>
      </c>
      <c r="M72" s="39">
        <f t="shared" ca="1" si="24"/>
        <v>10252.117849107095</v>
      </c>
      <c r="N72" s="39">
        <f t="shared" ca="1" si="53"/>
        <v>4495.9778419005206</v>
      </c>
      <c r="O72" s="39">
        <f t="shared" ca="1" si="31"/>
        <v>1534.0476027569043</v>
      </c>
      <c r="P72" s="99">
        <f t="shared" ca="1" si="54"/>
        <v>8015.7232460568957</v>
      </c>
    </row>
    <row r="73" spans="2:17" x14ac:dyDescent="0.2">
      <c r="B73">
        <v>2037</v>
      </c>
      <c r="C73" s="39">
        <f t="shared" ca="1" si="43"/>
        <v>26341.562144325406</v>
      </c>
      <c r="D73" s="40">
        <f t="shared" si="44"/>
        <v>0.20687703883135339</v>
      </c>
      <c r="E73" s="39">
        <f t="shared" ca="1" si="45"/>
        <v>5449.4643746101156</v>
      </c>
      <c r="F73" s="39">
        <f t="shared" ca="1" si="46"/>
        <v>1100.4600230693413</v>
      </c>
      <c r="G73" s="39">
        <f t="shared" ca="1" si="47"/>
        <v>1236.3997076860974</v>
      </c>
      <c r="H73" s="39">
        <f t="shared" ca="1" si="48"/>
        <v>19655.698062029194</v>
      </c>
      <c r="I73" s="39">
        <f t="shared" ca="1" si="49"/>
        <v>2699.1516393688657</v>
      </c>
      <c r="J73" s="39">
        <f t="shared" ca="1" si="50"/>
        <v>2786.9362191687264</v>
      </c>
      <c r="K73" s="39">
        <f t="shared" ca="1" si="51"/>
        <v>3504.3507635424294</v>
      </c>
      <c r="L73" s="39">
        <f t="shared" ca="1" si="52"/>
        <v>13364.411079318039</v>
      </c>
      <c r="M73" s="39">
        <f t="shared" ca="1" si="24"/>
        <v>10557.884752661252</v>
      </c>
      <c r="N73" s="39">
        <f t="shared" ca="1" si="53"/>
        <v>4391.4998822759862</v>
      </c>
      <c r="O73" s="39">
        <f t="shared" ca="1" si="31"/>
        <v>-104.47795962453438</v>
      </c>
      <c r="P73" s="99">
        <f t="shared" ca="1" si="54"/>
        <v>10886.086976702401</v>
      </c>
    </row>
    <row r="74" spans="2:17" x14ac:dyDescent="0.2">
      <c r="B74">
        <v>2038</v>
      </c>
      <c r="C74" s="39">
        <f t="shared" ca="1" si="43"/>
        <v>27040.83181690146</v>
      </c>
      <c r="D74" s="40">
        <f t="shared" si="44"/>
        <v>0.20214955430925174</v>
      </c>
      <c r="E74" s="39">
        <f t="shared" ca="1" si="45"/>
        <v>5466.292099938064</v>
      </c>
      <c r="F74" s="39">
        <f t="shared" ca="1" si="46"/>
        <v>1158.0772349359843</v>
      </c>
      <c r="G74" s="39">
        <f t="shared" ca="1" si="47"/>
        <v>1278.153302483287</v>
      </c>
      <c r="H74" s="39">
        <f t="shared" ca="1" si="48"/>
        <v>20296.386414480108</v>
      </c>
      <c r="I74" s="39">
        <f t="shared" ca="1" si="49"/>
        <v>2722.7224249053065</v>
      </c>
      <c r="J74" s="39">
        <f t="shared" ca="1" si="50"/>
        <v>2758.3991908349954</v>
      </c>
      <c r="K74" s="39">
        <f t="shared" ca="1" si="51"/>
        <v>3956.993261299765</v>
      </c>
      <c r="L74" s="39">
        <f t="shared" ca="1" si="52"/>
        <v>13580.993962345348</v>
      </c>
      <c r="M74" s="39">
        <f t="shared" ca="1" si="24"/>
        <v>10728.985230252825</v>
      </c>
      <c r="N74" s="39">
        <f t="shared" ca="1" si="53"/>
        <v>4432.073134396137</v>
      </c>
      <c r="O74" s="39">
        <f t="shared" ca="1" si="31"/>
        <v>40.573252120150755</v>
      </c>
      <c r="P74" s="99">
        <f t="shared" ca="1" si="54"/>
        <v>10844.164811609666</v>
      </c>
    </row>
    <row r="75" spans="2:17" x14ac:dyDescent="0.2">
      <c r="B75">
        <v>2039</v>
      </c>
      <c r="C75" s="39">
        <f t="shared" ca="1" si="43"/>
        <v>26913.67364287977</v>
      </c>
      <c r="D75" s="40">
        <f t="shared" si="44"/>
        <v>0.19753010067367555</v>
      </c>
      <c r="E75" s="39">
        <f t="shared" ca="1" si="45"/>
        <v>5316.2606641764887</v>
      </c>
      <c r="F75" s="39">
        <f t="shared" ca="1" si="46"/>
        <v>1631.6462221355196</v>
      </c>
      <c r="G75" s="39">
        <f t="shared" ca="1" si="47"/>
        <v>1335.9054099696825</v>
      </c>
      <c r="H75" s="39">
        <f t="shared" ca="1" si="48"/>
        <v>20261.507568733599</v>
      </c>
      <c r="I75" s="39">
        <f t="shared" ca="1" si="49"/>
        <v>3007.472002727422</v>
      </c>
      <c r="J75" s="39">
        <f t="shared" ca="1" si="50"/>
        <v>2873.2025578087969</v>
      </c>
      <c r="K75" s="39">
        <f t="shared" ca="1" si="51"/>
        <v>3354.5278016144557</v>
      </c>
      <c r="L75" s="39">
        <f t="shared" ca="1" si="52"/>
        <v>14033.777209310347</v>
      </c>
      <c r="M75" s="39">
        <f t="shared" ca="1" si="24"/>
        <v>11086.683995355175</v>
      </c>
      <c r="N75" s="39">
        <f t="shared" ca="1" si="53"/>
        <v>3505.1068550232435</v>
      </c>
      <c r="O75" s="39">
        <f t="shared" ca="1" si="31"/>
        <v>-926.9662793728935</v>
      </c>
      <c r="P75" s="99">
        <f t="shared" ca="1" si="54"/>
        <v>11583.640017643607</v>
      </c>
    </row>
    <row r="76" spans="2:17" x14ac:dyDescent="0.2">
      <c r="B76">
        <v>2040</v>
      </c>
      <c r="C76" s="39">
        <f t="shared" ca="1" si="43"/>
        <v>26858.546678224997</v>
      </c>
      <c r="D76" s="40">
        <f t="shared" si="44"/>
        <v>0.19301620923913487</v>
      </c>
      <c r="E76" s="39">
        <f t="shared" ca="1" si="45"/>
        <v>5184.1348655033471</v>
      </c>
      <c r="F76" s="39">
        <f t="shared" ca="1" si="46"/>
        <v>1592.6988799515473</v>
      </c>
      <c r="G76" s="39">
        <f t="shared" ca="1" si="47"/>
        <v>1515.6424281078939</v>
      </c>
      <c r="H76" s="39">
        <f t="shared" ca="1" si="48"/>
        <v>20158.769384613755</v>
      </c>
      <c r="I76" s="39">
        <f t="shared" ca="1" si="49"/>
        <v>2051.642470113869</v>
      </c>
      <c r="J76" s="39">
        <f t="shared" ca="1" si="50"/>
        <v>2633.2139738225678</v>
      </c>
      <c r="K76" s="39">
        <f t="shared" ca="1" si="51"/>
        <v>3531.3814379746359</v>
      </c>
      <c r="L76" s="39">
        <f t="shared" ca="1" si="52"/>
        <v>13994.173972816552</v>
      </c>
      <c r="M76" s="39">
        <f t="shared" ca="1" si="24"/>
        <v>11055.397438525077</v>
      </c>
      <c r="N76" s="39">
        <f t="shared" ca="1" si="53"/>
        <v>4237.1031989081366</v>
      </c>
      <c r="O76" s="39">
        <f t="shared" ca="1" si="31"/>
        <v>731.99634388489312</v>
      </c>
      <c r="P76" s="99">
        <f t="shared" ca="1" si="54"/>
        <v>10827.916146505229</v>
      </c>
      <c r="Q76" s="40">
        <f ca="1">(P76/P66)^0.1-1</f>
        <v>3.9368935615441192E-2</v>
      </c>
    </row>
    <row r="77" spans="2:17" x14ac:dyDescent="0.2">
      <c r="B77">
        <v>2041</v>
      </c>
      <c r="C77" s="39">
        <f t="shared" ca="1" si="43"/>
        <v>27198.141667121654</v>
      </c>
      <c r="D77" s="40">
        <f t="shared" si="44"/>
        <v>0.18860546773371048</v>
      </c>
      <c r="E77" s="39">
        <f t="shared" ca="1" si="45"/>
        <v>5129.7182306151999</v>
      </c>
      <c r="F77" s="39">
        <f t="shared" ca="1" si="46"/>
        <v>1169.6819305622209</v>
      </c>
      <c r="G77" s="39">
        <f t="shared" ca="1" si="47"/>
        <v>1330.5128581309227</v>
      </c>
      <c r="H77" s="39">
        <f t="shared" ca="1" si="48"/>
        <v>20737.910578375529</v>
      </c>
      <c r="I77" s="39">
        <f t="shared" ca="1" si="49"/>
        <v>2943.3553717435097</v>
      </c>
      <c r="J77" s="39">
        <f t="shared" ca="1" si="50"/>
        <v>2684.8687817717946</v>
      </c>
      <c r="K77" s="39">
        <f t="shared" ca="1" si="51"/>
        <v>3733.0182748790462</v>
      </c>
      <c r="L77" s="39">
        <f t="shared" ca="1" si="52"/>
        <v>14320.023521724688</v>
      </c>
      <c r="M77" s="39">
        <f t="shared" ca="1" si="24"/>
        <v>11312.818582162505</v>
      </c>
      <c r="N77" s="39">
        <f t="shared" ca="1" si="53"/>
        <v>4835.5866751025187</v>
      </c>
      <c r="O77" s="39">
        <f t="shared" ca="1" si="31"/>
        <v>598.48347619438209</v>
      </c>
      <c r="P77" s="99">
        <f t="shared" ca="1" si="54"/>
        <v>10616.67944356511</v>
      </c>
      <c r="Q77" s="40">
        <f t="shared" ref="Q77:Q135" ca="1" si="55">(P77/P67)^0.1-1</f>
        <v>4.1752301224746935E-2</v>
      </c>
    </row>
    <row r="78" spans="2:17" x14ac:dyDescent="0.2">
      <c r="B78">
        <v>2042</v>
      </c>
      <c r="C78" s="39">
        <f t="shared" ca="1" si="43"/>
        <v>28165.792101519462</v>
      </c>
      <c r="D78" s="40">
        <f t="shared" si="44"/>
        <v>0.18429551900990979</v>
      </c>
      <c r="E78" s="39">
        <f t="shared" ca="1" si="45"/>
        <v>5190.8292736747471</v>
      </c>
      <c r="F78" s="39">
        <f t="shared" ca="1" si="46"/>
        <v>903.89723644498292</v>
      </c>
      <c r="G78" s="39">
        <f t="shared" ca="1" si="47"/>
        <v>1291.200300806051</v>
      </c>
      <c r="H78" s="39">
        <f t="shared" ca="1" si="48"/>
        <v>21683.762527038663</v>
      </c>
      <c r="I78" s="39">
        <f t="shared" ca="1" si="49"/>
        <v>3594.7572514042586</v>
      </c>
      <c r="J78" s="39">
        <f t="shared" ca="1" si="50"/>
        <v>2863.9899041788731</v>
      </c>
      <c r="K78" s="39">
        <f t="shared" ca="1" si="51"/>
        <v>3269.0422251028176</v>
      </c>
      <c r="L78" s="39">
        <f t="shared" ca="1" si="52"/>
        <v>15550.730397756972</v>
      </c>
      <c r="M78" s="39">
        <f t="shared" ca="1" si="24"/>
        <v>12285.077014228009</v>
      </c>
      <c r="N78" s="39">
        <f t="shared" ca="1" si="53"/>
        <v>3988.5500473366333</v>
      </c>
      <c r="O78" s="39">
        <f t="shared" ca="1" si="31"/>
        <v>-847.03662776588544</v>
      </c>
      <c r="P78" s="99">
        <f t="shared" ca="1" si="54"/>
        <v>12788.649359129577</v>
      </c>
      <c r="Q78" s="40">
        <f t="shared" ca="1" si="55"/>
        <v>2.8557792919720271E-2</v>
      </c>
    </row>
    <row r="79" spans="2:17" x14ac:dyDescent="0.2">
      <c r="B79">
        <v>2043</v>
      </c>
      <c r="C79" s="39">
        <f t="shared" ca="1" si="43"/>
        <v>28852.363113072217</v>
      </c>
      <c r="D79" s="40">
        <f t="shared" si="44"/>
        <v>0.18008405978498204</v>
      </c>
      <c r="E79" s="39">
        <f t="shared" ca="1" si="45"/>
        <v>5195.8506837925079</v>
      </c>
      <c r="F79" s="39">
        <f t="shared" ca="1" si="46"/>
        <v>1757.6323018323317</v>
      </c>
      <c r="G79" s="39">
        <f t="shared" ca="1" si="47"/>
        <v>1411.1113141853207</v>
      </c>
      <c r="H79" s="39">
        <f t="shared" ca="1" si="48"/>
        <v>22245.401115094388</v>
      </c>
      <c r="I79" s="39">
        <f t="shared" ca="1" si="49"/>
        <v>2385.2283879098009</v>
      </c>
      <c r="J79" s="39">
        <f t="shared" ca="1" si="50"/>
        <v>2796.4910967797723</v>
      </c>
      <c r="K79" s="39">
        <f t="shared" ca="1" si="51"/>
        <v>3697.1884436667215</v>
      </c>
      <c r="L79" s="39">
        <f t="shared" ca="1" si="52"/>
        <v>15751.721574647894</v>
      </c>
      <c r="M79" s="39">
        <f t="shared" ca="1" si="24"/>
        <v>12443.860043971838</v>
      </c>
      <c r="N79" s="39">
        <f t="shared" ca="1" si="53"/>
        <v>4316.4087357909402</v>
      </c>
      <c r="O79" s="39">
        <f t="shared" ca="1" si="31"/>
        <v>327.85868845430696</v>
      </c>
      <c r="P79" s="99">
        <f t="shared" ca="1" si="54"/>
        <v>12180.743076740491</v>
      </c>
      <c r="Q79" s="40">
        <f t="shared" ca="1" si="55"/>
        <v>5.0880009202121768E-2</v>
      </c>
    </row>
    <row r="80" spans="2:17" x14ac:dyDescent="0.2">
      <c r="B80">
        <v>2044</v>
      </c>
      <c r="C80" s="39">
        <f t="shared" ca="1" si="43"/>
        <v>29669.1394202544</v>
      </c>
      <c r="D80" s="40">
        <f t="shared" si="44"/>
        <v>0.17596883941001937</v>
      </c>
      <c r="E80" s="39">
        <f t="shared" ca="1" si="45"/>
        <v>5220.8440300762213</v>
      </c>
      <c r="F80" s="39">
        <f t="shared" ca="1" si="46"/>
        <v>1684.4416363250966</v>
      </c>
      <c r="G80" s="39">
        <f t="shared" ca="1" si="47"/>
        <v>1421.6703970232359</v>
      </c>
      <c r="H80" s="39">
        <f t="shared" ca="1" si="48"/>
        <v>23026.624993154943</v>
      </c>
      <c r="I80" s="39">
        <f t="shared" ca="1" si="49"/>
        <v>3449.3490182612995</v>
      </c>
      <c r="J80" s="39">
        <f t="shared" ca="1" si="50"/>
        <v>2884.8664998865474</v>
      </c>
      <c r="K80" s="39">
        <f t="shared" ca="1" si="51"/>
        <v>3121.5606155397231</v>
      </c>
      <c r="L80" s="39">
        <f t="shared" ca="1" si="52"/>
        <v>17020.197877728671</v>
      </c>
      <c r="M80" s="39">
        <f t="shared" ca="1" si="24"/>
        <v>13445.956323405651</v>
      </c>
      <c r="N80" s="39">
        <f t="shared" ca="1" si="53"/>
        <v>4540.9105887738724</v>
      </c>
      <c r="O80" s="39">
        <f t="shared" ca="1" si="31"/>
        <v>224.50185298293218</v>
      </c>
      <c r="P80" s="99">
        <f t="shared" ca="1" si="54"/>
        <v>12394.200712746106</v>
      </c>
      <c r="Q80" s="40">
        <f t="shared" ca="1" si="55"/>
        <v>2.9687153416841472E-2</v>
      </c>
    </row>
    <row r="81" spans="2:17" x14ac:dyDescent="0.2">
      <c r="B81">
        <v>2045</v>
      </c>
      <c r="C81" s="39">
        <f t="shared" ca="1" si="43"/>
        <v>30126.635735413387</v>
      </c>
      <c r="D81" s="40">
        <f t="shared" si="44"/>
        <v>0.17194765866718587</v>
      </c>
      <c r="E81" s="39">
        <f t="shared" ca="1" si="45"/>
        <v>5180.2044782235052</v>
      </c>
      <c r="F81" s="39">
        <f t="shared" ca="1" si="46"/>
        <v>2006.5993441182718</v>
      </c>
      <c r="G81" s="39">
        <f t="shared" ca="1" si="47"/>
        <v>1504.4504898565808</v>
      </c>
      <c r="H81" s="39">
        <f t="shared" ca="1" si="48"/>
        <v>23441.980767333302</v>
      </c>
      <c r="I81" s="39">
        <f t="shared" ca="1" si="49"/>
        <v>3519.7772370340663</v>
      </c>
      <c r="J81" s="39">
        <f t="shared" ca="1" si="50"/>
        <v>3178.4934532705875</v>
      </c>
      <c r="K81" s="39">
        <f t="shared" ca="1" si="51"/>
        <v>3917.4818575430072</v>
      </c>
      <c r="L81" s="39">
        <f t="shared" ca="1" si="52"/>
        <v>16346.005456519706</v>
      </c>
      <c r="M81" s="39">
        <f t="shared" ca="1" si="24"/>
        <v>12913.344310650569</v>
      </c>
      <c r="N81" s="39">
        <f t="shared" ca="1" si="53"/>
        <v>4482.9498816413125</v>
      </c>
      <c r="O81" s="39">
        <f t="shared" ca="1" si="31"/>
        <v>-57.960707132559946</v>
      </c>
      <c r="P81" s="99">
        <f t="shared" ca="1" si="54"/>
        <v>12127.872379757959</v>
      </c>
      <c r="Q81" s="40">
        <f t="shared" ca="1" si="55"/>
        <v>7.1742846669653471E-3</v>
      </c>
    </row>
    <row r="82" spans="2:17" x14ac:dyDescent="0.2">
      <c r="B82">
        <v>2046</v>
      </c>
      <c r="C82" s="39">
        <f t="shared" ca="1" si="43"/>
        <v>30474.421107889288</v>
      </c>
      <c r="D82" s="40">
        <f t="shared" si="44"/>
        <v>0.16801836859443206</v>
      </c>
      <c r="E82" s="39">
        <f t="shared" ca="1" si="45"/>
        <v>5120.2625184072831</v>
      </c>
      <c r="F82" s="39">
        <f t="shared" ca="1" si="46"/>
        <v>2577.9738374376425</v>
      </c>
      <c r="G82" s="39">
        <f t="shared" ca="1" si="47"/>
        <v>1786.108871231665</v>
      </c>
      <c r="H82" s="39">
        <f t="shared" ca="1" si="48"/>
        <v>23568.049718250339</v>
      </c>
      <c r="I82" s="39">
        <f t="shared" ca="1" si="49"/>
        <v>3097.0186503564432</v>
      </c>
      <c r="J82" s="39">
        <f t="shared" ca="1" si="50"/>
        <v>3209.226108993174</v>
      </c>
      <c r="K82" s="39">
        <f t="shared" ca="1" si="51"/>
        <v>3465.216061238265</v>
      </c>
      <c r="L82" s="39">
        <f t="shared" ca="1" si="52"/>
        <v>16893.607548018899</v>
      </c>
      <c r="M82" s="39">
        <f t="shared" ca="1" si="24"/>
        <v>13345.94996293493</v>
      </c>
      <c r="N82" s="39">
        <f t="shared" ca="1" si="53"/>
        <v>4646.7041047985749</v>
      </c>
      <c r="O82" s="39">
        <f t="shared" ca="1" si="31"/>
        <v>163.75422315726246</v>
      </c>
      <c r="P82" s="99">
        <f t="shared" ca="1" si="54"/>
        <v>12502.538232208421</v>
      </c>
      <c r="Q82" s="40">
        <f t="shared" ca="1" si="55"/>
        <v>4.5455490337730664E-2</v>
      </c>
    </row>
    <row r="83" spans="2:17" x14ac:dyDescent="0.2">
      <c r="B83">
        <v>2047</v>
      </c>
      <c r="C83" s="39">
        <f t="shared" ca="1" si="43"/>
        <v>31146.445626010754</v>
      </c>
      <c r="D83" s="40">
        <f t="shared" si="44"/>
        <v>0.1641788693370666</v>
      </c>
      <c r="E83" s="39">
        <f t="shared" ca="1" si="45"/>
        <v>5113.5882267468696</v>
      </c>
      <c r="F83" s="39">
        <f t="shared" ca="1" si="46"/>
        <v>1720.3915276860812</v>
      </c>
      <c r="G83" s="39">
        <f t="shared" ca="1" si="47"/>
        <v>1949.4077294798849</v>
      </c>
      <c r="H83" s="39">
        <f t="shared" ca="1" si="48"/>
        <v>24083.449669784</v>
      </c>
      <c r="I83" s="39">
        <f t="shared" ca="1" si="49"/>
        <v>3392.4171641110397</v>
      </c>
      <c r="J83" s="39">
        <f t="shared" ca="1" si="50"/>
        <v>3168.7580915345302</v>
      </c>
      <c r="K83" s="39">
        <f t="shared" ca="1" si="51"/>
        <v>3797.6440420606659</v>
      </c>
      <c r="L83" s="39">
        <f t="shared" ca="1" si="52"/>
        <v>17117.047536188802</v>
      </c>
      <c r="M83" s="39">
        <f t="shared" ca="1" si="24"/>
        <v>13522.467553589155</v>
      </c>
      <c r="N83" s="39">
        <f t="shared" ca="1" si="53"/>
        <v>6085.2109299297008</v>
      </c>
      <c r="O83" s="39">
        <f t="shared" ca="1" si="31"/>
        <v>1438.5068251311259</v>
      </c>
      <c r="P83" s="99">
        <f t="shared" ca="1" si="54"/>
        <v>12089.317857675322</v>
      </c>
      <c r="Q83" s="40">
        <f t="shared" ca="1" si="55"/>
        <v>1.0538815327220119E-2</v>
      </c>
    </row>
    <row r="84" spans="2:17" x14ac:dyDescent="0.2">
      <c r="B84">
        <v>2048</v>
      </c>
      <c r="C84" s="39">
        <f t="shared" ca="1" si="43"/>
        <v>31121.256133844658</v>
      </c>
      <c r="D84" s="40">
        <f t="shared" si="44"/>
        <v>0.16042710902557136</v>
      </c>
      <c r="E84" s="39">
        <f t="shared" ca="1" si="45"/>
        <v>4992.6931507970285</v>
      </c>
      <c r="F84" s="39">
        <f t="shared" ca="1" si="46"/>
        <v>1491.1700502256604</v>
      </c>
      <c r="G84" s="39">
        <f t="shared" ca="1" si="47"/>
        <v>1896.1152791585505</v>
      </c>
      <c r="H84" s="39">
        <f t="shared" ca="1" si="48"/>
        <v>24232.447703889076</v>
      </c>
      <c r="I84" s="39">
        <f t="shared" ca="1" si="49"/>
        <v>3081.2174781979143</v>
      </c>
      <c r="J84" s="39">
        <f t="shared" ca="1" si="50"/>
        <v>3307.9559095921527</v>
      </c>
      <c r="K84" s="39">
        <f t="shared" ca="1" si="51"/>
        <v>3965.5410423857056</v>
      </c>
      <c r="L84" s="39">
        <f t="shared" ca="1" si="52"/>
        <v>16958.950751911216</v>
      </c>
      <c r="M84" s="39">
        <f t="shared" ca="1" si="24"/>
        <v>13397.571094009862</v>
      </c>
      <c r="N84" s="39">
        <f t="shared" ca="1" si="53"/>
        <v>4716.6653013400846</v>
      </c>
      <c r="O84" s="39">
        <f t="shared" ca="1" si="31"/>
        <v>-1368.5456285896162</v>
      </c>
      <c r="P84" s="99">
        <f t="shared" ca="1" si="54"/>
        <v>15397.800382926607</v>
      </c>
      <c r="Q84" s="40">
        <f t="shared" ca="1" si="55"/>
        <v>3.5681592758404213E-2</v>
      </c>
    </row>
    <row r="85" spans="2:17" x14ac:dyDescent="0.2">
      <c r="B85">
        <v>2049</v>
      </c>
      <c r="C85" s="39">
        <f t="shared" ca="1" si="43"/>
        <v>31472.586123378747</v>
      </c>
      <c r="D85" s="40">
        <f t="shared" si="44"/>
        <v>0.15676108267906044</v>
      </c>
      <c r="E85" s="39">
        <f t="shared" ca="1" si="45"/>
        <v>4933.6766754108257</v>
      </c>
      <c r="F85" s="39">
        <f t="shared" ca="1" si="46"/>
        <v>1551.2833111366715</v>
      </c>
      <c r="G85" s="39">
        <f t="shared" ca="1" si="47"/>
        <v>1869.4836141208652</v>
      </c>
      <c r="H85" s="39">
        <f t="shared" ca="1" si="48"/>
        <v>24669.425833847057</v>
      </c>
      <c r="I85" s="39">
        <f t="shared" ca="1" si="49"/>
        <v>3626.5776419704939</v>
      </c>
      <c r="J85" s="39">
        <f t="shared" ca="1" si="50"/>
        <v>3343.4016343339913</v>
      </c>
      <c r="K85" s="39">
        <f t="shared" ca="1" si="51"/>
        <v>3793.3167645567933</v>
      </c>
      <c r="L85" s="39">
        <f t="shared" ca="1" si="52"/>
        <v>17532.707434956272</v>
      </c>
      <c r="M85" s="39">
        <f t="shared" ca="1" si="24"/>
        <v>13850.838873615456</v>
      </c>
      <c r="N85" s="39">
        <f t="shared" ca="1" si="53"/>
        <v>5781.080814072353</v>
      </c>
      <c r="O85" s="39">
        <f t="shared" ca="1" si="31"/>
        <v>1064.4155127322683</v>
      </c>
      <c r="P85" s="99">
        <f t="shared" ca="1" si="54"/>
        <v>12821.447656230879</v>
      </c>
      <c r="Q85" s="40">
        <f t="shared" ca="1" si="55"/>
        <v>1.0204272848596485E-2</v>
      </c>
    </row>
    <row r="86" spans="2:17" x14ac:dyDescent="0.2">
      <c r="B86">
        <v>2050</v>
      </c>
      <c r="C86" s="39">
        <f t="shared" ca="1" si="43"/>
        <v>33313.370098942447</v>
      </c>
      <c r="D86" s="40">
        <f t="shared" si="44"/>
        <v>0.15317883113379693</v>
      </c>
      <c r="E86" s="39">
        <f t="shared" ca="1" si="45"/>
        <v>5102.9030928835855</v>
      </c>
      <c r="F86" s="39">
        <f t="shared" ca="1" si="46"/>
        <v>1138.8479016352246</v>
      </c>
      <c r="G86" s="39">
        <f t="shared" ca="1" si="47"/>
        <v>1695.933325624256</v>
      </c>
      <c r="H86" s="39">
        <f t="shared" ca="1" si="48"/>
        <v>26514.533680434604</v>
      </c>
      <c r="I86" s="39">
        <f t="shared" ca="1" si="49"/>
        <v>4038.7026813658754</v>
      </c>
      <c r="J86" s="39">
        <f t="shared" ca="1" si="50"/>
        <v>3447.1867232003533</v>
      </c>
      <c r="K86" s="39">
        <f t="shared" ca="1" si="51"/>
        <v>4056.0511513709212</v>
      </c>
      <c r="L86" s="39">
        <f t="shared" ca="1" si="52"/>
        <v>19011.29580586333</v>
      </c>
      <c r="M86" s="39">
        <f t="shared" ca="1" si="24"/>
        <v>15018.923686632032</v>
      </c>
      <c r="N86" s="39">
        <f t="shared" ca="1" si="53"/>
        <v>5492.3452432267813</v>
      </c>
      <c r="O86" s="39">
        <f t="shared" ca="1" si="31"/>
        <v>-288.7355708455716</v>
      </c>
      <c r="P86" s="99">
        <f t="shared" ca="1" si="54"/>
        <v>15273.228723301112</v>
      </c>
      <c r="Q86" s="40">
        <f t="shared" ca="1" si="55"/>
        <v>3.4995823201642073E-2</v>
      </c>
    </row>
    <row r="87" spans="2:17" x14ac:dyDescent="0.2">
      <c r="B87">
        <v>2051</v>
      </c>
      <c r="C87" s="39">
        <f t="shared" ca="1" si="43"/>
        <v>33539.659438345145</v>
      </c>
      <c r="D87" s="40">
        <f t="shared" si="44"/>
        <v>0.14967843999619476</v>
      </c>
      <c r="E87" s="39">
        <f t="shared" ca="1" si="45"/>
        <v>5020.1639027351512</v>
      </c>
      <c r="F87" s="39">
        <f t="shared" ca="1" si="46"/>
        <v>2390.7646297231645</v>
      </c>
      <c r="G87" s="39">
        <f t="shared" ca="1" si="47"/>
        <v>1658.4914840813606</v>
      </c>
      <c r="H87" s="39">
        <f t="shared" ca="1" si="48"/>
        <v>26861.004051528631</v>
      </c>
      <c r="I87" s="39">
        <f t="shared" ca="1" si="49"/>
        <v>4758.6917955068675</v>
      </c>
      <c r="J87" s="39">
        <f t="shared" ca="1" si="50"/>
        <v>3779.5213522304389</v>
      </c>
      <c r="K87" s="39">
        <f t="shared" ca="1" si="51"/>
        <v>3761.6015888446668</v>
      </c>
      <c r="L87" s="39">
        <f t="shared" ca="1" si="52"/>
        <v>19319.881110453527</v>
      </c>
      <c r="M87" s="39">
        <f t="shared" ca="1" si="24"/>
        <v>15262.706077258286</v>
      </c>
      <c r="N87" s="39">
        <f t="shared" ca="1" si="53"/>
        <v>4013.7059100323054</v>
      </c>
      <c r="O87" s="39">
        <f t="shared" ca="1" si="31"/>
        <v>-1478.639333194476</v>
      </c>
      <c r="P87" s="99">
        <f t="shared" ca="1" si="54"/>
        <v>15029.901821534531</v>
      </c>
      <c r="Q87" s="40">
        <f t="shared" ca="1" si="55"/>
        <v>3.5372781751723092E-2</v>
      </c>
    </row>
    <row r="88" spans="2:17" x14ac:dyDescent="0.2">
      <c r="B88">
        <v>2052</v>
      </c>
      <c r="C88" s="39">
        <f t="shared" ca="1" si="43"/>
        <v>35272.204870912443</v>
      </c>
      <c r="D88" s="40">
        <f t="shared" si="44"/>
        <v>0.14625803861974634</v>
      </c>
      <c r="E88" s="39">
        <f t="shared" ca="1" si="45"/>
        <v>5158.8435022135172</v>
      </c>
      <c r="F88" s="39">
        <f t="shared" ca="1" si="46"/>
        <v>3538.5024153121376</v>
      </c>
      <c r="G88" s="39">
        <f t="shared" ca="1" si="47"/>
        <v>2022.1136616065717</v>
      </c>
      <c r="H88" s="39">
        <f t="shared" ca="1" si="48"/>
        <v>28091.247707092356</v>
      </c>
      <c r="I88" s="39">
        <f t="shared" ca="1" si="49"/>
        <v>3847.801202369099</v>
      </c>
      <c r="J88" s="39">
        <f t="shared" ca="1" si="50"/>
        <v>3870.5981598820499</v>
      </c>
      <c r="K88" s="39">
        <f t="shared" ca="1" si="51"/>
        <v>4174.3727446221155</v>
      </c>
      <c r="L88" s="39">
        <f t="shared" ca="1" si="52"/>
        <v>20046.276802588189</v>
      </c>
      <c r="M88" s="39">
        <f t="shared" ca="1" si="24"/>
        <v>15836.558674044671</v>
      </c>
      <c r="N88" s="39">
        <f t="shared" ca="1" si="53"/>
        <v>6626.1945087884615</v>
      </c>
      <c r="O88" s="39">
        <f t="shared" ca="1" si="31"/>
        <v>2612.4885987561561</v>
      </c>
      <c r="P88" s="99">
        <f t="shared" ca="1" si="54"/>
        <v>11730.4782790959</v>
      </c>
      <c r="Q88" s="40">
        <f t="shared" ca="1" si="55"/>
        <v>-8.5995676402786936E-3</v>
      </c>
    </row>
    <row r="89" spans="2:17" x14ac:dyDescent="0.2">
      <c r="B89">
        <v>2053</v>
      </c>
      <c r="C89" s="39">
        <f t="shared" ca="1" si="43"/>
        <v>34941.825697920896</v>
      </c>
      <c r="D89" s="40">
        <f t="shared" si="44"/>
        <v>0.14291579910532903</v>
      </c>
      <c r="E89" s="39">
        <f t="shared" ca="1" si="45"/>
        <v>4993.7389418174862</v>
      </c>
      <c r="F89" s="39">
        <f t="shared" ca="1" si="46"/>
        <v>1298.6197816752826</v>
      </c>
      <c r="G89" s="39">
        <f t="shared" ca="1" si="47"/>
        <v>1983.6036078964964</v>
      </c>
      <c r="H89" s="39">
        <f t="shared" ca="1" si="48"/>
        <v>27964.483148206913</v>
      </c>
      <c r="I89" s="39">
        <f t="shared" ca="1" si="49"/>
        <v>3952.8433944975418</v>
      </c>
      <c r="J89" s="39">
        <f t="shared" ca="1" si="50"/>
        <v>4044.9233431419757</v>
      </c>
      <c r="K89" s="39">
        <f t="shared" ca="1" si="51"/>
        <v>4810.6171650759197</v>
      </c>
      <c r="L89" s="39">
        <f t="shared" ca="1" si="52"/>
        <v>19108.942639989018</v>
      </c>
      <c r="M89" s="39">
        <f t="shared" ca="1" si="24"/>
        <v>15096.064685591326</v>
      </c>
      <c r="N89" s="39">
        <f t="shared" ca="1" si="53"/>
        <v>4214.862118262864</v>
      </c>
      <c r="O89" s="39">
        <f t="shared" ca="1" si="31"/>
        <v>-2411.3323905255975</v>
      </c>
      <c r="P89" s="99">
        <f t="shared" ca="1" si="54"/>
        <v>18284.46085098257</v>
      </c>
      <c r="Q89" s="40">
        <f t="shared" ca="1" si="55"/>
        <v>4.1455787154498047E-2</v>
      </c>
    </row>
    <row r="90" spans="2:17" x14ac:dyDescent="0.2">
      <c r="B90">
        <v>2054</v>
      </c>
      <c r="C90" s="39">
        <f t="shared" ca="1" si="43"/>
        <v>35273.438695555618</v>
      </c>
      <c r="D90" s="40">
        <f t="shared" si="44"/>
        <v>0.13964993532435618</v>
      </c>
      <c r="E90" s="39">
        <f t="shared" ca="1" si="45"/>
        <v>4925.9334325019845</v>
      </c>
      <c r="F90" s="39">
        <f t="shared" ca="1" si="46"/>
        <v>2103.7197317089372</v>
      </c>
      <c r="G90" s="39">
        <f t="shared" ca="1" si="47"/>
        <v>2094.0908920109496</v>
      </c>
      <c r="H90" s="39">
        <f t="shared" ca="1" si="48"/>
        <v>28253.414371042683</v>
      </c>
      <c r="I90" s="39">
        <f t="shared" ca="1" si="49"/>
        <v>3753.6158933067677</v>
      </c>
      <c r="J90" s="39">
        <f t="shared" ca="1" si="50"/>
        <v>4070.3309934092299</v>
      </c>
      <c r="K90" s="39">
        <f t="shared" ca="1" si="51"/>
        <v>4715.0645204644188</v>
      </c>
      <c r="L90" s="39">
        <f t="shared" ca="1" si="52"/>
        <v>19468.018857169034</v>
      </c>
      <c r="M90" s="39">
        <f t="shared" ca="1" si="24"/>
        <v>15379.734897163538</v>
      </c>
      <c r="N90" s="39">
        <f t="shared" ca="1" si="53"/>
        <v>6144.7500814071109</v>
      </c>
      <c r="O90" s="39">
        <f t="shared" ca="1" si="31"/>
        <v>1929.8879631442469</v>
      </c>
      <c r="P90" s="99">
        <f t="shared" ca="1" si="54"/>
        <v>13756.933194423766</v>
      </c>
      <c r="Q90" s="40">
        <f t="shared" ca="1" si="55"/>
        <v>1.0486022050254062E-2</v>
      </c>
    </row>
    <row r="91" spans="2:17" x14ac:dyDescent="0.2">
      <c r="B91">
        <v>2055</v>
      </c>
      <c r="C91" s="39">
        <f t="shared" ca="1" si="43"/>
        <v>36242.480377209286</v>
      </c>
      <c r="D91" s="40">
        <f t="shared" si="44"/>
        <v>0.136458701964251</v>
      </c>
      <c r="E91" s="39">
        <f t="shared" ca="1" si="45"/>
        <v>4945.6018282388168</v>
      </c>
      <c r="F91" s="39">
        <f t="shared" ca="1" si="46"/>
        <v>1480.413963377669</v>
      </c>
      <c r="G91" s="39">
        <f t="shared" ca="1" si="47"/>
        <v>2162.404104359438</v>
      </c>
      <c r="H91" s="39">
        <f t="shared" ca="1" si="48"/>
        <v>29134.474444611031</v>
      </c>
      <c r="I91" s="39">
        <f t="shared" ca="1" si="49"/>
        <v>3502.596180814689</v>
      </c>
      <c r="J91" s="39">
        <f t="shared" ca="1" si="50"/>
        <v>3963.1096932989931</v>
      </c>
      <c r="K91" s="39">
        <f t="shared" ca="1" si="51"/>
        <v>4567.6577840894661</v>
      </c>
      <c r="L91" s="39">
        <f t="shared" ca="1" si="52"/>
        <v>20603.70696722257</v>
      </c>
      <c r="M91" s="39">
        <f t="shared" ca="1" si="24"/>
        <v>16276.92850410583</v>
      </c>
      <c r="N91" s="39">
        <f t="shared" ca="1" si="53"/>
        <v>7567.9962220795933</v>
      </c>
      <c r="O91" s="39">
        <f t="shared" ca="1" si="31"/>
        <v>1423.2461406724824</v>
      </c>
      <c r="P91" s="99">
        <f t="shared" ca="1" si="54"/>
        <v>15996.186016899421</v>
      </c>
      <c r="Q91" s="40">
        <f t="shared" ca="1" si="55"/>
        <v>2.8071175373938884E-2</v>
      </c>
    </row>
    <row r="92" spans="2:17" x14ac:dyDescent="0.2">
      <c r="B92">
        <v>2056</v>
      </c>
      <c r="C92" s="39">
        <f t="shared" ca="1" si="43"/>
        <v>36255.768552758571</v>
      </c>
      <c r="D92" s="40">
        <f t="shared" si="44"/>
        <v>0.13334039359573277</v>
      </c>
      <c r="E92" s="39">
        <f t="shared" ca="1" si="45"/>
        <v>4834.3584489406185</v>
      </c>
      <c r="F92" s="39">
        <f t="shared" ca="1" si="46"/>
        <v>773.595910537078</v>
      </c>
      <c r="G92" s="39">
        <f t="shared" ca="1" si="47"/>
        <v>1838.970360522221</v>
      </c>
      <c r="H92" s="39">
        <f t="shared" ca="1" si="48"/>
        <v>29582.43974329573</v>
      </c>
      <c r="I92" s="39">
        <f t="shared" ca="1" si="49"/>
        <v>4398.4217228477037</v>
      </c>
      <c r="J92" s="39">
        <f t="shared" ca="1" si="50"/>
        <v>3891.0556787671603</v>
      </c>
      <c r="K92" s="39">
        <f t="shared" ca="1" si="51"/>
        <v>4881.9436926340568</v>
      </c>
      <c r="L92" s="39">
        <f t="shared" ca="1" si="52"/>
        <v>20809.440371894514</v>
      </c>
      <c r="M92" s="39">
        <f t="shared" ca="1" si="24"/>
        <v>16439.457893796665</v>
      </c>
      <c r="N92" s="39">
        <f t="shared" ca="1" si="53"/>
        <v>5710.9586367330285</v>
      </c>
      <c r="O92" s="39">
        <f t="shared" ca="1" si="31"/>
        <v>-1857.0375853465648</v>
      </c>
      <c r="P92" s="99">
        <f t="shared" ca="1" si="54"/>
        <v>18854.50388504783</v>
      </c>
      <c r="Q92" s="40">
        <f t="shared" ca="1" si="55"/>
        <v>4.1937555088845002E-2</v>
      </c>
    </row>
    <row r="93" spans="2:17" x14ac:dyDescent="0.2">
      <c r="B93">
        <v>2057</v>
      </c>
      <c r="C93" s="39">
        <f t="shared" ca="1" si="43"/>
        <v>36305.533558362462</v>
      </c>
      <c r="D93" s="40">
        <f t="shared" si="44"/>
        <v>0.13029334376141721</v>
      </c>
      <c r="E93" s="39">
        <f t="shared" ca="1" si="45"/>
        <v>4730.3693643613888</v>
      </c>
      <c r="F93" s="39">
        <f t="shared" ca="1" si="46"/>
        <v>783.78347928436233</v>
      </c>
      <c r="G93" s="39">
        <f t="shared" ca="1" si="47"/>
        <v>1288.0265733166659</v>
      </c>
      <c r="H93" s="39">
        <f t="shared" ca="1" si="48"/>
        <v>30287.137620684407</v>
      </c>
      <c r="I93" s="39">
        <f t="shared" ca="1" si="49"/>
        <v>4645.7947153898203</v>
      </c>
      <c r="J93" s="39">
        <f t="shared" ca="1" si="50"/>
        <v>4050.6543813713047</v>
      </c>
      <c r="K93" s="39">
        <f t="shared" ca="1" si="51"/>
        <v>5194.8137352202448</v>
      </c>
      <c r="L93" s="39">
        <f t="shared" ca="1" si="52"/>
        <v>21041.669504092857</v>
      </c>
      <c r="M93" s="39">
        <f t="shared" ca="1" si="24"/>
        <v>16622.918908233358</v>
      </c>
      <c r="N93" s="39">
        <f t="shared" ca="1" si="53"/>
        <v>6244.0515253936992</v>
      </c>
      <c r="O93" s="39">
        <f t="shared" ca="1" si="31"/>
        <v>533.09288866067072</v>
      </c>
      <c r="P93" s="99">
        <f t="shared" ca="1" si="54"/>
        <v>15998.928779586477</v>
      </c>
      <c r="Q93" s="40">
        <f t="shared" ca="1" si="55"/>
        <v>2.8416203970360598E-2</v>
      </c>
    </row>
    <row r="94" spans="2:17" x14ac:dyDescent="0.2">
      <c r="B94">
        <v>2058</v>
      </c>
      <c r="C94" s="39">
        <f t="shared" ca="1" si="43"/>
        <v>37829.653014871466</v>
      </c>
      <c r="D94" s="40">
        <f t="shared" si="44"/>
        <v>0.12731592408524375</v>
      </c>
      <c r="E94" s="39">
        <f t="shared" ca="1" si="45"/>
        <v>4816.3172314124877</v>
      </c>
      <c r="F94" s="39">
        <f t="shared" ca="1" si="46"/>
        <v>2017.4705135356471</v>
      </c>
      <c r="G94" s="39">
        <f t="shared" ca="1" si="47"/>
        <v>1431.7967196887389</v>
      </c>
      <c r="H94" s="39">
        <f t="shared" ca="1" si="48"/>
        <v>31581.53906377024</v>
      </c>
      <c r="I94" s="39">
        <f t="shared" ca="1" si="49"/>
        <v>4783.4929727356675</v>
      </c>
      <c r="J94" s="39">
        <f t="shared" ca="1" si="50"/>
        <v>4216.7842970189295</v>
      </c>
      <c r="K94" s="39">
        <f t="shared" ca="1" si="51"/>
        <v>3643.5195799299463</v>
      </c>
      <c r="L94" s="39">
        <f t="shared" ca="1" si="52"/>
        <v>23721.235186821366</v>
      </c>
      <c r="M94" s="39">
        <f t="shared" ca="1" si="24"/>
        <v>18739.775797588882</v>
      </c>
      <c r="N94" s="39">
        <f t="shared" ca="1" si="53"/>
        <v>3961.9137986011497</v>
      </c>
      <c r="O94" s="39">
        <f t="shared" ca="1" si="31"/>
        <v>-2282.1377267925495</v>
      </c>
      <c r="P94" s="99">
        <f t="shared" ca="1" si="54"/>
        <v>19869.531054817784</v>
      </c>
      <c r="Q94" s="40">
        <f t="shared" ca="1" si="55"/>
        <v>2.5824089036622588E-2</v>
      </c>
    </row>
    <row r="95" spans="2:17" x14ac:dyDescent="0.2">
      <c r="B95">
        <v>2059</v>
      </c>
      <c r="C95" s="39">
        <f t="shared" ca="1" si="43"/>
        <v>37874.651659883588</v>
      </c>
      <c r="D95" s="40">
        <f t="shared" si="44"/>
        <v>0.124406543402254</v>
      </c>
      <c r="E95" s="39">
        <f t="shared" ca="1" si="45"/>
        <v>4711.8544955705593</v>
      </c>
      <c r="F95" s="39">
        <f t="shared" ca="1" si="46"/>
        <v>1685.5393201933307</v>
      </c>
      <c r="G95" s="39">
        <f t="shared" ca="1" si="47"/>
        <v>1348.1606373856175</v>
      </c>
      <c r="H95" s="39">
        <f t="shared" ca="1" si="48"/>
        <v>31814.63652692741</v>
      </c>
      <c r="I95" s="39">
        <f t="shared" ca="1" si="49"/>
        <v>4372.201704947297</v>
      </c>
      <c r="J95" s="39">
        <f t="shared" ca="1" si="50"/>
        <v>4340.5014593470351</v>
      </c>
      <c r="K95" s="39">
        <f t="shared" ca="1" si="51"/>
        <v>5933.830192408408</v>
      </c>
      <c r="L95" s="39">
        <f t="shared" ca="1" si="52"/>
        <v>21540.304875171969</v>
      </c>
      <c r="M95" s="39">
        <f t="shared" ca="1" si="24"/>
        <v>17016.840851385856</v>
      </c>
      <c r="N95" s="39">
        <f t="shared" ca="1" si="53"/>
        <v>6273.1355898346692</v>
      </c>
      <c r="O95" s="39">
        <f t="shared" ca="1" si="31"/>
        <v>2311.2217912335195</v>
      </c>
      <c r="P95" s="99">
        <f t="shared" ca="1" si="54"/>
        <v>14336.540131744359</v>
      </c>
      <c r="Q95" s="40">
        <f t="shared" ca="1" si="55"/>
        <v>1.1231825108393156E-2</v>
      </c>
    </row>
    <row r="96" spans="2:17" x14ac:dyDescent="0.2">
      <c r="B96">
        <v>2060</v>
      </c>
      <c r="C96" s="39">
        <f t="shared" ca="1" si="43"/>
        <v>38665.677712934841</v>
      </c>
      <c r="D96" s="40">
        <f t="shared" si="44"/>
        <v>0.12156364690825609</v>
      </c>
      <c r="E96" s="39">
        <f t="shared" ca="1" si="45"/>
        <v>4700.3407929636378</v>
      </c>
      <c r="F96" s="39">
        <f t="shared" ca="1" si="46"/>
        <v>2467.9717761548209</v>
      </c>
      <c r="G96" s="39">
        <f t="shared" ca="1" si="47"/>
        <v>1545.6721999410479</v>
      </c>
      <c r="H96" s="39">
        <f t="shared" ca="1" si="48"/>
        <v>32419.664720030156</v>
      </c>
      <c r="I96" s="39">
        <f t="shared" ca="1" si="49"/>
        <v>4779.4423979500825</v>
      </c>
      <c r="J96" s="39">
        <f t="shared" ca="1" si="50"/>
        <v>4595.8707027741139</v>
      </c>
      <c r="K96" s="39">
        <f t="shared" ca="1" si="51"/>
        <v>5823.3996685948277</v>
      </c>
      <c r="L96" s="39">
        <f t="shared" ca="1" si="52"/>
        <v>22000.394348661215</v>
      </c>
      <c r="M96" s="39">
        <f t="shared" ca="1" si="24"/>
        <v>17380.311535442361</v>
      </c>
      <c r="N96" s="39">
        <f t="shared" ca="1" si="53"/>
        <v>6543.4674138901064</v>
      </c>
      <c r="O96" s="39">
        <f t="shared" ca="1" si="31"/>
        <v>270.33182405543721</v>
      </c>
      <c r="P96" s="99">
        <f t="shared" ca="1" si="54"/>
        <v>16004.108439997184</v>
      </c>
      <c r="Q96" s="40">
        <f t="shared" ca="1" si="55"/>
        <v>4.6853347801785183E-3</v>
      </c>
    </row>
    <row r="97" spans="2:17" x14ac:dyDescent="0.2">
      <c r="B97">
        <v>2061</v>
      </c>
      <c r="C97" s="39">
        <f t="shared" ca="1" si="43"/>
        <v>39666.473459619461</v>
      </c>
      <c r="D97" s="40">
        <f t="shared" si="44"/>
        <v>0.1187857153289207</v>
      </c>
      <c r="E97" s="39">
        <f t="shared" ca="1" si="45"/>
        <v>4711.8104244765454</v>
      </c>
      <c r="F97" s="39">
        <f t="shared" ca="1" si="46"/>
        <v>3112.101025486586</v>
      </c>
      <c r="G97" s="39">
        <f t="shared" ca="1" si="47"/>
        <v>2013.3732229309494</v>
      </c>
      <c r="H97" s="39">
        <f t="shared" ca="1" si="48"/>
        <v>32941.289812211966</v>
      </c>
      <c r="I97" s="39">
        <f t="shared" ca="1" si="49"/>
        <v>4860.5836259938824</v>
      </c>
      <c r="J97" s="39">
        <f t="shared" ca="1" si="50"/>
        <v>4688.3030834033507</v>
      </c>
      <c r="K97" s="39">
        <f t="shared" ca="1" si="51"/>
        <v>5370.3849558988595</v>
      </c>
      <c r="L97" s="39">
        <f t="shared" ca="1" si="52"/>
        <v>22882.601772909755</v>
      </c>
      <c r="M97" s="39">
        <f t="shared" ca="1" si="24"/>
        <v>18077.255400598708</v>
      </c>
      <c r="N97" s="39">
        <f t="shared" ca="1" si="53"/>
        <v>6210.3220222032505</v>
      </c>
      <c r="O97" s="39">
        <f t="shared" ca="1" si="31"/>
        <v>-333.14539168685587</v>
      </c>
      <c r="P97" s="99">
        <f t="shared" ca="1" si="54"/>
        <v>17139.392447139395</v>
      </c>
      <c r="Q97" s="40">
        <f t="shared" ca="1" si="55"/>
        <v>1.3220406359422787E-2</v>
      </c>
    </row>
    <row r="98" spans="2:17" x14ac:dyDescent="0.2">
      <c r="B98">
        <v>2062</v>
      </c>
      <c r="C98" s="39">
        <f t="shared" ca="1" si="43"/>
        <v>41181.158455564706</v>
      </c>
      <c r="D98" s="40">
        <f t="shared" si="44"/>
        <v>0.11607126410786456</v>
      </c>
      <c r="E98" s="39">
        <f t="shared" ca="1" si="45"/>
        <v>4779.9491193636704</v>
      </c>
      <c r="F98" s="39">
        <f t="shared" ca="1" si="46"/>
        <v>1523.0379198167764</v>
      </c>
      <c r="G98" s="39">
        <f t="shared" ca="1" si="47"/>
        <v>2161.2241110374321</v>
      </c>
      <c r="H98" s="39">
        <f t="shared" ca="1" si="48"/>
        <v>34239.985225163604</v>
      </c>
      <c r="I98" s="39">
        <f t="shared" ca="1" si="49"/>
        <v>4113.0632673051923</v>
      </c>
      <c r="J98" s="39">
        <f t="shared" ca="1" si="50"/>
        <v>4581.7567937864242</v>
      </c>
      <c r="K98" s="39">
        <f t="shared" ca="1" si="51"/>
        <v>5464.0944087386351</v>
      </c>
      <c r="L98" s="39">
        <f t="shared" ca="1" si="52"/>
        <v>24194.134022638544</v>
      </c>
      <c r="M98" s="39">
        <f t="shared" ref="M98:M129" ca="1" si="56">L98*(1-$C$25)</f>
        <v>19113.365877884451</v>
      </c>
      <c r="N98" s="39">
        <f t="shared" ca="1" si="53"/>
        <v>7858.8851351652474</v>
      </c>
      <c r="O98" s="39">
        <f t="shared" ca="1" si="31"/>
        <v>1648.5631129619969</v>
      </c>
      <c r="P98" s="99">
        <f t="shared" ca="1" si="54"/>
        <v>18571.682482624339</v>
      </c>
      <c r="Q98" s="40">
        <f t="shared" ca="1" si="55"/>
        <v>4.7016565631399887E-2</v>
      </c>
    </row>
    <row r="99" spans="2:17" x14ac:dyDescent="0.2">
      <c r="B99">
        <v>2063</v>
      </c>
      <c r="C99" s="39">
        <f t="shared" ca="1" si="43"/>
        <v>40907.060637167226</v>
      </c>
      <c r="D99" s="40">
        <f t="shared" si="44"/>
        <v>0.11341884261328765</v>
      </c>
      <c r="E99" s="39">
        <f t="shared" ca="1" si="45"/>
        <v>4639.6314721790841</v>
      </c>
      <c r="F99" s="39">
        <f t="shared" ca="1" si="46"/>
        <v>1350.311759522479</v>
      </c>
      <c r="G99" s="39">
        <f t="shared" ca="1" si="47"/>
        <v>2027.7923602347987</v>
      </c>
      <c r="H99" s="39">
        <f t="shared" ca="1" si="48"/>
        <v>34239.636804753347</v>
      </c>
      <c r="I99" s="39">
        <f t="shared" ca="1" si="49"/>
        <v>5851.4458425782459</v>
      </c>
      <c r="J99" s="39">
        <f t="shared" ca="1" si="50"/>
        <v>4795.34736775494</v>
      </c>
      <c r="K99" s="39">
        <f t="shared" ca="1" si="51"/>
        <v>4742.6495137974216</v>
      </c>
      <c r="L99" s="39">
        <f t="shared" ca="1" si="52"/>
        <v>24701.639923200986</v>
      </c>
      <c r="M99" s="39">
        <f t="shared" ca="1" si="56"/>
        <v>19514.295539328781</v>
      </c>
      <c r="N99" s="39">
        <f t="shared" ca="1" si="53"/>
        <v>5623.7158864717521</v>
      </c>
      <c r="O99" s="39">
        <f t="shared" ca="1" si="31"/>
        <v>-2235.1692486934953</v>
      </c>
      <c r="P99" s="99">
        <f t="shared" ca="1" si="54"/>
        <v>21370.846913911289</v>
      </c>
      <c r="Q99" s="40">
        <f t="shared" ca="1" si="55"/>
        <v>1.571989111341332E-2</v>
      </c>
    </row>
    <row r="100" spans="2:17" x14ac:dyDescent="0.2">
      <c r="B100">
        <v>2064</v>
      </c>
      <c r="C100" s="39">
        <f t="shared" ca="1" si="43"/>
        <v>41259.384910583736</v>
      </c>
      <c r="D100" s="40">
        <f t="shared" si="44"/>
        <v>0.11082703336274002</v>
      </c>
      <c r="E100" s="39">
        <f t="shared" ca="1" si="45"/>
        <v>4572.6552280113965</v>
      </c>
      <c r="F100" s="39">
        <f t="shared" ca="1" si="46"/>
        <v>4008.8445378688125</v>
      </c>
      <c r="G100" s="39">
        <f t="shared" ca="1" si="47"/>
        <v>2492.453403769895</v>
      </c>
      <c r="H100" s="39">
        <f t="shared" ca="1" si="48"/>
        <v>34194.276278802441</v>
      </c>
      <c r="I100" s="39">
        <f t="shared" ca="1" si="49"/>
        <v>4550.6723667197912</v>
      </c>
      <c r="J100" s="39">
        <f t="shared" ca="1" si="50"/>
        <v>4831.0415001094389</v>
      </c>
      <c r="K100" s="39">
        <f t="shared" ca="1" si="51"/>
        <v>5348.8464354056505</v>
      </c>
      <c r="L100" s="39">
        <f t="shared" ca="1" si="52"/>
        <v>24014.388343287352</v>
      </c>
      <c r="M100" s="39">
        <f t="shared" ca="1" si="56"/>
        <v>18971.366791197008</v>
      </c>
      <c r="N100" s="39">
        <f t="shared" ca="1" si="53"/>
        <v>8418.9042787447506</v>
      </c>
      <c r="O100" s="39">
        <f t="shared" ca="1" si="31"/>
        <v>2795.1883922729985</v>
      </c>
      <c r="P100" s="99">
        <f t="shared" ca="1" si="54"/>
        <v>14940.156398214742</v>
      </c>
      <c r="Q100" s="40">
        <f t="shared" ca="1" si="55"/>
        <v>8.2851049527925547E-3</v>
      </c>
    </row>
    <row r="101" spans="2:17" x14ac:dyDescent="0.2">
      <c r="B101">
        <v>2065</v>
      </c>
      <c r="C101" s="39">
        <f t="shared" ca="1" si="43"/>
        <v>41075.629871160731</v>
      </c>
      <c r="D101" s="40">
        <f t="shared" si="44"/>
        <v>0.10829445126560401</v>
      </c>
      <c r="E101" s="39">
        <f t="shared" ca="1" si="45"/>
        <v>4448.2627972864038</v>
      </c>
      <c r="F101" s="39">
        <f t="shared" ca="1" si="46"/>
        <v>2333.9363716942958</v>
      </c>
      <c r="G101" s="39">
        <f t="shared" ca="1" si="47"/>
        <v>2465.6463228777898</v>
      </c>
      <c r="H101" s="39">
        <f t="shared" ca="1" si="48"/>
        <v>34161.720750996537</v>
      </c>
      <c r="I101" s="39">
        <f t="shared" ca="1" si="49"/>
        <v>5265.5396474785284</v>
      </c>
      <c r="J101" s="39">
        <f t="shared" ca="1" si="50"/>
        <v>4928.2609500151284</v>
      </c>
      <c r="K101" s="39">
        <f t="shared" ca="1" si="51"/>
        <v>4673.4426778823436</v>
      </c>
      <c r="L101" s="39">
        <f t="shared" ca="1" si="52"/>
        <v>24560.017123099067</v>
      </c>
      <c r="M101" s="39">
        <f t="shared" ca="1" si="56"/>
        <v>19402.413527248264</v>
      </c>
      <c r="N101" s="39">
        <f t="shared" ca="1" si="53"/>
        <v>6092.5401420890003</v>
      </c>
      <c r="O101" s="39">
        <f t="shared" ca="1" si="31"/>
        <v>-2326.3641366557504</v>
      </c>
      <c r="P101" s="99">
        <f t="shared" ca="1" si="54"/>
        <v>21523.208917624106</v>
      </c>
      <c r="Q101" s="40">
        <f t="shared" ca="1" si="55"/>
        <v>3.0122937336966249E-2</v>
      </c>
    </row>
    <row r="102" spans="2:17" x14ac:dyDescent="0.2">
      <c r="B102">
        <v>2066</v>
      </c>
      <c r="C102" s="39">
        <f t="shared" ca="1" si="43"/>
        <v>43336.715115190578</v>
      </c>
      <c r="D102" s="40">
        <f t="shared" si="44"/>
        <v>0.10581974288288694</v>
      </c>
      <c r="E102" s="39">
        <f t="shared" ca="1" si="45"/>
        <v>4585.880050878387</v>
      </c>
      <c r="F102" s="39">
        <f t="shared" ca="1" si="46"/>
        <v>1638.5846132197403</v>
      </c>
      <c r="G102" s="39">
        <f t="shared" ca="1" si="47"/>
        <v>2170.9430404244204</v>
      </c>
      <c r="H102" s="39">
        <f t="shared" ca="1" si="48"/>
        <v>36579.892023887769</v>
      </c>
      <c r="I102" s="39">
        <f t="shared" ca="1" si="49"/>
        <v>5623.8047906311313</v>
      </c>
      <c r="J102" s="39">
        <f t="shared" ca="1" si="50"/>
        <v>5080.905182942578</v>
      </c>
      <c r="K102" s="39">
        <f t="shared" ca="1" si="51"/>
        <v>4792.7422452354622</v>
      </c>
      <c r="L102" s="39">
        <f t="shared" ca="1" si="52"/>
        <v>26706.24459570973</v>
      </c>
      <c r="M102" s="39">
        <f t="shared" ca="1" si="56"/>
        <v>21097.933230610688</v>
      </c>
      <c r="N102" s="39">
        <f t="shared" ca="1" si="53"/>
        <v>7537.255457889567</v>
      </c>
      <c r="O102" s="39">
        <f t="shared" ca="1" si="31"/>
        <v>1444.7153158005667</v>
      </c>
      <c r="P102" s="99">
        <f t="shared" ca="1" si="54"/>
        <v>19642.676734326247</v>
      </c>
      <c r="Q102" s="40">
        <f t="shared" ca="1" si="55"/>
        <v>4.1036736365422932E-3</v>
      </c>
    </row>
    <row r="103" spans="2:17" x14ac:dyDescent="0.2">
      <c r="B103">
        <v>2067</v>
      </c>
      <c r="C103" s="39">
        <f t="shared" ca="1" si="43"/>
        <v>43531.974323989431</v>
      </c>
      <c r="D103" s="40">
        <f t="shared" si="44"/>
        <v>0.10340158570392886</v>
      </c>
      <c r="E103" s="39">
        <f t="shared" ca="1" si="45"/>
        <v>4501.2751739232235</v>
      </c>
      <c r="F103" s="39">
        <f t="shared" ca="1" si="46"/>
        <v>1046.8925587294266</v>
      </c>
      <c r="G103" s="39">
        <f t="shared" ca="1" si="47"/>
        <v>2075.713968206951</v>
      </c>
      <c r="H103" s="39">
        <f t="shared" ca="1" si="48"/>
        <v>36954.985181859258</v>
      </c>
      <c r="I103" s="39">
        <f t="shared" ca="1" si="49"/>
        <v>3604.242807670174</v>
      </c>
      <c r="J103" s="39">
        <f t="shared" ca="1" si="50"/>
        <v>4979.1410910155737</v>
      </c>
      <c r="K103" s="39">
        <f t="shared" ca="1" si="51"/>
        <v>6108.4324773186609</v>
      </c>
      <c r="L103" s="39">
        <f t="shared" ca="1" si="52"/>
        <v>25867.411613525022</v>
      </c>
      <c r="M103" s="39">
        <f t="shared" ca="1" si="56"/>
        <v>20435.255174684768</v>
      </c>
      <c r="N103" s="39">
        <f t="shared" ca="1" si="53"/>
        <v>8667.2405621980215</v>
      </c>
      <c r="O103" s="39">
        <f t="shared" ca="1" si="31"/>
        <v>1129.9851043084545</v>
      </c>
      <c r="P103" s="99">
        <f t="shared" ca="1" si="54"/>
        <v>21708.989763199235</v>
      </c>
      <c r="Q103" s="40">
        <f t="shared" ca="1" si="55"/>
        <v>3.0990992242795112E-2</v>
      </c>
    </row>
    <row r="104" spans="2:17" x14ac:dyDescent="0.2">
      <c r="B104">
        <v>2068</v>
      </c>
      <c r="C104" s="39">
        <f t="shared" ca="1" si="43"/>
        <v>44010.027305333249</v>
      </c>
      <c r="D104" s="40">
        <f t="shared" si="44"/>
        <v>0.10103868743963872</v>
      </c>
      <c r="E104" s="39">
        <f t="shared" ca="1" si="45"/>
        <v>4446.7153931135317</v>
      </c>
      <c r="F104" s="39">
        <f t="shared" ca="1" si="46"/>
        <v>1823.664369499641</v>
      </c>
      <c r="G104" s="39">
        <f t="shared" ca="1" si="47"/>
        <v>2170.3844902023834</v>
      </c>
      <c r="H104" s="39">
        <f t="shared" ca="1" si="48"/>
        <v>37392.927422017332</v>
      </c>
      <c r="I104" s="39">
        <f t="shared" ca="1" si="49"/>
        <v>5379.6758735296453</v>
      </c>
      <c r="J104" s="39">
        <f t="shared" ca="1" si="50"/>
        <v>4884.7870972058536</v>
      </c>
      <c r="K104" s="39">
        <f t="shared" ca="1" si="51"/>
        <v>5692.0990858722771</v>
      </c>
      <c r="L104" s="39">
        <f t="shared" ca="1" si="52"/>
        <v>26816.0412389392</v>
      </c>
      <c r="M104" s="39">
        <f t="shared" ca="1" si="56"/>
        <v>21184.672578761969</v>
      </c>
      <c r="N104" s="39">
        <f t="shared" ca="1" si="53"/>
        <v>8027.2580500737404</v>
      </c>
      <c r="O104" s="39">
        <f t="shared" ca="1" si="31"/>
        <v>-639.98251212428113</v>
      </c>
      <c r="P104" s="99">
        <f t="shared" ca="1" si="54"/>
        <v>21676.4864352652</v>
      </c>
      <c r="Q104" s="40">
        <f t="shared" ca="1" si="55"/>
        <v>8.7420548138126275E-3</v>
      </c>
    </row>
    <row r="105" spans="2:17" x14ac:dyDescent="0.2">
      <c r="B105">
        <v>2069</v>
      </c>
      <c r="C105" s="39">
        <f t="shared" ca="1" si="43"/>
        <v>43977.812837165628</v>
      </c>
      <c r="D105" s="40">
        <f t="shared" si="44"/>
        <v>9.8729785331881134E-2</v>
      </c>
      <c r="E105" s="39">
        <f t="shared" ca="1" si="45"/>
        <v>4341.9200207790091</v>
      </c>
      <c r="F105" s="39">
        <f t="shared" ca="1" si="46"/>
        <v>1174.0405311141005</v>
      </c>
      <c r="G105" s="39">
        <f t="shared" ca="1" si="47"/>
        <v>1603.4236888514408</v>
      </c>
      <c r="H105" s="39">
        <f t="shared" ca="1" si="48"/>
        <v>38032.46912753518</v>
      </c>
      <c r="I105" s="39">
        <f t="shared" ca="1" si="49"/>
        <v>5595.7313848425129</v>
      </c>
      <c r="J105" s="39">
        <f t="shared" ca="1" si="50"/>
        <v>5093.7989008303975</v>
      </c>
      <c r="K105" s="39">
        <f t="shared" ca="1" si="51"/>
        <v>5833.2858958706538</v>
      </c>
      <c r="L105" s="39">
        <f t="shared" ca="1" si="52"/>
        <v>27105.384330834127</v>
      </c>
      <c r="M105" s="39">
        <f t="shared" ca="1" si="56"/>
        <v>21413.253621358963</v>
      </c>
      <c r="N105" s="39">
        <f t="shared" ca="1" si="53"/>
        <v>5492.2426066746575</v>
      </c>
      <c r="O105" s="39">
        <f t="shared" ca="1" si="31"/>
        <v>-2535.0154433990829</v>
      </c>
      <c r="P105" s="99">
        <f t="shared" ca="1" si="54"/>
        <v>23875.719738483269</v>
      </c>
      <c r="Q105" s="40">
        <f t="shared" ca="1" si="55"/>
        <v>5.232820751708811E-2</v>
      </c>
    </row>
    <row r="106" spans="2:17" x14ac:dyDescent="0.2">
      <c r="B106">
        <v>2070</v>
      </c>
      <c r="C106" s="39">
        <f t="shared" ca="1" si="43"/>
        <v>45501.88069080354</v>
      </c>
      <c r="D106" s="40">
        <f t="shared" si="44"/>
        <v>9.6473645478645037E-2</v>
      </c>
      <c r="E106" s="39">
        <f t="shared" ca="1" si="45"/>
        <v>4389.7323063761851</v>
      </c>
      <c r="F106" s="39">
        <f t="shared" ca="1" si="46"/>
        <v>2802.9619479478265</v>
      </c>
      <c r="G106" s="39">
        <f t="shared" ca="1" si="47"/>
        <v>1697.2288041021468</v>
      </c>
      <c r="H106" s="39">
        <f t="shared" ca="1" si="48"/>
        <v>39414.919580325208</v>
      </c>
      <c r="I106" s="39">
        <f t="shared" ca="1" si="49"/>
        <v>4487.9835382495785</v>
      </c>
      <c r="J106" s="39">
        <f t="shared" ca="1" si="50"/>
        <v>4938.2876789846096</v>
      </c>
      <c r="K106" s="39">
        <f t="shared" ca="1" si="51"/>
        <v>6135.2081302022398</v>
      </c>
      <c r="L106" s="39">
        <f t="shared" ca="1" si="52"/>
        <v>28341.423771138358</v>
      </c>
      <c r="M106" s="39">
        <f t="shared" ca="1" si="56"/>
        <v>22389.724779199303</v>
      </c>
      <c r="N106" s="39">
        <f t="shared" ca="1" si="53"/>
        <v>8180.345014576068</v>
      </c>
      <c r="O106" s="39">
        <f t="shared" ca="1" si="31"/>
        <v>2688.1024079014105</v>
      </c>
      <c r="P106" s="99">
        <f t="shared" ca="1" si="54"/>
        <v>19046.193368187247</v>
      </c>
      <c r="Q106" s="40">
        <f t="shared" ca="1" si="55"/>
        <v>1.7554479251834065E-2</v>
      </c>
    </row>
    <row r="107" spans="2:17" x14ac:dyDescent="0.2">
      <c r="B107">
        <v>2071</v>
      </c>
      <c r="C107" s="39">
        <f t="shared" ca="1" si="43"/>
        <v>46168.761189772144</v>
      </c>
      <c r="D107" s="40">
        <f t="shared" si="44"/>
        <v>9.426906217463317E-2</v>
      </c>
      <c r="E107" s="39">
        <f t="shared" ca="1" si="45"/>
        <v>4352.2858191244213</v>
      </c>
      <c r="F107" s="39">
        <f t="shared" ca="1" si="46"/>
        <v>3076.5124281825624</v>
      </c>
      <c r="G107" s="39">
        <f t="shared" ca="1" si="47"/>
        <v>1984.8143670947115</v>
      </c>
      <c r="H107" s="39">
        <f t="shared" ca="1" si="48"/>
        <v>39831.66100355301</v>
      </c>
      <c r="I107" s="39">
        <f t="shared" ca="1" si="49"/>
        <v>6158.2209297043655</v>
      </c>
      <c r="J107" s="39">
        <f t="shared" ca="1" si="50"/>
        <v>5045.1709067992551</v>
      </c>
      <c r="K107" s="39">
        <f t="shared" ca="1" si="51"/>
        <v>6417.5392161696791</v>
      </c>
      <c r="L107" s="39">
        <f t="shared" ca="1" si="52"/>
        <v>28368.950880584074</v>
      </c>
      <c r="M107" s="39">
        <f t="shared" ca="1" si="56"/>
        <v>22411.471195661419</v>
      </c>
      <c r="N107" s="39">
        <f t="shared" ca="1" si="53"/>
        <v>9263.6773973357576</v>
      </c>
      <c r="O107" s="39">
        <f t="shared" ca="1" si="31"/>
        <v>1083.3323827596896</v>
      </c>
      <c r="P107" s="99">
        <f t="shared" ca="1" si="54"/>
        <v>19123.390728908769</v>
      </c>
      <c r="Q107" s="40">
        <f t="shared" ca="1" si="55"/>
        <v>1.1013483275750025E-2</v>
      </c>
    </row>
    <row r="108" spans="2:17" x14ac:dyDescent="0.2">
      <c r="B108">
        <v>2072</v>
      </c>
      <c r="C108" s="39">
        <f t="shared" ca="1" si="43"/>
        <v>47765.403696708723</v>
      </c>
      <c r="D108" s="40">
        <f t="shared" si="44"/>
        <v>9.2114857266920258E-2</v>
      </c>
      <c r="E108" s="39">
        <f t="shared" ca="1" si="45"/>
        <v>4399.9033438191491</v>
      </c>
      <c r="F108" s="39">
        <f t="shared" ca="1" si="46"/>
        <v>1920.7033468469783</v>
      </c>
      <c r="G108" s="39">
        <f t="shared" ca="1" si="47"/>
        <v>2159.5765247182217</v>
      </c>
      <c r="H108" s="39">
        <f t="shared" ca="1" si="48"/>
        <v>41205.923828171355</v>
      </c>
      <c r="I108" s="39">
        <f t="shared" ca="1" si="49"/>
        <v>5000.8917354143869</v>
      </c>
      <c r="J108" s="39">
        <f t="shared" ca="1" si="50"/>
        <v>5324.5006923480978</v>
      </c>
      <c r="K108" s="39">
        <f t="shared" ca="1" si="51"/>
        <v>4707.2297030592044</v>
      </c>
      <c r="L108" s="39">
        <f t="shared" ca="1" si="52"/>
        <v>31174.193432764052</v>
      </c>
      <c r="M108" s="39">
        <f t="shared" ca="1" si="56"/>
        <v>24627.612811883602</v>
      </c>
      <c r="N108" s="39">
        <f t="shared" ca="1" si="53"/>
        <v>8374.6508779388278</v>
      </c>
      <c r="O108" s="39">
        <f t="shared" ca="1" si="31"/>
        <v>-889.02651939692987</v>
      </c>
      <c r="P108" s="99">
        <f t="shared" ca="1" si="54"/>
        <v>26079.121466085489</v>
      </c>
      <c r="Q108" s="40">
        <f t="shared" ca="1" si="55"/>
        <v>3.4532576389480152E-2</v>
      </c>
    </row>
    <row r="109" spans="2:17" x14ac:dyDescent="0.2">
      <c r="B109">
        <v>2073</v>
      </c>
      <c r="C109" s="39">
        <f t="shared" ca="1" si="43"/>
        <v>49391.016481379571</v>
      </c>
      <c r="D109" s="40">
        <f t="shared" si="44"/>
        <v>9.0009879525335484E-2</v>
      </c>
      <c r="E109" s="39">
        <f t="shared" ca="1" si="45"/>
        <v>4445.6794431228345</v>
      </c>
      <c r="F109" s="39">
        <f t="shared" ca="1" si="46"/>
        <v>2010.3890498865057</v>
      </c>
      <c r="G109" s="39">
        <f t="shared" ca="1" si="47"/>
        <v>2196.9214607955946</v>
      </c>
      <c r="H109" s="39">
        <f t="shared" ca="1" si="48"/>
        <v>42748.415577461143</v>
      </c>
      <c r="I109" s="39">
        <f t="shared" ca="1" si="49"/>
        <v>5718.934515372438</v>
      </c>
      <c r="J109" s="39">
        <f t="shared" ca="1" si="50"/>
        <v>5392.3524207166565</v>
      </c>
      <c r="K109" s="39">
        <f t="shared" ca="1" si="51"/>
        <v>6419.1996411087484</v>
      </c>
      <c r="L109" s="39">
        <f t="shared" ca="1" si="52"/>
        <v>30936.863515635738</v>
      </c>
      <c r="M109" s="39">
        <f t="shared" ca="1" si="56"/>
        <v>24440.122177352234</v>
      </c>
      <c r="N109" s="39">
        <f t="shared" ca="1" si="53"/>
        <v>8605.4892470019659</v>
      </c>
      <c r="O109" s="39">
        <f t="shared" ca="1" si="31"/>
        <v>230.83836906313809</v>
      </c>
      <c r="P109" s="99">
        <f t="shared" ca="1" si="54"/>
        <v>24069.234124542403</v>
      </c>
      <c r="Q109" s="40">
        <f t="shared" ca="1" si="55"/>
        <v>1.196164840039815E-2</v>
      </c>
    </row>
    <row r="110" spans="2:17" x14ac:dyDescent="0.2">
      <c r="B110">
        <v>2074</v>
      </c>
      <c r="C110" s="39">
        <f t="shared" ca="1" si="43"/>
        <v>50527.957741341728</v>
      </c>
      <c r="D110" s="40">
        <f t="shared" si="44"/>
        <v>8.7953004027232759E-2</v>
      </c>
      <c r="E110" s="39">
        <f t="shared" ca="1" si="45"/>
        <v>4444.0856707120756</v>
      </c>
      <c r="F110" s="39">
        <f t="shared" ca="1" si="46"/>
        <v>1800.2580277014572</v>
      </c>
      <c r="G110" s="39">
        <f t="shared" ca="1" si="47"/>
        <v>2322.1649601130657</v>
      </c>
      <c r="H110" s="39">
        <f t="shared" ca="1" si="48"/>
        <v>43761.707110516589</v>
      </c>
      <c r="I110" s="39">
        <f t="shared" ca="1" si="49"/>
        <v>5982.4553455639134</v>
      </c>
      <c r="J110" s="39">
        <f t="shared" ca="1" si="50"/>
        <v>5469.6972128609359</v>
      </c>
      <c r="K110" s="39">
        <f t="shared" ca="1" si="51"/>
        <v>6175.0210089983366</v>
      </c>
      <c r="L110" s="39">
        <f t="shared" ca="1" si="52"/>
        <v>32116.988888657317</v>
      </c>
      <c r="M110" s="39">
        <f t="shared" ca="1" si="56"/>
        <v>25372.42122203928</v>
      </c>
      <c r="N110" s="39">
        <f t="shared" ca="1" si="53"/>
        <v>9357.8392742288252</v>
      </c>
      <c r="O110" s="39">
        <f t="shared" ca="1" si="31"/>
        <v>752.35002722685931</v>
      </c>
      <c r="P110" s="99">
        <f t="shared" ca="1" si="54"/>
        <v>24629.219994521052</v>
      </c>
      <c r="Q110" s="40">
        <f t="shared" ca="1" si="55"/>
        <v>5.1258575248414928E-2</v>
      </c>
    </row>
    <row r="111" spans="2:17" x14ac:dyDescent="0.2">
      <c r="B111">
        <v>2075</v>
      </c>
      <c r="C111" s="39">
        <f t="shared" ca="1" si="43"/>
        <v>51992.6679717964</v>
      </c>
      <c r="D111" s="40">
        <f t="shared" si="44"/>
        <v>8.5943131556319996E-2</v>
      </c>
      <c r="E111" s="39">
        <f t="shared" ca="1" si="45"/>
        <v>4468.4127034641633</v>
      </c>
      <c r="F111" s="39">
        <f t="shared" ca="1" si="46"/>
        <v>2022.9578763532736</v>
      </c>
      <c r="G111" s="39">
        <f t="shared" ca="1" si="47"/>
        <v>2166.1641457941555</v>
      </c>
      <c r="H111" s="39">
        <f t="shared" ca="1" si="48"/>
        <v>45358.091122538084</v>
      </c>
      <c r="I111" s="39">
        <f t="shared" ca="1" si="49"/>
        <v>5552.1293239833067</v>
      </c>
      <c r="J111" s="39">
        <f t="shared" ca="1" si="50"/>
        <v>5682.5263700076821</v>
      </c>
      <c r="K111" s="39">
        <f t="shared" ca="1" si="51"/>
        <v>5829.7102834087545</v>
      </c>
      <c r="L111" s="39">
        <f t="shared" ca="1" si="52"/>
        <v>33845.854469121652</v>
      </c>
      <c r="M111" s="39">
        <f t="shared" ca="1" si="56"/>
        <v>26738.225030606107</v>
      </c>
      <c r="N111" s="39">
        <f t="shared" ca="1" si="53"/>
        <v>4770.5732914300415</v>
      </c>
      <c r="O111" s="39">
        <f t="shared" ca="1" si="31"/>
        <v>-4587.2659827987836</v>
      </c>
      <c r="P111" s="99">
        <f t="shared" ca="1" si="54"/>
        <v>31599.094328870149</v>
      </c>
      <c r="Q111" s="40">
        <f t="shared" ca="1" si="55"/>
        <v>3.9146457483844044E-2</v>
      </c>
    </row>
    <row r="112" spans="2:17" x14ac:dyDescent="0.2">
      <c r="B112">
        <v>2076</v>
      </c>
      <c r="C112" s="39">
        <f t="shared" ca="1" si="43"/>
        <v>52102.275915370621</v>
      </c>
      <c r="D112" s="40">
        <f t="shared" si="44"/>
        <v>8.3979188015226192E-2</v>
      </c>
      <c r="E112" s="39">
        <f t="shared" ca="1" si="45"/>
        <v>4375.506825118101</v>
      </c>
      <c r="F112" s="39">
        <f t="shared" ca="1" si="46"/>
        <v>1894.4877398318549</v>
      </c>
      <c r="G112" s="39">
        <f t="shared" ca="1" si="47"/>
        <v>1929.7592081240139</v>
      </c>
      <c r="H112" s="39">
        <f t="shared" ca="1" si="48"/>
        <v>45797.009882128506</v>
      </c>
      <c r="I112" s="39">
        <f t="shared" ca="1" si="49"/>
        <v>4117.9775077628656</v>
      </c>
      <c r="J112" s="39">
        <f t="shared" ca="1" si="50"/>
        <v>5274.4776856193821</v>
      </c>
      <c r="K112" s="39">
        <f t="shared" ca="1" si="51"/>
        <v>7556.6758287146913</v>
      </c>
      <c r="L112" s="39">
        <f t="shared" ca="1" si="52"/>
        <v>32965.856367794433</v>
      </c>
      <c r="M112" s="39">
        <f t="shared" ca="1" si="56"/>
        <v>26043.026530557603</v>
      </c>
      <c r="N112" s="39">
        <f t="shared" ca="1" si="53"/>
        <v>7858.6948015245098</v>
      </c>
      <c r="O112" s="39">
        <f t="shared" ca="1" si="31"/>
        <v>3088.1215100944682</v>
      </c>
      <c r="P112" s="99">
        <f t="shared" ca="1" si="54"/>
        <v>24146.676666611809</v>
      </c>
      <c r="Q112" s="40">
        <f t="shared" ca="1" si="55"/>
        <v>2.0858783319405383E-2</v>
      </c>
    </row>
    <row r="113" spans="2:17" x14ac:dyDescent="0.2">
      <c r="B113">
        <v>2077</v>
      </c>
      <c r="C113" s="39">
        <f t="shared" ca="1" si="43"/>
        <v>53482.412424925315</v>
      </c>
      <c r="D113" s="40">
        <f t="shared" si="44"/>
        <v>8.206012385149225E-2</v>
      </c>
      <c r="E113" s="39">
        <f t="shared" ca="1" si="45"/>
        <v>4388.7733874659589</v>
      </c>
      <c r="F113" s="39">
        <f t="shared" ca="1" si="46"/>
        <v>2525.4528864591548</v>
      </c>
      <c r="G113" s="39">
        <f t="shared" ca="1" si="47"/>
        <v>2050.7091160464493</v>
      </c>
      <c r="H113" s="39">
        <f t="shared" ca="1" si="48"/>
        <v>47042.929921412906</v>
      </c>
      <c r="I113" s="39">
        <f t="shared" ca="1" si="49"/>
        <v>6866.2601120978143</v>
      </c>
      <c r="J113" s="39">
        <f t="shared" ca="1" si="50"/>
        <v>5647.5513609560676</v>
      </c>
      <c r="K113" s="39">
        <f t="shared" ca="1" si="51"/>
        <v>5571.3605104756489</v>
      </c>
      <c r="L113" s="39">
        <f t="shared" ca="1" si="52"/>
        <v>35824.01804998119</v>
      </c>
      <c r="M113" s="39">
        <f t="shared" ca="1" si="56"/>
        <v>28300.974259485141</v>
      </c>
      <c r="N113" s="39">
        <f t="shared" ca="1" si="53"/>
        <v>8250.5042804902569</v>
      </c>
      <c r="O113" s="39">
        <f t="shared" ca="1" si="31"/>
        <v>391.80947896574708</v>
      </c>
      <c r="P113" s="99">
        <f t="shared" ca="1" si="54"/>
        <v>26215.712258964941</v>
      </c>
      <c r="Q113" s="40">
        <f t="shared" ca="1" si="55"/>
        <v>1.9042283629163048E-2</v>
      </c>
    </row>
    <row r="114" spans="2:17" x14ac:dyDescent="0.2">
      <c r="B114">
        <v>2078</v>
      </c>
      <c r="C114" s="39">
        <f t="shared" ca="1" si="43"/>
        <v>54681.802513875329</v>
      </c>
      <c r="D114" s="40">
        <f t="shared" si="44"/>
        <v>8.0184913496678917E-2</v>
      </c>
      <c r="E114" s="39">
        <f t="shared" ca="1" si="45"/>
        <v>4384.6556044175732</v>
      </c>
      <c r="F114" s="39">
        <f t="shared" ca="1" si="46"/>
        <v>2758.0953507393042</v>
      </c>
      <c r="G114" s="39">
        <f t="shared" ca="1" si="47"/>
        <v>2200.2503762170086</v>
      </c>
      <c r="H114" s="39">
        <f t="shared" ca="1" si="48"/>
        <v>48096.896533240746</v>
      </c>
      <c r="I114" s="39">
        <f t="shared" ca="1" si="49"/>
        <v>6367.888427321368</v>
      </c>
      <c r="J114" s="39">
        <f t="shared" ca="1" si="50"/>
        <v>5777.3421433458543</v>
      </c>
      <c r="K114" s="39">
        <f t="shared" ca="1" si="51"/>
        <v>7310.3547703162085</v>
      </c>
      <c r="L114" s="39">
        <f t="shared" ca="1" si="52"/>
        <v>35009.199619578685</v>
      </c>
      <c r="M114" s="39">
        <f t="shared" ca="1" si="56"/>
        <v>27657.267699467164</v>
      </c>
      <c r="N114" s="39">
        <f t="shared" ca="1" si="53"/>
        <v>8865.3606049186619</v>
      </c>
      <c r="O114" s="39">
        <f t="shared" ca="1" si="31"/>
        <v>614.85632442840506</v>
      </c>
      <c r="P114" s="99">
        <f t="shared" ca="1" si="54"/>
        <v>25894.020116540949</v>
      </c>
      <c r="Q114" s="40">
        <f t="shared" ca="1" si="55"/>
        <v>1.7937372386948924E-2</v>
      </c>
    </row>
    <row r="115" spans="2:17" x14ac:dyDescent="0.2">
      <c r="B115">
        <v>2079</v>
      </c>
      <c r="C115" s="39">
        <f t="shared" ca="1" si="43"/>
        <v>55657.993389693314</v>
      </c>
      <c r="D115" s="40">
        <f t="shared" si="44"/>
        <v>7.8352554818292036E-2</v>
      </c>
      <c r="E115" s="39">
        <f t="shared" ca="1" si="45"/>
        <v>4360.945978142081</v>
      </c>
      <c r="F115" s="39">
        <f t="shared" ca="1" si="46"/>
        <v>3047.8094732559121</v>
      </c>
      <c r="G115" s="39">
        <f t="shared" ca="1" si="47"/>
        <v>2449.7606653278999</v>
      </c>
      <c r="H115" s="39">
        <f t="shared" ca="1" si="48"/>
        <v>48847.286746223333</v>
      </c>
      <c r="I115" s="39">
        <f t="shared" ca="1" si="49"/>
        <v>5874.8445711948561</v>
      </c>
      <c r="J115" s="39">
        <f t="shared" ca="1" si="50"/>
        <v>5755.8199884720416</v>
      </c>
      <c r="K115" s="39">
        <f t="shared" ca="1" si="51"/>
        <v>7603.7892734815296</v>
      </c>
      <c r="L115" s="39">
        <f t="shared" ca="1" si="52"/>
        <v>35487.677484269763</v>
      </c>
      <c r="M115" s="39">
        <f t="shared" ca="1" si="56"/>
        <v>28035.265212573115</v>
      </c>
      <c r="N115" s="39">
        <f t="shared" ca="1" si="53"/>
        <v>7647.9366823958408</v>
      </c>
      <c r="O115" s="39">
        <f t="shared" ca="1" si="31"/>
        <v>-1217.4239225228212</v>
      </c>
      <c r="P115" s="99">
        <f t="shared" ca="1" si="54"/>
        <v>28535.615744445109</v>
      </c>
      <c r="Q115" s="40">
        <f t="shared" ca="1" si="55"/>
        <v>1.7988982145239696E-2</v>
      </c>
    </row>
    <row r="116" spans="2:17" x14ac:dyDescent="0.2">
      <c r="B116">
        <v>2080</v>
      </c>
      <c r="C116" s="39">
        <f t="shared" ca="1" si="43"/>
        <v>58495.595155951036</v>
      </c>
      <c r="D116" s="40">
        <f t="shared" si="44"/>
        <v>7.6562068584232215E-2</v>
      </c>
      <c r="E116" s="39">
        <f t="shared" ca="1" si="45"/>
        <v>4478.5437682054053</v>
      </c>
      <c r="F116" s="39">
        <f t="shared" ca="1" si="46"/>
        <v>2922.4893016332371</v>
      </c>
      <c r="G116" s="39">
        <f t="shared" ca="1" si="47"/>
        <v>2629.6669503838925</v>
      </c>
      <c r="H116" s="39">
        <f t="shared" ca="1" si="48"/>
        <v>51387.384437361739</v>
      </c>
      <c r="I116" s="39">
        <f t="shared" ca="1" si="49"/>
        <v>6704.5071460009121</v>
      </c>
      <c r="J116" s="39">
        <f t="shared" ca="1" si="50"/>
        <v>5986.2955528755638</v>
      </c>
      <c r="K116" s="39">
        <f t="shared" ca="1" si="51"/>
        <v>6567.9115232568411</v>
      </c>
      <c r="L116" s="39">
        <f t="shared" ca="1" si="52"/>
        <v>38833.177361229333</v>
      </c>
      <c r="M116" s="39">
        <f t="shared" ca="1" si="56"/>
        <v>30678.210115371174</v>
      </c>
      <c r="N116" s="39">
        <f t="shared" ca="1" si="53"/>
        <v>10657.546012080395</v>
      </c>
      <c r="O116" s="39">
        <f t="shared" ca="1" si="31"/>
        <v>3009.6093296845538</v>
      </c>
      <c r="P116" s="99">
        <f t="shared" ca="1" si="54"/>
        <v>26657.566841311927</v>
      </c>
      <c r="Q116" s="40">
        <f t="shared" ca="1" si="55"/>
        <v>3.4192137638687115E-2</v>
      </c>
    </row>
    <row r="117" spans="2:17" x14ac:dyDescent="0.2">
      <c r="B117">
        <v>2081</v>
      </c>
      <c r="C117" s="39">
        <f t="shared" ca="1" si="43"/>
        <v>58427.238033455578</v>
      </c>
      <c r="D117" s="40">
        <f t="shared" si="44"/>
        <v>7.4812497939482692E-2</v>
      </c>
      <c r="E117" s="39">
        <f t="shared" ca="1" si="45"/>
        <v>4371.08762498756</v>
      </c>
      <c r="F117" s="39">
        <f t="shared" ca="1" si="46"/>
        <v>4273.0481781590015</v>
      </c>
      <c r="G117" s="39">
        <f t="shared" ca="1" si="47"/>
        <v>3105.3790380493219</v>
      </c>
      <c r="H117" s="39">
        <f t="shared" ca="1" si="48"/>
        <v>50950.771370418697</v>
      </c>
      <c r="I117" s="39">
        <f t="shared" ca="1" si="49"/>
        <v>5899.9929057596382</v>
      </c>
      <c r="J117" s="39">
        <f t="shared" ca="1" si="50"/>
        <v>6342.6986324749178</v>
      </c>
      <c r="K117" s="39">
        <f t="shared" ca="1" si="51"/>
        <v>9137.1751563667949</v>
      </c>
      <c r="L117" s="39">
        <f t="shared" ca="1" si="52"/>
        <v>35470.897581576981</v>
      </c>
      <c r="M117" s="39">
        <f t="shared" ca="1" si="56"/>
        <v>28022.009089445815</v>
      </c>
      <c r="N117" s="39">
        <f t="shared" ca="1" si="53"/>
        <v>7918.0753927771993</v>
      </c>
      <c r="O117" s="39">
        <f t="shared" ca="1" si="31"/>
        <v>-2739.4706193031952</v>
      </c>
      <c r="P117" s="99">
        <f t="shared" ca="1" si="54"/>
        <v>30036.51629535461</v>
      </c>
      <c r="Q117" s="40">
        <f t="shared" ca="1" si="55"/>
        <v>4.6184945341132044E-2</v>
      </c>
    </row>
    <row r="118" spans="2:17" x14ac:dyDescent="0.2">
      <c r="B118">
        <v>2082</v>
      </c>
      <c r="C118" s="39">
        <f t="shared" ca="1" si="43"/>
        <v>60265.279489894623</v>
      </c>
      <c r="D118" s="40">
        <f t="shared" si="44"/>
        <v>7.3102907894755778E-2</v>
      </c>
      <c r="E118" s="39">
        <f t="shared" ca="1" si="45"/>
        <v>4405.5671758014814</v>
      </c>
      <c r="F118" s="39">
        <f t="shared" ca="1" si="46"/>
        <v>3209.9759637600432</v>
      </c>
      <c r="G118" s="39">
        <f t="shared" ca="1" si="47"/>
        <v>3242.2836535094998</v>
      </c>
      <c r="H118" s="39">
        <f t="shared" ca="1" si="48"/>
        <v>52617.428660583639</v>
      </c>
      <c r="I118" s="39">
        <f t="shared" ca="1" si="49"/>
        <v>7330.6148573398641</v>
      </c>
      <c r="J118" s="39">
        <f t="shared" ca="1" si="50"/>
        <v>6435.5695815233285</v>
      </c>
      <c r="K118" s="39">
        <f t="shared" ca="1" si="51"/>
        <v>9273.0568568378949</v>
      </c>
      <c r="L118" s="39">
        <f t="shared" ca="1" si="52"/>
        <v>36908.802222222417</v>
      </c>
      <c r="M118" s="39">
        <f t="shared" ca="1" si="56"/>
        <v>29157.953755555711</v>
      </c>
      <c r="N118" s="39">
        <f t="shared" ca="1" si="53"/>
        <v>7568.5624283954985</v>
      </c>
      <c r="O118" s="39">
        <f t="shared" ca="1" si="31"/>
        <v>-349.51296438170084</v>
      </c>
      <c r="P118" s="99">
        <f t="shared" ca="1" si="54"/>
        <v>28644.729133870333</v>
      </c>
      <c r="Q118" s="40">
        <f t="shared" ca="1" si="55"/>
        <v>9.4276026460446971E-3</v>
      </c>
    </row>
    <row r="119" spans="2:17" x14ac:dyDescent="0.2">
      <c r="B119">
        <v>2083</v>
      </c>
      <c r="C119" s="39">
        <f t="shared" ca="1" si="43"/>
        <v>60233.351307925972</v>
      </c>
      <c r="D119" s="40">
        <f t="shared" si="44"/>
        <v>7.1432384826824555E-2</v>
      </c>
      <c r="E119" s="39">
        <f t="shared" ca="1" si="45"/>
        <v>4302.6119300370838</v>
      </c>
      <c r="F119" s="39">
        <f t="shared" ca="1" si="46"/>
        <v>2797.7499589288054</v>
      </c>
      <c r="G119" s="39">
        <f t="shared" ca="1" si="47"/>
        <v>3250.2145751474</v>
      </c>
      <c r="H119" s="39">
        <f t="shared" ca="1" si="48"/>
        <v>52680.524802741485</v>
      </c>
      <c r="I119" s="39">
        <f t="shared" ca="1" si="49"/>
        <v>8050.2694024360071</v>
      </c>
      <c r="J119" s="39">
        <f t="shared" ca="1" si="50"/>
        <v>6772.0457765462561</v>
      </c>
      <c r="K119" s="39">
        <f t="shared" ca="1" si="51"/>
        <v>8734.9864052925786</v>
      </c>
      <c r="L119" s="39">
        <f t="shared" ca="1" si="52"/>
        <v>37173.492620902653</v>
      </c>
      <c r="M119" s="39">
        <f t="shared" ca="1" si="56"/>
        <v>29367.059170513097</v>
      </c>
      <c r="N119" s="39">
        <f t="shared" ca="1" si="53"/>
        <v>11041.138278831526</v>
      </c>
      <c r="O119" s="39">
        <f t="shared" ca="1" si="31"/>
        <v>3472.5758504360274</v>
      </c>
      <c r="P119" s="99">
        <f t="shared" ca="1" si="54"/>
        <v>25068.724310405916</v>
      </c>
      <c r="Q119" s="40">
        <f t="shared" ca="1" si="55"/>
        <v>4.0769475465856075E-3</v>
      </c>
    </row>
    <row r="120" spans="2:17" x14ac:dyDescent="0.2">
      <c r="B120">
        <v>2084</v>
      </c>
      <c r="C120" s="39">
        <f t="shared" ca="1" si="43"/>
        <v>59988.582600393253</v>
      </c>
      <c r="D120" s="40">
        <f t="shared" si="44"/>
        <v>6.9800035990272846E-2</v>
      </c>
      <c r="E120" s="39">
        <f t="shared" ca="1" si="45"/>
        <v>4187.2052245129044</v>
      </c>
      <c r="F120" s="39">
        <f t="shared" ca="1" si="46"/>
        <v>3686.7299039674558</v>
      </c>
      <c r="G120" s="39">
        <f t="shared" ca="1" si="47"/>
        <v>3377.9986612897083</v>
      </c>
      <c r="H120" s="39">
        <f t="shared" ca="1" si="48"/>
        <v>52423.378714590639</v>
      </c>
      <c r="I120" s="39">
        <f t="shared" ca="1" si="49"/>
        <v>6030.7171858772126</v>
      </c>
      <c r="J120" s="39">
        <f t="shared" ca="1" si="50"/>
        <v>6803.2202994827267</v>
      </c>
      <c r="K120" s="39">
        <f t="shared" ca="1" si="51"/>
        <v>6321.9278506169803</v>
      </c>
      <c r="L120" s="39">
        <f t="shared" ca="1" si="52"/>
        <v>39298.230564490936</v>
      </c>
      <c r="M120" s="39">
        <f t="shared" ca="1" si="56"/>
        <v>31045.60214594784</v>
      </c>
      <c r="N120" s="39">
        <f t="shared" ca="1" si="53"/>
        <v>7714.1033237892425</v>
      </c>
      <c r="O120" s="39">
        <f t="shared" ca="1" si="31"/>
        <v>-3327.0349550422834</v>
      </c>
      <c r="P120" s="99">
        <f t="shared" ca="1" si="54"/>
        <v>34836.408971917888</v>
      </c>
      <c r="Q120" s="40">
        <f t="shared" ca="1" si="55"/>
        <v>3.5281068063608423E-2</v>
      </c>
    </row>
    <row r="121" spans="2:17" x14ac:dyDescent="0.2">
      <c r="B121">
        <v>2085</v>
      </c>
      <c r="C121" s="39">
        <f t="shared" ca="1" si="43"/>
        <v>60549.318495494117</v>
      </c>
      <c r="D121" s="40">
        <f t="shared" si="44"/>
        <v>6.8204989040402536E-2</v>
      </c>
      <c r="E121" s="39">
        <f t="shared" ca="1" si="45"/>
        <v>4129.7656043890192</v>
      </c>
      <c r="F121" s="39">
        <f t="shared" ca="1" si="46"/>
        <v>3306.3900570417654</v>
      </c>
      <c r="G121" s="39">
        <f t="shared" ca="1" si="47"/>
        <v>3454.778812371414</v>
      </c>
      <c r="H121" s="39">
        <f t="shared" ca="1" si="48"/>
        <v>52964.774078733681</v>
      </c>
      <c r="I121" s="39">
        <f t="shared" ca="1" si="49"/>
        <v>7279.7726499775845</v>
      </c>
      <c r="J121" s="39">
        <f t="shared" ca="1" si="50"/>
        <v>6918.2734002780608</v>
      </c>
      <c r="K121" s="39">
        <f t="shared" ca="1" si="51"/>
        <v>8688.0916816772751</v>
      </c>
      <c r="L121" s="39">
        <f t="shared" ca="1" si="52"/>
        <v>37358.408996778344</v>
      </c>
      <c r="M121" s="39">
        <f t="shared" ca="1" si="56"/>
        <v>29513.143107454893</v>
      </c>
      <c r="N121" s="39">
        <f t="shared" ca="1" si="53"/>
        <v>9293.9500106932719</v>
      </c>
      <c r="O121" s="39">
        <f t="shared" ca="1" si="31"/>
        <v>1579.8466869040294</v>
      </c>
      <c r="P121" s="99">
        <f t="shared" ca="1" si="54"/>
        <v>27720.185926180988</v>
      </c>
      <c r="Q121" s="40">
        <f t="shared" ca="1" si="55"/>
        <v>-1.3011368459506789E-2</v>
      </c>
    </row>
    <row r="122" spans="2:17" x14ac:dyDescent="0.2">
      <c r="B122">
        <v>2086</v>
      </c>
      <c r="C122" s="39">
        <f t="shared" ca="1" si="43"/>
        <v>63219.099979623861</v>
      </c>
      <c r="D122" s="40">
        <f t="shared" si="44"/>
        <v>6.6646391567043162E-2</v>
      </c>
      <c r="E122" s="39">
        <f t="shared" ca="1" si="45"/>
        <v>4213.3248917580622</v>
      </c>
      <c r="F122" s="39">
        <f t="shared" ca="1" si="46"/>
        <v>3633.1110479986664</v>
      </c>
      <c r="G122" s="39">
        <f t="shared" ca="1" si="47"/>
        <v>3326.7913863393478</v>
      </c>
      <c r="H122" s="39">
        <f t="shared" ca="1" si="48"/>
        <v>55678.983701526449</v>
      </c>
      <c r="I122" s="39">
        <f t="shared" ca="1" si="49"/>
        <v>6875.2660104921888</v>
      </c>
      <c r="J122" s="39">
        <f t="shared" ca="1" si="50"/>
        <v>7113.3280212245709</v>
      </c>
      <c r="K122" s="39">
        <f t="shared" ca="1" si="51"/>
        <v>5320.7548660486991</v>
      </c>
      <c r="L122" s="39">
        <f t="shared" ca="1" si="52"/>
        <v>43244.900814253182</v>
      </c>
      <c r="M122" s="39">
        <f t="shared" ca="1" si="56"/>
        <v>34163.471643260018</v>
      </c>
      <c r="N122" s="39">
        <f t="shared" ca="1" si="53"/>
        <v>11221.353446446956</v>
      </c>
      <c r="O122" s="39">
        <f t="shared" ca="1" si="31"/>
        <v>1927.4034357536839</v>
      </c>
      <c r="P122" s="99">
        <f t="shared" ca="1" si="54"/>
        <v>32167.810556579399</v>
      </c>
      <c r="Q122" s="40">
        <f t="shared" ca="1" si="55"/>
        <v>2.9097240298061156E-2</v>
      </c>
    </row>
    <row r="123" spans="2:17" x14ac:dyDescent="0.2">
      <c r="B123">
        <v>2087</v>
      </c>
      <c r="C123" s="39">
        <f t="shared" ca="1" si="43"/>
        <v>65203.675020599469</v>
      </c>
      <c r="D123" s="40">
        <f t="shared" si="44"/>
        <v>6.5123410639014861E-2</v>
      </c>
      <c r="E123" s="39">
        <f t="shared" ca="1" si="45"/>
        <v>4246.2857035393754</v>
      </c>
      <c r="F123" s="39">
        <f t="shared" ca="1" si="46"/>
        <v>1764.6679611420777</v>
      </c>
      <c r="G123" s="39">
        <f t="shared" ca="1" si="47"/>
        <v>3037.7297858157544</v>
      </c>
      <c r="H123" s="39">
        <f t="shared" ca="1" si="48"/>
        <v>57919.659531244339</v>
      </c>
      <c r="I123" s="39">
        <f t="shared" ca="1" si="49"/>
        <v>7010.6180680912767</v>
      </c>
      <c r="J123" s="39">
        <f t="shared" ca="1" si="50"/>
        <v>7049.328663374853</v>
      </c>
      <c r="K123" s="39">
        <f t="shared" ca="1" si="51"/>
        <v>8637.7712410600016</v>
      </c>
      <c r="L123" s="39">
        <f t="shared" ca="1" si="52"/>
        <v>42232.559626809481</v>
      </c>
      <c r="M123" s="39">
        <f t="shared" ca="1" si="56"/>
        <v>33363.722105179491</v>
      </c>
      <c r="N123" s="39">
        <f t="shared" ca="1" si="53"/>
        <v>7709.5538681231774</v>
      </c>
      <c r="O123" s="39">
        <f t="shared" ca="1" si="31"/>
        <v>-3511.7995783237784</v>
      </c>
      <c r="P123" s="99">
        <f t="shared" ca="1" si="54"/>
        <v>38187.294103460525</v>
      </c>
      <c r="Q123" s="40">
        <f t="shared" ca="1" si="55"/>
        <v>3.8330765945340461E-2</v>
      </c>
    </row>
    <row r="124" spans="2:17" x14ac:dyDescent="0.2">
      <c r="B124">
        <v>2088</v>
      </c>
      <c r="C124" s="39">
        <f t="shared" ca="1" si="43"/>
        <v>67036.387597613531</v>
      </c>
      <c r="D124" s="40">
        <f t="shared" si="44"/>
        <v>6.3635232359000954E-2</v>
      </c>
      <c r="E124" s="39">
        <f t="shared" ca="1" si="45"/>
        <v>4265.8761012821869</v>
      </c>
      <c r="F124" s="39">
        <f t="shared" ca="1" si="46"/>
        <v>4764.9032446595638</v>
      </c>
      <c r="G124" s="39">
        <f t="shared" ca="1" si="47"/>
        <v>3431.1604429619051</v>
      </c>
      <c r="H124" s="39">
        <f t="shared" ca="1" si="48"/>
        <v>59339.351053369435</v>
      </c>
      <c r="I124" s="39">
        <f t="shared" ca="1" si="49"/>
        <v>9427.9196145199585</v>
      </c>
      <c r="J124" s="39">
        <f t="shared" ca="1" si="50"/>
        <v>7324.8587057916448</v>
      </c>
      <c r="K124" s="39">
        <f t="shared" ca="1" si="51"/>
        <v>8195.4354028718571</v>
      </c>
      <c r="L124" s="39">
        <f t="shared" ca="1" si="52"/>
        <v>43819.056944705932</v>
      </c>
      <c r="M124" s="39">
        <f t="shared" ca="1" si="56"/>
        <v>34617.054986317686</v>
      </c>
      <c r="N124" s="39">
        <f t="shared" ca="1" si="53"/>
        <v>11741.787261219675</v>
      </c>
      <c r="O124" s="39">
        <f t="shared" ca="1" si="31"/>
        <v>4032.2333930964978</v>
      </c>
      <c r="P124" s="99">
        <f t="shared" ca="1" si="54"/>
        <v>27148.017882795219</v>
      </c>
      <c r="Q124" s="40">
        <f t="shared" ca="1" si="55"/>
        <v>4.7403982095770569E-3</v>
      </c>
    </row>
    <row r="125" spans="2:17" x14ac:dyDescent="0.2">
      <c r="B125">
        <v>2089</v>
      </c>
      <c r="C125" s="39">
        <f t="shared" ca="1" si="43"/>
        <v>68732.57978143201</v>
      </c>
      <c r="D125" s="40">
        <f t="shared" si="44"/>
        <v>6.2181061428592574E-2</v>
      </c>
      <c r="E125" s="39">
        <f t="shared" ca="1" si="45"/>
        <v>4273.8647655348641</v>
      </c>
      <c r="F125" s="39">
        <f t="shared" ca="1" si="46"/>
        <v>4437.8098629442484</v>
      </c>
      <c r="G125" s="39">
        <f t="shared" ca="1" si="47"/>
        <v>3581.3764347572637</v>
      </c>
      <c r="H125" s="39">
        <f t="shared" ca="1" si="48"/>
        <v>60877.338581139884</v>
      </c>
      <c r="I125" s="39">
        <f t="shared" ca="1" si="49"/>
        <v>6280.3997609326525</v>
      </c>
      <c r="J125" s="39">
        <f t="shared" ca="1" si="50"/>
        <v>7374.7952208027327</v>
      </c>
      <c r="K125" s="39">
        <f t="shared" ca="1" si="51"/>
        <v>6980.0570034590492</v>
      </c>
      <c r="L125" s="39">
        <f t="shared" ca="1" si="52"/>
        <v>46522.4863568781</v>
      </c>
      <c r="M125" s="39">
        <f t="shared" ca="1" si="56"/>
        <v>36752.764221933699</v>
      </c>
      <c r="N125" s="39">
        <f t="shared" ca="1" si="53"/>
        <v>9621.2400299696128</v>
      </c>
      <c r="O125" s="39">
        <f t="shared" ca="1" si="31"/>
        <v>-2120.5472312500624</v>
      </c>
      <c r="P125" s="99">
        <f t="shared" ca="1" si="54"/>
        <v>39111.273484866862</v>
      </c>
      <c r="Q125" s="40">
        <f t="shared" ca="1" si="55"/>
        <v>3.2027977583143796E-2</v>
      </c>
    </row>
    <row r="126" spans="2:17" x14ac:dyDescent="0.2">
      <c r="B126">
        <v>2090</v>
      </c>
      <c r="C126" s="39">
        <f t="shared" ca="1" si="43"/>
        <v>70840.35674370038</v>
      </c>
      <c r="D126" s="40">
        <f t="shared" si="44"/>
        <v>6.0760120723272637E-2</v>
      </c>
      <c r="E126" s="39">
        <f t="shared" ca="1" si="45"/>
        <v>4304.2686278269357</v>
      </c>
      <c r="F126" s="39">
        <f t="shared" ca="1" si="46"/>
        <v>1944.5469400842317</v>
      </c>
      <c r="G126" s="39">
        <f t="shared" ca="1" si="47"/>
        <v>3309.0078113657573</v>
      </c>
      <c r="H126" s="39">
        <f t="shared" ca="1" si="48"/>
        <v>63227.08030450769</v>
      </c>
      <c r="I126" s="39">
        <f t="shared" ca="1" si="49"/>
        <v>9085.3301524869621</v>
      </c>
      <c r="J126" s="39">
        <f t="shared" ca="1" si="50"/>
        <v>7735.9067213046073</v>
      </c>
      <c r="K126" s="39">
        <f t="shared" ca="1" si="51"/>
        <v>8895.1869248777366</v>
      </c>
      <c r="L126" s="39">
        <f t="shared" ca="1" si="52"/>
        <v>46595.986658325346</v>
      </c>
      <c r="M126" s="39">
        <f t="shared" ca="1" si="56"/>
        <v>36810.829460077024</v>
      </c>
      <c r="N126" s="39">
        <f t="shared" ca="1" si="53"/>
        <v>12420.244560938587</v>
      </c>
      <c r="O126" s="39">
        <f t="shared" ca="1" si="31"/>
        <v>2799.004530968974</v>
      </c>
      <c r="P126" s="99">
        <f t="shared" ca="1" si="54"/>
        <v>34026.862369207221</v>
      </c>
      <c r="Q126" s="40">
        <f t="shared" ca="1" si="55"/>
        <v>2.4708030585328888E-2</v>
      </c>
    </row>
    <row r="127" spans="2:17" x14ac:dyDescent="0.2">
      <c r="B127">
        <v>2091</v>
      </c>
      <c r="C127" s="39">
        <f t="shared" ca="1" si="43"/>
        <v>73132.35749321933</v>
      </c>
      <c r="D127" s="40">
        <f t="shared" si="44"/>
        <v>5.9371650877112186E-2</v>
      </c>
      <c r="E127" s="39">
        <f t="shared" ca="1" si="45"/>
        <v>4341.9887969075771</v>
      </c>
      <c r="F127" s="39">
        <f t="shared" ca="1" si="46"/>
        <v>3193.899057517996</v>
      </c>
      <c r="G127" s="39">
        <f t="shared" ca="1" si="47"/>
        <v>3221.1654132696235</v>
      </c>
      <c r="H127" s="39">
        <f t="shared" ca="1" si="48"/>
        <v>65569.203283042123</v>
      </c>
      <c r="I127" s="39">
        <f t="shared" ca="1" si="49"/>
        <v>8360.1781216069485</v>
      </c>
      <c r="J127" s="39">
        <f t="shared" ca="1" si="50"/>
        <v>8032.88914352756</v>
      </c>
      <c r="K127" s="39">
        <f t="shared" ca="1" si="51"/>
        <v>7967.3974886335554</v>
      </c>
      <c r="L127" s="39">
        <f t="shared" ca="1" si="52"/>
        <v>49568.916650881009</v>
      </c>
      <c r="M127" s="39">
        <f t="shared" ca="1" si="56"/>
        <v>39159.444154195997</v>
      </c>
      <c r="N127" s="39">
        <f t="shared" ca="1" si="53"/>
        <v>10357.320051615799</v>
      </c>
      <c r="O127" s="39">
        <f t="shared" ca="1" si="31"/>
        <v>-2062.9245093227873</v>
      </c>
      <c r="P127" s="99">
        <f t="shared" ca="1" si="54"/>
        <v>40922.346041191027</v>
      </c>
      <c r="Q127" s="40">
        <f t="shared" ca="1" si="55"/>
        <v>3.1409426437738697E-2</v>
      </c>
    </row>
    <row r="128" spans="2:17" x14ac:dyDescent="0.2">
      <c r="B128">
        <v>2092</v>
      </c>
      <c r="C128" s="39">
        <f t="shared" ca="1" si="43"/>
        <v>73841.381828759142</v>
      </c>
      <c r="D128" s="40">
        <f t="shared" si="44"/>
        <v>5.8014909876957108E-2</v>
      </c>
      <c r="E128" s="39">
        <f t="shared" ca="1" si="45"/>
        <v>4283.9011119854395</v>
      </c>
      <c r="F128" s="39">
        <f t="shared" ca="1" si="46"/>
        <v>2196.352033008528</v>
      </c>
      <c r="G128" s="39">
        <f t="shared" ca="1" si="47"/>
        <v>3307.502227642914</v>
      </c>
      <c r="H128" s="39">
        <f t="shared" ca="1" si="48"/>
        <v>66249.978489130794</v>
      </c>
      <c r="I128" s="39">
        <f t="shared" ca="1" si="49"/>
        <v>5639.264435624963</v>
      </c>
      <c r="J128" s="39">
        <f t="shared" ca="1" si="50"/>
        <v>7758.6184170342985</v>
      </c>
      <c r="K128" s="39">
        <f t="shared" ca="1" si="51"/>
        <v>9882.7226787196269</v>
      </c>
      <c r="L128" s="39">
        <f t="shared" ca="1" si="52"/>
        <v>48608.63739337687</v>
      </c>
      <c r="M128" s="39">
        <f t="shared" ca="1" si="56"/>
        <v>38400.823540767728</v>
      </c>
      <c r="N128" s="39">
        <f t="shared" ca="1" si="53"/>
        <v>9800.7220072540131</v>
      </c>
      <c r="O128" s="39">
        <f t="shared" ca="1" si="31"/>
        <v>-556.59804436178638</v>
      </c>
      <c r="P128" s="99">
        <f t="shared" ca="1" si="54"/>
        <v>42187.925761173239</v>
      </c>
      <c r="Q128" s="40">
        <f t="shared" ca="1" si="55"/>
        <v>3.9475709839152273E-2</v>
      </c>
    </row>
    <row r="129" spans="2:17" x14ac:dyDescent="0.2">
      <c r="B129">
        <v>2093</v>
      </c>
      <c r="C129" s="39">
        <f t="shared" ca="1" si="43"/>
        <v>76021.248225708812</v>
      </c>
      <c r="D129" s="40">
        <f t="shared" si="44"/>
        <v>5.6689172665888368E-2</v>
      </c>
      <c r="E129" s="39">
        <f t="shared" ca="1" si="45"/>
        <v>4309.5816669435662</v>
      </c>
      <c r="F129" s="39">
        <f t="shared" ca="1" si="46"/>
        <v>3200.9045464223946</v>
      </c>
      <c r="G129" s="39">
        <f t="shared" ca="1" si="47"/>
        <v>2994.7024879954797</v>
      </c>
      <c r="H129" s="39">
        <f t="shared" ca="1" si="48"/>
        <v>68716.964070769769</v>
      </c>
      <c r="I129" s="39">
        <f t="shared" ca="1" si="49"/>
        <v>9815.681740024158</v>
      </c>
      <c r="J129" s="39">
        <f t="shared" ca="1" si="50"/>
        <v>7836.1708421351377</v>
      </c>
      <c r="K129" s="39">
        <f t="shared" ca="1" si="51"/>
        <v>9034.181594560785</v>
      </c>
      <c r="L129" s="39">
        <f t="shared" ca="1" si="52"/>
        <v>51846.611634073844</v>
      </c>
      <c r="M129" s="39">
        <f t="shared" ca="1" si="56"/>
        <v>40958.823190918338</v>
      </c>
      <c r="N129" s="39">
        <f t="shared" ca="1" si="53"/>
        <v>11843.34176842427</v>
      </c>
      <c r="O129" s="39">
        <f t="shared" ca="1" si="31"/>
        <v>2042.6197611702573</v>
      </c>
      <c r="P129" s="99">
        <f t="shared" ca="1" si="54"/>
        <v>36730.490473432146</v>
      </c>
      <c r="Q129" s="40">
        <f t="shared" ca="1" si="55"/>
        <v>3.8937564862948859E-2</v>
      </c>
    </row>
    <row r="130" spans="2:17" x14ac:dyDescent="0.2">
      <c r="B130">
        <v>2094</v>
      </c>
      <c r="C130" s="39">
        <f t="shared" ca="1" si="43"/>
        <v>77257.27434986952</v>
      </c>
      <c r="D130" s="40">
        <f t="shared" si="44"/>
        <v>5.5393730755743824E-2</v>
      </c>
      <c r="E130" s="39">
        <f t="shared" ca="1" si="45"/>
        <v>4279.5686542593057</v>
      </c>
      <c r="F130" s="39">
        <f t="shared" ca="1" si="46"/>
        <v>3704.0662872006155</v>
      </c>
      <c r="G130" s="39">
        <f t="shared" ca="1" si="47"/>
        <v>2847.9537728467535</v>
      </c>
      <c r="H130" s="39">
        <f t="shared" ca="1" si="48"/>
        <v>70129.751922763462</v>
      </c>
      <c r="I130" s="39">
        <f t="shared" ca="1" si="49"/>
        <v>7002.0272348255285</v>
      </c>
      <c r="J130" s="39">
        <f t="shared" ca="1" si="50"/>
        <v>7980.4963369137131</v>
      </c>
      <c r="K130" s="39">
        <f t="shared" ca="1" si="51"/>
        <v>9855.3373144657489</v>
      </c>
      <c r="L130" s="39">
        <f t="shared" ca="1" si="52"/>
        <v>52293.918271383998</v>
      </c>
      <c r="M130" s="39">
        <f t="shared" ref="M130:M131" ca="1" si="57">L130*(1-$C$25)</f>
        <v>41312.195434393361</v>
      </c>
      <c r="N130" s="39">
        <f t="shared" ca="1" si="53"/>
        <v>12869.848184821494</v>
      </c>
      <c r="O130" s="39">
        <f t="shared" ca="1" si="31"/>
        <v>1026.5064163972238</v>
      </c>
      <c r="P130" s="99">
        <f t="shared" ca="1" si="54"/>
        <v>40408.045605730455</v>
      </c>
      <c r="Q130" s="40">
        <f t="shared" ca="1" si="55"/>
        <v>1.4947192362567252E-2</v>
      </c>
    </row>
    <row r="131" spans="2:17" x14ac:dyDescent="0.2">
      <c r="B131">
        <v>2095</v>
      </c>
      <c r="C131" s="39">
        <f t="shared" ca="1" si="43"/>
        <v>76940.207686271009</v>
      </c>
      <c r="D131" s="40">
        <f t="shared" si="44"/>
        <v>5.4127891848494557E-2</v>
      </c>
      <c r="E131" s="39">
        <f t="shared" ca="1" si="45"/>
        <v>4164.6112404431869</v>
      </c>
      <c r="F131" s="39">
        <f t="shared" ca="1" si="46"/>
        <v>3698.4199381971398</v>
      </c>
      <c r="G131" s="39">
        <f t="shared" ca="1" si="47"/>
        <v>3198.7283724693348</v>
      </c>
      <c r="H131" s="39">
        <f t="shared" ca="1" si="48"/>
        <v>69576.868073358492</v>
      </c>
      <c r="I131" s="39">
        <f t="shared" ca="1" si="49"/>
        <v>8578.6911916479803</v>
      </c>
      <c r="J131" s="39">
        <f t="shared" ca="1" si="50"/>
        <v>7879.1685447459167</v>
      </c>
      <c r="K131" s="39">
        <f t="shared" ca="1" si="51"/>
        <v>11479.973256635263</v>
      </c>
      <c r="L131" s="39">
        <f t="shared" ca="1" si="52"/>
        <v>50217.726271977313</v>
      </c>
      <c r="M131" s="39">
        <f t="shared" ca="1" si="57"/>
        <v>39672.003754862082</v>
      </c>
      <c r="N131" s="39">
        <f t="shared" ca="1" si="53"/>
        <v>11115.98482156625</v>
      </c>
      <c r="O131" s="39">
        <f t="shared" ca="1" si="31"/>
        <v>-1753.8633632552446</v>
      </c>
      <c r="P131" s="99">
        <f t="shared" ca="1" si="54"/>
        <v>40226.652905487463</v>
      </c>
      <c r="Q131" s="40">
        <f t="shared" ca="1" si="55"/>
        <v>3.793886925744494E-2</v>
      </c>
    </row>
    <row r="132" spans="2:17" x14ac:dyDescent="0.2">
      <c r="B132">
        <v>2096</v>
      </c>
      <c r="C132" s="39">
        <f t="shared" ca="1" si="43"/>
        <v>79594.151249708564</v>
      </c>
      <c r="D132" s="40">
        <f t="shared" si="44"/>
        <v>5.2890979466273393E-2</v>
      </c>
      <c r="E132" s="39">
        <f t="shared" ca="1" si="45"/>
        <v>4209.8126193837943</v>
      </c>
      <c r="F132" s="39">
        <f t="shared" ca="1" si="46"/>
        <v>3763.3647694847336</v>
      </c>
      <c r="G132" s="39">
        <f t="shared" ca="1" si="47"/>
        <v>3312.6215148626825</v>
      </c>
      <c r="H132" s="39">
        <f t="shared" ca="1" si="48"/>
        <v>72071.717115462088</v>
      </c>
      <c r="I132" s="39">
        <f t="shared" ca="1" si="49"/>
        <v>8523.5042637313145</v>
      </c>
      <c r="J132" s="39">
        <f t="shared" ca="1" si="50"/>
        <v>7911.8337731707888</v>
      </c>
      <c r="K132" s="39">
        <f t="shared" ca="1" si="51"/>
        <v>9109.1445452464486</v>
      </c>
      <c r="L132" s="39">
        <f t="shared" ca="1" si="52"/>
        <v>55050.738797044847</v>
      </c>
      <c r="M132" s="39">
        <f t="shared" ref="M132:M135" ca="1" si="58">L132*(1-$C$25)</f>
        <v>43490.08364966543</v>
      </c>
      <c r="N132" s="39">
        <f t="shared" ca="1" si="53"/>
        <v>15464.214007259052</v>
      </c>
      <c r="O132" s="39">
        <f t="shared" ref="O132:O135" ca="1" si="59">N132-N131</f>
        <v>4348.2291856928023</v>
      </c>
      <c r="P132" s="99">
        <f t="shared" ca="1" si="54"/>
        <v>38079.440718790051</v>
      </c>
      <c r="Q132" s="40">
        <f t="shared" ca="1" si="55"/>
        <v>1.7013940293079122E-2</v>
      </c>
    </row>
    <row r="133" spans="2:17" x14ac:dyDescent="0.2">
      <c r="B133">
        <v>2097</v>
      </c>
      <c r="C133" s="39">
        <f t="shared" ca="1" si="43"/>
        <v>78930.770748081428</v>
      </c>
      <c r="D133" s="40">
        <f t="shared" si="44"/>
        <v>5.1682332589857889E-2</v>
      </c>
      <c r="E133" s="39">
        <f t="shared" ca="1" si="45"/>
        <v>4079.3263453761706</v>
      </c>
      <c r="F133" s="39">
        <f t="shared" ca="1" si="46"/>
        <v>4562.534709233908</v>
      </c>
      <c r="G133" s="39">
        <f t="shared" ca="1" si="47"/>
        <v>3785.8580501077581</v>
      </c>
      <c r="H133" s="39">
        <f t="shared" ca="1" si="48"/>
        <v>71065.5863525975</v>
      </c>
      <c r="I133" s="39">
        <f t="shared" ca="1" si="49"/>
        <v>7114.962635662414</v>
      </c>
      <c r="J133" s="39">
        <f t="shared" ca="1" si="50"/>
        <v>8206.9734131782789</v>
      </c>
      <c r="K133" s="39">
        <f t="shared" ca="1" si="51"/>
        <v>9887.0363257122899</v>
      </c>
      <c r="L133" s="39">
        <f t="shared" ca="1" si="52"/>
        <v>52971.576613706929</v>
      </c>
      <c r="M133" s="39">
        <f t="shared" ca="1" si="58"/>
        <v>41847.545524828478</v>
      </c>
      <c r="N133" s="39">
        <f t="shared" ca="1" si="53"/>
        <v>12261.174995893707</v>
      </c>
      <c r="O133" s="39">
        <f t="shared" ca="1" si="59"/>
        <v>-3203.0390113653448</v>
      </c>
      <c r="P133" s="99">
        <f t="shared" ca="1" si="54"/>
        <v>45365.91865458354</v>
      </c>
      <c r="Q133" s="40">
        <f t="shared" ca="1" si="55"/>
        <v>1.7375048922368963E-2</v>
      </c>
    </row>
    <row r="134" spans="2:17" x14ac:dyDescent="0.2">
      <c r="B134">
        <v>2098</v>
      </c>
      <c r="C134" s="39">
        <f t="shared" ca="1" si="43"/>
        <v>80812.223570050977</v>
      </c>
      <c r="D134" s="40">
        <f t="shared" si="44"/>
        <v>5.0501305305414593E-2</v>
      </c>
      <c r="E134" s="39">
        <f t="shared" ca="1" si="45"/>
        <v>4081.1227749205655</v>
      </c>
      <c r="F134" s="39">
        <f t="shared" ca="1" si="46"/>
        <v>3013.502493249538</v>
      </c>
      <c r="G134" s="39">
        <f t="shared" ca="1" si="47"/>
        <v>3748.3776394731876</v>
      </c>
      <c r="H134" s="39">
        <f t="shared" ca="1" si="48"/>
        <v>72982.723155657222</v>
      </c>
      <c r="I134" s="39">
        <f t="shared" ca="1" si="49"/>
        <v>8254.041913567291</v>
      </c>
      <c r="J134" s="39">
        <f t="shared" ca="1" si="50"/>
        <v>7894.6454478869055</v>
      </c>
      <c r="K134" s="39">
        <f t="shared" ca="1" si="51"/>
        <v>10573.60635114158</v>
      </c>
      <c r="L134" s="39">
        <f t="shared" ca="1" si="52"/>
        <v>54514.471356628739</v>
      </c>
      <c r="M134" s="39">
        <f t="shared" ca="1" si="58"/>
        <v>43066.432371736708</v>
      </c>
      <c r="N134" s="39">
        <f t="shared" ca="1" si="53"/>
        <v>10010.39194339546</v>
      </c>
      <c r="O134" s="39">
        <f t="shared" ca="1" si="59"/>
        <v>-2250.7830524982473</v>
      </c>
      <c r="P134" s="99">
        <f t="shared" ca="1" si="54"/>
        <v>45692.694104778224</v>
      </c>
      <c r="Q134" s="40">
        <f t="shared" ca="1" si="55"/>
        <v>5.3442568804250357E-2</v>
      </c>
    </row>
    <row r="135" spans="2:17" x14ac:dyDescent="0.2">
      <c r="B135" s="103">
        <v>2099</v>
      </c>
      <c r="C135" s="96">
        <f t="shared" ref="C135" ca="1" si="60">C134*(1+NORMINV(RAND(), $C$28,$C$29))</f>
        <v>81629.264045681834</v>
      </c>
      <c r="D135" s="104">
        <f t="shared" ref="D135" si="61">D134*(1+$C$32)</f>
        <v>4.9347266459315767E-2</v>
      </c>
      <c r="E135" s="96">
        <f t="shared" ref="E135" ca="1" si="62">C135*D135</f>
        <v>4028.1810437401055</v>
      </c>
      <c r="F135" s="96">
        <f t="shared" ref="F135" ca="1" si="63">C135*NORMINV(RAND(),$C$36,$C$37)</f>
        <v>4511.0962045961032</v>
      </c>
      <c r="G135" s="96">
        <f t="shared" ref="G135" ca="1" si="64">SUM(F131:F135)/5</f>
        <v>3909.7836229522845</v>
      </c>
      <c r="H135" s="96">
        <f t="shared" ref="H135" ca="1" si="65">C135-(E135+G135)</f>
        <v>73691.299378989439</v>
      </c>
      <c r="I135" s="96">
        <f t="shared" ref="I135" ca="1" si="66">C135*(NORMINV(RAND(),$C$38,$C$39))</f>
        <v>9441.8749289603929</v>
      </c>
      <c r="J135" s="96">
        <f t="shared" ref="J135" ca="1" si="67">SUM(I131:I135)/5</f>
        <v>8382.6149867138793</v>
      </c>
      <c r="K135" s="96">
        <f t="shared" ref="K135" ca="1" si="68">C135*NORMINV(RAND(),$C$40,$C$41)</f>
        <v>9939.003554998395</v>
      </c>
      <c r="L135" s="96">
        <f t="shared" ref="L135" ca="1" si="69">H135-(J135+K135)</f>
        <v>55369.680837277163</v>
      </c>
      <c r="M135" s="96">
        <f t="shared" ca="1" si="58"/>
        <v>43742.047861448962</v>
      </c>
      <c r="N135" s="96">
        <f t="shared" ref="N135" ca="1" si="70">C135*NORMINV(RAND(),$C$42,$C$43)</f>
        <v>12145.301464775064</v>
      </c>
      <c r="O135" s="96">
        <f t="shared" ca="1" si="59"/>
        <v>2134.9095213796045</v>
      </c>
      <c r="P135" s="109">
        <f t="shared" ref="P135" ca="1" si="71">M135-(F135+I135-G135-J135)-O135</f>
        <v>39946.565816179027</v>
      </c>
      <c r="Q135" s="104">
        <f t="shared" ca="1" si="55"/>
        <v>2.1154300329908615E-3</v>
      </c>
    </row>
    <row r="136" spans="2:17" x14ac:dyDescent="0.2">
      <c r="P136" s="40"/>
      <c r="Q136" s="95">
        <f ca="1">AVERAGE(Q76:Q135)</f>
        <v>2.5045227492320347E-2</v>
      </c>
    </row>
    <row r="137" spans="2:17" x14ac:dyDescent="0.2">
      <c r="P137" s="40"/>
    </row>
    <row r="138" spans="2:17" x14ac:dyDescent="0.2">
      <c r="P138" s="40"/>
    </row>
    <row r="139" spans="2:17" x14ac:dyDescent="0.2">
      <c r="P139" s="40"/>
    </row>
    <row r="140" spans="2:17" x14ac:dyDescent="0.2">
      <c r="P140" s="40"/>
    </row>
    <row r="141" spans="2:17" x14ac:dyDescent="0.2">
      <c r="P141" s="40"/>
    </row>
    <row r="142" spans="2:17" x14ac:dyDescent="0.2">
      <c r="P142" s="40"/>
    </row>
    <row r="143" spans="2:17" x14ac:dyDescent="0.2">
      <c r="P143" s="40"/>
    </row>
    <row r="144" spans="2:17" x14ac:dyDescent="0.2">
      <c r="P144" s="40"/>
    </row>
    <row r="145" spans="16:16" x14ac:dyDescent="0.2">
      <c r="P145" s="40"/>
    </row>
    <row r="146" spans="16:16" x14ac:dyDescent="0.2">
      <c r="P146" s="40"/>
    </row>
    <row r="147" spans="16:16" x14ac:dyDescent="0.2">
      <c r="P147" s="40"/>
    </row>
    <row r="148" spans="16:16" x14ac:dyDescent="0.2">
      <c r="P148" s="40"/>
    </row>
    <row r="149" spans="16:16" x14ac:dyDescent="0.2">
      <c r="P149" s="40"/>
    </row>
    <row r="150" spans="16:16" x14ac:dyDescent="0.2">
      <c r="P150" s="40"/>
    </row>
    <row r="151" spans="16:16" x14ac:dyDescent="0.2">
      <c r="P151" s="40"/>
    </row>
    <row r="152" spans="16:16" x14ac:dyDescent="0.2">
      <c r="P152" s="40"/>
    </row>
    <row r="153" spans="16:16" x14ac:dyDescent="0.2">
      <c r="P153" s="40"/>
    </row>
    <row r="154" spans="16:16" x14ac:dyDescent="0.2">
      <c r="P154" s="40"/>
    </row>
    <row r="155" spans="16:16" x14ac:dyDescent="0.2">
      <c r="P155" s="40"/>
    </row>
    <row r="156" spans="16:16" x14ac:dyDescent="0.2">
      <c r="P156" s="40"/>
    </row>
    <row r="157" spans="16:16" x14ac:dyDescent="0.2">
      <c r="P157" s="40"/>
    </row>
    <row r="158" spans="16:16" x14ac:dyDescent="0.2">
      <c r="P158" s="40"/>
    </row>
    <row r="159" spans="16:16" x14ac:dyDescent="0.2">
      <c r="P159" s="40"/>
    </row>
    <row r="160" spans="16:16" x14ac:dyDescent="0.2">
      <c r="P160" s="40"/>
    </row>
    <row r="161" spans="16:16" x14ac:dyDescent="0.2">
      <c r="P161" s="40"/>
    </row>
    <row r="162" spans="16:16" x14ac:dyDescent="0.2">
      <c r="P162" s="40"/>
    </row>
    <row r="163" spans="16:16" x14ac:dyDescent="0.2">
      <c r="P163" s="40"/>
    </row>
    <row r="164" spans="16:16" x14ac:dyDescent="0.2">
      <c r="P164" s="40"/>
    </row>
    <row r="165" spans="16:16" x14ac:dyDescent="0.2">
      <c r="P165" s="40"/>
    </row>
    <row r="166" spans="16:16" x14ac:dyDescent="0.2">
      <c r="P166" s="40"/>
    </row>
    <row r="167" spans="16:16" x14ac:dyDescent="0.2">
      <c r="P167" s="40"/>
    </row>
    <row r="168" spans="16:16" x14ac:dyDescent="0.2">
      <c r="P168" s="40"/>
    </row>
    <row r="169" spans="16:16" x14ac:dyDescent="0.2">
      <c r="P169" s="40"/>
    </row>
    <row r="170" spans="16:16" x14ac:dyDescent="0.2">
      <c r="P170" s="40"/>
    </row>
    <row r="171" spans="16:16" x14ac:dyDescent="0.2">
      <c r="P171" s="40"/>
    </row>
    <row r="172" spans="16:16" x14ac:dyDescent="0.2">
      <c r="P172" s="40"/>
    </row>
    <row r="173" spans="16:16" x14ac:dyDescent="0.2">
      <c r="P173" s="40"/>
    </row>
    <row r="174" spans="16:16" x14ac:dyDescent="0.2">
      <c r="P174" s="40"/>
    </row>
    <row r="175" spans="16:16" x14ac:dyDescent="0.2">
      <c r="P175" s="40"/>
    </row>
    <row r="176" spans="16:16" x14ac:dyDescent="0.2">
      <c r="P176" s="40"/>
    </row>
    <row r="177" spans="16:16" x14ac:dyDescent="0.2">
      <c r="P177" s="40"/>
    </row>
    <row r="178" spans="16:16" x14ac:dyDescent="0.2">
      <c r="P178" s="40"/>
    </row>
    <row r="179" spans="16:16" x14ac:dyDescent="0.2">
      <c r="P179" s="40"/>
    </row>
    <row r="180" spans="16:16" x14ac:dyDescent="0.2">
      <c r="P180" s="40"/>
    </row>
    <row r="181" spans="16:16" x14ac:dyDescent="0.2">
      <c r="P181" s="40"/>
    </row>
    <row r="182" spans="16:16" x14ac:dyDescent="0.2">
      <c r="P182" s="40"/>
    </row>
    <row r="183" spans="16:16" x14ac:dyDescent="0.2">
      <c r="P183" s="40"/>
    </row>
    <row r="184" spans="16:16" x14ac:dyDescent="0.2">
      <c r="P184" s="40"/>
    </row>
    <row r="185" spans="16:16" x14ac:dyDescent="0.2">
      <c r="P185" s="40"/>
    </row>
    <row r="186" spans="16:16" x14ac:dyDescent="0.2">
      <c r="P186" s="40"/>
    </row>
    <row r="187" spans="16:16" x14ac:dyDescent="0.2">
      <c r="P187" s="40"/>
    </row>
    <row r="188" spans="16:16" x14ac:dyDescent="0.2">
      <c r="P188" s="40"/>
    </row>
    <row r="189" spans="16:16" x14ac:dyDescent="0.2">
      <c r="P189" s="40"/>
    </row>
    <row r="190" spans="16:16" x14ac:dyDescent="0.2">
      <c r="P190" s="40"/>
    </row>
    <row r="191" spans="16:16" x14ac:dyDescent="0.2">
      <c r="P191" s="40"/>
    </row>
    <row r="192" spans="16:16" x14ac:dyDescent="0.2">
      <c r="P192" s="40"/>
    </row>
    <row r="193" spans="16:16" x14ac:dyDescent="0.2">
      <c r="P193" s="40"/>
    </row>
    <row r="194" spans="16:16" x14ac:dyDescent="0.2">
      <c r="P194" s="40"/>
    </row>
    <row r="195" spans="16:16" x14ac:dyDescent="0.2">
      <c r="P195" s="40"/>
    </row>
    <row r="196" spans="16:16" x14ac:dyDescent="0.2">
      <c r="P196" s="40"/>
    </row>
    <row r="197" spans="16:16" x14ac:dyDescent="0.2">
      <c r="P197" s="40"/>
    </row>
    <row r="198" spans="16:16" x14ac:dyDescent="0.2">
      <c r="P198" s="40"/>
    </row>
    <row r="199" spans="16:16" x14ac:dyDescent="0.2">
      <c r="P199" s="40"/>
    </row>
    <row r="200" spans="16:16" x14ac:dyDescent="0.2">
      <c r="P200" s="40"/>
    </row>
    <row r="201" spans="16:16" x14ac:dyDescent="0.2">
      <c r="P201" s="40"/>
    </row>
    <row r="202" spans="16:16" x14ac:dyDescent="0.2">
      <c r="P202" s="40"/>
    </row>
    <row r="203" spans="16:16" x14ac:dyDescent="0.2">
      <c r="P203" s="40"/>
    </row>
    <row r="204" spans="16:16" x14ac:dyDescent="0.2">
      <c r="P204" s="40"/>
    </row>
    <row r="205" spans="16:16" x14ac:dyDescent="0.2">
      <c r="P205" s="40"/>
    </row>
    <row r="206" spans="16:16" x14ac:dyDescent="0.2">
      <c r="P206" s="40"/>
    </row>
    <row r="207" spans="16:16" x14ac:dyDescent="0.2">
      <c r="P207" s="40"/>
    </row>
    <row r="208" spans="16:16" x14ac:dyDescent="0.2">
      <c r="P208" s="40"/>
    </row>
    <row r="209" spans="16:16" x14ac:dyDescent="0.2">
      <c r="P209" s="40"/>
    </row>
    <row r="210" spans="16:16" x14ac:dyDescent="0.2">
      <c r="P210" s="40"/>
    </row>
    <row r="211" spans="16:16" x14ac:dyDescent="0.2">
      <c r="P211" s="40"/>
    </row>
    <row r="212" spans="16:16" x14ac:dyDescent="0.2">
      <c r="P212" s="40"/>
    </row>
    <row r="213" spans="16:16" x14ac:dyDescent="0.2">
      <c r="P213" s="40"/>
    </row>
    <row r="214" spans="16:16" x14ac:dyDescent="0.2">
      <c r="P214" s="40"/>
    </row>
    <row r="215" spans="16:16" x14ac:dyDescent="0.2">
      <c r="P215" s="40"/>
    </row>
    <row r="216" spans="16:16" x14ac:dyDescent="0.2">
      <c r="P216" s="40"/>
    </row>
    <row r="217" spans="16:16" x14ac:dyDescent="0.2">
      <c r="P217" s="40"/>
    </row>
    <row r="218" spans="16:16" x14ac:dyDescent="0.2">
      <c r="P218" s="40"/>
    </row>
    <row r="219" spans="16:16" x14ac:dyDescent="0.2">
      <c r="P219" s="40"/>
    </row>
    <row r="220" spans="16:16" x14ac:dyDescent="0.2">
      <c r="P220" s="40"/>
    </row>
    <row r="221" spans="16:16" x14ac:dyDescent="0.2">
      <c r="P221" s="40"/>
    </row>
    <row r="222" spans="16:16" x14ac:dyDescent="0.2">
      <c r="P222" s="40"/>
    </row>
    <row r="223" spans="16:16" x14ac:dyDescent="0.2">
      <c r="P223" s="40"/>
    </row>
    <row r="224" spans="16:16" x14ac:dyDescent="0.2">
      <c r="P224" s="40"/>
    </row>
    <row r="225" spans="16:16" x14ac:dyDescent="0.2">
      <c r="P225" s="40"/>
    </row>
    <row r="226" spans="16:16" x14ac:dyDescent="0.2">
      <c r="P226" s="40"/>
    </row>
    <row r="227" spans="16:16" x14ac:dyDescent="0.2">
      <c r="P227" s="40"/>
    </row>
    <row r="228" spans="16:16" x14ac:dyDescent="0.2">
      <c r="P228" s="40"/>
    </row>
    <row r="229" spans="16:16" x14ac:dyDescent="0.2">
      <c r="P229" s="40"/>
    </row>
    <row r="230" spans="16:16" x14ac:dyDescent="0.2">
      <c r="P230" s="40"/>
    </row>
    <row r="231" spans="16:16" x14ac:dyDescent="0.2">
      <c r="P231" s="40"/>
    </row>
    <row r="232" spans="16:16" x14ac:dyDescent="0.2">
      <c r="P232" s="40"/>
    </row>
    <row r="233" spans="16:16" x14ac:dyDescent="0.2">
      <c r="P233" s="40"/>
    </row>
    <row r="234" spans="16:16" x14ac:dyDescent="0.2">
      <c r="P234" s="40"/>
    </row>
    <row r="235" spans="16:16" x14ac:dyDescent="0.2">
      <c r="P235" s="40"/>
    </row>
    <row r="236" spans="16:16" x14ac:dyDescent="0.2">
      <c r="P236" s="40"/>
    </row>
    <row r="237" spans="16:16" x14ac:dyDescent="0.2">
      <c r="P237" s="40"/>
    </row>
    <row r="238" spans="16:16" x14ac:dyDescent="0.2">
      <c r="P238" s="40"/>
    </row>
    <row r="239" spans="16:16" x14ac:dyDescent="0.2">
      <c r="P239" s="40"/>
    </row>
    <row r="240" spans="16:16" x14ac:dyDescent="0.2">
      <c r="P240" s="40"/>
    </row>
    <row r="241" spans="16:16" x14ac:dyDescent="0.2">
      <c r="P241" s="40"/>
    </row>
    <row r="242" spans="16:16" x14ac:dyDescent="0.2">
      <c r="P242" s="40"/>
    </row>
    <row r="243" spans="16:16" x14ac:dyDescent="0.2">
      <c r="P243" s="40"/>
    </row>
    <row r="244" spans="16:16" x14ac:dyDescent="0.2">
      <c r="P244" s="40"/>
    </row>
    <row r="245" spans="16:16" x14ac:dyDescent="0.2">
      <c r="P245" s="40"/>
    </row>
    <row r="246" spans="16:16" x14ac:dyDescent="0.2">
      <c r="P246" s="40"/>
    </row>
    <row r="247" spans="16:16" x14ac:dyDescent="0.2">
      <c r="P247" s="40"/>
    </row>
    <row r="248" spans="16:16" x14ac:dyDescent="0.2">
      <c r="P248" s="40"/>
    </row>
    <row r="249" spans="16:16" x14ac:dyDescent="0.2">
      <c r="P249" s="40"/>
    </row>
    <row r="250" spans="16:16" x14ac:dyDescent="0.2">
      <c r="P250" s="40"/>
    </row>
    <row r="251" spans="16:16" x14ac:dyDescent="0.2">
      <c r="P251" s="40"/>
    </row>
    <row r="252" spans="16:16" x14ac:dyDescent="0.2">
      <c r="P252" s="40"/>
    </row>
    <row r="253" spans="16:16" x14ac:dyDescent="0.2">
      <c r="P253" s="40"/>
    </row>
    <row r="254" spans="16:16" x14ac:dyDescent="0.2">
      <c r="P254" s="40"/>
    </row>
    <row r="255" spans="16:16" x14ac:dyDescent="0.2">
      <c r="P255" s="40"/>
    </row>
    <row r="256" spans="16:16" x14ac:dyDescent="0.2">
      <c r="P256" s="40"/>
    </row>
    <row r="257" spans="16:16" x14ac:dyDescent="0.2">
      <c r="P257" s="40"/>
    </row>
    <row r="258" spans="16:16" x14ac:dyDescent="0.2">
      <c r="P258" s="40"/>
    </row>
    <row r="259" spans="16:16" x14ac:dyDescent="0.2">
      <c r="P259" s="40"/>
    </row>
    <row r="260" spans="16:16" x14ac:dyDescent="0.2">
      <c r="P260" s="40"/>
    </row>
    <row r="261" spans="16:16" x14ac:dyDescent="0.2">
      <c r="P261" s="40"/>
    </row>
    <row r="262" spans="16:16" x14ac:dyDescent="0.2">
      <c r="P262" s="40"/>
    </row>
    <row r="263" spans="16:16" x14ac:dyDescent="0.2">
      <c r="P263" s="40"/>
    </row>
    <row r="264" spans="16:16" x14ac:dyDescent="0.2">
      <c r="P264" s="40"/>
    </row>
    <row r="265" spans="16:16" x14ac:dyDescent="0.2">
      <c r="P265" s="40"/>
    </row>
    <row r="266" spans="16:16" x14ac:dyDescent="0.2">
      <c r="P266" s="40"/>
    </row>
    <row r="267" spans="16:16" x14ac:dyDescent="0.2">
      <c r="P267" s="40"/>
    </row>
    <row r="268" spans="16:16" x14ac:dyDescent="0.2">
      <c r="P268" s="40"/>
    </row>
    <row r="269" spans="16:16" x14ac:dyDescent="0.2">
      <c r="P269" s="40"/>
    </row>
    <row r="270" spans="16:16" x14ac:dyDescent="0.2">
      <c r="P270" s="40"/>
    </row>
    <row r="271" spans="16:16" x14ac:dyDescent="0.2">
      <c r="P271" s="40"/>
    </row>
    <row r="272" spans="16:16" x14ac:dyDescent="0.2">
      <c r="P272" s="40"/>
    </row>
    <row r="273" spans="16:16" x14ac:dyDescent="0.2">
      <c r="P273" s="40"/>
    </row>
    <row r="274" spans="16:16" x14ac:dyDescent="0.2">
      <c r="P274" s="40"/>
    </row>
    <row r="275" spans="16:16" x14ac:dyDescent="0.2">
      <c r="P275" s="40"/>
    </row>
    <row r="276" spans="16:16" x14ac:dyDescent="0.2">
      <c r="P276" s="40"/>
    </row>
    <row r="277" spans="16:16" x14ac:dyDescent="0.2">
      <c r="P277" s="40"/>
    </row>
    <row r="278" spans="16:16" x14ac:dyDescent="0.2">
      <c r="P278" s="40"/>
    </row>
    <row r="279" spans="16:16" x14ac:dyDescent="0.2">
      <c r="P279" s="40"/>
    </row>
    <row r="280" spans="16:16" x14ac:dyDescent="0.2">
      <c r="P280" s="40"/>
    </row>
    <row r="281" spans="16:16" x14ac:dyDescent="0.2">
      <c r="P281" s="40"/>
    </row>
    <row r="282" spans="16:16" x14ac:dyDescent="0.2">
      <c r="P282" s="40"/>
    </row>
    <row r="283" spans="16:16" x14ac:dyDescent="0.2">
      <c r="P283" s="40"/>
    </row>
    <row r="284" spans="16:16" x14ac:dyDescent="0.2">
      <c r="P284" s="40"/>
    </row>
    <row r="285" spans="16:16" x14ac:dyDescent="0.2">
      <c r="P285" s="40"/>
    </row>
    <row r="286" spans="16:16" x14ac:dyDescent="0.2">
      <c r="P286" s="40"/>
    </row>
    <row r="287" spans="16:16" x14ac:dyDescent="0.2">
      <c r="P287" s="40"/>
    </row>
    <row r="288" spans="16:16" x14ac:dyDescent="0.2">
      <c r="P288" s="40"/>
    </row>
    <row r="289" spans="16:16" x14ac:dyDescent="0.2">
      <c r="P289" s="40"/>
    </row>
    <row r="290" spans="16:16" x14ac:dyDescent="0.2">
      <c r="P290" s="40"/>
    </row>
    <row r="291" spans="16:16" x14ac:dyDescent="0.2">
      <c r="P291" s="40"/>
    </row>
    <row r="292" spans="16:16" x14ac:dyDescent="0.2">
      <c r="P292" s="40"/>
    </row>
    <row r="293" spans="16:16" x14ac:dyDescent="0.2">
      <c r="P293" s="40"/>
    </row>
    <row r="294" spans="16:16" x14ac:dyDescent="0.2">
      <c r="P294" s="40"/>
    </row>
    <row r="295" spans="16:16" x14ac:dyDescent="0.2">
      <c r="P295" s="40"/>
    </row>
    <row r="296" spans="16:16" x14ac:dyDescent="0.2">
      <c r="P296" s="40"/>
    </row>
    <row r="297" spans="16:16" x14ac:dyDescent="0.2">
      <c r="P297" s="40"/>
    </row>
    <row r="298" spans="16:16" x14ac:dyDescent="0.2">
      <c r="P298" s="40"/>
    </row>
    <row r="299" spans="16:16" x14ac:dyDescent="0.2">
      <c r="P299" s="40"/>
    </row>
    <row r="300" spans="16:16" x14ac:dyDescent="0.2">
      <c r="P300" s="40"/>
    </row>
    <row r="301" spans="16:16" x14ac:dyDescent="0.2">
      <c r="P301" s="40"/>
    </row>
    <row r="302" spans="16:16" x14ac:dyDescent="0.2">
      <c r="P302" s="40"/>
    </row>
    <row r="303" spans="16:16" x14ac:dyDescent="0.2">
      <c r="P303" s="40"/>
    </row>
    <row r="304" spans="16:16" x14ac:dyDescent="0.2">
      <c r="P304" s="40"/>
    </row>
    <row r="305" spans="16:16" x14ac:dyDescent="0.2">
      <c r="P305" s="40"/>
    </row>
    <row r="306" spans="16:16" x14ac:dyDescent="0.2">
      <c r="P306" s="40"/>
    </row>
    <row r="307" spans="16:16" x14ac:dyDescent="0.2">
      <c r="P307" s="40"/>
    </row>
    <row r="308" spans="16:16" x14ac:dyDescent="0.2">
      <c r="P308" s="40"/>
    </row>
    <row r="309" spans="16:16" x14ac:dyDescent="0.2">
      <c r="P309" s="40"/>
    </row>
    <row r="310" spans="16:16" x14ac:dyDescent="0.2">
      <c r="P310" s="40"/>
    </row>
    <row r="311" spans="16:16" x14ac:dyDescent="0.2">
      <c r="P311" s="40"/>
    </row>
    <row r="312" spans="16:16" x14ac:dyDescent="0.2">
      <c r="P312" s="40"/>
    </row>
    <row r="313" spans="16:16" x14ac:dyDescent="0.2">
      <c r="P313" s="40"/>
    </row>
    <row r="314" spans="16:16" x14ac:dyDescent="0.2">
      <c r="P314" s="40"/>
    </row>
    <row r="315" spans="16:16" x14ac:dyDescent="0.2">
      <c r="P315" s="40"/>
    </row>
    <row r="316" spans="16:16" x14ac:dyDescent="0.2">
      <c r="P316" s="40"/>
    </row>
    <row r="317" spans="16:16" x14ac:dyDescent="0.2">
      <c r="P317" s="40"/>
    </row>
    <row r="318" spans="16:16" x14ac:dyDescent="0.2">
      <c r="P318" s="40"/>
    </row>
    <row r="319" spans="16:16" x14ac:dyDescent="0.2">
      <c r="P319" s="40"/>
    </row>
    <row r="320" spans="16:16" x14ac:dyDescent="0.2">
      <c r="P320" s="40"/>
    </row>
    <row r="321" spans="16:16" x14ac:dyDescent="0.2">
      <c r="P321" s="40"/>
    </row>
    <row r="322" spans="16:16" x14ac:dyDescent="0.2">
      <c r="P322" s="40"/>
    </row>
    <row r="323" spans="16:16" x14ac:dyDescent="0.2">
      <c r="P323" s="40"/>
    </row>
    <row r="324" spans="16:16" x14ac:dyDescent="0.2">
      <c r="P324" s="40"/>
    </row>
    <row r="325" spans="16:16" x14ac:dyDescent="0.2">
      <c r="P325" s="40"/>
    </row>
    <row r="326" spans="16:16" x14ac:dyDescent="0.2">
      <c r="P326" s="40"/>
    </row>
    <row r="327" spans="16:16" x14ac:dyDescent="0.2">
      <c r="P327" s="40"/>
    </row>
    <row r="328" spans="16:16" x14ac:dyDescent="0.2">
      <c r="P328" s="40"/>
    </row>
    <row r="329" spans="16:16" x14ac:dyDescent="0.2">
      <c r="P329" s="40"/>
    </row>
    <row r="330" spans="16:16" x14ac:dyDescent="0.2">
      <c r="P330" s="40"/>
    </row>
    <row r="331" spans="16:16" x14ac:dyDescent="0.2">
      <c r="P331" s="40"/>
    </row>
    <row r="332" spans="16:16" x14ac:dyDescent="0.2">
      <c r="P332" s="40"/>
    </row>
    <row r="333" spans="16:16" x14ac:dyDescent="0.2">
      <c r="P333" s="40"/>
    </row>
    <row r="334" spans="16:16" x14ac:dyDescent="0.2">
      <c r="P334" s="40"/>
    </row>
    <row r="335" spans="16:16" x14ac:dyDescent="0.2">
      <c r="P335" s="40"/>
    </row>
    <row r="336" spans="16:16" x14ac:dyDescent="0.2">
      <c r="P336" s="40"/>
    </row>
    <row r="337" spans="16:16" x14ac:dyDescent="0.2">
      <c r="P337" s="40"/>
    </row>
    <row r="338" spans="16:16" x14ac:dyDescent="0.2">
      <c r="P338" s="40"/>
    </row>
    <row r="339" spans="16:16" x14ac:dyDescent="0.2">
      <c r="P339" s="40"/>
    </row>
    <row r="340" spans="16:16" x14ac:dyDescent="0.2">
      <c r="P340" s="40"/>
    </row>
    <row r="341" spans="16:16" x14ac:dyDescent="0.2">
      <c r="P341" s="40"/>
    </row>
    <row r="342" spans="16:16" x14ac:dyDescent="0.2">
      <c r="P342" s="40"/>
    </row>
    <row r="343" spans="16:16" x14ac:dyDescent="0.2">
      <c r="P343" s="40"/>
    </row>
    <row r="344" spans="16:16" x14ac:dyDescent="0.2">
      <c r="P344" s="40"/>
    </row>
    <row r="345" spans="16:16" x14ac:dyDescent="0.2">
      <c r="P345" s="40"/>
    </row>
    <row r="346" spans="16:16" x14ac:dyDescent="0.2">
      <c r="P346" s="40"/>
    </row>
    <row r="347" spans="16:16" x14ac:dyDescent="0.2">
      <c r="P347" s="40"/>
    </row>
    <row r="348" spans="16:16" x14ac:dyDescent="0.2">
      <c r="P348" s="40"/>
    </row>
    <row r="349" spans="16:16" x14ac:dyDescent="0.2">
      <c r="P349" s="40"/>
    </row>
    <row r="350" spans="16:16" x14ac:dyDescent="0.2">
      <c r="P350" s="40"/>
    </row>
    <row r="351" spans="16:16" x14ac:dyDescent="0.2">
      <c r="P351" s="40"/>
    </row>
    <row r="352" spans="16:16" x14ac:dyDescent="0.2">
      <c r="P352" s="40"/>
    </row>
    <row r="353" spans="16:16" x14ac:dyDescent="0.2">
      <c r="P353" s="40"/>
    </row>
    <row r="354" spans="16:16" x14ac:dyDescent="0.2">
      <c r="P354" s="40"/>
    </row>
    <row r="355" spans="16:16" x14ac:dyDescent="0.2">
      <c r="P355" s="40"/>
    </row>
    <row r="356" spans="16:16" x14ac:dyDescent="0.2">
      <c r="P356" s="40"/>
    </row>
    <row r="357" spans="16:16" x14ac:dyDescent="0.2">
      <c r="P357" s="40"/>
    </row>
    <row r="358" spans="16:16" x14ac:dyDescent="0.2">
      <c r="P358" s="40"/>
    </row>
    <row r="359" spans="16:16" x14ac:dyDescent="0.2">
      <c r="P359" s="40"/>
    </row>
    <row r="360" spans="16:16" x14ac:dyDescent="0.2">
      <c r="P360" s="40"/>
    </row>
    <row r="361" spans="16:16" x14ac:dyDescent="0.2">
      <c r="P361" s="40"/>
    </row>
    <row r="362" spans="16:16" x14ac:dyDescent="0.2">
      <c r="P362" s="40"/>
    </row>
    <row r="363" spans="16:16" x14ac:dyDescent="0.2">
      <c r="P363" s="40"/>
    </row>
    <row r="364" spans="16:16" x14ac:dyDescent="0.2">
      <c r="P364" s="40"/>
    </row>
    <row r="365" spans="16:16" x14ac:dyDescent="0.2">
      <c r="P365" s="40"/>
    </row>
    <row r="366" spans="16:16" x14ac:dyDescent="0.2">
      <c r="P366" s="40"/>
    </row>
    <row r="367" spans="16:16" x14ac:dyDescent="0.2">
      <c r="P367" s="40"/>
    </row>
    <row r="368" spans="16:16" x14ac:dyDescent="0.2">
      <c r="P368" s="40"/>
    </row>
    <row r="369" spans="16:16" x14ac:dyDescent="0.2">
      <c r="P369" s="40"/>
    </row>
    <row r="370" spans="16:16" x14ac:dyDescent="0.2">
      <c r="P370" s="40"/>
    </row>
    <row r="371" spans="16:16" x14ac:dyDescent="0.2">
      <c r="P371" s="40"/>
    </row>
    <row r="372" spans="16:16" x14ac:dyDescent="0.2">
      <c r="P372" s="40"/>
    </row>
    <row r="373" spans="16:16" x14ac:dyDescent="0.2">
      <c r="P373" s="40"/>
    </row>
    <row r="374" spans="16:16" x14ac:dyDescent="0.2">
      <c r="P374" s="40"/>
    </row>
    <row r="375" spans="16:16" x14ac:dyDescent="0.2">
      <c r="P375" s="40"/>
    </row>
    <row r="376" spans="16:16" x14ac:dyDescent="0.2">
      <c r="P376" s="40"/>
    </row>
    <row r="377" spans="16:16" x14ac:dyDescent="0.2">
      <c r="P377" s="40"/>
    </row>
    <row r="378" spans="16:16" x14ac:dyDescent="0.2">
      <c r="P378" s="40"/>
    </row>
    <row r="379" spans="16:16" x14ac:dyDescent="0.2">
      <c r="P379" s="40"/>
    </row>
    <row r="380" spans="16:16" x14ac:dyDescent="0.2">
      <c r="P380" s="40"/>
    </row>
    <row r="381" spans="16:16" x14ac:dyDescent="0.2">
      <c r="P381" s="40"/>
    </row>
    <row r="382" spans="16:16" x14ac:dyDescent="0.2">
      <c r="P382" s="40"/>
    </row>
    <row r="383" spans="16:16" x14ac:dyDescent="0.2">
      <c r="P383" s="40"/>
    </row>
    <row r="384" spans="16:16" x14ac:dyDescent="0.2">
      <c r="P384" s="40"/>
    </row>
    <row r="385" spans="16:16" x14ac:dyDescent="0.2">
      <c r="P385" s="40"/>
    </row>
    <row r="386" spans="16:16" x14ac:dyDescent="0.2">
      <c r="P386" s="40"/>
    </row>
    <row r="387" spans="16:16" x14ac:dyDescent="0.2">
      <c r="P387" s="40"/>
    </row>
    <row r="388" spans="16:16" x14ac:dyDescent="0.2">
      <c r="P388" s="40"/>
    </row>
    <row r="389" spans="16:16" x14ac:dyDescent="0.2">
      <c r="P389" s="40"/>
    </row>
    <row r="390" spans="16:16" x14ac:dyDescent="0.2">
      <c r="P390" s="40"/>
    </row>
    <row r="391" spans="16:16" x14ac:dyDescent="0.2">
      <c r="P391" s="40"/>
    </row>
    <row r="392" spans="16:16" x14ac:dyDescent="0.2">
      <c r="P392" s="40"/>
    </row>
    <row r="393" spans="16:16" x14ac:dyDescent="0.2">
      <c r="P393" s="40"/>
    </row>
    <row r="394" spans="16:16" x14ac:dyDescent="0.2">
      <c r="P394" s="40"/>
    </row>
    <row r="395" spans="16:16" x14ac:dyDescent="0.2">
      <c r="P395" s="40"/>
    </row>
    <row r="396" spans="16:16" x14ac:dyDescent="0.2">
      <c r="P396" s="40"/>
    </row>
    <row r="397" spans="16:16" x14ac:dyDescent="0.2">
      <c r="P397" s="40"/>
    </row>
    <row r="398" spans="16:16" x14ac:dyDescent="0.2">
      <c r="P398" s="40"/>
    </row>
    <row r="399" spans="16:16" x14ac:dyDescent="0.2">
      <c r="P399" s="40"/>
    </row>
    <row r="400" spans="16:16" x14ac:dyDescent="0.2">
      <c r="P400" s="40"/>
    </row>
    <row r="401" spans="16:16" x14ac:dyDescent="0.2">
      <c r="P401" s="40"/>
    </row>
    <row r="402" spans="16:16" x14ac:dyDescent="0.2">
      <c r="P402" s="40"/>
    </row>
    <row r="403" spans="16:16" x14ac:dyDescent="0.2">
      <c r="P403" s="40"/>
    </row>
    <row r="404" spans="16:16" x14ac:dyDescent="0.2">
      <c r="P404" s="40"/>
    </row>
    <row r="405" spans="16:16" x14ac:dyDescent="0.2">
      <c r="P405" s="40"/>
    </row>
    <row r="406" spans="16:16" x14ac:dyDescent="0.2">
      <c r="P406" s="40"/>
    </row>
    <row r="407" spans="16:16" x14ac:dyDescent="0.2">
      <c r="P407" s="40"/>
    </row>
    <row r="408" spans="16:16" x14ac:dyDescent="0.2">
      <c r="P408" s="40"/>
    </row>
    <row r="409" spans="16:16" x14ac:dyDescent="0.2">
      <c r="P409" s="40"/>
    </row>
    <row r="410" spans="16:16" x14ac:dyDescent="0.2">
      <c r="P410" s="40"/>
    </row>
    <row r="411" spans="16:16" x14ac:dyDescent="0.2">
      <c r="P411" s="40"/>
    </row>
    <row r="412" spans="16:16" x14ac:dyDescent="0.2">
      <c r="P412" s="40"/>
    </row>
    <row r="413" spans="16:16" x14ac:dyDescent="0.2">
      <c r="P413" s="40"/>
    </row>
    <row r="414" spans="16:16" x14ac:dyDescent="0.2">
      <c r="P414" s="40"/>
    </row>
    <row r="415" spans="16:16" x14ac:dyDescent="0.2">
      <c r="P415" s="40"/>
    </row>
    <row r="416" spans="16:16" x14ac:dyDescent="0.2">
      <c r="P416" s="40"/>
    </row>
    <row r="417" spans="16:16" x14ac:dyDescent="0.2">
      <c r="P417" s="40"/>
    </row>
    <row r="418" spans="16:16" x14ac:dyDescent="0.2">
      <c r="P418" s="40"/>
    </row>
    <row r="419" spans="16:16" x14ac:dyDescent="0.2">
      <c r="P419" s="40"/>
    </row>
    <row r="420" spans="16:16" x14ac:dyDescent="0.2">
      <c r="P420" s="40"/>
    </row>
    <row r="421" spans="16:16" x14ac:dyDescent="0.2">
      <c r="P421" s="40"/>
    </row>
    <row r="422" spans="16:16" x14ac:dyDescent="0.2">
      <c r="P422" s="40"/>
    </row>
    <row r="423" spans="16:16" x14ac:dyDescent="0.2">
      <c r="P423" s="40"/>
    </row>
    <row r="424" spans="16:16" x14ac:dyDescent="0.2">
      <c r="P424" s="40"/>
    </row>
    <row r="425" spans="16:16" x14ac:dyDescent="0.2">
      <c r="P425" s="40"/>
    </row>
    <row r="426" spans="16:16" x14ac:dyDescent="0.2">
      <c r="P426" s="40"/>
    </row>
    <row r="427" spans="16:16" x14ac:dyDescent="0.2">
      <c r="P427" s="40"/>
    </row>
    <row r="428" spans="16:16" x14ac:dyDescent="0.2">
      <c r="P428" s="40"/>
    </row>
    <row r="429" spans="16:16" x14ac:dyDescent="0.2">
      <c r="P429" s="40"/>
    </row>
    <row r="430" spans="16:16" x14ac:dyDescent="0.2">
      <c r="P430" s="40"/>
    </row>
    <row r="431" spans="16:16" x14ac:dyDescent="0.2">
      <c r="P431" s="40"/>
    </row>
    <row r="432" spans="16:16" x14ac:dyDescent="0.2">
      <c r="P432" s="40"/>
    </row>
    <row r="433" spans="16:16" x14ac:dyDescent="0.2">
      <c r="P433" s="40"/>
    </row>
    <row r="434" spans="16:16" x14ac:dyDescent="0.2">
      <c r="P434" s="40"/>
    </row>
    <row r="435" spans="16:16" x14ac:dyDescent="0.2">
      <c r="P435" s="40"/>
    </row>
    <row r="436" spans="16:16" x14ac:dyDescent="0.2">
      <c r="P436" s="40"/>
    </row>
    <row r="437" spans="16:16" x14ac:dyDescent="0.2">
      <c r="P437" s="40"/>
    </row>
    <row r="438" spans="16:16" x14ac:dyDescent="0.2">
      <c r="P438" s="40"/>
    </row>
    <row r="439" spans="16:16" x14ac:dyDescent="0.2">
      <c r="P439" s="40"/>
    </row>
    <row r="440" spans="16:16" x14ac:dyDescent="0.2">
      <c r="P440" s="40"/>
    </row>
    <row r="441" spans="16:16" x14ac:dyDescent="0.2">
      <c r="P441" s="40"/>
    </row>
    <row r="442" spans="16:16" x14ac:dyDescent="0.2">
      <c r="P442" s="40"/>
    </row>
    <row r="443" spans="16:16" x14ac:dyDescent="0.2">
      <c r="P443" s="40"/>
    </row>
    <row r="444" spans="16:16" x14ac:dyDescent="0.2">
      <c r="P444" s="40"/>
    </row>
    <row r="445" spans="16:16" x14ac:dyDescent="0.2">
      <c r="P445" s="40"/>
    </row>
    <row r="446" spans="16:16" x14ac:dyDescent="0.2">
      <c r="P446" s="40"/>
    </row>
    <row r="447" spans="16:16" x14ac:dyDescent="0.2">
      <c r="P447" s="40"/>
    </row>
    <row r="448" spans="16:16" x14ac:dyDescent="0.2">
      <c r="P448" s="40"/>
    </row>
    <row r="449" spans="16:16" x14ac:dyDescent="0.2">
      <c r="P449" s="40"/>
    </row>
    <row r="450" spans="16:16" x14ac:dyDescent="0.2">
      <c r="P450" s="40"/>
    </row>
    <row r="451" spans="16:16" x14ac:dyDescent="0.2">
      <c r="P451" s="40"/>
    </row>
    <row r="452" spans="16:16" x14ac:dyDescent="0.2">
      <c r="P452" s="40"/>
    </row>
    <row r="453" spans="16:16" x14ac:dyDescent="0.2">
      <c r="P453" s="40"/>
    </row>
    <row r="454" spans="16:16" x14ac:dyDescent="0.2">
      <c r="P454" s="40"/>
    </row>
    <row r="455" spans="16:16" x14ac:dyDescent="0.2">
      <c r="P455" s="40"/>
    </row>
    <row r="456" spans="16:16" x14ac:dyDescent="0.2">
      <c r="P456" s="40"/>
    </row>
    <row r="457" spans="16:16" x14ac:dyDescent="0.2">
      <c r="P457" s="40"/>
    </row>
    <row r="458" spans="16:16" x14ac:dyDescent="0.2">
      <c r="P458" s="40"/>
    </row>
    <row r="459" spans="16:16" x14ac:dyDescent="0.2">
      <c r="P459" s="40"/>
    </row>
    <row r="460" spans="16:16" x14ac:dyDescent="0.2">
      <c r="P460" s="40"/>
    </row>
    <row r="461" spans="16:16" x14ac:dyDescent="0.2">
      <c r="P461" s="40"/>
    </row>
    <row r="462" spans="16:16" x14ac:dyDescent="0.2">
      <c r="P462" s="40"/>
    </row>
    <row r="463" spans="16:16" x14ac:dyDescent="0.2">
      <c r="P463" s="40"/>
    </row>
    <row r="464" spans="16:16" x14ac:dyDescent="0.2">
      <c r="P464" s="40"/>
    </row>
    <row r="465" spans="16:16" x14ac:dyDescent="0.2">
      <c r="P465" s="40"/>
    </row>
    <row r="466" spans="16:16" x14ac:dyDescent="0.2">
      <c r="P466" s="40"/>
    </row>
    <row r="467" spans="16:16" x14ac:dyDescent="0.2">
      <c r="P467" s="40"/>
    </row>
    <row r="468" spans="16:16" x14ac:dyDescent="0.2">
      <c r="P468" s="40"/>
    </row>
    <row r="469" spans="16:16" x14ac:dyDescent="0.2">
      <c r="P469" s="40"/>
    </row>
    <row r="470" spans="16:16" x14ac:dyDescent="0.2">
      <c r="P470" s="40"/>
    </row>
    <row r="471" spans="16:16" x14ac:dyDescent="0.2">
      <c r="P471" s="40"/>
    </row>
    <row r="472" spans="16:16" x14ac:dyDescent="0.2">
      <c r="P472" s="40"/>
    </row>
    <row r="473" spans="16:16" x14ac:dyDescent="0.2">
      <c r="P473" s="40"/>
    </row>
    <row r="474" spans="16:16" x14ac:dyDescent="0.2">
      <c r="P474" s="40"/>
    </row>
    <row r="475" spans="16:16" x14ac:dyDescent="0.2">
      <c r="P475" s="40"/>
    </row>
    <row r="476" spans="16:16" x14ac:dyDescent="0.2">
      <c r="P476" s="40"/>
    </row>
    <row r="477" spans="16:16" x14ac:dyDescent="0.2">
      <c r="P477" s="40"/>
    </row>
    <row r="478" spans="16:16" x14ac:dyDescent="0.2">
      <c r="P478" s="40"/>
    </row>
    <row r="479" spans="16:16" x14ac:dyDescent="0.2">
      <c r="P479" s="40"/>
    </row>
    <row r="480" spans="16:16" x14ac:dyDescent="0.2">
      <c r="P480" s="40"/>
    </row>
    <row r="481" spans="16:16" x14ac:dyDescent="0.2">
      <c r="P481" s="40"/>
    </row>
    <row r="482" spans="16:16" x14ac:dyDescent="0.2">
      <c r="P482" s="40"/>
    </row>
    <row r="483" spans="16:16" x14ac:dyDescent="0.2">
      <c r="P483" s="40"/>
    </row>
    <row r="484" spans="16:16" x14ac:dyDescent="0.2">
      <c r="P484" s="40"/>
    </row>
    <row r="485" spans="16:16" x14ac:dyDescent="0.2">
      <c r="P485" s="40"/>
    </row>
    <row r="486" spans="16:16" x14ac:dyDescent="0.2">
      <c r="P486" s="40"/>
    </row>
    <row r="487" spans="16:16" x14ac:dyDescent="0.2">
      <c r="P487" s="40"/>
    </row>
    <row r="488" spans="16:16" x14ac:dyDescent="0.2">
      <c r="P488" s="40"/>
    </row>
    <row r="489" spans="16:16" x14ac:dyDescent="0.2">
      <c r="P489" s="40"/>
    </row>
    <row r="490" spans="16:16" x14ac:dyDescent="0.2">
      <c r="P490" s="40"/>
    </row>
    <row r="491" spans="16:16" x14ac:dyDescent="0.2">
      <c r="P491" s="40"/>
    </row>
    <row r="492" spans="16:16" x14ac:dyDescent="0.2">
      <c r="P492" s="40"/>
    </row>
    <row r="493" spans="16:16" x14ac:dyDescent="0.2">
      <c r="P493" s="40"/>
    </row>
    <row r="494" spans="16:16" x14ac:dyDescent="0.2">
      <c r="P494" s="40"/>
    </row>
    <row r="495" spans="16:16" x14ac:dyDescent="0.2">
      <c r="P495" s="40"/>
    </row>
    <row r="496" spans="16:16" x14ac:dyDescent="0.2">
      <c r="P496" s="40"/>
    </row>
    <row r="497" spans="16:16" x14ac:dyDescent="0.2">
      <c r="P497" s="40"/>
    </row>
    <row r="498" spans="16:16" x14ac:dyDescent="0.2">
      <c r="P498" s="40"/>
    </row>
    <row r="499" spans="16:16" x14ac:dyDescent="0.2">
      <c r="P499" s="40"/>
    </row>
    <row r="500" spans="16:16" x14ac:dyDescent="0.2">
      <c r="P500" s="40"/>
    </row>
    <row r="501" spans="16:16" x14ac:dyDescent="0.2">
      <c r="P501" s="40"/>
    </row>
    <row r="502" spans="16:16" x14ac:dyDescent="0.2">
      <c r="P502" s="40"/>
    </row>
    <row r="503" spans="16:16" x14ac:dyDescent="0.2">
      <c r="P503" s="40"/>
    </row>
    <row r="504" spans="16:16" x14ac:dyDescent="0.2">
      <c r="P504" s="40"/>
    </row>
    <row r="505" spans="16:16" x14ac:dyDescent="0.2">
      <c r="P505" s="40"/>
    </row>
    <row r="506" spans="16:16" x14ac:dyDescent="0.2">
      <c r="P506" s="40"/>
    </row>
    <row r="507" spans="16:16" x14ac:dyDescent="0.2">
      <c r="P507" s="40"/>
    </row>
    <row r="508" spans="16:16" x14ac:dyDescent="0.2">
      <c r="P508" s="40"/>
    </row>
    <row r="509" spans="16:16" x14ac:dyDescent="0.2">
      <c r="P509" s="40"/>
    </row>
    <row r="510" spans="16:16" x14ac:dyDescent="0.2">
      <c r="P510" s="40"/>
    </row>
    <row r="511" spans="16:16" x14ac:dyDescent="0.2">
      <c r="P511" s="40"/>
    </row>
    <row r="512" spans="16:16" x14ac:dyDescent="0.2">
      <c r="P512" s="40"/>
    </row>
    <row r="513" spans="16:16" x14ac:dyDescent="0.2">
      <c r="P513" s="40"/>
    </row>
    <row r="514" spans="16:16" x14ac:dyDescent="0.2">
      <c r="P514" s="40"/>
    </row>
    <row r="515" spans="16:16" x14ac:dyDescent="0.2">
      <c r="P515" s="40"/>
    </row>
    <row r="516" spans="16:16" x14ac:dyDescent="0.2">
      <c r="P516" s="40"/>
    </row>
    <row r="517" spans="16:16" x14ac:dyDescent="0.2">
      <c r="P517" s="40"/>
    </row>
    <row r="518" spans="16:16" x14ac:dyDescent="0.2">
      <c r="P518" s="40"/>
    </row>
    <row r="519" spans="16:16" x14ac:dyDescent="0.2">
      <c r="P519" s="40"/>
    </row>
    <row r="520" spans="16:16" x14ac:dyDescent="0.2">
      <c r="P520" s="40"/>
    </row>
    <row r="521" spans="16:16" x14ac:dyDescent="0.2">
      <c r="P521" s="40"/>
    </row>
    <row r="522" spans="16:16" x14ac:dyDescent="0.2">
      <c r="P522" s="40"/>
    </row>
    <row r="523" spans="16:16" x14ac:dyDescent="0.2">
      <c r="P523" s="40"/>
    </row>
    <row r="524" spans="16:16" x14ac:dyDescent="0.2">
      <c r="P524" s="40"/>
    </row>
    <row r="525" spans="16:16" x14ac:dyDescent="0.2">
      <c r="P525" s="40"/>
    </row>
    <row r="526" spans="16:16" x14ac:dyDescent="0.2">
      <c r="P526" s="40"/>
    </row>
    <row r="527" spans="16:16" x14ac:dyDescent="0.2">
      <c r="P527" s="40"/>
    </row>
    <row r="528" spans="16:16" x14ac:dyDescent="0.2">
      <c r="P528" s="40"/>
    </row>
    <row r="529" spans="16:16" x14ac:dyDescent="0.2">
      <c r="P529" s="40"/>
    </row>
    <row r="530" spans="16:16" x14ac:dyDescent="0.2">
      <c r="P530" s="40"/>
    </row>
    <row r="531" spans="16:16" x14ac:dyDescent="0.2">
      <c r="P531" s="40"/>
    </row>
    <row r="532" spans="16:16" x14ac:dyDescent="0.2">
      <c r="P532" s="40"/>
    </row>
    <row r="533" spans="16:16" x14ac:dyDescent="0.2">
      <c r="P533" s="40"/>
    </row>
    <row r="534" spans="16:16" x14ac:dyDescent="0.2">
      <c r="P534" s="40"/>
    </row>
    <row r="535" spans="16:16" x14ac:dyDescent="0.2">
      <c r="P535" s="40"/>
    </row>
    <row r="536" spans="16:16" x14ac:dyDescent="0.2">
      <c r="P536" s="40"/>
    </row>
    <row r="537" spans="16:16" x14ac:dyDescent="0.2">
      <c r="P537" s="40"/>
    </row>
    <row r="538" spans="16:16" x14ac:dyDescent="0.2">
      <c r="P538" s="40"/>
    </row>
    <row r="539" spans="16:16" x14ac:dyDescent="0.2">
      <c r="P539" s="40"/>
    </row>
    <row r="540" spans="16:16" x14ac:dyDescent="0.2">
      <c r="P540" s="40"/>
    </row>
    <row r="541" spans="16:16" x14ac:dyDescent="0.2">
      <c r="P541" s="40"/>
    </row>
    <row r="542" spans="16:16" x14ac:dyDescent="0.2">
      <c r="P542" s="40"/>
    </row>
    <row r="543" spans="16:16" x14ac:dyDescent="0.2">
      <c r="P543" s="40"/>
    </row>
    <row r="544" spans="16:16" x14ac:dyDescent="0.2">
      <c r="P544" s="40"/>
    </row>
    <row r="545" spans="16:16" x14ac:dyDescent="0.2">
      <c r="P545" s="40"/>
    </row>
    <row r="546" spans="16:16" x14ac:dyDescent="0.2">
      <c r="P546" s="40"/>
    </row>
    <row r="547" spans="16:16" x14ac:dyDescent="0.2">
      <c r="P547" s="40"/>
    </row>
    <row r="548" spans="16:16" x14ac:dyDescent="0.2">
      <c r="P548" s="40"/>
    </row>
    <row r="549" spans="16:16" x14ac:dyDescent="0.2">
      <c r="P549" s="40"/>
    </row>
    <row r="550" spans="16:16" x14ac:dyDescent="0.2">
      <c r="P550" s="40"/>
    </row>
    <row r="551" spans="16:16" x14ac:dyDescent="0.2">
      <c r="P551" s="40"/>
    </row>
    <row r="552" spans="16:16" x14ac:dyDescent="0.2">
      <c r="P552" s="40"/>
    </row>
    <row r="553" spans="16:16" x14ac:dyDescent="0.2">
      <c r="P553" s="40"/>
    </row>
    <row r="554" spans="16:16" x14ac:dyDescent="0.2">
      <c r="P554" s="40"/>
    </row>
    <row r="555" spans="16:16" x14ac:dyDescent="0.2">
      <c r="P555" s="40"/>
    </row>
    <row r="556" spans="16:16" x14ac:dyDescent="0.2">
      <c r="P556" s="40"/>
    </row>
    <row r="557" spans="16:16" x14ac:dyDescent="0.2">
      <c r="P557" s="40"/>
    </row>
    <row r="558" spans="16:16" x14ac:dyDescent="0.2">
      <c r="P558" s="40"/>
    </row>
    <row r="559" spans="16:16" x14ac:dyDescent="0.2">
      <c r="P559" s="40"/>
    </row>
    <row r="560" spans="16:16" x14ac:dyDescent="0.2">
      <c r="P560" s="40"/>
    </row>
    <row r="561" spans="16:16" x14ac:dyDescent="0.2">
      <c r="P561" s="40"/>
    </row>
    <row r="562" spans="16:16" x14ac:dyDescent="0.2">
      <c r="P562" s="40"/>
    </row>
    <row r="563" spans="16:16" x14ac:dyDescent="0.2">
      <c r="P563" s="40"/>
    </row>
    <row r="564" spans="16:16" x14ac:dyDescent="0.2">
      <c r="P564" s="40"/>
    </row>
    <row r="565" spans="16:16" x14ac:dyDescent="0.2">
      <c r="P565" s="104"/>
    </row>
    <row r="566" spans="16:16" x14ac:dyDescent="0.2">
      <c r="P566" s="40"/>
    </row>
    <row r="567" spans="16:16" x14ac:dyDescent="0.2">
      <c r="P567" s="4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D6249-E5E1-4916-B671-2E57662D7875}">
  <dimension ref="A1:F26"/>
  <sheetViews>
    <sheetView zoomScale="136" workbookViewId="0">
      <selection activeCell="D33" sqref="D33"/>
    </sheetView>
  </sheetViews>
  <sheetFormatPr defaultRowHeight="10" x14ac:dyDescent="0.2"/>
  <cols>
    <col min="2" max="2" width="24.453125" customWidth="1"/>
    <col min="3" max="3" width="18.6328125" customWidth="1"/>
    <col min="4" max="4" width="12.453125" customWidth="1"/>
  </cols>
  <sheetData>
    <row r="1" spans="1:6" x14ac:dyDescent="0.2">
      <c r="A1" s="34"/>
    </row>
    <row r="2" spans="1:6" ht="10.5" thickBot="1" x14ac:dyDescent="0.25">
      <c r="A2" s="34"/>
      <c r="B2" s="74" t="s">
        <v>368</v>
      </c>
      <c r="C2" s="72"/>
    </row>
    <row r="3" spans="1:6" x14ac:dyDescent="0.2">
      <c r="A3" s="34"/>
      <c r="B3" s="73" t="s">
        <v>369</v>
      </c>
      <c r="C3" s="73" t="s">
        <v>370</v>
      </c>
      <c r="D3" s="73" t="s">
        <v>387</v>
      </c>
    </row>
    <row r="4" spans="1:6" x14ac:dyDescent="0.2">
      <c r="A4" s="34"/>
      <c r="B4" s="34" t="s">
        <v>390</v>
      </c>
      <c r="C4" s="97">
        <f>'Valuation main'!C8</f>
        <v>167.6</v>
      </c>
      <c r="D4" s="34" t="s">
        <v>398</v>
      </c>
    </row>
    <row r="5" spans="1:6" x14ac:dyDescent="0.2">
      <c r="A5" s="34"/>
      <c r="B5" s="34" t="s">
        <v>391</v>
      </c>
      <c r="C5">
        <v>908204093</v>
      </c>
      <c r="D5" s="34" t="s">
        <v>397</v>
      </c>
    </row>
    <row r="6" spans="1:6" x14ac:dyDescent="0.2">
      <c r="A6" s="34"/>
      <c r="B6" s="34" t="s">
        <v>392</v>
      </c>
      <c r="C6" s="97">
        <f>C4*C5</f>
        <v>152215005986.79999</v>
      </c>
    </row>
    <row r="7" spans="1:6" x14ac:dyDescent="0.2">
      <c r="A7" s="34"/>
      <c r="B7" s="34" t="s">
        <v>393</v>
      </c>
      <c r="C7" s="97">
        <f>BS_More!X54*1000000</f>
        <v>10922000000</v>
      </c>
      <c r="F7" s="105"/>
    </row>
    <row r="8" spans="1:6" x14ac:dyDescent="0.2">
      <c r="A8" s="34"/>
      <c r="B8" s="34" t="s">
        <v>394</v>
      </c>
      <c r="C8" s="97">
        <f>BS_More!X20*1000000</f>
        <v>8948000000</v>
      </c>
      <c r="F8" s="105"/>
    </row>
    <row r="9" spans="1:6" x14ac:dyDescent="0.2">
      <c r="A9" s="34"/>
      <c r="B9" s="34" t="s">
        <v>386</v>
      </c>
      <c r="C9" s="98">
        <v>3.8399999999999997E-2</v>
      </c>
      <c r="D9" s="34" t="s">
        <v>388</v>
      </c>
      <c r="F9" s="105"/>
    </row>
    <row r="10" spans="1:6" x14ac:dyDescent="0.2">
      <c r="A10" s="34"/>
      <c r="B10" s="34" t="s">
        <v>389</v>
      </c>
      <c r="C10" s="98">
        <v>4.2500000000000003E-2</v>
      </c>
      <c r="D10" s="106" t="s">
        <v>402</v>
      </c>
    </row>
    <row r="11" spans="1:6" x14ac:dyDescent="0.2">
      <c r="A11" s="34"/>
      <c r="B11" s="34" t="s">
        <v>399</v>
      </c>
      <c r="C11" s="107" t="s">
        <v>400</v>
      </c>
      <c r="D11" t="s">
        <v>401</v>
      </c>
    </row>
    <row r="12" spans="1:6" x14ac:dyDescent="0.2">
      <c r="B12" s="34" t="s">
        <v>395</v>
      </c>
      <c r="C12" s="98">
        <v>1.23E-2</v>
      </c>
      <c r="D12" s="106" t="s">
        <v>396</v>
      </c>
    </row>
    <row r="13" spans="1:6" x14ac:dyDescent="0.2">
      <c r="B13" s="34" t="s">
        <v>366</v>
      </c>
      <c r="C13" s="98">
        <v>0.21</v>
      </c>
      <c r="D13" s="106"/>
    </row>
    <row r="15" spans="1:6" x14ac:dyDescent="0.2">
      <c r="B15" s="34" t="s">
        <v>385</v>
      </c>
    </row>
    <row r="16" spans="1:6" x14ac:dyDescent="0.2">
      <c r="B16" t="s">
        <v>466</v>
      </c>
      <c r="C16">
        <v>1.03</v>
      </c>
    </row>
    <row r="17" spans="2:3" x14ac:dyDescent="0.2">
      <c r="B17" t="s">
        <v>403</v>
      </c>
      <c r="C17" s="98">
        <f>C9+C16*C10</f>
        <v>8.2174999999999998E-2</v>
      </c>
    </row>
    <row r="19" spans="2:3" x14ac:dyDescent="0.2">
      <c r="B19" t="s">
        <v>404</v>
      </c>
    </row>
    <row r="20" spans="2:3" x14ac:dyDescent="0.2">
      <c r="B20" t="s">
        <v>405</v>
      </c>
      <c r="C20" s="98">
        <f>C9+C12</f>
        <v>5.0699999999999995E-2</v>
      </c>
    </row>
    <row r="22" spans="2:3" x14ac:dyDescent="0.2">
      <c r="B22" t="s">
        <v>406</v>
      </c>
    </row>
    <row r="23" spans="2:3" x14ac:dyDescent="0.2">
      <c r="B23" t="s">
        <v>407</v>
      </c>
      <c r="C23">
        <f>C6/(C6+C7)</f>
        <v>0.93305013823237792</v>
      </c>
    </row>
    <row r="24" spans="2:3" x14ac:dyDescent="0.2">
      <c r="B24" t="s">
        <v>408</v>
      </c>
      <c r="C24">
        <f>C7/(C7+C6)</f>
        <v>6.6949861767622118E-2</v>
      </c>
    </row>
    <row r="25" spans="2:3" x14ac:dyDescent="0.2">
      <c r="B25" t="s">
        <v>406</v>
      </c>
      <c r="C25" s="41">
        <f>C23*C17+C24*C20</f>
        <v>8.00677531008641E-2</v>
      </c>
    </row>
    <row r="26" spans="2:3" x14ac:dyDescent="0.2">
      <c r="B26" s="34" t="s">
        <v>464</v>
      </c>
      <c r="C26">
        <f>1/C23</f>
        <v>1.0717537665172587</v>
      </c>
    </row>
  </sheetData>
  <hyperlinks>
    <hyperlink ref="D12" r:id="rId1" xr:uid="{CC1E13DA-DD63-43B2-8E1D-0156DBE09E84}"/>
    <hyperlink ref="D10" r:id="rId2" display="Implied ERP from Prof. Damodaran's website" xr:uid="{D8D4018D-780F-48BD-99DB-E24258EE1449}"/>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DF8BE-0F60-42E7-B51F-B8868B77541B}">
  <dimension ref="A5:IU125"/>
  <sheetViews>
    <sheetView topLeftCell="A5" workbookViewId="0">
      <selection activeCell="A36" sqref="A36:XFD36"/>
    </sheetView>
  </sheetViews>
  <sheetFormatPr defaultRowHeight="10" x14ac:dyDescent="0.2"/>
  <cols>
    <col min="1" max="1" width="24" customWidth="1"/>
  </cols>
  <sheetData>
    <row r="5" spans="1:255" ht="17" x14ac:dyDescent="0.35">
      <c r="A5" s="44" t="s">
        <v>68</v>
      </c>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c r="CT5" s="43"/>
      <c r="CU5" s="43"/>
      <c r="CV5" s="43"/>
      <c r="CW5" s="43"/>
      <c r="CX5" s="43"/>
      <c r="CY5" s="43"/>
      <c r="CZ5" s="43"/>
      <c r="DA5" s="43"/>
      <c r="DB5" s="43"/>
      <c r="DC5" s="43"/>
      <c r="DD5" s="43"/>
      <c r="DE5" s="43"/>
      <c r="DF5" s="43"/>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3"/>
      <c r="EI5" s="43"/>
      <c r="EJ5" s="43"/>
      <c r="EK5" s="43"/>
      <c r="EL5" s="43"/>
      <c r="EM5" s="43"/>
      <c r="EN5" s="43"/>
      <c r="EO5" s="43"/>
      <c r="EP5" s="43"/>
      <c r="EQ5" s="43"/>
      <c r="ER5" s="43"/>
      <c r="ES5" s="43"/>
      <c r="ET5" s="43"/>
      <c r="EU5" s="43"/>
      <c r="EV5" s="43"/>
      <c r="EW5" s="43"/>
      <c r="EX5" s="43"/>
      <c r="EY5" s="43"/>
      <c r="EZ5" s="43"/>
      <c r="FA5" s="43"/>
      <c r="FB5" s="43"/>
      <c r="FC5" s="43"/>
      <c r="FD5" s="43"/>
      <c r="FE5" s="43"/>
      <c r="FF5" s="43"/>
      <c r="FG5" s="43"/>
      <c r="FH5" s="43"/>
      <c r="FI5" s="43"/>
      <c r="FJ5" s="43"/>
      <c r="FK5" s="43"/>
      <c r="FL5" s="43"/>
      <c r="FM5" s="43"/>
      <c r="FN5" s="43"/>
      <c r="FO5" s="43"/>
      <c r="FP5" s="43"/>
      <c r="FQ5" s="43"/>
      <c r="FR5" s="43"/>
      <c r="FS5" s="43"/>
      <c r="FT5" s="43"/>
      <c r="FU5" s="43"/>
      <c r="FV5" s="43"/>
      <c r="FW5" s="43"/>
      <c r="FX5" s="43"/>
      <c r="FY5" s="43"/>
      <c r="FZ5" s="43"/>
      <c r="GA5" s="43"/>
      <c r="GB5" s="43"/>
      <c r="GC5" s="43"/>
      <c r="GD5" s="43"/>
      <c r="GE5" s="43"/>
      <c r="GF5" s="43"/>
      <c r="GG5" s="43"/>
      <c r="GH5" s="43"/>
      <c r="GI5" s="43"/>
      <c r="GJ5" s="43"/>
      <c r="GK5" s="43"/>
      <c r="GL5" s="43"/>
      <c r="GM5" s="43"/>
      <c r="GN5" s="43"/>
      <c r="GO5" s="43"/>
      <c r="GP5" s="43"/>
      <c r="GQ5" s="43"/>
      <c r="GR5" s="43"/>
      <c r="GS5" s="43"/>
      <c r="GT5" s="43"/>
      <c r="GU5" s="43"/>
      <c r="GV5" s="43"/>
      <c r="GW5" s="43"/>
      <c r="GX5" s="43"/>
      <c r="GY5" s="43"/>
      <c r="GZ5" s="43"/>
      <c r="HA5" s="43"/>
      <c r="HB5" s="43"/>
      <c r="HC5" s="43"/>
      <c r="HD5" s="43"/>
      <c r="HE5" s="43"/>
      <c r="HF5" s="43"/>
      <c r="HG5" s="43"/>
      <c r="HH5" s="43"/>
      <c r="HI5" s="43"/>
      <c r="HJ5" s="43"/>
      <c r="HK5" s="43"/>
      <c r="HL5" s="43"/>
      <c r="HM5" s="43"/>
      <c r="HN5" s="43"/>
      <c r="HO5" s="43"/>
      <c r="HP5" s="43"/>
      <c r="HQ5" s="43"/>
      <c r="HR5" s="43"/>
      <c r="HS5" s="43"/>
      <c r="HT5" s="43"/>
      <c r="HU5" s="43"/>
      <c r="HV5" s="43"/>
      <c r="HW5" s="43"/>
      <c r="HX5" s="43"/>
      <c r="HY5" s="43"/>
      <c r="HZ5" s="43"/>
      <c r="IA5" s="43"/>
      <c r="IB5" s="43"/>
      <c r="IC5" s="43"/>
      <c r="ID5" s="43"/>
      <c r="IE5" s="43"/>
      <c r="IF5" s="43"/>
      <c r="IG5" s="43"/>
      <c r="IH5" s="43"/>
      <c r="II5" s="43"/>
      <c r="IJ5" s="43"/>
      <c r="IK5" s="43"/>
      <c r="IL5" s="43"/>
      <c r="IM5" s="43"/>
      <c r="IN5" s="43"/>
      <c r="IO5" s="43"/>
      <c r="IP5" s="43"/>
      <c r="IQ5" s="43"/>
      <c r="IR5" s="43"/>
      <c r="IS5" s="43"/>
      <c r="IT5" s="43"/>
      <c r="IU5" s="43"/>
    </row>
    <row r="7" spans="1:255" ht="20.5" x14ac:dyDescent="0.25">
      <c r="A7" s="45" t="s">
        <v>69</v>
      </c>
      <c r="B7" s="46" t="s">
        <v>70</v>
      </c>
      <c r="C7" s="43" t="s">
        <v>71</v>
      </c>
      <c r="D7" s="47" t="s">
        <v>4</v>
      </c>
      <c r="E7" s="46" t="s">
        <v>72</v>
      </c>
      <c r="F7" s="43" t="s">
        <v>73</v>
      </c>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3"/>
      <c r="CG7" s="43"/>
      <c r="CH7" s="43"/>
      <c r="CI7" s="43"/>
      <c r="CJ7" s="43"/>
      <c r="CK7" s="43"/>
      <c r="CL7" s="43"/>
      <c r="CM7" s="43"/>
      <c r="CN7" s="43"/>
      <c r="CO7" s="43"/>
      <c r="CP7" s="43"/>
      <c r="CQ7" s="43"/>
      <c r="CR7" s="43"/>
      <c r="CS7" s="43"/>
      <c r="CT7" s="43"/>
      <c r="CU7" s="43"/>
      <c r="CV7" s="43"/>
      <c r="CW7" s="43"/>
      <c r="CX7" s="43"/>
      <c r="CY7" s="43"/>
      <c r="CZ7" s="43"/>
      <c r="DA7" s="43"/>
      <c r="DB7" s="43"/>
      <c r="DC7" s="43"/>
      <c r="DD7" s="43"/>
      <c r="DE7" s="43"/>
      <c r="DF7" s="43"/>
      <c r="DG7" s="43"/>
      <c r="DH7" s="43"/>
      <c r="DI7" s="43"/>
      <c r="DJ7" s="43"/>
      <c r="DK7" s="43"/>
      <c r="DL7" s="43"/>
      <c r="DM7" s="43"/>
      <c r="DN7" s="43"/>
      <c r="DO7" s="43"/>
      <c r="DP7" s="43"/>
      <c r="DQ7" s="43"/>
      <c r="DR7" s="43"/>
      <c r="DS7" s="43"/>
      <c r="DT7" s="43"/>
      <c r="DU7" s="43"/>
      <c r="DV7" s="43"/>
      <c r="DW7" s="43"/>
      <c r="DX7" s="43"/>
      <c r="DY7" s="43"/>
      <c r="DZ7" s="43"/>
      <c r="EA7" s="43"/>
      <c r="EB7" s="43"/>
      <c r="EC7" s="43"/>
      <c r="ED7" s="43"/>
      <c r="EE7" s="43"/>
      <c r="EF7" s="43"/>
      <c r="EG7" s="43"/>
      <c r="EH7" s="43"/>
      <c r="EI7" s="43"/>
      <c r="EJ7" s="43"/>
      <c r="EK7" s="43"/>
      <c r="EL7" s="43"/>
      <c r="EM7" s="43"/>
      <c r="EN7" s="43"/>
      <c r="EO7" s="43"/>
      <c r="EP7" s="43"/>
      <c r="EQ7" s="43"/>
      <c r="ER7" s="43"/>
      <c r="ES7" s="43"/>
      <c r="ET7" s="43"/>
      <c r="EU7" s="43"/>
      <c r="EV7" s="43"/>
      <c r="EW7" s="43"/>
      <c r="EX7" s="43"/>
      <c r="EY7" s="43"/>
      <c r="EZ7" s="43"/>
      <c r="FA7" s="43"/>
      <c r="FB7" s="43"/>
      <c r="FC7" s="43"/>
      <c r="FD7" s="43"/>
      <c r="FE7" s="43"/>
      <c r="FF7" s="43"/>
      <c r="FG7" s="43"/>
      <c r="FH7" s="43"/>
      <c r="FI7" s="43"/>
      <c r="FJ7" s="43"/>
      <c r="FK7" s="43"/>
      <c r="FL7" s="43"/>
      <c r="FM7" s="43"/>
      <c r="FN7" s="43"/>
      <c r="FO7" s="43"/>
      <c r="FP7" s="43"/>
      <c r="FQ7" s="43"/>
      <c r="FR7" s="43"/>
      <c r="FS7" s="43"/>
      <c r="FT7" s="43"/>
      <c r="FU7" s="43"/>
      <c r="FV7" s="43"/>
      <c r="FW7" s="43"/>
      <c r="FX7" s="43"/>
      <c r="FY7" s="43"/>
      <c r="FZ7" s="43"/>
      <c r="GA7" s="43"/>
      <c r="GB7" s="43"/>
      <c r="GC7" s="43"/>
      <c r="GD7" s="43"/>
      <c r="GE7" s="43"/>
      <c r="GF7" s="43"/>
      <c r="GG7" s="43"/>
      <c r="GH7" s="43"/>
      <c r="GI7" s="43"/>
      <c r="GJ7" s="43"/>
      <c r="GK7" s="43"/>
      <c r="GL7" s="43"/>
      <c r="GM7" s="43"/>
      <c r="GN7" s="43"/>
      <c r="GO7" s="43"/>
      <c r="GP7" s="43"/>
      <c r="GQ7" s="43"/>
      <c r="GR7" s="43"/>
      <c r="GS7" s="43"/>
      <c r="GT7" s="43"/>
      <c r="GU7" s="43"/>
      <c r="GV7" s="43"/>
      <c r="GW7" s="43"/>
      <c r="GX7" s="43"/>
      <c r="GY7" s="43"/>
      <c r="GZ7" s="43"/>
      <c r="HA7" s="43"/>
      <c r="HB7" s="43"/>
      <c r="HC7" s="43"/>
      <c r="HD7" s="43"/>
      <c r="HE7" s="43"/>
      <c r="HF7" s="43"/>
      <c r="HG7" s="43"/>
      <c r="HH7" s="43"/>
      <c r="HI7" s="43"/>
      <c r="HJ7" s="43"/>
      <c r="HK7" s="43"/>
      <c r="HL7" s="43"/>
      <c r="HM7" s="43"/>
      <c r="HN7" s="43"/>
      <c r="HO7" s="43"/>
      <c r="HP7" s="43"/>
      <c r="HQ7" s="43"/>
      <c r="HR7" s="43"/>
      <c r="HS7" s="43"/>
      <c r="HT7" s="43"/>
      <c r="HU7" s="43"/>
      <c r="HV7" s="43"/>
      <c r="HW7" s="43"/>
      <c r="HX7" s="43"/>
      <c r="HY7" s="43"/>
      <c r="HZ7" s="43"/>
      <c r="IA7" s="43"/>
      <c r="IB7" s="43"/>
      <c r="IC7" s="43"/>
      <c r="ID7" s="43"/>
      <c r="IE7" s="43"/>
      <c r="IF7" s="43"/>
      <c r="IG7" s="43"/>
      <c r="IH7" s="43"/>
      <c r="II7" s="43"/>
      <c r="IJ7" s="43"/>
      <c r="IK7" s="43"/>
      <c r="IL7" s="43"/>
      <c r="IM7" s="43"/>
      <c r="IN7" s="43"/>
      <c r="IO7" s="43"/>
      <c r="IP7" s="43"/>
      <c r="IQ7" s="43"/>
      <c r="IR7" s="43"/>
      <c r="IS7" s="43"/>
      <c r="IT7" s="43"/>
      <c r="IU7" s="43"/>
    </row>
    <row r="8" spans="1:255" ht="10.5" x14ac:dyDescent="0.25">
      <c r="A8" s="47"/>
      <c r="B8" s="46" t="s">
        <v>74</v>
      </c>
      <c r="C8" s="43" t="s">
        <v>75</v>
      </c>
      <c r="D8" s="47" t="s">
        <v>4</v>
      </c>
      <c r="E8" s="46" t="s">
        <v>7</v>
      </c>
      <c r="F8" s="43" t="s">
        <v>8</v>
      </c>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c r="EH8" s="43"/>
      <c r="EI8" s="43"/>
      <c r="EJ8" s="43"/>
      <c r="EK8" s="43"/>
      <c r="EL8" s="43"/>
      <c r="EM8" s="43"/>
      <c r="EN8" s="43"/>
      <c r="EO8" s="43"/>
      <c r="EP8" s="43"/>
      <c r="EQ8" s="43"/>
      <c r="ER8" s="43"/>
      <c r="ES8" s="43"/>
      <c r="ET8" s="43"/>
      <c r="EU8" s="43"/>
      <c r="EV8" s="43"/>
      <c r="EW8" s="43"/>
      <c r="EX8" s="43"/>
      <c r="EY8" s="43"/>
      <c r="EZ8" s="43"/>
      <c r="FA8" s="43"/>
      <c r="FB8" s="43"/>
      <c r="FC8" s="43"/>
      <c r="FD8" s="43"/>
      <c r="FE8" s="43"/>
      <c r="FF8" s="43"/>
      <c r="FG8" s="43"/>
      <c r="FH8" s="43"/>
      <c r="FI8" s="43"/>
      <c r="FJ8" s="43"/>
      <c r="FK8" s="43"/>
      <c r="FL8" s="43"/>
      <c r="FM8" s="43"/>
      <c r="FN8" s="43"/>
      <c r="FO8" s="43"/>
      <c r="FP8" s="43"/>
      <c r="FQ8" s="43"/>
      <c r="FR8" s="43"/>
      <c r="FS8" s="43"/>
      <c r="FT8" s="43"/>
      <c r="FU8" s="43"/>
      <c r="FV8" s="43"/>
      <c r="FW8" s="43"/>
      <c r="FX8" s="43"/>
      <c r="FY8" s="43"/>
      <c r="FZ8" s="43"/>
      <c r="GA8" s="43"/>
      <c r="GB8" s="43"/>
      <c r="GC8" s="43"/>
      <c r="GD8" s="43"/>
      <c r="GE8" s="43"/>
      <c r="GF8" s="43"/>
      <c r="GG8" s="43"/>
      <c r="GH8" s="43"/>
      <c r="GI8" s="43"/>
      <c r="GJ8" s="43"/>
      <c r="GK8" s="43"/>
      <c r="GL8" s="43"/>
      <c r="GM8" s="43"/>
      <c r="GN8" s="43"/>
      <c r="GO8" s="43"/>
      <c r="GP8" s="43"/>
      <c r="GQ8" s="43"/>
      <c r="GR8" s="43"/>
      <c r="GS8" s="43"/>
      <c r="GT8" s="43"/>
      <c r="GU8" s="43"/>
      <c r="GV8" s="43"/>
      <c r="GW8" s="43"/>
      <c r="GX8" s="43"/>
      <c r="GY8" s="43"/>
      <c r="GZ8" s="43"/>
      <c r="HA8" s="43"/>
      <c r="HB8" s="43"/>
      <c r="HC8" s="43"/>
      <c r="HD8" s="43"/>
      <c r="HE8" s="43"/>
      <c r="HF8" s="43"/>
      <c r="HG8" s="43"/>
      <c r="HH8" s="43"/>
      <c r="HI8" s="43"/>
      <c r="HJ8" s="43"/>
      <c r="HK8" s="43"/>
      <c r="HL8" s="43"/>
      <c r="HM8" s="43"/>
      <c r="HN8" s="43"/>
      <c r="HO8" s="43"/>
      <c r="HP8" s="43"/>
      <c r="HQ8" s="43"/>
      <c r="HR8" s="43"/>
      <c r="HS8" s="43"/>
      <c r="HT8" s="43"/>
      <c r="HU8" s="43"/>
      <c r="HV8" s="43"/>
      <c r="HW8" s="43"/>
      <c r="HX8" s="43"/>
      <c r="HY8" s="43"/>
      <c r="HZ8" s="43"/>
      <c r="IA8" s="43"/>
      <c r="IB8" s="43"/>
      <c r="IC8" s="43"/>
      <c r="ID8" s="43"/>
      <c r="IE8" s="43"/>
      <c r="IF8" s="43"/>
      <c r="IG8" s="43"/>
      <c r="IH8" s="43"/>
      <c r="II8" s="43"/>
      <c r="IJ8" s="43"/>
      <c r="IK8" s="43"/>
      <c r="IL8" s="43"/>
      <c r="IM8" s="43"/>
      <c r="IN8" s="43"/>
      <c r="IO8" s="43"/>
      <c r="IP8" s="43"/>
      <c r="IQ8" s="43"/>
      <c r="IR8" s="43"/>
      <c r="IS8" s="43"/>
      <c r="IT8" s="43"/>
      <c r="IU8" s="43"/>
    </row>
    <row r="9" spans="1:255" ht="10.5" x14ac:dyDescent="0.25">
      <c r="A9" s="47"/>
      <c r="B9" s="46" t="s">
        <v>2</v>
      </c>
      <c r="C9" s="43" t="s">
        <v>76</v>
      </c>
      <c r="D9" s="47" t="s">
        <v>4</v>
      </c>
      <c r="E9" s="46" t="s">
        <v>5</v>
      </c>
      <c r="F9" s="43" t="s">
        <v>314</v>
      </c>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43"/>
      <c r="CZ9" s="43"/>
      <c r="DA9" s="43"/>
      <c r="DB9" s="43"/>
      <c r="DC9" s="43"/>
      <c r="DD9" s="43"/>
      <c r="DE9" s="43"/>
      <c r="DF9" s="43"/>
      <c r="DG9" s="43"/>
      <c r="DH9" s="43"/>
      <c r="DI9" s="43"/>
      <c r="DJ9" s="43"/>
      <c r="DK9" s="43"/>
      <c r="DL9" s="43"/>
      <c r="DM9" s="43"/>
      <c r="DN9" s="43"/>
      <c r="DO9" s="43"/>
      <c r="DP9" s="43"/>
      <c r="DQ9" s="43"/>
      <c r="DR9" s="43"/>
      <c r="DS9" s="43"/>
      <c r="DT9" s="43"/>
      <c r="DU9" s="43"/>
      <c r="DV9" s="43"/>
      <c r="DW9" s="43"/>
      <c r="DX9" s="43"/>
      <c r="DY9" s="43"/>
      <c r="DZ9" s="43"/>
      <c r="EA9" s="43"/>
      <c r="EB9" s="43"/>
      <c r="EC9" s="43"/>
      <c r="ED9" s="43"/>
      <c r="EE9" s="43"/>
      <c r="EF9" s="43"/>
      <c r="EG9" s="43"/>
      <c r="EH9" s="43"/>
      <c r="EI9" s="43"/>
      <c r="EJ9" s="43"/>
      <c r="EK9" s="43"/>
      <c r="EL9" s="43"/>
      <c r="EM9" s="43"/>
      <c r="EN9" s="43"/>
      <c r="EO9" s="43"/>
      <c r="EP9" s="43"/>
      <c r="EQ9" s="43"/>
      <c r="ER9" s="43"/>
      <c r="ES9" s="43"/>
      <c r="ET9" s="43"/>
      <c r="EU9" s="43"/>
      <c r="EV9" s="43"/>
      <c r="EW9" s="43"/>
      <c r="EX9" s="43"/>
      <c r="EY9" s="43"/>
      <c r="EZ9" s="43"/>
      <c r="FA9" s="43"/>
      <c r="FB9" s="43"/>
      <c r="FC9" s="43"/>
      <c r="FD9" s="43"/>
      <c r="FE9" s="43"/>
      <c r="FF9" s="43"/>
      <c r="FG9" s="43"/>
      <c r="FH9" s="43"/>
      <c r="FI9" s="43"/>
      <c r="FJ9" s="43"/>
      <c r="FK9" s="43"/>
      <c r="FL9" s="43"/>
      <c r="FM9" s="43"/>
      <c r="FN9" s="43"/>
      <c r="FO9" s="43"/>
      <c r="FP9" s="43"/>
      <c r="FQ9" s="43"/>
      <c r="FR9" s="43"/>
      <c r="FS9" s="43"/>
      <c r="FT9" s="43"/>
      <c r="FU9" s="43"/>
      <c r="FV9" s="43"/>
      <c r="FW9" s="43"/>
      <c r="FX9" s="43"/>
      <c r="FY9" s="43"/>
      <c r="FZ9" s="43"/>
      <c r="GA9" s="43"/>
      <c r="GB9" s="43"/>
      <c r="GC9" s="43"/>
      <c r="GD9" s="43"/>
      <c r="GE9" s="43"/>
      <c r="GF9" s="43"/>
      <c r="GG9" s="43"/>
      <c r="GH9" s="43"/>
      <c r="GI9" s="43"/>
      <c r="GJ9" s="43"/>
      <c r="GK9" s="43"/>
      <c r="GL9" s="43"/>
      <c r="GM9" s="43"/>
      <c r="GN9" s="43"/>
      <c r="GO9" s="43"/>
      <c r="GP9" s="43"/>
      <c r="GQ9" s="43"/>
      <c r="GR9" s="43"/>
      <c r="GS9" s="43"/>
      <c r="GT9" s="43"/>
      <c r="GU9" s="43"/>
      <c r="GV9" s="43"/>
      <c r="GW9" s="43"/>
      <c r="GX9" s="43"/>
      <c r="GY9" s="43"/>
      <c r="GZ9" s="43"/>
      <c r="HA9" s="43"/>
      <c r="HB9" s="43"/>
      <c r="HC9" s="43"/>
      <c r="HD9" s="43"/>
      <c r="HE9" s="43"/>
      <c r="HF9" s="43"/>
      <c r="HG9" s="43"/>
      <c r="HH9" s="43"/>
      <c r="HI9" s="43"/>
      <c r="HJ9" s="43"/>
      <c r="HK9" s="43"/>
      <c r="HL9" s="43"/>
      <c r="HM9" s="43"/>
      <c r="HN9" s="43"/>
      <c r="HO9" s="43"/>
      <c r="HP9" s="43"/>
      <c r="HQ9" s="43"/>
      <c r="HR9" s="43"/>
      <c r="HS9" s="43"/>
      <c r="HT9" s="43"/>
      <c r="HU9" s="43"/>
      <c r="HV9" s="43"/>
      <c r="HW9" s="43"/>
      <c r="HX9" s="43"/>
      <c r="HY9" s="43"/>
      <c r="HZ9" s="43"/>
      <c r="IA9" s="43"/>
      <c r="IB9" s="43"/>
      <c r="IC9" s="43"/>
      <c r="ID9" s="43"/>
      <c r="IE9" s="43"/>
      <c r="IF9" s="43"/>
      <c r="IG9" s="43"/>
      <c r="IH9" s="43"/>
      <c r="II9" s="43"/>
      <c r="IJ9" s="43"/>
      <c r="IK9" s="43"/>
      <c r="IL9" s="43"/>
      <c r="IM9" s="43"/>
      <c r="IN9" s="43"/>
      <c r="IO9" s="43"/>
      <c r="IP9" s="43"/>
      <c r="IQ9" s="43"/>
      <c r="IR9" s="43"/>
      <c r="IS9" s="43"/>
      <c r="IT9" s="43"/>
      <c r="IU9" s="43"/>
    </row>
    <row r="10" spans="1:255" ht="10.5" x14ac:dyDescent="0.25">
      <c r="A10" s="47"/>
      <c r="B10" s="46" t="s">
        <v>9</v>
      </c>
      <c r="C10" s="43" t="s">
        <v>10</v>
      </c>
      <c r="D10" s="47" t="s">
        <v>4</v>
      </c>
      <c r="E10" s="46" t="s">
        <v>11</v>
      </c>
      <c r="F10" s="48" t="s">
        <v>12</v>
      </c>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c r="CX10" s="43"/>
      <c r="CY10" s="43"/>
      <c r="CZ10" s="43"/>
      <c r="DA10" s="43"/>
      <c r="DB10" s="43"/>
      <c r="DC10" s="43"/>
      <c r="DD10" s="43"/>
      <c r="DE10" s="43"/>
      <c r="DF10" s="43"/>
      <c r="DG10" s="43"/>
      <c r="DH10" s="43"/>
      <c r="DI10" s="43"/>
      <c r="DJ10" s="43"/>
      <c r="DK10" s="43"/>
      <c r="DL10" s="43"/>
      <c r="DM10" s="43"/>
      <c r="DN10" s="43"/>
      <c r="DO10" s="43"/>
      <c r="DP10" s="43"/>
      <c r="DQ10" s="43"/>
      <c r="DR10" s="43"/>
      <c r="DS10" s="43"/>
      <c r="DT10" s="43"/>
      <c r="DU10" s="43"/>
      <c r="DV10" s="43"/>
      <c r="DW10" s="43"/>
      <c r="DX10" s="43"/>
      <c r="DY10" s="43"/>
      <c r="DZ10" s="43"/>
      <c r="EA10" s="43"/>
      <c r="EB10" s="43"/>
      <c r="EC10" s="43"/>
      <c r="ED10" s="43"/>
      <c r="EE10" s="43"/>
      <c r="EF10" s="43"/>
      <c r="EG10" s="43"/>
      <c r="EH10" s="43"/>
      <c r="EI10" s="43"/>
      <c r="EJ10" s="43"/>
      <c r="EK10" s="43"/>
      <c r="EL10" s="43"/>
      <c r="EM10" s="43"/>
      <c r="EN10" s="43"/>
      <c r="EO10" s="43"/>
      <c r="EP10" s="43"/>
      <c r="EQ10" s="43"/>
      <c r="ER10" s="43"/>
      <c r="ES10" s="43"/>
      <c r="ET10" s="43"/>
      <c r="EU10" s="43"/>
      <c r="EV10" s="43"/>
      <c r="EW10" s="43"/>
      <c r="EX10" s="43"/>
      <c r="EY10" s="43"/>
      <c r="EZ10" s="43"/>
      <c r="FA10" s="43"/>
      <c r="FB10" s="43"/>
      <c r="FC10" s="43"/>
      <c r="FD10" s="43"/>
      <c r="FE10" s="43"/>
      <c r="FF10" s="43"/>
      <c r="FG10" s="43"/>
      <c r="FH10" s="43"/>
      <c r="FI10" s="43"/>
      <c r="FJ10" s="43"/>
      <c r="FK10" s="43"/>
      <c r="FL10" s="43"/>
      <c r="FM10" s="43"/>
      <c r="FN10" s="43"/>
      <c r="FO10" s="43"/>
      <c r="FP10" s="43"/>
      <c r="FQ10" s="43"/>
      <c r="FR10" s="43"/>
      <c r="FS10" s="43"/>
      <c r="FT10" s="43"/>
      <c r="FU10" s="43"/>
      <c r="FV10" s="43"/>
      <c r="FW10" s="43"/>
      <c r="FX10" s="43"/>
      <c r="FY10" s="43"/>
      <c r="FZ10" s="43"/>
      <c r="GA10" s="43"/>
      <c r="GB10" s="43"/>
      <c r="GC10" s="43"/>
      <c r="GD10" s="43"/>
      <c r="GE10" s="43"/>
      <c r="GF10" s="43"/>
      <c r="GG10" s="43"/>
      <c r="GH10" s="43"/>
      <c r="GI10" s="43"/>
      <c r="GJ10" s="43"/>
      <c r="GK10" s="43"/>
      <c r="GL10" s="43"/>
      <c r="GM10" s="43"/>
      <c r="GN10" s="43"/>
      <c r="GO10" s="43"/>
      <c r="GP10" s="43"/>
      <c r="GQ10" s="43"/>
      <c r="GR10" s="43"/>
      <c r="GS10" s="43"/>
      <c r="GT10" s="43"/>
      <c r="GU10" s="43"/>
      <c r="GV10" s="43"/>
      <c r="GW10" s="43"/>
      <c r="GX10" s="43"/>
      <c r="GY10" s="43"/>
      <c r="GZ10" s="43"/>
      <c r="HA10" s="43"/>
      <c r="HB10" s="43"/>
      <c r="HC10" s="43"/>
      <c r="HD10" s="43"/>
      <c r="HE10" s="43"/>
      <c r="HF10" s="43"/>
      <c r="HG10" s="43"/>
      <c r="HH10" s="43"/>
      <c r="HI10" s="43"/>
      <c r="HJ10" s="43"/>
      <c r="HK10" s="43"/>
      <c r="HL10" s="43"/>
      <c r="HM10" s="43"/>
      <c r="HN10" s="43"/>
      <c r="HO10" s="43"/>
      <c r="HP10" s="43"/>
      <c r="HQ10" s="43"/>
      <c r="HR10" s="43"/>
      <c r="HS10" s="43"/>
      <c r="HT10" s="43"/>
      <c r="HU10" s="43"/>
      <c r="HV10" s="43"/>
      <c r="HW10" s="43"/>
      <c r="HX10" s="43"/>
      <c r="HY10" s="43"/>
      <c r="HZ10" s="43"/>
      <c r="IA10" s="43"/>
      <c r="IB10" s="43"/>
      <c r="IC10" s="43"/>
      <c r="ID10" s="43"/>
      <c r="IE10" s="43"/>
      <c r="IF10" s="43"/>
      <c r="IG10" s="43"/>
      <c r="IH10" s="43"/>
      <c r="II10" s="43"/>
      <c r="IJ10" s="43"/>
      <c r="IK10" s="43"/>
      <c r="IL10" s="43"/>
      <c r="IM10" s="43"/>
      <c r="IN10" s="43"/>
      <c r="IO10" s="43"/>
      <c r="IP10" s="43"/>
      <c r="IQ10" s="43"/>
      <c r="IR10" s="43"/>
      <c r="IS10" s="43"/>
      <c r="IT10" s="43"/>
      <c r="IU10" s="43"/>
    </row>
    <row r="11" spans="1:255" ht="10.5" x14ac:dyDescent="0.25">
      <c r="A11" s="47"/>
      <c r="B11" s="46" t="s">
        <v>77</v>
      </c>
      <c r="C11" s="43" t="s">
        <v>78</v>
      </c>
      <c r="D11" s="47" t="s">
        <v>4</v>
      </c>
      <c r="E11" s="49"/>
      <c r="F11" s="49"/>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c r="CF11" s="43"/>
      <c r="CG11" s="43"/>
      <c r="CH11" s="43"/>
      <c r="CI11" s="43"/>
      <c r="CJ11" s="43"/>
      <c r="CK11" s="43"/>
      <c r="CL11" s="43"/>
      <c r="CM11" s="43"/>
      <c r="CN11" s="43"/>
      <c r="CO11" s="43"/>
      <c r="CP11" s="43"/>
      <c r="CQ11" s="43"/>
      <c r="CR11" s="43"/>
      <c r="CS11" s="43"/>
      <c r="CT11" s="43"/>
      <c r="CU11" s="43"/>
      <c r="CV11" s="43"/>
      <c r="CW11" s="43"/>
      <c r="CX11" s="43"/>
      <c r="CY11" s="43"/>
      <c r="CZ11" s="43"/>
      <c r="DA11" s="43"/>
      <c r="DB11" s="43"/>
      <c r="DC11" s="43"/>
      <c r="DD11" s="43"/>
      <c r="DE11" s="43"/>
      <c r="DF11" s="43"/>
      <c r="DG11" s="43"/>
      <c r="DH11" s="43"/>
      <c r="DI11" s="43"/>
      <c r="DJ11" s="43"/>
      <c r="DK11" s="43"/>
      <c r="DL11" s="43"/>
      <c r="DM11" s="43"/>
      <c r="DN11" s="43"/>
      <c r="DO11" s="43"/>
      <c r="DP11" s="43"/>
      <c r="DQ11" s="43"/>
      <c r="DR11" s="43"/>
      <c r="DS11" s="43"/>
      <c r="DT11" s="43"/>
      <c r="DU11" s="43"/>
      <c r="DV11" s="43"/>
      <c r="DW11" s="43"/>
      <c r="DX11" s="43"/>
      <c r="DY11" s="43"/>
      <c r="DZ11" s="43"/>
      <c r="EA11" s="43"/>
      <c r="EB11" s="43"/>
      <c r="EC11" s="43"/>
      <c r="ED11" s="43"/>
      <c r="EE11" s="43"/>
      <c r="EF11" s="43"/>
      <c r="EG11" s="43"/>
      <c r="EH11" s="43"/>
      <c r="EI11" s="43"/>
      <c r="EJ11" s="43"/>
      <c r="EK11" s="43"/>
      <c r="EL11" s="43"/>
      <c r="EM11" s="43"/>
      <c r="EN11" s="43"/>
      <c r="EO11" s="43"/>
      <c r="EP11" s="43"/>
      <c r="EQ11" s="43"/>
      <c r="ER11" s="43"/>
      <c r="ES11" s="43"/>
      <c r="ET11" s="43"/>
      <c r="EU11" s="43"/>
      <c r="EV11" s="43"/>
      <c r="EW11" s="43"/>
      <c r="EX11" s="43"/>
      <c r="EY11" s="43"/>
      <c r="EZ11" s="43"/>
      <c r="FA11" s="43"/>
      <c r="FB11" s="43"/>
      <c r="FC11" s="43"/>
      <c r="FD11" s="43"/>
      <c r="FE11" s="43"/>
      <c r="FF11" s="43"/>
      <c r="FG11" s="43"/>
      <c r="FH11" s="43"/>
      <c r="FI11" s="43"/>
      <c r="FJ11" s="43"/>
      <c r="FK11" s="43"/>
      <c r="FL11" s="43"/>
      <c r="FM11" s="43"/>
      <c r="FN11" s="43"/>
      <c r="FO11" s="43"/>
      <c r="FP11" s="43"/>
      <c r="FQ11" s="43"/>
      <c r="FR11" s="43"/>
      <c r="FS11" s="43"/>
      <c r="FT11" s="43"/>
      <c r="FU11" s="43"/>
      <c r="FV11" s="43"/>
      <c r="FW11" s="43"/>
      <c r="FX11" s="43"/>
      <c r="FY11" s="43"/>
      <c r="FZ11" s="43"/>
      <c r="GA11" s="43"/>
      <c r="GB11" s="43"/>
      <c r="GC11" s="43"/>
      <c r="GD11" s="43"/>
      <c r="GE11" s="43"/>
      <c r="GF11" s="43"/>
      <c r="GG11" s="43"/>
      <c r="GH11" s="43"/>
      <c r="GI11" s="43"/>
      <c r="GJ11" s="43"/>
      <c r="GK11" s="43"/>
      <c r="GL11" s="43"/>
      <c r="GM11" s="43"/>
      <c r="GN11" s="43"/>
      <c r="GO11" s="43"/>
      <c r="GP11" s="43"/>
      <c r="GQ11" s="43"/>
      <c r="GR11" s="43"/>
      <c r="GS11" s="43"/>
      <c r="GT11" s="43"/>
      <c r="GU11" s="43"/>
      <c r="GV11" s="43"/>
      <c r="GW11" s="43"/>
      <c r="GX11" s="43"/>
      <c r="GY11" s="43"/>
      <c r="GZ11" s="43"/>
      <c r="HA11" s="43"/>
      <c r="HB11" s="43"/>
      <c r="HC11" s="43"/>
      <c r="HD11" s="43"/>
      <c r="HE11" s="43"/>
      <c r="HF11" s="43"/>
      <c r="HG11" s="43"/>
      <c r="HH11" s="43"/>
      <c r="HI11" s="43"/>
      <c r="HJ11" s="43"/>
      <c r="HK11" s="43"/>
      <c r="HL11" s="43"/>
      <c r="HM11" s="43"/>
      <c r="HN11" s="43"/>
      <c r="HO11" s="43"/>
      <c r="HP11" s="43"/>
      <c r="HQ11" s="43"/>
      <c r="HR11" s="43"/>
      <c r="HS11" s="43"/>
      <c r="HT11" s="43"/>
      <c r="HU11" s="43"/>
      <c r="HV11" s="43"/>
      <c r="HW11" s="43"/>
      <c r="HX11" s="43"/>
      <c r="HY11" s="43"/>
      <c r="HZ11" s="43"/>
      <c r="IA11" s="43"/>
      <c r="IB11" s="43"/>
      <c r="IC11" s="43"/>
      <c r="ID11" s="43"/>
      <c r="IE11" s="43"/>
      <c r="IF11" s="43"/>
      <c r="IG11" s="43"/>
      <c r="IH11" s="43"/>
      <c r="II11" s="43"/>
      <c r="IJ11" s="43"/>
      <c r="IK11" s="43"/>
      <c r="IL11" s="43"/>
      <c r="IM11" s="43"/>
      <c r="IN11" s="43"/>
      <c r="IO11" s="43"/>
      <c r="IP11" s="43"/>
      <c r="IQ11" s="43"/>
      <c r="IR11" s="43"/>
      <c r="IS11" s="43"/>
      <c r="IT11" s="43"/>
      <c r="IU11" s="43"/>
    </row>
    <row r="14" spans="1:255" x14ac:dyDescent="0.2">
      <c r="A14" s="50" t="s">
        <v>79</v>
      </c>
      <c r="B14" s="50"/>
      <c r="C14" s="50"/>
      <c r="D14" s="50"/>
      <c r="E14" s="50"/>
      <c r="F14" s="50"/>
      <c r="G14" s="50"/>
      <c r="H14" s="50"/>
      <c r="I14" s="50"/>
      <c r="J14" s="50"/>
      <c r="K14" s="50"/>
      <c r="L14" s="50"/>
      <c r="M14" s="50"/>
      <c r="N14" s="50"/>
      <c r="O14" s="50"/>
      <c r="P14" s="50"/>
      <c r="Q14" s="50"/>
      <c r="R14" s="50"/>
      <c r="S14" s="50"/>
      <c r="T14" s="50"/>
      <c r="U14" s="50"/>
      <c r="V14" s="50"/>
      <c r="W14" s="50"/>
      <c r="X14" s="50"/>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c r="GK14" s="68"/>
      <c r="GL14" s="68"/>
      <c r="GM14" s="68"/>
      <c r="GN14" s="68"/>
      <c r="GO14" s="68"/>
      <c r="GP14" s="68"/>
      <c r="GQ14" s="68"/>
      <c r="GR14" s="68"/>
      <c r="GS14" s="68"/>
      <c r="GT14" s="68"/>
      <c r="GU14" s="68"/>
      <c r="GV14" s="68"/>
      <c r="GW14" s="68"/>
      <c r="GX14" s="68"/>
      <c r="GY14" s="68"/>
      <c r="GZ14" s="68"/>
      <c r="HA14" s="68"/>
      <c r="HB14" s="68"/>
      <c r="HC14" s="68"/>
      <c r="HD14" s="68"/>
      <c r="HE14" s="68"/>
      <c r="HF14" s="68"/>
      <c r="HG14" s="68"/>
      <c r="HH14" s="68"/>
      <c r="HI14" s="68"/>
      <c r="HJ14" s="68"/>
      <c r="HK14" s="68"/>
      <c r="HL14" s="68"/>
      <c r="HM14" s="68"/>
      <c r="HN14" s="68"/>
      <c r="HO14" s="68"/>
      <c r="HP14" s="68"/>
      <c r="HQ14" s="68"/>
      <c r="HR14" s="68"/>
      <c r="HS14" s="68"/>
      <c r="HT14" s="68"/>
      <c r="HU14" s="68"/>
      <c r="HV14" s="68"/>
      <c r="HW14" s="68"/>
      <c r="HX14" s="68"/>
      <c r="HY14" s="68"/>
      <c r="HZ14" s="68"/>
      <c r="IA14" s="68"/>
      <c r="IB14" s="68"/>
      <c r="IC14" s="68"/>
      <c r="ID14" s="68"/>
      <c r="IE14" s="68"/>
      <c r="IF14" s="68"/>
      <c r="IG14" s="68"/>
      <c r="IH14" s="68"/>
      <c r="II14" s="68"/>
      <c r="IJ14" s="68"/>
      <c r="IK14" s="68"/>
      <c r="IL14" s="68"/>
      <c r="IM14" s="68"/>
      <c r="IN14" s="68"/>
      <c r="IO14" s="68"/>
      <c r="IP14" s="68"/>
      <c r="IQ14" s="68"/>
      <c r="IR14" s="68"/>
      <c r="IS14" s="68"/>
      <c r="IT14" s="68"/>
      <c r="IU14" s="68"/>
    </row>
    <row r="15" spans="1:255" ht="52.5" x14ac:dyDescent="0.25">
      <c r="A15" s="51" t="s">
        <v>16</v>
      </c>
      <c r="B15" s="55" t="s">
        <v>315</v>
      </c>
      <c r="C15" s="55" t="s">
        <v>316</v>
      </c>
      <c r="D15" s="55" t="s">
        <v>317</v>
      </c>
      <c r="E15" s="55" t="s">
        <v>318</v>
      </c>
      <c r="F15" s="55" t="s">
        <v>319</v>
      </c>
      <c r="G15" s="55" t="s">
        <v>320</v>
      </c>
      <c r="H15" s="55" t="s">
        <v>321</v>
      </c>
      <c r="I15" s="55" t="s">
        <v>322</v>
      </c>
      <c r="J15" s="55" t="s">
        <v>323</v>
      </c>
      <c r="K15" s="55" t="s">
        <v>324</v>
      </c>
      <c r="L15" s="55" t="s">
        <v>325</v>
      </c>
      <c r="M15" s="55" t="s">
        <v>326</v>
      </c>
      <c r="N15" s="55" t="s">
        <v>327</v>
      </c>
      <c r="O15" s="55" t="s">
        <v>328</v>
      </c>
      <c r="P15" s="55" t="s">
        <v>329</v>
      </c>
      <c r="Q15" s="55" t="s">
        <v>330</v>
      </c>
      <c r="R15" s="55" t="s">
        <v>274</v>
      </c>
      <c r="S15" s="55" t="s">
        <v>80</v>
      </c>
      <c r="T15" s="55" t="s">
        <v>81</v>
      </c>
      <c r="U15" s="55" t="s">
        <v>82</v>
      </c>
      <c r="V15" s="55" t="s">
        <v>83</v>
      </c>
      <c r="W15" s="55" t="s">
        <v>84</v>
      </c>
      <c r="X15" s="55" t="s">
        <v>85</v>
      </c>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3"/>
      <c r="DD15" s="43"/>
      <c r="DE15" s="43"/>
      <c r="DF15" s="43"/>
      <c r="DG15" s="43"/>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43"/>
      <c r="EJ15" s="43"/>
      <c r="EK15" s="43"/>
      <c r="EL15" s="43"/>
      <c r="EM15" s="43"/>
      <c r="EN15" s="43"/>
      <c r="EO15" s="43"/>
      <c r="EP15" s="43"/>
      <c r="EQ15" s="43"/>
      <c r="ER15" s="43"/>
      <c r="ES15" s="43"/>
      <c r="ET15" s="43"/>
      <c r="EU15" s="43"/>
      <c r="EV15" s="43"/>
      <c r="EW15" s="43"/>
      <c r="EX15" s="43"/>
      <c r="EY15" s="43"/>
      <c r="EZ15" s="43"/>
      <c r="FA15" s="43"/>
      <c r="FB15" s="43"/>
      <c r="FC15" s="43"/>
      <c r="FD15" s="43"/>
      <c r="FE15" s="43"/>
      <c r="FF15" s="43"/>
      <c r="FG15" s="43"/>
      <c r="FH15" s="43"/>
      <c r="FI15" s="43"/>
      <c r="FJ15" s="43"/>
      <c r="FK15" s="43"/>
      <c r="FL15" s="43"/>
      <c r="FM15" s="43"/>
      <c r="FN15" s="43"/>
      <c r="FO15" s="43"/>
      <c r="FP15" s="43"/>
      <c r="FQ15" s="43"/>
      <c r="FR15" s="43"/>
      <c r="FS15" s="43"/>
      <c r="FT15" s="43"/>
      <c r="FU15" s="43"/>
      <c r="FV15" s="43"/>
      <c r="FW15" s="43"/>
      <c r="FX15" s="43"/>
      <c r="FY15" s="43"/>
      <c r="FZ15" s="43"/>
      <c r="GA15" s="43"/>
      <c r="GB15" s="43"/>
      <c r="GC15" s="43"/>
      <c r="GD15" s="43"/>
      <c r="GE15" s="43"/>
      <c r="GF15" s="43"/>
      <c r="GG15" s="43"/>
      <c r="GH15" s="43"/>
      <c r="GI15" s="43"/>
      <c r="GJ15" s="43"/>
      <c r="GK15" s="43"/>
      <c r="GL15" s="43"/>
      <c r="GM15" s="43"/>
      <c r="GN15" s="43"/>
      <c r="GO15" s="43"/>
      <c r="GP15" s="43"/>
      <c r="GQ15" s="43"/>
      <c r="GR15" s="43"/>
      <c r="GS15" s="43"/>
      <c r="GT15" s="43"/>
      <c r="GU15" s="43"/>
      <c r="GV15" s="43"/>
      <c r="GW15" s="43"/>
      <c r="GX15" s="43"/>
      <c r="GY15" s="43"/>
      <c r="GZ15" s="43"/>
      <c r="HA15" s="43"/>
      <c r="HB15" s="43"/>
      <c r="HC15" s="43"/>
      <c r="HD15" s="43"/>
      <c r="HE15" s="43"/>
      <c r="HF15" s="43"/>
      <c r="HG15" s="43"/>
      <c r="HH15" s="43"/>
      <c r="HI15" s="43"/>
      <c r="HJ15" s="43"/>
      <c r="HK15" s="43"/>
      <c r="HL15" s="43"/>
      <c r="HM15" s="43"/>
      <c r="HN15" s="43"/>
      <c r="HO15" s="43"/>
      <c r="HP15" s="43"/>
      <c r="HQ15" s="43"/>
      <c r="HR15" s="43"/>
      <c r="HS15" s="43"/>
      <c r="HT15" s="43"/>
      <c r="HU15" s="43"/>
      <c r="HV15" s="43"/>
      <c r="HW15" s="43"/>
      <c r="HX15" s="43"/>
      <c r="HY15" s="43"/>
      <c r="HZ15" s="43"/>
      <c r="IA15" s="43"/>
      <c r="IB15" s="43"/>
      <c r="IC15" s="43"/>
      <c r="ID15" s="43"/>
      <c r="IE15" s="43"/>
      <c r="IF15" s="43"/>
      <c r="IG15" s="43"/>
      <c r="IH15" s="43"/>
      <c r="II15" s="43"/>
      <c r="IJ15" s="43"/>
      <c r="IK15" s="43"/>
      <c r="IL15" s="43"/>
      <c r="IM15" s="43"/>
      <c r="IN15" s="43"/>
      <c r="IO15" s="43"/>
      <c r="IP15" s="43"/>
      <c r="IQ15" s="43"/>
      <c r="IR15" s="43"/>
      <c r="IS15" s="43"/>
      <c r="IT15" s="43"/>
      <c r="IU15" s="43"/>
    </row>
    <row r="16" spans="1:255" x14ac:dyDescent="0.2">
      <c r="A16" s="52" t="s">
        <v>25</v>
      </c>
      <c r="B16" s="56" t="s">
        <v>26</v>
      </c>
      <c r="C16" s="56" t="s">
        <v>26</v>
      </c>
      <c r="D16" s="56" t="s">
        <v>26</v>
      </c>
      <c r="E16" s="56" t="s">
        <v>26</v>
      </c>
      <c r="F16" s="56" t="s">
        <v>26</v>
      </c>
      <c r="G16" s="56" t="s">
        <v>26</v>
      </c>
      <c r="H16" s="56" t="s">
        <v>26</v>
      </c>
      <c r="I16" s="56" t="s">
        <v>26</v>
      </c>
      <c r="J16" s="56" t="s">
        <v>26</v>
      </c>
      <c r="K16" s="56" t="s">
        <v>26</v>
      </c>
      <c r="L16" s="56" t="s">
        <v>26</v>
      </c>
      <c r="M16" s="56" t="s">
        <v>26</v>
      </c>
      <c r="N16" s="56" t="s">
        <v>26</v>
      </c>
      <c r="O16" s="56" t="s">
        <v>26</v>
      </c>
      <c r="P16" s="56" t="s">
        <v>26</v>
      </c>
      <c r="Q16" s="56" t="s">
        <v>26</v>
      </c>
      <c r="R16" s="56" t="s">
        <v>26</v>
      </c>
      <c r="S16" s="56" t="s">
        <v>26</v>
      </c>
      <c r="T16" s="56" t="s">
        <v>26</v>
      </c>
      <c r="U16" s="56" t="s">
        <v>26</v>
      </c>
      <c r="V16" s="56" t="s">
        <v>26</v>
      </c>
      <c r="W16" s="56" t="s">
        <v>26</v>
      </c>
      <c r="X16" s="56" t="s">
        <v>26</v>
      </c>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c r="CT16" s="43"/>
      <c r="CU16" s="43"/>
      <c r="CV16" s="43"/>
      <c r="CW16" s="43"/>
      <c r="CX16" s="43"/>
      <c r="CY16" s="43"/>
      <c r="CZ16" s="43"/>
      <c r="DA16" s="43"/>
      <c r="DB16" s="43"/>
      <c r="DC16" s="43"/>
      <c r="DD16" s="43"/>
      <c r="DE16" s="43"/>
      <c r="DF16" s="43"/>
      <c r="DG16" s="43"/>
      <c r="DH16" s="43"/>
      <c r="DI16" s="43"/>
      <c r="DJ16" s="43"/>
      <c r="DK16" s="43"/>
      <c r="DL16" s="43"/>
      <c r="DM16" s="43"/>
      <c r="DN16" s="43"/>
      <c r="DO16" s="43"/>
      <c r="DP16" s="43"/>
      <c r="DQ16" s="43"/>
      <c r="DR16" s="43"/>
      <c r="DS16" s="43"/>
      <c r="DT16" s="43"/>
      <c r="DU16" s="43"/>
      <c r="DV16" s="43"/>
      <c r="DW16" s="43"/>
      <c r="DX16" s="43"/>
      <c r="DY16" s="43"/>
      <c r="DZ16" s="43"/>
      <c r="EA16" s="43"/>
      <c r="EB16" s="43"/>
      <c r="EC16" s="43"/>
      <c r="ED16" s="43"/>
      <c r="EE16" s="43"/>
      <c r="EF16" s="43"/>
      <c r="EG16" s="43"/>
      <c r="EH16" s="43"/>
      <c r="EI16" s="43"/>
      <c r="EJ16" s="43"/>
      <c r="EK16" s="43"/>
      <c r="EL16" s="43"/>
      <c r="EM16" s="43"/>
      <c r="EN16" s="43"/>
      <c r="EO16" s="43"/>
      <c r="EP16" s="43"/>
      <c r="EQ16" s="43"/>
      <c r="ER16" s="43"/>
      <c r="ES16" s="43"/>
      <c r="ET16" s="43"/>
      <c r="EU16" s="43"/>
      <c r="EV16" s="43"/>
      <c r="EW16" s="43"/>
      <c r="EX16" s="43"/>
      <c r="EY16" s="43"/>
      <c r="EZ16" s="43"/>
      <c r="FA16" s="43"/>
      <c r="FB16" s="43"/>
      <c r="FC16" s="43"/>
      <c r="FD16" s="43"/>
      <c r="FE16" s="43"/>
      <c r="FF16" s="43"/>
      <c r="FG16" s="43"/>
      <c r="FH16" s="43"/>
      <c r="FI16" s="43"/>
      <c r="FJ16" s="43"/>
      <c r="FK16" s="43"/>
      <c r="FL16" s="43"/>
      <c r="FM16" s="43"/>
      <c r="FN16" s="43"/>
      <c r="FO16" s="43"/>
      <c r="FP16" s="43"/>
      <c r="FQ16" s="43"/>
      <c r="FR16" s="43"/>
      <c r="FS16" s="43"/>
      <c r="FT16" s="43"/>
      <c r="FU16" s="43"/>
      <c r="FV16" s="43"/>
      <c r="FW16" s="43"/>
      <c r="FX16" s="43"/>
      <c r="FY16" s="43"/>
      <c r="FZ16" s="43"/>
      <c r="GA16" s="43"/>
      <c r="GB16" s="43"/>
      <c r="GC16" s="43"/>
      <c r="GD16" s="43"/>
      <c r="GE16" s="43"/>
      <c r="GF16" s="43"/>
      <c r="GG16" s="43"/>
      <c r="GH16" s="43"/>
      <c r="GI16" s="43"/>
      <c r="GJ16" s="43"/>
      <c r="GK16" s="43"/>
      <c r="GL16" s="43"/>
      <c r="GM16" s="43"/>
      <c r="GN16" s="43"/>
      <c r="GO16" s="43"/>
      <c r="GP16" s="43"/>
      <c r="GQ16" s="43"/>
      <c r="GR16" s="43"/>
      <c r="GS16" s="43"/>
      <c r="GT16" s="43"/>
      <c r="GU16" s="43"/>
      <c r="GV16" s="43"/>
      <c r="GW16" s="43"/>
      <c r="GX16" s="43"/>
      <c r="GY16" s="43"/>
      <c r="GZ16" s="43"/>
      <c r="HA16" s="43"/>
      <c r="HB16" s="43"/>
      <c r="HC16" s="43"/>
      <c r="HD16" s="43"/>
      <c r="HE16" s="43"/>
      <c r="HF16" s="43"/>
      <c r="HG16" s="43"/>
      <c r="HH16" s="43"/>
      <c r="HI16" s="43"/>
      <c r="HJ16" s="43"/>
      <c r="HK16" s="43"/>
      <c r="HL16" s="43"/>
      <c r="HM16" s="43"/>
      <c r="HN16" s="43"/>
      <c r="HO16" s="43"/>
      <c r="HP16" s="43"/>
      <c r="HQ16" s="43"/>
      <c r="HR16" s="43"/>
      <c r="HS16" s="43"/>
      <c r="HT16" s="43"/>
      <c r="HU16" s="43"/>
      <c r="HV16" s="43"/>
      <c r="HW16" s="43"/>
      <c r="HX16" s="43"/>
      <c r="HY16" s="43"/>
      <c r="HZ16" s="43"/>
      <c r="IA16" s="43"/>
      <c r="IB16" s="43"/>
      <c r="IC16" s="43"/>
      <c r="ID16" s="43"/>
      <c r="IE16" s="43"/>
      <c r="IF16" s="43"/>
      <c r="IG16" s="43"/>
      <c r="IH16" s="43"/>
      <c r="II16" s="43"/>
      <c r="IJ16" s="43"/>
      <c r="IK16" s="43"/>
      <c r="IL16" s="43"/>
      <c r="IM16" s="43"/>
      <c r="IN16" s="43"/>
      <c r="IO16" s="43"/>
      <c r="IP16" s="43"/>
      <c r="IQ16" s="43"/>
      <c r="IR16" s="43"/>
      <c r="IS16" s="43"/>
      <c r="IT16" s="43"/>
      <c r="IU16" s="43"/>
    </row>
    <row r="17" spans="1:24" ht="10.5" x14ac:dyDescent="0.2">
      <c r="A17" s="53" t="s">
        <v>86</v>
      </c>
      <c r="B17" s="47"/>
      <c r="C17" s="47"/>
      <c r="D17" s="47"/>
      <c r="E17" s="47"/>
      <c r="F17" s="47"/>
      <c r="G17" s="47"/>
      <c r="H17" s="47"/>
      <c r="I17" s="47"/>
      <c r="J17" s="47"/>
      <c r="K17" s="47"/>
      <c r="L17" s="47"/>
      <c r="M17" s="47"/>
      <c r="N17" s="47"/>
      <c r="O17" s="47"/>
      <c r="P17" s="47"/>
      <c r="Q17" s="47"/>
      <c r="R17" s="47"/>
      <c r="S17" s="47"/>
      <c r="T17" s="47"/>
      <c r="U17" s="47"/>
      <c r="V17" s="47"/>
      <c r="W17" s="47"/>
      <c r="X17" s="47"/>
    </row>
    <row r="18" spans="1:24" x14ac:dyDescent="0.2">
      <c r="A18" s="47" t="s">
        <v>87</v>
      </c>
      <c r="B18" s="57">
        <v>8201</v>
      </c>
      <c r="C18" s="57">
        <v>8383</v>
      </c>
      <c r="D18" s="57">
        <v>9834</v>
      </c>
      <c r="E18" s="57">
        <v>11552</v>
      </c>
      <c r="F18" s="57">
        <v>12335</v>
      </c>
      <c r="G18" s="57">
        <v>14255</v>
      </c>
      <c r="H18" s="57">
        <v>13835</v>
      </c>
      <c r="I18" s="57">
        <v>12501</v>
      </c>
      <c r="J18" s="57">
        <v>10427</v>
      </c>
      <c r="K18" s="57">
        <v>13966</v>
      </c>
      <c r="L18" s="57">
        <v>13735</v>
      </c>
      <c r="M18" s="57">
        <v>12825</v>
      </c>
      <c r="N18" s="57">
        <v>12205</v>
      </c>
      <c r="O18" s="57">
        <v>13045</v>
      </c>
      <c r="P18" s="57">
        <v>13000</v>
      </c>
      <c r="Q18" s="57">
        <v>13370</v>
      </c>
      <c r="R18" s="57">
        <v>14961</v>
      </c>
      <c r="S18" s="57">
        <v>15784</v>
      </c>
      <c r="T18" s="57">
        <v>14383</v>
      </c>
      <c r="U18" s="57">
        <v>14461</v>
      </c>
      <c r="V18" s="57">
        <v>18344</v>
      </c>
      <c r="W18" s="57">
        <v>20028</v>
      </c>
      <c r="X18" s="57">
        <v>18112</v>
      </c>
    </row>
    <row r="19" spans="1:24" x14ac:dyDescent="0.2">
      <c r="A19" s="47" t="s">
        <v>88</v>
      </c>
      <c r="B19" s="57" t="s">
        <v>30</v>
      </c>
      <c r="C19" s="57" t="s">
        <v>30</v>
      </c>
      <c r="D19" s="57" t="s">
        <v>30</v>
      </c>
      <c r="E19" s="57" t="s">
        <v>30</v>
      </c>
      <c r="F19" s="57" t="s">
        <v>30</v>
      </c>
      <c r="G19" s="57" t="s">
        <v>30</v>
      </c>
      <c r="H19" s="57" t="s">
        <v>30</v>
      </c>
      <c r="I19" s="57" t="s">
        <v>30</v>
      </c>
      <c r="J19" s="57" t="s">
        <v>30</v>
      </c>
      <c r="K19" s="57" t="s">
        <v>30</v>
      </c>
      <c r="L19" s="57" t="s">
        <v>30</v>
      </c>
      <c r="M19" s="57" t="s">
        <v>30</v>
      </c>
      <c r="N19" s="57" t="s">
        <v>30</v>
      </c>
      <c r="O19" s="57" t="s">
        <v>30</v>
      </c>
      <c r="P19" s="57" t="s">
        <v>30</v>
      </c>
      <c r="Q19" s="57" t="s">
        <v>30</v>
      </c>
      <c r="R19" s="57" t="s">
        <v>30</v>
      </c>
      <c r="S19" s="57" t="s">
        <v>30</v>
      </c>
      <c r="T19" s="57" t="s">
        <v>30</v>
      </c>
      <c r="U19" s="57" t="s">
        <v>30</v>
      </c>
      <c r="V19" s="57" t="s">
        <v>30</v>
      </c>
      <c r="W19" s="57" t="s">
        <v>30</v>
      </c>
      <c r="X19" s="57" t="s">
        <v>30</v>
      </c>
    </row>
    <row r="20" spans="1:24" ht="10.5" x14ac:dyDescent="0.2">
      <c r="A20" s="53" t="s">
        <v>89</v>
      </c>
      <c r="B20" s="58">
        <v>8201</v>
      </c>
      <c r="C20" s="58">
        <v>8383</v>
      </c>
      <c r="D20" s="58">
        <v>9834</v>
      </c>
      <c r="E20" s="58">
        <v>11552</v>
      </c>
      <c r="F20" s="58">
        <v>12335</v>
      </c>
      <c r="G20" s="58">
        <v>14255</v>
      </c>
      <c r="H20" s="58">
        <v>13835</v>
      </c>
      <c r="I20" s="58">
        <v>12501</v>
      </c>
      <c r="J20" s="58">
        <v>10427</v>
      </c>
      <c r="K20" s="58">
        <v>13966</v>
      </c>
      <c r="L20" s="58">
        <v>13735</v>
      </c>
      <c r="M20" s="58">
        <v>12825</v>
      </c>
      <c r="N20" s="58">
        <v>12205</v>
      </c>
      <c r="O20" s="58">
        <v>13045</v>
      </c>
      <c r="P20" s="58">
        <v>13000</v>
      </c>
      <c r="Q20" s="58">
        <v>13370</v>
      </c>
      <c r="R20" s="58">
        <v>14961</v>
      </c>
      <c r="S20" s="58">
        <v>15784</v>
      </c>
      <c r="T20" s="58">
        <v>14383</v>
      </c>
      <c r="U20" s="58">
        <v>14461</v>
      </c>
      <c r="V20" s="58">
        <v>18344</v>
      </c>
      <c r="W20" s="58">
        <v>20028</v>
      </c>
      <c r="X20" s="58">
        <v>18112</v>
      </c>
    </row>
    <row r="21" spans="1:24" x14ac:dyDescent="0.2">
      <c r="A21" s="47"/>
      <c r="B21" s="47"/>
      <c r="C21" s="47"/>
      <c r="D21" s="47"/>
      <c r="E21" s="47"/>
      <c r="F21" s="47"/>
      <c r="G21" s="47"/>
      <c r="H21" s="47"/>
      <c r="I21" s="47"/>
      <c r="J21" s="47"/>
      <c r="K21" s="47"/>
      <c r="L21" s="47"/>
      <c r="M21" s="47"/>
      <c r="N21" s="47"/>
      <c r="O21" s="47"/>
      <c r="P21" s="47"/>
      <c r="Q21" s="47"/>
      <c r="R21" s="47"/>
      <c r="S21" s="47"/>
      <c r="T21" s="47"/>
      <c r="U21" s="47"/>
      <c r="V21" s="47"/>
      <c r="W21" s="47"/>
      <c r="X21" s="47"/>
    </row>
    <row r="22" spans="1:24" x14ac:dyDescent="0.2">
      <c r="A22" s="47" t="s">
        <v>90</v>
      </c>
      <c r="B22" s="57">
        <v>5577</v>
      </c>
      <c r="C22" s="57">
        <v>5287</v>
      </c>
      <c r="D22" s="57">
        <v>5770</v>
      </c>
      <c r="E22" s="57">
        <v>6295</v>
      </c>
      <c r="F22" s="57">
        <v>6319</v>
      </c>
      <c r="G22" s="57">
        <v>6996</v>
      </c>
      <c r="H22" s="57">
        <v>6466</v>
      </c>
      <c r="I22" s="57">
        <v>6256</v>
      </c>
      <c r="J22" s="57">
        <v>5428</v>
      </c>
      <c r="K22" s="57">
        <v>6474</v>
      </c>
      <c r="L22" s="57">
        <v>6867</v>
      </c>
      <c r="M22" s="57">
        <v>6436</v>
      </c>
      <c r="N22" s="57">
        <v>5841</v>
      </c>
      <c r="O22" s="57">
        <v>5618</v>
      </c>
      <c r="P22" s="57">
        <v>5425</v>
      </c>
      <c r="Q22" s="57">
        <v>5113</v>
      </c>
      <c r="R22" s="57">
        <v>5347</v>
      </c>
      <c r="S22" s="57">
        <v>5507</v>
      </c>
      <c r="T22" s="57">
        <v>5219</v>
      </c>
      <c r="U22" s="57">
        <v>5192</v>
      </c>
      <c r="V22" s="57">
        <v>5968</v>
      </c>
      <c r="W22" s="57">
        <v>6257</v>
      </c>
      <c r="X22" s="57">
        <v>6437</v>
      </c>
    </row>
    <row r="23" spans="1:24" ht="10.5" x14ac:dyDescent="0.2">
      <c r="A23" s="53" t="s">
        <v>91</v>
      </c>
      <c r="B23" s="58">
        <v>2624</v>
      </c>
      <c r="C23" s="58">
        <v>3096</v>
      </c>
      <c r="D23" s="58">
        <v>4064</v>
      </c>
      <c r="E23" s="58">
        <v>5257</v>
      </c>
      <c r="F23" s="58">
        <v>6016</v>
      </c>
      <c r="G23" s="58">
        <v>7259</v>
      </c>
      <c r="H23" s="58">
        <v>7369</v>
      </c>
      <c r="I23" s="58">
        <v>6245</v>
      </c>
      <c r="J23" s="58">
        <v>4999</v>
      </c>
      <c r="K23" s="58">
        <v>7492</v>
      </c>
      <c r="L23" s="58">
        <v>6868</v>
      </c>
      <c r="M23" s="58">
        <v>6389</v>
      </c>
      <c r="N23" s="58">
        <v>6364</v>
      </c>
      <c r="O23" s="58">
        <v>7427</v>
      </c>
      <c r="P23" s="58">
        <v>7575</v>
      </c>
      <c r="Q23" s="58">
        <v>8257</v>
      </c>
      <c r="R23" s="58">
        <v>9614</v>
      </c>
      <c r="S23" s="58">
        <v>10277</v>
      </c>
      <c r="T23" s="58">
        <v>9164</v>
      </c>
      <c r="U23" s="58">
        <v>9269</v>
      </c>
      <c r="V23" s="58">
        <v>12376</v>
      </c>
      <c r="W23" s="58">
        <v>13771</v>
      </c>
      <c r="X23" s="58">
        <v>11675</v>
      </c>
    </row>
    <row r="24" spans="1:24" x14ac:dyDescent="0.2">
      <c r="A24" s="47"/>
      <c r="B24" s="47"/>
      <c r="C24" s="47"/>
      <c r="D24" s="47"/>
      <c r="E24" s="47"/>
      <c r="F24" s="47"/>
      <c r="G24" s="47"/>
      <c r="H24" s="47"/>
      <c r="I24" s="47"/>
      <c r="J24" s="47"/>
      <c r="K24" s="47"/>
      <c r="L24" s="47"/>
      <c r="M24" s="47"/>
      <c r="N24" s="47"/>
      <c r="O24" s="47"/>
      <c r="P24" s="47"/>
      <c r="Q24" s="47"/>
      <c r="R24" s="47"/>
      <c r="S24" s="47"/>
      <c r="T24" s="47"/>
      <c r="U24" s="47"/>
      <c r="V24" s="47"/>
      <c r="W24" s="47"/>
      <c r="X24" s="47"/>
    </row>
    <row r="25" spans="1:24" x14ac:dyDescent="0.2">
      <c r="A25" s="47" t="s">
        <v>92</v>
      </c>
      <c r="B25" s="57">
        <v>1261</v>
      </c>
      <c r="C25" s="57">
        <v>1154</v>
      </c>
      <c r="D25" s="57">
        <v>1234</v>
      </c>
      <c r="E25" s="57">
        <v>1351</v>
      </c>
      <c r="F25" s="57">
        <v>1471</v>
      </c>
      <c r="G25" s="57">
        <v>1697</v>
      </c>
      <c r="H25" s="57">
        <v>1680</v>
      </c>
      <c r="I25" s="57">
        <v>1614</v>
      </c>
      <c r="J25" s="57">
        <v>1320</v>
      </c>
      <c r="K25" s="57">
        <v>1518</v>
      </c>
      <c r="L25" s="57">
        <v>1638</v>
      </c>
      <c r="M25" s="57">
        <v>1804</v>
      </c>
      <c r="N25" s="57">
        <v>1858</v>
      </c>
      <c r="O25" s="57">
        <v>1843</v>
      </c>
      <c r="P25" s="57">
        <v>1776</v>
      </c>
      <c r="Q25" s="57">
        <v>1798</v>
      </c>
      <c r="R25" s="57">
        <v>1754</v>
      </c>
      <c r="S25" s="57">
        <v>1716</v>
      </c>
      <c r="T25" s="57">
        <v>1650</v>
      </c>
      <c r="U25" s="57">
        <v>1616</v>
      </c>
      <c r="V25" s="57">
        <v>1658</v>
      </c>
      <c r="W25" s="57">
        <v>1749</v>
      </c>
      <c r="X25" s="57">
        <v>1833</v>
      </c>
    </row>
    <row r="26" spans="1:24" x14ac:dyDescent="0.2">
      <c r="A26" s="47" t="s">
        <v>93</v>
      </c>
      <c r="B26" s="57" t="s">
        <v>30</v>
      </c>
      <c r="C26" s="57" t="s">
        <v>30</v>
      </c>
      <c r="D26" s="57" t="s">
        <v>30</v>
      </c>
      <c r="E26" s="57" t="s">
        <v>30</v>
      </c>
      <c r="F26" s="57" t="s">
        <v>30</v>
      </c>
      <c r="G26" s="57" t="s">
        <v>30</v>
      </c>
      <c r="H26" s="57" t="s">
        <v>30</v>
      </c>
      <c r="I26" s="57" t="s">
        <v>30</v>
      </c>
      <c r="J26" s="57" t="s">
        <v>30</v>
      </c>
      <c r="K26" s="57" t="s">
        <v>30</v>
      </c>
      <c r="L26" s="57" t="s">
        <v>30</v>
      </c>
      <c r="M26" s="57" t="s">
        <v>30</v>
      </c>
      <c r="N26" s="57" t="s">
        <v>30</v>
      </c>
      <c r="O26" s="57" t="s">
        <v>30</v>
      </c>
      <c r="P26" s="57" t="s">
        <v>30</v>
      </c>
      <c r="Q26" s="57" t="s">
        <v>30</v>
      </c>
      <c r="R26" s="57" t="s">
        <v>30</v>
      </c>
      <c r="S26" s="57" t="s">
        <v>30</v>
      </c>
      <c r="T26" s="57" t="s">
        <v>30</v>
      </c>
      <c r="U26" s="57" t="s">
        <v>30</v>
      </c>
      <c r="V26" s="57">
        <v>8</v>
      </c>
      <c r="W26" s="57" t="s">
        <v>30</v>
      </c>
      <c r="X26" s="57" t="s">
        <v>30</v>
      </c>
    </row>
    <row r="27" spans="1:24" x14ac:dyDescent="0.2">
      <c r="A27" s="47" t="s">
        <v>94</v>
      </c>
      <c r="B27" s="57">
        <v>1585</v>
      </c>
      <c r="C27" s="57">
        <v>1616</v>
      </c>
      <c r="D27" s="57">
        <v>1724</v>
      </c>
      <c r="E27" s="57">
        <v>1946</v>
      </c>
      <c r="F27" s="57">
        <v>1986</v>
      </c>
      <c r="G27" s="57">
        <v>2190</v>
      </c>
      <c r="H27" s="57">
        <v>2140</v>
      </c>
      <c r="I27" s="57">
        <v>1940</v>
      </c>
      <c r="J27" s="57">
        <v>1476</v>
      </c>
      <c r="K27" s="57">
        <v>1570</v>
      </c>
      <c r="L27" s="57">
        <v>1715</v>
      </c>
      <c r="M27" s="57">
        <v>1877</v>
      </c>
      <c r="N27" s="57">
        <v>1522</v>
      </c>
      <c r="O27" s="57">
        <v>1358</v>
      </c>
      <c r="P27" s="57">
        <v>1267</v>
      </c>
      <c r="Q27" s="57">
        <v>1356</v>
      </c>
      <c r="R27" s="57">
        <v>1508</v>
      </c>
      <c r="S27" s="57">
        <v>1559</v>
      </c>
      <c r="T27" s="57">
        <v>1544</v>
      </c>
      <c r="U27" s="57">
        <v>1530</v>
      </c>
      <c r="V27" s="57">
        <v>1554</v>
      </c>
      <c r="W27" s="57">
        <v>1670</v>
      </c>
      <c r="X27" s="57">
        <v>1837</v>
      </c>
    </row>
    <row r="28" spans="1:24" x14ac:dyDescent="0.2">
      <c r="A28" s="47" t="s">
        <v>95</v>
      </c>
      <c r="B28" s="57">
        <v>0</v>
      </c>
      <c r="C28" s="57" t="s">
        <v>30</v>
      </c>
      <c r="D28" s="57" t="s">
        <v>30</v>
      </c>
      <c r="E28" s="57" t="s">
        <v>30</v>
      </c>
      <c r="F28" s="57" t="s">
        <v>30</v>
      </c>
      <c r="G28" s="57" t="s">
        <v>30</v>
      </c>
      <c r="H28" s="57" t="s">
        <v>30</v>
      </c>
      <c r="I28" s="57" t="s">
        <v>30</v>
      </c>
      <c r="J28" s="57" t="s">
        <v>30</v>
      </c>
      <c r="K28" s="57" t="s">
        <v>30</v>
      </c>
      <c r="L28" s="57" t="s">
        <v>30</v>
      </c>
      <c r="M28" s="57" t="s">
        <v>30</v>
      </c>
      <c r="N28" s="57" t="s">
        <v>30</v>
      </c>
      <c r="O28" s="57" t="s">
        <v>30</v>
      </c>
      <c r="P28" s="57" t="s">
        <v>30</v>
      </c>
      <c r="Q28" s="57" t="s">
        <v>30</v>
      </c>
      <c r="R28" s="57" t="s">
        <v>30</v>
      </c>
      <c r="S28" s="57" t="s">
        <v>30</v>
      </c>
      <c r="T28" s="57" t="s">
        <v>30</v>
      </c>
      <c r="U28" s="57" t="s">
        <v>30</v>
      </c>
      <c r="V28" s="57" t="s">
        <v>30</v>
      </c>
      <c r="W28" s="57" t="s">
        <v>30</v>
      </c>
      <c r="X28" s="57" t="s">
        <v>30</v>
      </c>
    </row>
    <row r="29" spans="1:24" x14ac:dyDescent="0.2">
      <c r="A29" s="47" t="s">
        <v>96</v>
      </c>
      <c r="B29" s="57" t="s">
        <v>30</v>
      </c>
      <c r="C29" s="57" t="s">
        <v>30</v>
      </c>
      <c r="D29" s="57" t="s">
        <v>30</v>
      </c>
      <c r="E29" s="57" t="s">
        <v>30</v>
      </c>
      <c r="F29" s="57" t="s">
        <v>30</v>
      </c>
      <c r="G29" s="57" t="s">
        <v>30</v>
      </c>
      <c r="H29" s="57" t="s">
        <v>30</v>
      </c>
      <c r="I29" s="57" t="s">
        <v>30</v>
      </c>
      <c r="J29" s="57" t="s">
        <v>30</v>
      </c>
      <c r="K29" s="57" t="s">
        <v>30</v>
      </c>
      <c r="L29" s="57">
        <v>87</v>
      </c>
      <c r="M29" s="57">
        <v>325</v>
      </c>
      <c r="N29" s="57">
        <v>330</v>
      </c>
      <c r="O29" s="57">
        <v>319</v>
      </c>
      <c r="P29" s="57">
        <v>319</v>
      </c>
      <c r="Q29" s="57">
        <v>319</v>
      </c>
      <c r="R29" s="57">
        <v>318</v>
      </c>
      <c r="S29" s="57">
        <v>318</v>
      </c>
      <c r="T29" s="57">
        <v>288</v>
      </c>
      <c r="U29" s="57">
        <v>198</v>
      </c>
      <c r="V29" s="57">
        <v>142</v>
      </c>
      <c r="W29" s="57" t="s">
        <v>30</v>
      </c>
      <c r="X29" s="57" t="s">
        <v>30</v>
      </c>
    </row>
    <row r="30" spans="1:24" x14ac:dyDescent="0.2">
      <c r="A30" s="47" t="s">
        <v>97</v>
      </c>
      <c r="B30" s="57" t="s">
        <v>30</v>
      </c>
      <c r="C30" s="57" t="s">
        <v>30</v>
      </c>
      <c r="D30" s="57" t="s">
        <v>30</v>
      </c>
      <c r="E30" s="57" t="s">
        <v>30</v>
      </c>
      <c r="F30" s="57" t="s">
        <v>30</v>
      </c>
      <c r="G30" s="57" t="s">
        <v>30</v>
      </c>
      <c r="H30" s="57" t="s">
        <v>30</v>
      </c>
      <c r="I30" s="57" t="s">
        <v>30</v>
      </c>
      <c r="J30" s="57" t="s">
        <v>30</v>
      </c>
      <c r="K30" s="57" t="s">
        <v>30</v>
      </c>
      <c r="L30" s="57" t="s">
        <v>30</v>
      </c>
      <c r="M30" s="57">
        <v>8</v>
      </c>
      <c r="N30" s="57" t="s">
        <v>30</v>
      </c>
      <c r="O30" s="57">
        <v>4</v>
      </c>
      <c r="P30" s="57">
        <v>-2</v>
      </c>
      <c r="Q30" s="57" t="s">
        <v>30</v>
      </c>
      <c r="R30" s="57" t="s">
        <v>30</v>
      </c>
      <c r="S30" s="57" t="s">
        <v>30</v>
      </c>
      <c r="T30" s="57" t="s">
        <v>30</v>
      </c>
      <c r="U30" s="57" t="s">
        <v>30</v>
      </c>
      <c r="V30" s="57">
        <v>96</v>
      </c>
      <c r="W30" s="57">
        <v>257</v>
      </c>
      <c r="X30" s="57">
        <v>257</v>
      </c>
    </row>
    <row r="31" spans="1:24" x14ac:dyDescent="0.2">
      <c r="A31" s="47"/>
      <c r="B31" s="47"/>
      <c r="C31" s="47"/>
      <c r="D31" s="47"/>
      <c r="E31" s="47"/>
      <c r="F31" s="47"/>
      <c r="G31" s="47"/>
      <c r="H31" s="47"/>
      <c r="I31" s="47"/>
      <c r="J31" s="47"/>
      <c r="K31" s="47"/>
      <c r="L31" s="47"/>
      <c r="M31" s="47"/>
      <c r="N31" s="47"/>
      <c r="O31" s="47"/>
      <c r="P31" s="47"/>
      <c r="Q31" s="47"/>
      <c r="R31" s="47"/>
      <c r="S31" s="47"/>
      <c r="T31" s="47"/>
      <c r="U31" s="47"/>
      <c r="V31" s="47"/>
      <c r="W31" s="47"/>
      <c r="X31" s="47"/>
    </row>
    <row r="32" spans="1:24" ht="10.5" x14ac:dyDescent="0.2">
      <c r="A32" s="53" t="s">
        <v>98</v>
      </c>
      <c r="B32" s="58">
        <v>2846</v>
      </c>
      <c r="C32" s="58">
        <v>2770</v>
      </c>
      <c r="D32" s="58">
        <v>2958</v>
      </c>
      <c r="E32" s="58">
        <v>3297</v>
      </c>
      <c r="F32" s="58">
        <v>3457</v>
      </c>
      <c r="G32" s="58">
        <v>3887</v>
      </c>
      <c r="H32" s="58">
        <v>3820</v>
      </c>
      <c r="I32" s="58">
        <v>3554</v>
      </c>
      <c r="J32" s="58">
        <v>2796</v>
      </c>
      <c r="K32" s="58">
        <v>3088</v>
      </c>
      <c r="L32" s="58">
        <v>3440</v>
      </c>
      <c r="M32" s="58">
        <v>4014</v>
      </c>
      <c r="N32" s="58">
        <v>3710</v>
      </c>
      <c r="O32" s="58">
        <v>3524</v>
      </c>
      <c r="P32" s="58">
        <v>3360</v>
      </c>
      <c r="Q32" s="58">
        <v>3473</v>
      </c>
      <c r="R32" s="58">
        <v>3580</v>
      </c>
      <c r="S32" s="58">
        <v>3593</v>
      </c>
      <c r="T32" s="58">
        <v>3482</v>
      </c>
      <c r="U32" s="58">
        <v>3344</v>
      </c>
      <c r="V32" s="58">
        <v>3458</v>
      </c>
      <c r="W32" s="58">
        <v>3676</v>
      </c>
      <c r="X32" s="58">
        <v>3927</v>
      </c>
    </row>
    <row r="33" spans="1:24" x14ac:dyDescent="0.2">
      <c r="A33" s="47"/>
      <c r="B33" s="47"/>
      <c r="C33" s="47"/>
      <c r="D33" s="47"/>
      <c r="E33" s="47"/>
      <c r="F33" s="47"/>
      <c r="G33" s="47"/>
      <c r="H33" s="47"/>
      <c r="I33" s="47"/>
      <c r="J33" s="47"/>
      <c r="K33" s="47"/>
      <c r="L33" s="47"/>
      <c r="M33" s="47"/>
      <c r="N33" s="47"/>
      <c r="O33" s="47"/>
      <c r="P33" s="47"/>
      <c r="Q33" s="47"/>
      <c r="R33" s="47"/>
      <c r="S33" s="47"/>
      <c r="T33" s="47"/>
      <c r="U33" s="47"/>
      <c r="V33" s="47"/>
      <c r="W33" s="47"/>
      <c r="X33" s="47"/>
    </row>
    <row r="34" spans="1:24" ht="10.5" x14ac:dyDescent="0.2">
      <c r="A34" s="53" t="s">
        <v>99</v>
      </c>
      <c r="B34" s="59">
        <v>-222</v>
      </c>
      <c r="C34" s="59">
        <v>326</v>
      </c>
      <c r="D34" s="59">
        <v>1106</v>
      </c>
      <c r="E34" s="59">
        <v>1960</v>
      </c>
      <c r="F34" s="59">
        <v>2559</v>
      </c>
      <c r="G34" s="59">
        <v>3372</v>
      </c>
      <c r="H34" s="59">
        <v>3549</v>
      </c>
      <c r="I34" s="59">
        <v>2691</v>
      </c>
      <c r="J34" s="59">
        <v>2203</v>
      </c>
      <c r="K34" s="59">
        <v>4404</v>
      </c>
      <c r="L34" s="59">
        <v>3428</v>
      </c>
      <c r="M34" s="59">
        <v>2375</v>
      </c>
      <c r="N34" s="59">
        <v>2654</v>
      </c>
      <c r="O34" s="59">
        <v>3903</v>
      </c>
      <c r="P34" s="59">
        <v>4215</v>
      </c>
      <c r="Q34" s="59">
        <v>4784</v>
      </c>
      <c r="R34" s="59">
        <v>6034</v>
      </c>
      <c r="S34" s="59">
        <v>6684</v>
      </c>
      <c r="T34" s="59">
        <v>5682</v>
      </c>
      <c r="U34" s="59">
        <v>5925</v>
      </c>
      <c r="V34" s="59">
        <v>8918</v>
      </c>
      <c r="W34" s="59">
        <v>10095</v>
      </c>
      <c r="X34" s="59">
        <v>7748</v>
      </c>
    </row>
    <row r="35" spans="1:24" x14ac:dyDescent="0.2">
      <c r="A35" s="47"/>
      <c r="B35" s="47"/>
      <c r="C35" s="47"/>
      <c r="D35" s="47"/>
      <c r="E35" s="47"/>
      <c r="F35" s="47"/>
      <c r="G35" s="47"/>
      <c r="H35" s="47"/>
      <c r="I35" s="47"/>
      <c r="J35" s="47"/>
      <c r="K35" s="47"/>
      <c r="L35" s="47"/>
      <c r="M35" s="47"/>
      <c r="N35" s="47"/>
      <c r="O35" s="47"/>
      <c r="P35" s="47"/>
      <c r="Q35" s="47"/>
      <c r="R35" s="47"/>
      <c r="S35" s="47"/>
      <c r="T35" s="47"/>
      <c r="U35" s="47"/>
      <c r="V35" s="47"/>
      <c r="W35" s="47"/>
      <c r="X35" s="47"/>
    </row>
    <row r="36" spans="1:24" x14ac:dyDescent="0.2">
      <c r="A36" s="47" t="s">
        <v>100</v>
      </c>
      <c r="B36" s="57">
        <v>-61</v>
      </c>
      <c r="C36" s="57">
        <v>-57</v>
      </c>
      <c r="D36" s="57">
        <v>-39</v>
      </c>
      <c r="E36" s="57">
        <v>-21</v>
      </c>
      <c r="F36" s="57">
        <v>-9</v>
      </c>
      <c r="G36" s="57">
        <v>-7</v>
      </c>
      <c r="H36" s="57" t="s">
        <v>30</v>
      </c>
      <c r="I36" s="57" t="s">
        <v>30</v>
      </c>
      <c r="J36" s="57" t="s">
        <v>30</v>
      </c>
      <c r="K36" s="57" t="s">
        <v>30</v>
      </c>
      <c r="L36" s="57">
        <v>-42</v>
      </c>
      <c r="M36" s="57">
        <v>-85</v>
      </c>
      <c r="N36" s="57">
        <v>-105</v>
      </c>
      <c r="O36" s="57">
        <v>-94</v>
      </c>
      <c r="P36" s="57">
        <v>-90</v>
      </c>
      <c r="Q36" s="57">
        <v>-80</v>
      </c>
      <c r="R36" s="57">
        <v>-78</v>
      </c>
      <c r="S36" s="57">
        <v>-125</v>
      </c>
      <c r="T36" s="57">
        <v>-170</v>
      </c>
      <c r="U36" s="57">
        <v>-190</v>
      </c>
      <c r="V36" s="57">
        <v>-184</v>
      </c>
      <c r="W36" s="57">
        <v>-214</v>
      </c>
      <c r="X36" s="57">
        <v>-315</v>
      </c>
    </row>
    <row r="37" spans="1:24" x14ac:dyDescent="0.2">
      <c r="A37" s="47" t="s">
        <v>101</v>
      </c>
      <c r="B37" s="57">
        <v>184</v>
      </c>
      <c r="C37" s="57">
        <v>121</v>
      </c>
      <c r="D37" s="57">
        <v>109</v>
      </c>
      <c r="E37" s="57">
        <v>136</v>
      </c>
      <c r="F37" s="57">
        <v>165</v>
      </c>
      <c r="G37" s="57">
        <v>196</v>
      </c>
      <c r="H37" s="57">
        <v>157</v>
      </c>
      <c r="I37" s="57">
        <v>76</v>
      </c>
      <c r="J37" s="57">
        <v>24</v>
      </c>
      <c r="K37" s="57">
        <v>13</v>
      </c>
      <c r="L37" s="57">
        <v>11</v>
      </c>
      <c r="M37" s="57">
        <v>40</v>
      </c>
      <c r="N37" s="57">
        <v>10</v>
      </c>
      <c r="O37" s="57">
        <v>13</v>
      </c>
      <c r="P37" s="57" t="s">
        <v>30</v>
      </c>
      <c r="Q37" s="57" t="s">
        <v>30</v>
      </c>
      <c r="R37" s="57" t="s">
        <v>30</v>
      </c>
      <c r="S37" s="57" t="s">
        <v>30</v>
      </c>
      <c r="T37" s="57" t="s">
        <v>30</v>
      </c>
      <c r="U37" s="57" t="s">
        <v>30</v>
      </c>
      <c r="V37" s="57" t="s">
        <v>30</v>
      </c>
      <c r="W37" s="57" t="s">
        <v>30</v>
      </c>
      <c r="X37" s="57" t="s">
        <v>30</v>
      </c>
    </row>
    <row r="38" spans="1:24" ht="10.5" x14ac:dyDescent="0.2">
      <c r="A38" s="53" t="s">
        <v>102</v>
      </c>
      <c r="B38" s="58">
        <v>123</v>
      </c>
      <c r="C38" s="58">
        <v>64</v>
      </c>
      <c r="D38" s="58">
        <v>70</v>
      </c>
      <c r="E38" s="58">
        <v>115</v>
      </c>
      <c r="F38" s="58">
        <v>156</v>
      </c>
      <c r="G38" s="58">
        <v>189</v>
      </c>
      <c r="H38" s="58">
        <v>157</v>
      </c>
      <c r="I38" s="58">
        <v>76</v>
      </c>
      <c r="J38" s="58">
        <v>24</v>
      </c>
      <c r="K38" s="58">
        <v>13</v>
      </c>
      <c r="L38" s="58">
        <v>-31</v>
      </c>
      <c r="M38" s="58">
        <v>-45</v>
      </c>
      <c r="N38" s="58">
        <v>-95</v>
      </c>
      <c r="O38" s="58">
        <v>-81</v>
      </c>
      <c r="P38" s="58">
        <v>-90</v>
      </c>
      <c r="Q38" s="58">
        <v>-80</v>
      </c>
      <c r="R38" s="58">
        <v>-78</v>
      </c>
      <c r="S38" s="58">
        <v>-125</v>
      </c>
      <c r="T38" s="58">
        <v>-170</v>
      </c>
      <c r="U38" s="58">
        <v>-190</v>
      </c>
      <c r="V38" s="58">
        <v>-184</v>
      </c>
      <c r="W38" s="58">
        <v>-214</v>
      </c>
      <c r="X38" s="58">
        <v>-315</v>
      </c>
    </row>
    <row r="39" spans="1:24" x14ac:dyDescent="0.2">
      <c r="A39" s="47"/>
      <c r="B39" s="47"/>
      <c r="C39" s="47"/>
      <c r="D39" s="47"/>
      <c r="E39" s="47"/>
      <c r="F39" s="47"/>
      <c r="G39" s="47"/>
      <c r="H39" s="47"/>
      <c r="I39" s="47"/>
      <c r="J39" s="47"/>
      <c r="K39" s="47"/>
      <c r="L39" s="47"/>
      <c r="M39" s="47"/>
      <c r="N39" s="47"/>
      <c r="O39" s="47"/>
      <c r="P39" s="47"/>
      <c r="Q39" s="47"/>
      <c r="R39" s="47"/>
      <c r="S39" s="47"/>
      <c r="T39" s="47"/>
      <c r="U39" s="47"/>
      <c r="V39" s="47"/>
      <c r="W39" s="47"/>
      <c r="X39" s="47"/>
    </row>
    <row r="40" spans="1:24" x14ac:dyDescent="0.2">
      <c r="A40" s="47" t="s">
        <v>331</v>
      </c>
      <c r="B40" s="57" t="s">
        <v>30</v>
      </c>
      <c r="C40" s="57" t="s">
        <v>30</v>
      </c>
      <c r="D40" s="57" t="s">
        <v>30</v>
      </c>
      <c r="E40" s="57" t="s">
        <v>30</v>
      </c>
      <c r="F40" s="57" t="s">
        <v>30</v>
      </c>
      <c r="G40" s="57" t="s">
        <v>30</v>
      </c>
      <c r="H40" s="57" t="s">
        <v>30</v>
      </c>
      <c r="I40" s="57" t="s">
        <v>30</v>
      </c>
      <c r="J40" s="57">
        <v>-4</v>
      </c>
      <c r="K40" s="57">
        <v>1</v>
      </c>
      <c r="L40" s="57">
        <v>5</v>
      </c>
      <c r="M40" s="57">
        <v>17</v>
      </c>
      <c r="N40" s="57">
        <v>6</v>
      </c>
      <c r="O40" s="57">
        <v>3</v>
      </c>
      <c r="P40" s="57" t="s">
        <v>30</v>
      </c>
      <c r="Q40" s="57" t="s">
        <v>30</v>
      </c>
      <c r="R40" s="57" t="s">
        <v>30</v>
      </c>
      <c r="S40" s="57" t="s">
        <v>30</v>
      </c>
      <c r="T40" s="57" t="s">
        <v>30</v>
      </c>
      <c r="U40" s="57" t="s">
        <v>30</v>
      </c>
      <c r="V40" s="57" t="s">
        <v>30</v>
      </c>
      <c r="W40" s="57" t="s">
        <v>30</v>
      </c>
      <c r="X40" s="57" t="s">
        <v>30</v>
      </c>
    </row>
    <row r="41" spans="1:24" x14ac:dyDescent="0.2">
      <c r="A41" s="47" t="s">
        <v>332</v>
      </c>
      <c r="B41" s="57" t="s">
        <v>30</v>
      </c>
      <c r="C41" s="57" t="s">
        <v>30</v>
      </c>
      <c r="D41" s="57" t="s">
        <v>30</v>
      </c>
      <c r="E41" s="57" t="s">
        <v>30</v>
      </c>
      <c r="F41" s="57" t="s">
        <v>30</v>
      </c>
      <c r="G41" s="57" t="s">
        <v>30</v>
      </c>
      <c r="H41" s="57" t="s">
        <v>30</v>
      </c>
      <c r="I41" s="57" t="s">
        <v>30</v>
      </c>
      <c r="J41" s="57" t="s">
        <v>30</v>
      </c>
      <c r="K41" s="57" t="s">
        <v>30</v>
      </c>
      <c r="L41" s="57" t="s">
        <v>30</v>
      </c>
      <c r="M41" s="57" t="s">
        <v>30</v>
      </c>
      <c r="N41" s="57">
        <v>-2</v>
      </c>
      <c r="O41" s="57">
        <v>-4</v>
      </c>
      <c r="P41" s="57" t="s">
        <v>30</v>
      </c>
      <c r="Q41" s="57" t="s">
        <v>30</v>
      </c>
      <c r="R41" s="57" t="s">
        <v>30</v>
      </c>
      <c r="S41" s="57" t="s">
        <v>30</v>
      </c>
      <c r="T41" s="57" t="s">
        <v>30</v>
      </c>
      <c r="U41" s="57" t="s">
        <v>30</v>
      </c>
      <c r="V41" s="57" t="s">
        <v>30</v>
      </c>
      <c r="W41" s="57" t="s">
        <v>30</v>
      </c>
      <c r="X41" s="57" t="s">
        <v>30</v>
      </c>
    </row>
    <row r="42" spans="1:24" x14ac:dyDescent="0.2">
      <c r="A42" s="47" t="s">
        <v>103</v>
      </c>
      <c r="B42" s="57">
        <v>22</v>
      </c>
      <c r="C42" s="57">
        <v>39</v>
      </c>
      <c r="D42" s="57">
        <v>44</v>
      </c>
      <c r="E42" s="57">
        <v>43</v>
      </c>
      <c r="F42" s="57">
        <v>29</v>
      </c>
      <c r="G42" s="57">
        <v>41</v>
      </c>
      <c r="H42" s="57">
        <v>56</v>
      </c>
      <c r="I42" s="57">
        <v>-32</v>
      </c>
      <c r="J42" s="57">
        <v>20</v>
      </c>
      <c r="K42" s="57">
        <v>13</v>
      </c>
      <c r="L42" s="57">
        <v>-12</v>
      </c>
      <c r="M42" s="57">
        <v>-11</v>
      </c>
      <c r="N42" s="57">
        <v>1</v>
      </c>
      <c r="O42" s="57">
        <v>7</v>
      </c>
      <c r="P42" s="57">
        <v>32</v>
      </c>
      <c r="Q42" s="57">
        <v>211</v>
      </c>
      <c r="R42" s="57">
        <v>135</v>
      </c>
      <c r="S42" s="57">
        <v>130</v>
      </c>
      <c r="T42" s="57">
        <v>180</v>
      </c>
      <c r="U42" s="57">
        <v>306</v>
      </c>
      <c r="V42" s="57">
        <v>135</v>
      </c>
      <c r="W42" s="57">
        <v>151</v>
      </c>
      <c r="X42" s="57">
        <v>395</v>
      </c>
    </row>
    <row r="43" spans="1:24" ht="10.5" x14ac:dyDescent="0.2">
      <c r="A43" s="53" t="s">
        <v>104</v>
      </c>
      <c r="B43" s="58">
        <v>-77</v>
      </c>
      <c r="C43" s="58">
        <v>429</v>
      </c>
      <c r="D43" s="58">
        <v>1220</v>
      </c>
      <c r="E43" s="58">
        <v>2118</v>
      </c>
      <c r="F43" s="58">
        <v>2744</v>
      </c>
      <c r="G43" s="58">
        <v>3602</v>
      </c>
      <c r="H43" s="58">
        <v>3762</v>
      </c>
      <c r="I43" s="58">
        <v>2735</v>
      </c>
      <c r="J43" s="58">
        <v>2243</v>
      </c>
      <c r="K43" s="58">
        <v>4431</v>
      </c>
      <c r="L43" s="58">
        <v>3390</v>
      </c>
      <c r="M43" s="58">
        <v>2336</v>
      </c>
      <c r="N43" s="58">
        <v>2564</v>
      </c>
      <c r="O43" s="58">
        <v>3828</v>
      </c>
      <c r="P43" s="58">
        <v>4157</v>
      </c>
      <c r="Q43" s="58">
        <v>4915</v>
      </c>
      <c r="R43" s="58">
        <v>6091</v>
      </c>
      <c r="S43" s="58">
        <v>6689</v>
      </c>
      <c r="T43" s="58">
        <v>5692</v>
      </c>
      <c r="U43" s="58">
        <v>6041</v>
      </c>
      <c r="V43" s="58">
        <v>8869</v>
      </c>
      <c r="W43" s="58">
        <v>10032</v>
      </c>
      <c r="X43" s="58">
        <v>7828</v>
      </c>
    </row>
    <row r="44" spans="1:24" x14ac:dyDescent="0.2">
      <c r="A44" s="47"/>
      <c r="B44" s="47"/>
      <c r="C44" s="47"/>
      <c r="D44" s="47"/>
      <c r="E44" s="47"/>
      <c r="F44" s="47"/>
      <c r="G44" s="47"/>
      <c r="H44" s="47"/>
      <c r="I44" s="47"/>
      <c r="J44" s="47"/>
      <c r="K44" s="47"/>
      <c r="L44" s="47"/>
      <c r="M44" s="47"/>
      <c r="N44" s="47"/>
      <c r="O44" s="47"/>
      <c r="P44" s="47"/>
      <c r="Q44" s="47"/>
      <c r="R44" s="47"/>
      <c r="S44" s="47"/>
      <c r="T44" s="47"/>
      <c r="U44" s="47"/>
      <c r="V44" s="47"/>
      <c r="W44" s="47"/>
      <c r="X44" s="47"/>
    </row>
    <row r="45" spans="1:24" x14ac:dyDescent="0.2">
      <c r="A45" s="47" t="s">
        <v>105</v>
      </c>
      <c r="B45" s="57">
        <v>-360</v>
      </c>
      <c r="C45" s="57">
        <v>-37</v>
      </c>
      <c r="D45" s="57">
        <v>-118</v>
      </c>
      <c r="E45" s="57" t="s">
        <v>30</v>
      </c>
      <c r="F45" s="57" t="s">
        <v>30</v>
      </c>
      <c r="G45" s="57" t="s">
        <v>30</v>
      </c>
      <c r="H45" s="57">
        <v>-52</v>
      </c>
      <c r="I45" s="57">
        <v>-254</v>
      </c>
      <c r="J45" s="57">
        <v>-212</v>
      </c>
      <c r="K45" s="57">
        <v>-33</v>
      </c>
      <c r="L45" s="57">
        <v>-112</v>
      </c>
      <c r="M45" s="57">
        <v>-400</v>
      </c>
      <c r="N45" s="57">
        <v>-126</v>
      </c>
      <c r="O45" s="57">
        <v>-3</v>
      </c>
      <c r="P45" s="57">
        <v>-14</v>
      </c>
      <c r="Q45" s="57">
        <v>-25</v>
      </c>
      <c r="R45" s="57">
        <v>-11</v>
      </c>
      <c r="S45" s="57">
        <v>-6</v>
      </c>
      <c r="T45" s="57">
        <v>15</v>
      </c>
      <c r="U45" s="57">
        <v>-25</v>
      </c>
      <c r="V45" s="57" t="s">
        <v>30</v>
      </c>
      <c r="W45" s="57" t="s">
        <v>30</v>
      </c>
      <c r="X45" s="57">
        <v>209</v>
      </c>
    </row>
    <row r="46" spans="1:24" x14ac:dyDescent="0.2">
      <c r="A46" s="47" t="s">
        <v>333</v>
      </c>
      <c r="B46" s="57" t="s">
        <v>30</v>
      </c>
      <c r="C46" s="57" t="s">
        <v>30</v>
      </c>
      <c r="D46" s="57" t="s">
        <v>30</v>
      </c>
      <c r="E46" s="57" t="s">
        <v>30</v>
      </c>
      <c r="F46" s="57" t="s">
        <v>30</v>
      </c>
      <c r="G46" s="57" t="s">
        <v>30</v>
      </c>
      <c r="H46" s="57" t="s">
        <v>30</v>
      </c>
      <c r="I46" s="57" t="s">
        <v>30</v>
      </c>
      <c r="J46" s="57" t="s">
        <v>30</v>
      </c>
      <c r="K46" s="57">
        <v>-1</v>
      </c>
      <c r="L46" s="57">
        <v>-324</v>
      </c>
      <c r="M46" s="57">
        <v>-146</v>
      </c>
      <c r="N46" s="57">
        <v>-11</v>
      </c>
      <c r="O46" s="57">
        <v>-11</v>
      </c>
      <c r="P46" s="57">
        <v>-10</v>
      </c>
      <c r="Q46" s="57" t="s">
        <v>30</v>
      </c>
      <c r="R46" s="57" t="s">
        <v>30</v>
      </c>
      <c r="S46" s="57" t="s">
        <v>30</v>
      </c>
      <c r="T46" s="57" t="s">
        <v>30</v>
      </c>
      <c r="U46" s="57" t="s">
        <v>30</v>
      </c>
      <c r="V46" s="57" t="s">
        <v>30</v>
      </c>
      <c r="W46" s="57" t="s">
        <v>30</v>
      </c>
      <c r="X46" s="57" t="s">
        <v>30</v>
      </c>
    </row>
    <row r="47" spans="1:24" x14ac:dyDescent="0.2">
      <c r="A47" s="47" t="s">
        <v>106</v>
      </c>
      <c r="B47" s="57" t="s">
        <v>30</v>
      </c>
      <c r="C47" s="57" t="s">
        <v>30</v>
      </c>
      <c r="D47" s="57" t="s">
        <v>30</v>
      </c>
      <c r="E47" s="57" t="s">
        <v>30</v>
      </c>
      <c r="F47" s="57" t="s">
        <v>30</v>
      </c>
      <c r="G47" s="57" t="s">
        <v>30</v>
      </c>
      <c r="H47" s="57" t="s">
        <v>30</v>
      </c>
      <c r="I47" s="57" t="s">
        <v>30</v>
      </c>
      <c r="J47" s="57" t="s">
        <v>30</v>
      </c>
      <c r="K47" s="57" t="s">
        <v>30</v>
      </c>
      <c r="L47" s="57" t="s">
        <v>30</v>
      </c>
      <c r="M47" s="57" t="s">
        <v>30</v>
      </c>
      <c r="N47" s="57" t="s">
        <v>30</v>
      </c>
      <c r="O47" s="57" t="s">
        <v>30</v>
      </c>
      <c r="P47" s="57" t="s">
        <v>30</v>
      </c>
      <c r="Q47" s="57" t="s">
        <v>30</v>
      </c>
      <c r="R47" s="57" t="s">
        <v>30</v>
      </c>
      <c r="S47" s="57" t="s">
        <v>30</v>
      </c>
      <c r="T47" s="57" t="s">
        <v>30</v>
      </c>
      <c r="U47" s="57" t="s">
        <v>30</v>
      </c>
      <c r="V47" s="57" t="s">
        <v>30</v>
      </c>
      <c r="W47" s="57" t="s">
        <v>30</v>
      </c>
      <c r="X47" s="57" t="s">
        <v>30</v>
      </c>
    </row>
    <row r="48" spans="1:24" x14ac:dyDescent="0.2">
      <c r="A48" s="47" t="s">
        <v>334</v>
      </c>
      <c r="B48" s="57">
        <v>11</v>
      </c>
      <c r="C48" s="57">
        <v>-801</v>
      </c>
      <c r="D48" s="57">
        <v>171</v>
      </c>
      <c r="E48" s="57" t="s">
        <v>30</v>
      </c>
      <c r="F48" s="57" t="s">
        <v>30</v>
      </c>
      <c r="G48" s="57" t="s">
        <v>30</v>
      </c>
      <c r="H48" s="57">
        <v>-18</v>
      </c>
      <c r="I48" s="57" t="s">
        <v>30</v>
      </c>
      <c r="J48" s="57">
        <v>-14</v>
      </c>
      <c r="K48" s="57">
        <v>10</v>
      </c>
      <c r="L48" s="57">
        <v>1</v>
      </c>
      <c r="M48" s="57">
        <v>1</v>
      </c>
      <c r="N48" s="57">
        <v>12</v>
      </c>
      <c r="O48" s="57">
        <v>2</v>
      </c>
      <c r="P48" s="57" t="s">
        <v>30</v>
      </c>
      <c r="Q48" s="57" t="s">
        <v>30</v>
      </c>
      <c r="R48" s="57" t="s">
        <v>30</v>
      </c>
      <c r="S48" s="57" t="s">
        <v>30</v>
      </c>
      <c r="T48" s="57" t="s">
        <v>30</v>
      </c>
      <c r="U48" s="57" t="s">
        <v>30</v>
      </c>
      <c r="V48" s="57" t="s">
        <v>30</v>
      </c>
      <c r="W48" s="57" t="s">
        <v>30</v>
      </c>
      <c r="X48" s="57" t="s">
        <v>30</v>
      </c>
    </row>
    <row r="49" spans="1:24" x14ac:dyDescent="0.2">
      <c r="A49" s="47" t="s">
        <v>107</v>
      </c>
      <c r="B49" s="57" t="s">
        <v>30</v>
      </c>
      <c r="C49" s="57" t="s">
        <v>30</v>
      </c>
      <c r="D49" s="57" t="s">
        <v>30</v>
      </c>
      <c r="E49" s="57" t="s">
        <v>30</v>
      </c>
      <c r="F49" s="57" t="s">
        <v>30</v>
      </c>
      <c r="G49" s="57" t="s">
        <v>30</v>
      </c>
      <c r="H49" s="57" t="s">
        <v>30</v>
      </c>
      <c r="I49" s="57" t="s">
        <v>30</v>
      </c>
      <c r="J49" s="57" t="s">
        <v>30</v>
      </c>
      <c r="K49" s="57">
        <v>144</v>
      </c>
      <c r="L49" s="57" t="s">
        <v>30</v>
      </c>
      <c r="M49" s="57" t="s">
        <v>30</v>
      </c>
      <c r="N49" s="57">
        <v>315</v>
      </c>
      <c r="O49" s="57">
        <v>58</v>
      </c>
      <c r="P49" s="57">
        <v>83</v>
      </c>
      <c r="Q49" s="57">
        <v>40</v>
      </c>
      <c r="R49" s="57" t="s">
        <v>30</v>
      </c>
      <c r="S49" s="57">
        <v>3</v>
      </c>
      <c r="T49" s="57">
        <v>21</v>
      </c>
      <c r="U49" s="57">
        <v>1</v>
      </c>
      <c r="V49" s="57">
        <v>50</v>
      </c>
      <c r="W49" s="57" t="s">
        <v>30</v>
      </c>
      <c r="X49" s="57" t="s">
        <v>30</v>
      </c>
    </row>
    <row r="50" spans="1:24" x14ac:dyDescent="0.2">
      <c r="A50" s="47" t="s">
        <v>335</v>
      </c>
      <c r="B50" s="57" t="s">
        <v>30</v>
      </c>
      <c r="C50" s="57">
        <v>-1</v>
      </c>
      <c r="D50" s="57">
        <v>-23</v>
      </c>
      <c r="E50" s="57" t="s">
        <v>30</v>
      </c>
      <c r="F50" s="57" t="s">
        <v>30</v>
      </c>
      <c r="G50" s="57">
        <v>-5</v>
      </c>
      <c r="H50" s="57" t="s">
        <v>30</v>
      </c>
      <c r="I50" s="57" t="s">
        <v>30</v>
      </c>
      <c r="J50" s="57" t="s">
        <v>30</v>
      </c>
      <c r="K50" s="57" t="s">
        <v>30</v>
      </c>
      <c r="L50" s="57" t="s">
        <v>30</v>
      </c>
      <c r="M50" s="57" t="s">
        <v>30</v>
      </c>
      <c r="N50" s="57" t="s">
        <v>30</v>
      </c>
      <c r="O50" s="57" t="s">
        <v>30</v>
      </c>
      <c r="P50" s="57" t="s">
        <v>30</v>
      </c>
      <c r="Q50" s="57" t="s">
        <v>30</v>
      </c>
      <c r="R50" s="57" t="s">
        <v>30</v>
      </c>
      <c r="S50" s="57" t="s">
        <v>30</v>
      </c>
      <c r="T50" s="57" t="s">
        <v>30</v>
      </c>
      <c r="U50" s="57" t="s">
        <v>30</v>
      </c>
      <c r="V50" s="57" t="s">
        <v>30</v>
      </c>
      <c r="W50" s="57" t="s">
        <v>30</v>
      </c>
      <c r="X50" s="57" t="s">
        <v>30</v>
      </c>
    </row>
    <row r="51" spans="1:24" x14ac:dyDescent="0.2">
      <c r="A51" s="47" t="s">
        <v>336</v>
      </c>
      <c r="B51" s="57" t="s">
        <v>30</v>
      </c>
      <c r="C51" s="57" t="s">
        <v>30</v>
      </c>
      <c r="D51" s="57" t="s">
        <v>30</v>
      </c>
      <c r="E51" s="57">
        <v>54</v>
      </c>
      <c r="F51" s="57" t="s">
        <v>30</v>
      </c>
      <c r="G51" s="57" t="s">
        <v>30</v>
      </c>
      <c r="H51" s="57" t="s">
        <v>30</v>
      </c>
      <c r="I51" s="57" t="s">
        <v>30</v>
      </c>
      <c r="J51" s="57" t="s">
        <v>30</v>
      </c>
      <c r="K51" s="57" t="s">
        <v>30</v>
      </c>
      <c r="L51" s="57" t="s">
        <v>30</v>
      </c>
      <c r="M51" s="57" t="s">
        <v>30</v>
      </c>
      <c r="N51" s="57" t="s">
        <v>30</v>
      </c>
      <c r="O51" s="57" t="s">
        <v>30</v>
      </c>
      <c r="P51" s="57" t="s">
        <v>30</v>
      </c>
      <c r="Q51" s="57" t="s">
        <v>30</v>
      </c>
      <c r="R51" s="57" t="s">
        <v>30</v>
      </c>
      <c r="S51" s="57" t="s">
        <v>30</v>
      </c>
      <c r="T51" s="57" t="s">
        <v>30</v>
      </c>
      <c r="U51" s="57" t="s">
        <v>30</v>
      </c>
      <c r="V51" s="57" t="s">
        <v>30</v>
      </c>
      <c r="W51" s="57" t="s">
        <v>30</v>
      </c>
      <c r="X51" s="57" t="s">
        <v>30</v>
      </c>
    </row>
    <row r="52" spans="1:24" x14ac:dyDescent="0.2">
      <c r="A52" s="47" t="s">
        <v>108</v>
      </c>
      <c r="B52" s="57" t="s">
        <v>30</v>
      </c>
      <c r="C52" s="57">
        <v>64</v>
      </c>
      <c r="D52" s="57" t="s">
        <v>30</v>
      </c>
      <c r="E52" s="57" t="s">
        <v>30</v>
      </c>
      <c r="F52" s="57">
        <v>11</v>
      </c>
      <c r="G52" s="57">
        <v>28</v>
      </c>
      <c r="H52" s="57" t="s">
        <v>30</v>
      </c>
      <c r="I52" s="57" t="s">
        <v>30</v>
      </c>
      <c r="J52" s="57" t="s">
        <v>30</v>
      </c>
      <c r="K52" s="57" t="s">
        <v>30</v>
      </c>
      <c r="L52" s="57" t="s">
        <v>30</v>
      </c>
      <c r="M52" s="57">
        <v>144</v>
      </c>
      <c r="N52" s="57" t="s">
        <v>30</v>
      </c>
      <c r="O52" s="57" t="s">
        <v>30</v>
      </c>
      <c r="P52" s="57" t="s">
        <v>30</v>
      </c>
      <c r="Q52" s="57" t="s">
        <v>30</v>
      </c>
      <c r="R52" s="57" t="s">
        <v>30</v>
      </c>
      <c r="S52" s="57" t="s">
        <v>30</v>
      </c>
      <c r="T52" s="57" t="s">
        <v>30</v>
      </c>
      <c r="U52" s="57" t="s">
        <v>30</v>
      </c>
      <c r="V52" s="57" t="s">
        <v>30</v>
      </c>
      <c r="W52" s="57" t="s">
        <v>30</v>
      </c>
      <c r="X52" s="57" t="s">
        <v>30</v>
      </c>
    </row>
    <row r="53" spans="1:24" ht="10.5" x14ac:dyDescent="0.2">
      <c r="A53" s="53" t="s">
        <v>109</v>
      </c>
      <c r="B53" s="58">
        <v>-426</v>
      </c>
      <c r="C53" s="58">
        <v>-346</v>
      </c>
      <c r="D53" s="58">
        <v>1250</v>
      </c>
      <c r="E53" s="58">
        <v>2172</v>
      </c>
      <c r="F53" s="58">
        <v>2755</v>
      </c>
      <c r="G53" s="58">
        <v>3625</v>
      </c>
      <c r="H53" s="58">
        <v>3692</v>
      </c>
      <c r="I53" s="58">
        <v>2481</v>
      </c>
      <c r="J53" s="58">
        <v>2017</v>
      </c>
      <c r="K53" s="58">
        <v>4551</v>
      </c>
      <c r="L53" s="58">
        <v>2955</v>
      </c>
      <c r="M53" s="58">
        <v>1935</v>
      </c>
      <c r="N53" s="58">
        <v>2754</v>
      </c>
      <c r="O53" s="58">
        <v>3874</v>
      </c>
      <c r="P53" s="58">
        <v>4216</v>
      </c>
      <c r="Q53" s="58">
        <v>4930</v>
      </c>
      <c r="R53" s="58">
        <v>6080</v>
      </c>
      <c r="S53" s="58">
        <v>6686</v>
      </c>
      <c r="T53" s="58">
        <v>5728</v>
      </c>
      <c r="U53" s="58">
        <v>6017</v>
      </c>
      <c r="V53" s="58">
        <v>8919</v>
      </c>
      <c r="W53" s="58">
        <v>10032</v>
      </c>
      <c r="X53" s="58">
        <v>8037</v>
      </c>
    </row>
    <row r="54" spans="1:24" x14ac:dyDescent="0.2">
      <c r="A54" s="47"/>
      <c r="B54" s="47"/>
      <c r="C54" s="47"/>
      <c r="D54" s="47"/>
      <c r="E54" s="47"/>
      <c r="F54" s="47"/>
      <c r="G54" s="47"/>
      <c r="H54" s="47"/>
      <c r="I54" s="47"/>
      <c r="J54" s="47"/>
      <c r="K54" s="47"/>
      <c r="L54" s="47"/>
      <c r="M54" s="47"/>
      <c r="N54" s="47"/>
      <c r="O54" s="47"/>
      <c r="P54" s="47"/>
      <c r="Q54" s="47"/>
      <c r="R54" s="47"/>
      <c r="S54" s="47"/>
      <c r="T54" s="47"/>
      <c r="U54" s="47"/>
      <c r="V54" s="47"/>
      <c r="W54" s="47"/>
      <c r="X54" s="47"/>
    </row>
    <row r="55" spans="1:24" x14ac:dyDescent="0.2">
      <c r="A55" s="47" t="s">
        <v>110</v>
      </c>
      <c r="B55" s="57">
        <v>-225</v>
      </c>
      <c r="C55" s="57">
        <v>-2</v>
      </c>
      <c r="D55" s="57">
        <v>52</v>
      </c>
      <c r="E55" s="57">
        <v>481</v>
      </c>
      <c r="F55" s="57">
        <v>582</v>
      </c>
      <c r="G55" s="57">
        <v>987</v>
      </c>
      <c r="H55" s="57">
        <v>1051</v>
      </c>
      <c r="I55" s="57">
        <v>561</v>
      </c>
      <c r="J55" s="57">
        <v>547</v>
      </c>
      <c r="K55" s="57">
        <v>1323</v>
      </c>
      <c r="L55" s="57">
        <v>719</v>
      </c>
      <c r="M55" s="57">
        <v>176</v>
      </c>
      <c r="N55" s="57">
        <v>592</v>
      </c>
      <c r="O55" s="57">
        <v>1053</v>
      </c>
      <c r="P55" s="57">
        <v>1230</v>
      </c>
      <c r="Q55" s="57">
        <v>1335</v>
      </c>
      <c r="R55" s="57">
        <v>2398</v>
      </c>
      <c r="S55" s="57">
        <v>1106</v>
      </c>
      <c r="T55" s="57">
        <v>711</v>
      </c>
      <c r="U55" s="57">
        <v>422</v>
      </c>
      <c r="V55" s="57">
        <v>1150</v>
      </c>
      <c r="W55" s="57">
        <v>1283</v>
      </c>
      <c r="X55" s="57">
        <v>936</v>
      </c>
    </row>
    <row r="56" spans="1:24" ht="10.5" x14ac:dyDescent="0.2">
      <c r="A56" s="53" t="s">
        <v>111</v>
      </c>
      <c r="B56" s="58">
        <v>-201</v>
      </c>
      <c r="C56" s="58">
        <v>-344</v>
      </c>
      <c r="D56" s="58">
        <v>1198</v>
      </c>
      <c r="E56" s="58">
        <v>1691</v>
      </c>
      <c r="F56" s="58">
        <v>2173</v>
      </c>
      <c r="G56" s="58">
        <v>2638</v>
      </c>
      <c r="H56" s="58">
        <v>2641</v>
      </c>
      <c r="I56" s="58">
        <v>1920</v>
      </c>
      <c r="J56" s="58">
        <v>1470</v>
      </c>
      <c r="K56" s="58">
        <v>3228</v>
      </c>
      <c r="L56" s="58">
        <v>2236</v>
      </c>
      <c r="M56" s="58">
        <v>1759</v>
      </c>
      <c r="N56" s="58">
        <v>2162</v>
      </c>
      <c r="O56" s="58">
        <v>2821</v>
      </c>
      <c r="P56" s="58">
        <v>2986</v>
      </c>
      <c r="Q56" s="58">
        <v>3595</v>
      </c>
      <c r="R56" s="58">
        <v>3682</v>
      </c>
      <c r="S56" s="58">
        <v>5580</v>
      </c>
      <c r="T56" s="58">
        <v>5017</v>
      </c>
      <c r="U56" s="58">
        <v>5595</v>
      </c>
      <c r="V56" s="58">
        <v>7769</v>
      </c>
      <c r="W56" s="58">
        <v>8749</v>
      </c>
      <c r="X56" s="58">
        <v>7101</v>
      </c>
    </row>
    <row r="57" spans="1:24" x14ac:dyDescent="0.2">
      <c r="A57" s="47"/>
      <c r="B57" s="47"/>
      <c r="C57" s="47"/>
      <c r="D57" s="47"/>
      <c r="E57" s="47"/>
      <c r="F57" s="47"/>
      <c r="G57" s="47"/>
      <c r="H57" s="47"/>
      <c r="I57" s="47"/>
      <c r="J57" s="47"/>
      <c r="K57" s="47"/>
      <c r="L57" s="47"/>
      <c r="M57" s="47"/>
      <c r="N57" s="47"/>
      <c r="O57" s="47"/>
      <c r="P57" s="47"/>
      <c r="Q57" s="47"/>
      <c r="R57" s="47"/>
      <c r="S57" s="47"/>
      <c r="T57" s="47"/>
      <c r="U57" s="47"/>
      <c r="V57" s="47"/>
      <c r="W57" s="47"/>
      <c r="X57" s="47"/>
    </row>
    <row r="58" spans="1:24" x14ac:dyDescent="0.2">
      <c r="A58" s="47" t="s">
        <v>112</v>
      </c>
      <c r="B58" s="57" t="s">
        <v>30</v>
      </c>
      <c r="C58" s="57" t="s">
        <v>30</v>
      </c>
      <c r="D58" s="57" t="s">
        <v>30</v>
      </c>
      <c r="E58" s="57">
        <v>170</v>
      </c>
      <c r="F58" s="57">
        <v>151</v>
      </c>
      <c r="G58" s="57">
        <v>1703</v>
      </c>
      <c r="H58" s="57">
        <v>16</v>
      </c>
      <c r="I58" s="57" t="s">
        <v>30</v>
      </c>
      <c r="J58" s="57" t="s">
        <v>30</v>
      </c>
      <c r="K58" s="57" t="s">
        <v>30</v>
      </c>
      <c r="L58" s="57" t="s">
        <v>30</v>
      </c>
      <c r="M58" s="57" t="s">
        <v>30</v>
      </c>
      <c r="N58" s="57" t="s">
        <v>30</v>
      </c>
      <c r="O58" s="57" t="s">
        <v>30</v>
      </c>
      <c r="P58" s="57" t="s">
        <v>30</v>
      </c>
      <c r="Q58" s="57" t="s">
        <v>30</v>
      </c>
      <c r="R58" s="57" t="s">
        <v>30</v>
      </c>
      <c r="S58" s="57" t="s">
        <v>30</v>
      </c>
      <c r="T58" s="57" t="s">
        <v>30</v>
      </c>
      <c r="U58" s="57" t="s">
        <v>30</v>
      </c>
      <c r="V58" s="57" t="s">
        <v>30</v>
      </c>
      <c r="W58" s="57" t="s">
        <v>30</v>
      </c>
      <c r="X58" s="57" t="s">
        <v>30</v>
      </c>
    </row>
    <row r="59" spans="1:24" x14ac:dyDescent="0.2">
      <c r="A59" s="47" t="s">
        <v>113</v>
      </c>
      <c r="B59" s="57" t="s">
        <v>30</v>
      </c>
      <c r="C59" s="57" t="s">
        <v>30</v>
      </c>
      <c r="D59" s="57" t="s">
        <v>30</v>
      </c>
      <c r="E59" s="57" t="s">
        <v>30</v>
      </c>
      <c r="F59" s="57" t="s">
        <v>30</v>
      </c>
      <c r="G59" s="57" t="s">
        <v>30</v>
      </c>
      <c r="H59" s="57" t="s">
        <v>30</v>
      </c>
      <c r="I59" s="57" t="s">
        <v>30</v>
      </c>
      <c r="J59" s="57" t="s">
        <v>30</v>
      </c>
      <c r="K59" s="57" t="s">
        <v>30</v>
      </c>
      <c r="L59" s="57" t="s">
        <v>30</v>
      </c>
      <c r="M59" s="57" t="s">
        <v>30</v>
      </c>
      <c r="N59" s="57" t="s">
        <v>30</v>
      </c>
      <c r="O59" s="57" t="s">
        <v>30</v>
      </c>
      <c r="P59" s="57" t="s">
        <v>30</v>
      </c>
      <c r="Q59" s="57" t="s">
        <v>30</v>
      </c>
      <c r="R59" s="57" t="s">
        <v>30</v>
      </c>
      <c r="S59" s="57" t="s">
        <v>30</v>
      </c>
      <c r="T59" s="57" t="s">
        <v>30</v>
      </c>
      <c r="U59" s="57" t="s">
        <v>30</v>
      </c>
      <c r="V59" s="57" t="s">
        <v>30</v>
      </c>
      <c r="W59" s="57" t="s">
        <v>30</v>
      </c>
      <c r="X59" s="57" t="s">
        <v>30</v>
      </c>
    </row>
    <row r="60" spans="1:24" ht="10.5" x14ac:dyDescent="0.2">
      <c r="A60" s="53" t="s">
        <v>114</v>
      </c>
      <c r="B60" s="58">
        <v>-201</v>
      </c>
      <c r="C60" s="58">
        <v>-344</v>
      </c>
      <c r="D60" s="58">
        <v>1198</v>
      </c>
      <c r="E60" s="58">
        <v>1861</v>
      </c>
      <c r="F60" s="58">
        <v>2324</v>
      </c>
      <c r="G60" s="58">
        <v>4341</v>
      </c>
      <c r="H60" s="58">
        <v>2657</v>
      </c>
      <c r="I60" s="58">
        <v>1920</v>
      </c>
      <c r="J60" s="58">
        <v>1470</v>
      </c>
      <c r="K60" s="58">
        <v>3228</v>
      </c>
      <c r="L60" s="58">
        <v>2236</v>
      </c>
      <c r="M60" s="58">
        <v>1759</v>
      </c>
      <c r="N60" s="58">
        <v>2162</v>
      </c>
      <c r="O60" s="58">
        <v>2821</v>
      </c>
      <c r="P60" s="58">
        <v>2986</v>
      </c>
      <c r="Q60" s="58">
        <v>3595</v>
      </c>
      <c r="R60" s="58">
        <v>3682</v>
      </c>
      <c r="S60" s="58">
        <v>5580</v>
      </c>
      <c r="T60" s="58">
        <v>5017</v>
      </c>
      <c r="U60" s="58">
        <v>5595</v>
      </c>
      <c r="V60" s="58">
        <v>7769</v>
      </c>
      <c r="W60" s="58">
        <v>8749</v>
      </c>
      <c r="X60" s="58">
        <v>7101</v>
      </c>
    </row>
    <row r="61" spans="1:24" x14ac:dyDescent="0.2">
      <c r="A61" s="47"/>
      <c r="B61" s="47"/>
      <c r="C61" s="47"/>
      <c r="D61" s="47"/>
      <c r="E61" s="47"/>
      <c r="F61" s="47"/>
      <c r="G61" s="47"/>
      <c r="H61" s="47"/>
      <c r="I61" s="47"/>
      <c r="J61" s="47"/>
      <c r="K61" s="47"/>
      <c r="L61" s="47"/>
      <c r="M61" s="47"/>
      <c r="N61" s="47"/>
      <c r="O61" s="47"/>
      <c r="P61" s="47"/>
      <c r="Q61" s="47"/>
      <c r="R61" s="47"/>
      <c r="S61" s="47"/>
      <c r="T61" s="47"/>
      <c r="U61" s="47"/>
      <c r="V61" s="47"/>
      <c r="W61" s="47"/>
      <c r="X61" s="47"/>
    </row>
    <row r="62" spans="1:24" x14ac:dyDescent="0.2">
      <c r="A62" s="47" t="s">
        <v>115</v>
      </c>
      <c r="B62" s="57" t="s">
        <v>30</v>
      </c>
      <c r="C62" s="57" t="s">
        <v>30</v>
      </c>
      <c r="D62" s="57" t="s">
        <v>30</v>
      </c>
      <c r="E62" s="57" t="s">
        <v>30</v>
      </c>
      <c r="F62" s="57" t="s">
        <v>30</v>
      </c>
      <c r="G62" s="57" t="s">
        <v>30</v>
      </c>
      <c r="H62" s="57" t="s">
        <v>30</v>
      </c>
      <c r="I62" s="57" t="s">
        <v>30</v>
      </c>
      <c r="J62" s="57" t="s">
        <v>30</v>
      </c>
      <c r="K62" s="57" t="s">
        <v>30</v>
      </c>
      <c r="L62" s="57" t="s">
        <v>30</v>
      </c>
      <c r="M62" s="57" t="s">
        <v>30</v>
      </c>
      <c r="N62" s="57" t="s">
        <v>30</v>
      </c>
      <c r="O62" s="57" t="s">
        <v>30</v>
      </c>
      <c r="P62" s="57" t="s">
        <v>30</v>
      </c>
      <c r="Q62" s="57" t="s">
        <v>30</v>
      </c>
      <c r="R62" s="57" t="s">
        <v>30</v>
      </c>
      <c r="S62" s="57" t="s">
        <v>30</v>
      </c>
      <c r="T62" s="57" t="s">
        <v>30</v>
      </c>
      <c r="U62" s="57" t="s">
        <v>30</v>
      </c>
      <c r="V62" s="57" t="s">
        <v>30</v>
      </c>
      <c r="W62" s="57" t="s">
        <v>30</v>
      </c>
      <c r="X62" s="57" t="s">
        <v>30</v>
      </c>
    </row>
    <row r="63" spans="1:24" ht="10.5" x14ac:dyDescent="0.2">
      <c r="A63" s="53" t="s">
        <v>116</v>
      </c>
      <c r="B63" s="60">
        <v>-201</v>
      </c>
      <c r="C63" s="60">
        <v>-344</v>
      </c>
      <c r="D63" s="60">
        <v>1198</v>
      </c>
      <c r="E63" s="60">
        <v>1861</v>
      </c>
      <c r="F63" s="60">
        <v>2324</v>
      </c>
      <c r="G63" s="60">
        <v>4341</v>
      </c>
      <c r="H63" s="60">
        <v>2657</v>
      </c>
      <c r="I63" s="60">
        <v>1920</v>
      </c>
      <c r="J63" s="60">
        <v>1470</v>
      </c>
      <c r="K63" s="60">
        <v>3228</v>
      </c>
      <c r="L63" s="60">
        <v>2236</v>
      </c>
      <c r="M63" s="60">
        <v>1759</v>
      </c>
      <c r="N63" s="60">
        <v>2162</v>
      </c>
      <c r="O63" s="60">
        <v>2821</v>
      </c>
      <c r="P63" s="60">
        <v>2986</v>
      </c>
      <c r="Q63" s="60">
        <v>3595</v>
      </c>
      <c r="R63" s="60">
        <v>3682</v>
      </c>
      <c r="S63" s="60">
        <v>5580</v>
      </c>
      <c r="T63" s="60">
        <v>5017</v>
      </c>
      <c r="U63" s="60">
        <v>5595</v>
      </c>
      <c r="V63" s="60">
        <v>7769</v>
      </c>
      <c r="W63" s="60">
        <v>8749</v>
      </c>
      <c r="X63" s="60">
        <v>7101</v>
      </c>
    </row>
    <row r="64" spans="1:24" x14ac:dyDescent="0.2">
      <c r="A64" s="47"/>
      <c r="B64" s="47"/>
      <c r="C64" s="47"/>
      <c r="D64" s="47"/>
      <c r="E64" s="47"/>
      <c r="F64" s="47"/>
      <c r="G64" s="47"/>
      <c r="H64" s="47"/>
      <c r="I64" s="47"/>
      <c r="J64" s="47"/>
      <c r="K64" s="47"/>
      <c r="L64" s="47"/>
      <c r="M64" s="47"/>
      <c r="N64" s="47"/>
      <c r="O64" s="47"/>
      <c r="P64" s="47"/>
      <c r="Q64" s="47"/>
      <c r="R64" s="47"/>
      <c r="S64" s="47"/>
      <c r="T64" s="47"/>
      <c r="U64" s="47"/>
      <c r="V64" s="47"/>
      <c r="W64" s="47"/>
      <c r="X64" s="47"/>
    </row>
    <row r="65" spans="1:24" x14ac:dyDescent="0.2">
      <c r="A65" s="47" t="s">
        <v>117</v>
      </c>
      <c r="B65" s="57" t="s">
        <v>30</v>
      </c>
      <c r="C65" s="57" t="s">
        <v>30</v>
      </c>
      <c r="D65" s="57" t="s">
        <v>30</v>
      </c>
      <c r="E65" s="57" t="s">
        <v>30</v>
      </c>
      <c r="F65" s="57" t="s">
        <v>30</v>
      </c>
      <c r="G65" s="57" t="s">
        <v>30</v>
      </c>
      <c r="H65" s="57">
        <v>10</v>
      </c>
      <c r="I65" s="57">
        <v>12</v>
      </c>
      <c r="J65" s="57">
        <v>14</v>
      </c>
      <c r="K65" s="57">
        <v>44</v>
      </c>
      <c r="L65" s="57">
        <v>35</v>
      </c>
      <c r="M65" s="57">
        <v>31</v>
      </c>
      <c r="N65" s="57">
        <v>37</v>
      </c>
      <c r="O65" s="57">
        <v>44</v>
      </c>
      <c r="P65" s="57">
        <v>43</v>
      </c>
      <c r="Q65" s="57">
        <v>45</v>
      </c>
      <c r="R65" s="57">
        <v>34</v>
      </c>
      <c r="S65" s="57">
        <v>43</v>
      </c>
      <c r="T65" s="57">
        <v>32</v>
      </c>
      <c r="U65" s="57">
        <v>27</v>
      </c>
      <c r="V65" s="57">
        <v>33</v>
      </c>
      <c r="W65" s="57">
        <v>40</v>
      </c>
      <c r="X65" s="57">
        <v>37</v>
      </c>
    </row>
    <row r="66" spans="1:24" x14ac:dyDescent="0.2">
      <c r="A66" s="47"/>
      <c r="B66" s="47"/>
      <c r="C66" s="47"/>
      <c r="D66" s="47"/>
      <c r="E66" s="47"/>
      <c r="F66" s="47"/>
      <c r="G66" s="47"/>
      <c r="H66" s="47"/>
      <c r="I66" s="47"/>
      <c r="J66" s="47"/>
      <c r="K66" s="47"/>
      <c r="L66" s="47"/>
      <c r="M66" s="47"/>
      <c r="N66" s="47"/>
      <c r="O66" s="47"/>
      <c r="P66" s="47"/>
      <c r="Q66" s="47"/>
      <c r="R66" s="47"/>
      <c r="S66" s="47"/>
      <c r="T66" s="47"/>
      <c r="U66" s="47"/>
      <c r="V66" s="47"/>
      <c r="W66" s="47"/>
      <c r="X66" s="47"/>
    </row>
    <row r="67" spans="1:24" ht="10.5" x14ac:dyDescent="0.2">
      <c r="A67" s="53" t="s">
        <v>118</v>
      </c>
      <c r="B67" s="59">
        <v>-201</v>
      </c>
      <c r="C67" s="59">
        <v>-344</v>
      </c>
      <c r="D67" s="59">
        <v>1198</v>
      </c>
      <c r="E67" s="59">
        <v>1861</v>
      </c>
      <c r="F67" s="59">
        <v>2324</v>
      </c>
      <c r="G67" s="59">
        <v>4341</v>
      </c>
      <c r="H67" s="59">
        <v>2647</v>
      </c>
      <c r="I67" s="59">
        <v>1908</v>
      </c>
      <c r="J67" s="59">
        <v>1456</v>
      </c>
      <c r="K67" s="59">
        <v>3184</v>
      </c>
      <c r="L67" s="59">
        <v>2201</v>
      </c>
      <c r="M67" s="59">
        <v>1728</v>
      </c>
      <c r="N67" s="59">
        <v>2125</v>
      </c>
      <c r="O67" s="59">
        <v>2777</v>
      </c>
      <c r="P67" s="59">
        <v>2943</v>
      </c>
      <c r="Q67" s="59">
        <v>3550</v>
      </c>
      <c r="R67" s="59">
        <v>3648</v>
      </c>
      <c r="S67" s="59">
        <v>5537</v>
      </c>
      <c r="T67" s="59">
        <v>4985</v>
      </c>
      <c r="U67" s="59">
        <v>5568</v>
      </c>
      <c r="V67" s="59">
        <v>7736</v>
      </c>
      <c r="W67" s="59">
        <v>8709</v>
      </c>
      <c r="X67" s="59">
        <v>7064</v>
      </c>
    </row>
    <row r="68" spans="1:24" ht="10.5" x14ac:dyDescent="0.2">
      <c r="A68" s="53" t="s">
        <v>119</v>
      </c>
      <c r="B68" s="59">
        <v>-201</v>
      </c>
      <c r="C68" s="59">
        <v>-344</v>
      </c>
      <c r="D68" s="59">
        <v>1198</v>
      </c>
      <c r="E68" s="59">
        <v>1691</v>
      </c>
      <c r="F68" s="59">
        <v>2173</v>
      </c>
      <c r="G68" s="59">
        <v>2638</v>
      </c>
      <c r="H68" s="59">
        <v>2631</v>
      </c>
      <c r="I68" s="59">
        <v>1908</v>
      </c>
      <c r="J68" s="59">
        <v>1456</v>
      </c>
      <c r="K68" s="59">
        <v>3184</v>
      </c>
      <c r="L68" s="59">
        <v>2201</v>
      </c>
      <c r="M68" s="59">
        <v>1728</v>
      </c>
      <c r="N68" s="59">
        <v>2125</v>
      </c>
      <c r="O68" s="59">
        <v>2777</v>
      </c>
      <c r="P68" s="59">
        <v>2943</v>
      </c>
      <c r="Q68" s="59">
        <v>3550</v>
      </c>
      <c r="R68" s="59">
        <v>3648</v>
      </c>
      <c r="S68" s="59">
        <v>5537</v>
      </c>
      <c r="T68" s="59">
        <v>4985</v>
      </c>
      <c r="U68" s="59">
        <v>5568</v>
      </c>
      <c r="V68" s="59">
        <v>7736</v>
      </c>
      <c r="W68" s="59">
        <v>8709</v>
      </c>
      <c r="X68" s="59">
        <v>7064</v>
      </c>
    </row>
    <row r="69" spans="1:24" x14ac:dyDescent="0.2">
      <c r="A69" s="47"/>
      <c r="B69" s="47"/>
      <c r="C69" s="47"/>
      <c r="D69" s="47"/>
      <c r="E69" s="47"/>
      <c r="F69" s="47"/>
      <c r="G69" s="47"/>
      <c r="H69" s="47"/>
      <c r="I69" s="47"/>
      <c r="J69" s="47"/>
      <c r="K69" s="47"/>
      <c r="L69" s="47"/>
      <c r="M69" s="47"/>
      <c r="N69" s="47"/>
      <c r="O69" s="47"/>
      <c r="P69" s="47"/>
      <c r="Q69" s="47"/>
      <c r="R69" s="47"/>
      <c r="S69" s="47"/>
      <c r="T69" s="47"/>
      <c r="U69" s="47"/>
      <c r="V69" s="47"/>
      <c r="W69" s="47"/>
      <c r="X69" s="47"/>
    </row>
    <row r="70" spans="1:24" ht="10.5" x14ac:dyDescent="0.2">
      <c r="A70" s="53" t="s">
        <v>120</v>
      </c>
      <c r="B70" s="47"/>
      <c r="C70" s="47"/>
      <c r="D70" s="47"/>
      <c r="E70" s="47"/>
      <c r="F70" s="47"/>
      <c r="G70" s="47"/>
      <c r="H70" s="47"/>
      <c r="I70" s="47"/>
      <c r="J70" s="47"/>
      <c r="K70" s="47"/>
      <c r="L70" s="47"/>
      <c r="M70" s="47"/>
      <c r="N70" s="47"/>
      <c r="O70" s="47"/>
      <c r="P70" s="47"/>
      <c r="Q70" s="47"/>
      <c r="R70" s="47"/>
      <c r="S70" s="47"/>
      <c r="T70" s="47"/>
      <c r="U70" s="47"/>
      <c r="V70" s="47"/>
      <c r="W70" s="47"/>
      <c r="X70" s="47"/>
    </row>
    <row r="71" spans="1:24" x14ac:dyDescent="0.2">
      <c r="A71" s="47" t="s">
        <v>121</v>
      </c>
      <c r="B71" s="61">
        <v>-0.12</v>
      </c>
      <c r="C71" s="61">
        <v>-0.2</v>
      </c>
      <c r="D71" s="61">
        <v>0.69</v>
      </c>
      <c r="E71" s="61">
        <v>1.08</v>
      </c>
      <c r="F71" s="61">
        <v>1.42</v>
      </c>
      <c r="G71" s="61">
        <v>2.84</v>
      </c>
      <c r="H71" s="61">
        <v>1.87</v>
      </c>
      <c r="I71" s="61">
        <v>1.46</v>
      </c>
      <c r="J71" s="61">
        <v>1.1599999999999999</v>
      </c>
      <c r="K71" s="61">
        <v>2.66</v>
      </c>
      <c r="L71" s="61">
        <v>1.91</v>
      </c>
      <c r="M71" s="61">
        <v>1.53</v>
      </c>
      <c r="N71" s="61">
        <v>1.94</v>
      </c>
      <c r="O71" s="61">
        <v>2.61</v>
      </c>
      <c r="P71" s="61">
        <v>2.86</v>
      </c>
      <c r="Q71" s="61">
        <v>3.54</v>
      </c>
      <c r="R71" s="61">
        <v>3.68</v>
      </c>
      <c r="S71" s="61">
        <v>5.71</v>
      </c>
      <c r="T71" s="61">
        <v>5.33</v>
      </c>
      <c r="U71" s="61">
        <v>6.05</v>
      </c>
      <c r="V71" s="61">
        <v>8.3800000000000008</v>
      </c>
      <c r="W71" s="61">
        <v>9.51</v>
      </c>
      <c r="X71" s="61">
        <v>7.78</v>
      </c>
    </row>
    <row r="72" spans="1:24" x14ac:dyDescent="0.2">
      <c r="A72" s="47" t="s">
        <v>122</v>
      </c>
      <c r="B72" s="62">
        <v>-0.12</v>
      </c>
      <c r="C72" s="62">
        <v>-0.2</v>
      </c>
      <c r="D72" s="62">
        <v>0.69208499999999995</v>
      </c>
      <c r="E72" s="62">
        <v>0.97745599999999999</v>
      </c>
      <c r="F72" s="62">
        <v>1.325</v>
      </c>
      <c r="G72" s="62">
        <v>1.7264390000000001</v>
      </c>
      <c r="H72" s="62">
        <v>1.8567389999999999</v>
      </c>
      <c r="I72" s="62">
        <v>1.458715</v>
      </c>
      <c r="J72" s="62">
        <v>1.1555550000000001</v>
      </c>
      <c r="K72" s="62">
        <v>2.6555460000000002</v>
      </c>
      <c r="L72" s="62">
        <v>1.91225</v>
      </c>
      <c r="M72" s="62">
        <v>1.5265010000000001</v>
      </c>
      <c r="N72" s="62">
        <v>1.9353359999999999</v>
      </c>
      <c r="O72" s="62">
        <v>2.6075110000000001</v>
      </c>
      <c r="P72" s="62">
        <v>2.857281</v>
      </c>
      <c r="Q72" s="62">
        <v>3.5393810000000001</v>
      </c>
      <c r="R72" s="62">
        <v>3.68113</v>
      </c>
      <c r="S72" s="62">
        <v>5.7082470000000001</v>
      </c>
      <c r="T72" s="62">
        <v>5.3258539999999996</v>
      </c>
      <c r="U72" s="62">
        <v>6.0456019999999997</v>
      </c>
      <c r="V72" s="62">
        <v>8.3813650000000006</v>
      </c>
      <c r="W72" s="62">
        <v>9.5076409999999996</v>
      </c>
      <c r="X72" s="62">
        <v>7.7818779999999999</v>
      </c>
    </row>
    <row r="73" spans="1:24" x14ac:dyDescent="0.2">
      <c r="A73" s="47" t="s">
        <v>123</v>
      </c>
      <c r="B73" s="57">
        <v>1734.5060000000001</v>
      </c>
      <c r="C73" s="57">
        <v>1733.3430000000001</v>
      </c>
      <c r="D73" s="57">
        <v>1731</v>
      </c>
      <c r="E73" s="57">
        <v>1730</v>
      </c>
      <c r="F73" s="57">
        <v>1640</v>
      </c>
      <c r="G73" s="57">
        <v>1528</v>
      </c>
      <c r="H73" s="57">
        <v>1417</v>
      </c>
      <c r="I73" s="57">
        <v>1308</v>
      </c>
      <c r="J73" s="57">
        <v>1260</v>
      </c>
      <c r="K73" s="57">
        <v>1199</v>
      </c>
      <c r="L73" s="57">
        <v>1151</v>
      </c>
      <c r="M73" s="57">
        <v>1132</v>
      </c>
      <c r="N73" s="57">
        <v>1098</v>
      </c>
      <c r="O73" s="57">
        <v>1065</v>
      </c>
      <c r="P73" s="57">
        <v>1030</v>
      </c>
      <c r="Q73" s="57">
        <v>1003</v>
      </c>
      <c r="R73" s="57">
        <v>991</v>
      </c>
      <c r="S73" s="57">
        <v>970</v>
      </c>
      <c r="T73" s="57">
        <v>936</v>
      </c>
      <c r="U73" s="57">
        <v>921</v>
      </c>
      <c r="V73" s="57">
        <v>923</v>
      </c>
      <c r="W73" s="57">
        <v>916</v>
      </c>
      <c r="X73" s="57">
        <v>907.75</v>
      </c>
    </row>
    <row r="74" spans="1:24" x14ac:dyDescent="0.2">
      <c r="A74" s="47"/>
      <c r="B74" s="47"/>
      <c r="C74" s="47"/>
      <c r="D74" s="47"/>
      <c r="E74" s="47"/>
      <c r="F74" s="47"/>
      <c r="G74" s="47"/>
      <c r="H74" s="47"/>
      <c r="I74" s="47"/>
      <c r="J74" s="47"/>
      <c r="K74" s="47"/>
      <c r="L74" s="47"/>
      <c r="M74" s="47"/>
      <c r="N74" s="47"/>
      <c r="O74" s="47"/>
      <c r="P74" s="47"/>
      <c r="Q74" s="47"/>
      <c r="R74" s="47"/>
      <c r="S74" s="47"/>
      <c r="T74" s="47"/>
      <c r="U74" s="47"/>
      <c r="V74" s="47"/>
      <c r="W74" s="47"/>
      <c r="X74" s="47"/>
    </row>
    <row r="75" spans="1:24" x14ac:dyDescent="0.2">
      <c r="A75" s="47" t="s">
        <v>124</v>
      </c>
      <c r="B75" s="61">
        <v>-0.12</v>
      </c>
      <c r="C75" s="61">
        <v>-0.2</v>
      </c>
      <c r="D75" s="61">
        <v>0.68</v>
      </c>
      <c r="E75" s="61">
        <v>1.06</v>
      </c>
      <c r="F75" s="61">
        <v>1.39</v>
      </c>
      <c r="G75" s="61">
        <v>2.78</v>
      </c>
      <c r="H75" s="61">
        <v>1.83</v>
      </c>
      <c r="I75" s="61">
        <v>1.44</v>
      </c>
      <c r="J75" s="61">
        <v>1.1499999999999999</v>
      </c>
      <c r="K75" s="61">
        <v>2.62</v>
      </c>
      <c r="L75" s="61">
        <v>1.88</v>
      </c>
      <c r="M75" s="61">
        <v>1.51</v>
      </c>
      <c r="N75" s="61">
        <v>1.91</v>
      </c>
      <c r="O75" s="61">
        <v>2.57</v>
      </c>
      <c r="P75" s="61">
        <v>2.82</v>
      </c>
      <c r="Q75" s="61">
        <v>3.48</v>
      </c>
      <c r="R75" s="61">
        <v>3.61</v>
      </c>
      <c r="S75" s="61">
        <v>5.59</v>
      </c>
      <c r="T75" s="61">
        <v>5.24</v>
      </c>
      <c r="U75" s="61">
        <v>5.97</v>
      </c>
      <c r="V75" s="61">
        <v>8.26</v>
      </c>
      <c r="W75" s="61">
        <v>9.41</v>
      </c>
      <c r="X75" s="61">
        <v>7.72</v>
      </c>
    </row>
    <row r="76" spans="1:24" x14ac:dyDescent="0.2">
      <c r="A76" s="47" t="s">
        <v>125</v>
      </c>
      <c r="B76" s="62">
        <v>-0.12</v>
      </c>
      <c r="C76" s="62">
        <v>-0.2</v>
      </c>
      <c r="D76" s="62">
        <v>0.68</v>
      </c>
      <c r="E76" s="62">
        <v>0.96</v>
      </c>
      <c r="F76" s="62">
        <v>1.3</v>
      </c>
      <c r="G76" s="62">
        <v>1.69</v>
      </c>
      <c r="H76" s="62">
        <v>1.82</v>
      </c>
      <c r="I76" s="62">
        <v>1.44</v>
      </c>
      <c r="J76" s="62">
        <v>1.1499999999999999</v>
      </c>
      <c r="K76" s="62">
        <v>2.62</v>
      </c>
      <c r="L76" s="62">
        <v>1.880444</v>
      </c>
      <c r="M76" s="62">
        <v>1.51</v>
      </c>
      <c r="N76" s="62">
        <v>1.9101520000000001</v>
      </c>
      <c r="O76" s="62">
        <v>2.572222</v>
      </c>
      <c r="P76" s="62">
        <v>2.8226270000000002</v>
      </c>
      <c r="Q76" s="62">
        <v>3.4779620000000002</v>
      </c>
      <c r="R76" s="62">
        <v>3.605731</v>
      </c>
      <c r="S76" s="62">
        <v>5.5939389999999998</v>
      </c>
      <c r="T76" s="62">
        <v>5.2373940000000001</v>
      </c>
      <c r="U76" s="62">
        <v>5.97</v>
      </c>
      <c r="V76" s="62">
        <v>8.26</v>
      </c>
      <c r="W76" s="62">
        <v>9.4060469999999992</v>
      </c>
      <c r="X76" s="62">
        <v>7.7153280000000004</v>
      </c>
    </row>
    <row r="77" spans="1:24" x14ac:dyDescent="0.2">
      <c r="A77" s="47" t="s">
        <v>126</v>
      </c>
      <c r="B77" s="57">
        <v>1734.5060000000001</v>
      </c>
      <c r="C77" s="57">
        <v>1733.3430000000001</v>
      </c>
      <c r="D77" s="57">
        <v>1766</v>
      </c>
      <c r="E77" s="57">
        <v>1768</v>
      </c>
      <c r="F77" s="57">
        <v>1670.9159999999999</v>
      </c>
      <c r="G77" s="57">
        <v>1559.7719999999999</v>
      </c>
      <c r="H77" s="57">
        <v>1444.163</v>
      </c>
      <c r="I77" s="57">
        <v>1321.25</v>
      </c>
      <c r="J77" s="57">
        <v>1268.5329999999999</v>
      </c>
      <c r="K77" s="57">
        <v>1212.94</v>
      </c>
      <c r="L77" s="57">
        <v>1171</v>
      </c>
      <c r="M77" s="57">
        <v>1146</v>
      </c>
      <c r="N77" s="57">
        <v>1113</v>
      </c>
      <c r="O77" s="57">
        <v>1080</v>
      </c>
      <c r="P77" s="57">
        <v>1043</v>
      </c>
      <c r="Q77" s="57">
        <v>1021</v>
      </c>
      <c r="R77" s="57">
        <v>1012</v>
      </c>
      <c r="S77" s="57">
        <v>990</v>
      </c>
      <c r="T77" s="57">
        <v>952</v>
      </c>
      <c r="U77" s="57">
        <v>933</v>
      </c>
      <c r="V77" s="57">
        <v>936</v>
      </c>
      <c r="W77" s="57">
        <v>926</v>
      </c>
      <c r="X77" s="57">
        <v>916.25</v>
      </c>
    </row>
    <row r="78" spans="1:24" x14ac:dyDescent="0.2">
      <c r="A78" s="47"/>
      <c r="B78" s="47"/>
      <c r="C78" s="47"/>
      <c r="D78" s="47"/>
      <c r="E78" s="47"/>
      <c r="F78" s="47"/>
      <c r="G78" s="47"/>
      <c r="H78" s="47"/>
      <c r="I78" s="47"/>
      <c r="J78" s="47"/>
      <c r="K78" s="47"/>
      <c r="L78" s="47"/>
      <c r="M78" s="47"/>
      <c r="N78" s="47"/>
      <c r="O78" s="47"/>
      <c r="P78" s="47"/>
      <c r="Q78" s="47"/>
      <c r="R78" s="47"/>
      <c r="S78" s="47"/>
      <c r="T78" s="47"/>
      <c r="U78" s="47"/>
      <c r="V78" s="47"/>
      <c r="W78" s="47"/>
      <c r="X78" s="47"/>
    </row>
    <row r="79" spans="1:24" x14ac:dyDescent="0.2">
      <c r="A79" s="47" t="s">
        <v>127</v>
      </c>
      <c r="B79" s="61">
        <v>-0.03</v>
      </c>
      <c r="C79" s="61">
        <v>0.15</v>
      </c>
      <c r="D79" s="61">
        <v>0.44</v>
      </c>
      <c r="E79" s="61">
        <v>0.77</v>
      </c>
      <c r="F79" s="61">
        <v>1.05</v>
      </c>
      <c r="G79" s="61">
        <v>1.47</v>
      </c>
      <c r="H79" s="61">
        <v>1.66</v>
      </c>
      <c r="I79" s="61">
        <v>1.31</v>
      </c>
      <c r="J79" s="61">
        <v>1.1100000000000001</v>
      </c>
      <c r="K79" s="61">
        <v>2.31</v>
      </c>
      <c r="L79" s="61">
        <v>1.84</v>
      </c>
      <c r="M79" s="61">
        <v>1.29</v>
      </c>
      <c r="N79" s="61">
        <v>1.46</v>
      </c>
      <c r="O79" s="61">
        <v>2.25</v>
      </c>
      <c r="P79" s="61">
        <v>2.52</v>
      </c>
      <c r="Q79" s="61">
        <v>3.06</v>
      </c>
      <c r="R79" s="61">
        <v>3.84</v>
      </c>
      <c r="S79" s="61">
        <v>4.3099999999999996</v>
      </c>
      <c r="T79" s="61">
        <v>3.8</v>
      </c>
      <c r="U79" s="61">
        <v>4.0999999999999996</v>
      </c>
      <c r="V79" s="61">
        <v>6.01</v>
      </c>
      <c r="W79" s="61">
        <v>6.84</v>
      </c>
      <c r="X79" s="61">
        <v>5.39</v>
      </c>
    </row>
    <row r="80" spans="1:24" x14ac:dyDescent="0.2">
      <c r="A80" s="47" t="s">
        <v>128</v>
      </c>
      <c r="B80" s="62">
        <v>-0.03</v>
      </c>
      <c r="C80" s="62">
        <v>0.15468599999999999</v>
      </c>
      <c r="D80" s="62">
        <v>0.43176599999999998</v>
      </c>
      <c r="E80" s="62">
        <v>0.74872700000000003</v>
      </c>
      <c r="F80" s="62">
        <v>1.026383</v>
      </c>
      <c r="G80" s="62">
        <v>1.443319</v>
      </c>
      <c r="H80" s="62">
        <v>1.6281049999999999</v>
      </c>
      <c r="I80" s="62">
        <v>1.293755</v>
      </c>
      <c r="J80" s="62">
        <v>1.1051150000000001</v>
      </c>
      <c r="K80" s="62">
        <v>2.2831920000000001</v>
      </c>
      <c r="L80" s="62">
        <v>1.80935</v>
      </c>
      <c r="M80" s="62">
        <v>1.2739959999999999</v>
      </c>
      <c r="N80" s="62">
        <v>1.439802</v>
      </c>
      <c r="O80" s="62">
        <v>2.2152769999999999</v>
      </c>
      <c r="P80" s="62">
        <v>2.4910109999999999</v>
      </c>
      <c r="Q80" s="62">
        <v>3.0086919999999999</v>
      </c>
      <c r="R80" s="62">
        <v>3.7617340000000001</v>
      </c>
      <c r="S80" s="62">
        <v>4.2228529999999997</v>
      </c>
      <c r="T80" s="62">
        <v>3.736869</v>
      </c>
      <c r="U80" s="62">
        <v>4.0467570000000004</v>
      </c>
      <c r="V80" s="62">
        <v>5.922142</v>
      </c>
      <c r="W80" s="62">
        <v>6.771058</v>
      </c>
      <c r="X80" s="62">
        <v>5.3396990000000004</v>
      </c>
    </row>
    <row r="81" spans="1:24" x14ac:dyDescent="0.2">
      <c r="A81" s="47"/>
      <c r="B81" s="47"/>
      <c r="C81" s="47"/>
      <c r="D81" s="47"/>
      <c r="E81" s="47"/>
      <c r="F81" s="47"/>
      <c r="G81" s="47"/>
      <c r="H81" s="47"/>
      <c r="I81" s="47"/>
      <c r="J81" s="47"/>
      <c r="K81" s="47"/>
      <c r="L81" s="47"/>
      <c r="M81" s="47"/>
      <c r="N81" s="47"/>
      <c r="O81" s="47"/>
      <c r="P81" s="47"/>
      <c r="Q81" s="47"/>
      <c r="R81" s="47"/>
      <c r="S81" s="47"/>
      <c r="T81" s="47"/>
      <c r="U81" s="47"/>
      <c r="V81" s="47"/>
      <c r="W81" s="47"/>
      <c r="X81" s="47"/>
    </row>
    <row r="82" spans="1:24" x14ac:dyDescent="0.2">
      <c r="A82" s="47" t="s">
        <v>129</v>
      </c>
      <c r="B82" s="61">
        <v>0.09</v>
      </c>
      <c r="C82" s="61">
        <v>0.09</v>
      </c>
      <c r="D82" s="61">
        <v>0.09</v>
      </c>
      <c r="E82" s="61">
        <v>0.09</v>
      </c>
      <c r="F82" s="61">
        <v>0.11</v>
      </c>
      <c r="G82" s="61">
        <v>0.13</v>
      </c>
      <c r="H82" s="61">
        <v>0.3</v>
      </c>
      <c r="I82" s="61">
        <v>0.41</v>
      </c>
      <c r="J82" s="61">
        <v>0.45</v>
      </c>
      <c r="K82" s="61">
        <v>0.49</v>
      </c>
      <c r="L82" s="61">
        <v>0.56000000000000005</v>
      </c>
      <c r="M82" s="61">
        <v>0.72</v>
      </c>
      <c r="N82" s="61">
        <v>1.07</v>
      </c>
      <c r="O82" s="61">
        <v>1.24</v>
      </c>
      <c r="P82" s="61">
        <v>1.4</v>
      </c>
      <c r="Q82" s="61">
        <v>1.64</v>
      </c>
      <c r="R82" s="61">
        <v>2.12</v>
      </c>
      <c r="S82" s="61">
        <v>2.63</v>
      </c>
      <c r="T82" s="61">
        <v>3.21</v>
      </c>
      <c r="U82" s="61">
        <v>3.72</v>
      </c>
      <c r="V82" s="61">
        <v>4.21</v>
      </c>
      <c r="W82" s="61">
        <v>4.6900000000000004</v>
      </c>
      <c r="X82" s="61">
        <v>4.96</v>
      </c>
    </row>
    <row r="83" spans="1:24" x14ac:dyDescent="0.2">
      <c r="A83" s="47" t="s">
        <v>130</v>
      </c>
      <c r="B83" s="63" t="s">
        <v>272</v>
      </c>
      <c r="C83" s="63" t="s">
        <v>272</v>
      </c>
      <c r="D83" s="63">
        <v>0.12270399999999999</v>
      </c>
      <c r="E83" s="63">
        <v>8.2751000000000005E-2</v>
      </c>
      <c r="F83" s="63">
        <v>7.4440000000000006E-2</v>
      </c>
      <c r="G83" s="63">
        <v>4.5841E-2</v>
      </c>
      <c r="H83" s="63">
        <v>0.15995400000000001</v>
      </c>
      <c r="I83" s="63">
        <v>0.27968700000000002</v>
      </c>
      <c r="J83" s="63">
        <v>0.385714</v>
      </c>
      <c r="K83" s="63">
        <v>0.183395</v>
      </c>
      <c r="L83" s="63">
        <v>0.28801399999999999</v>
      </c>
      <c r="M83" s="63">
        <v>0.46560499999999999</v>
      </c>
      <c r="N83" s="63">
        <v>0.54347800000000002</v>
      </c>
      <c r="O83" s="63">
        <v>0.46898200000000001</v>
      </c>
      <c r="P83" s="63">
        <v>0.48359000000000002</v>
      </c>
      <c r="Q83" s="63">
        <v>0.45785799999999999</v>
      </c>
      <c r="R83" s="63">
        <v>0.57142800000000005</v>
      </c>
      <c r="S83" s="63">
        <v>0.45788499999999999</v>
      </c>
      <c r="T83" s="63">
        <v>0.59956100000000001</v>
      </c>
      <c r="U83" s="63">
        <v>0.61233199999999999</v>
      </c>
      <c r="V83" s="63">
        <v>0.500193</v>
      </c>
      <c r="W83" s="63">
        <v>0.49114099999999999</v>
      </c>
      <c r="X83" s="63">
        <v>0.63357200000000002</v>
      </c>
    </row>
    <row r="84" spans="1:24" x14ac:dyDescent="0.2">
      <c r="A84" s="47"/>
      <c r="B84" s="47"/>
      <c r="C84" s="47"/>
      <c r="D84" s="47"/>
      <c r="E84" s="47"/>
      <c r="F84" s="47"/>
      <c r="G84" s="47"/>
      <c r="H84" s="47"/>
      <c r="I84" s="47"/>
      <c r="J84" s="47"/>
      <c r="K84" s="47"/>
      <c r="L84" s="47"/>
      <c r="M84" s="47"/>
      <c r="N84" s="47"/>
      <c r="O84" s="47"/>
      <c r="P84" s="47"/>
      <c r="Q84" s="47"/>
      <c r="R84" s="47"/>
      <c r="S84" s="47"/>
      <c r="T84" s="47"/>
      <c r="U84" s="47"/>
      <c r="V84" s="47"/>
      <c r="W84" s="47"/>
      <c r="X84" s="47"/>
    </row>
    <row r="85" spans="1:24" x14ac:dyDescent="0.2">
      <c r="A85" s="47" t="s">
        <v>131</v>
      </c>
      <c r="B85" s="64">
        <v>6.6669999999999993E-2</v>
      </c>
      <c r="C85" s="64">
        <v>6.6669999999999993E-2</v>
      </c>
      <c r="D85" s="64">
        <v>6.6669999999999993E-2</v>
      </c>
      <c r="E85" s="64">
        <v>6.6669999999999993E-2</v>
      </c>
      <c r="F85" s="64">
        <v>6.6669999999999993E-2</v>
      </c>
      <c r="G85" s="64">
        <v>6.6669999999999993E-2</v>
      </c>
      <c r="H85" s="64">
        <v>6.6669999999999993E-2</v>
      </c>
      <c r="I85" s="64">
        <v>6.6669999999999993E-2</v>
      </c>
      <c r="J85" s="64">
        <v>6.6669999999999993E-2</v>
      </c>
      <c r="K85" s="64">
        <v>6.6669999999999993E-2</v>
      </c>
      <c r="L85" s="64">
        <v>6.6669999999999993E-2</v>
      </c>
      <c r="M85" s="64">
        <v>6.6669999999999993E-2</v>
      </c>
      <c r="N85" s="64">
        <v>6.6669999999999993E-2</v>
      </c>
      <c r="O85" s="64">
        <v>6.6669999999999993E-2</v>
      </c>
      <c r="P85" s="64">
        <v>6.6669999999999993E-2</v>
      </c>
      <c r="Q85" s="64">
        <v>6.6669999999999993E-2</v>
      </c>
      <c r="R85" s="64">
        <v>6.6669999999999993E-2</v>
      </c>
      <c r="S85" s="64">
        <v>6.6669999999999993E-2</v>
      </c>
      <c r="T85" s="64">
        <v>6.6669999999999993E-2</v>
      </c>
      <c r="U85" s="64">
        <v>6.6669999999999993E-2</v>
      </c>
      <c r="V85" s="64">
        <v>6.6669999999999993E-2</v>
      </c>
      <c r="W85" s="64">
        <v>6.6669999999999993E-2</v>
      </c>
      <c r="X85" s="64">
        <v>6.6669999999999993E-2</v>
      </c>
    </row>
    <row r="86" spans="1:24" x14ac:dyDescent="0.2">
      <c r="A86" s="47"/>
      <c r="B86" s="47"/>
      <c r="C86" s="47"/>
      <c r="D86" s="47"/>
      <c r="E86" s="47"/>
      <c r="F86" s="47"/>
      <c r="G86" s="47"/>
      <c r="H86" s="47"/>
      <c r="I86" s="47"/>
      <c r="J86" s="47"/>
      <c r="K86" s="47"/>
      <c r="L86" s="47"/>
      <c r="M86" s="47"/>
      <c r="N86" s="47"/>
      <c r="O86" s="47"/>
      <c r="P86" s="47"/>
      <c r="Q86" s="47"/>
      <c r="R86" s="47"/>
      <c r="S86" s="47"/>
      <c r="T86" s="47"/>
      <c r="U86" s="47"/>
      <c r="V86" s="47"/>
      <c r="W86" s="47"/>
      <c r="X86" s="47"/>
    </row>
    <row r="87" spans="1:24" ht="10.5" x14ac:dyDescent="0.2">
      <c r="A87" s="53" t="s">
        <v>132</v>
      </c>
      <c r="B87" s="47"/>
      <c r="C87" s="47"/>
      <c r="D87" s="47"/>
      <c r="E87" s="47"/>
      <c r="F87" s="47"/>
      <c r="G87" s="47"/>
      <c r="H87" s="47"/>
      <c r="I87" s="47"/>
      <c r="J87" s="47"/>
      <c r="K87" s="47"/>
      <c r="L87" s="47"/>
      <c r="M87" s="47"/>
      <c r="N87" s="47"/>
      <c r="O87" s="47"/>
      <c r="P87" s="47"/>
      <c r="Q87" s="47"/>
      <c r="R87" s="47"/>
      <c r="S87" s="47"/>
      <c r="T87" s="47"/>
      <c r="U87" s="47"/>
      <c r="V87" s="47"/>
      <c r="W87" s="47"/>
      <c r="X87" s="47"/>
    </row>
    <row r="88" spans="1:24" x14ac:dyDescent="0.2">
      <c r="A88" s="47" t="s">
        <v>32</v>
      </c>
      <c r="B88" s="57">
        <v>1606</v>
      </c>
      <c r="C88" s="57">
        <v>2015</v>
      </c>
      <c r="D88" s="57">
        <v>2634</v>
      </c>
      <c r="E88" s="57">
        <v>3478</v>
      </c>
      <c r="F88" s="57">
        <v>3960</v>
      </c>
      <c r="G88" s="57">
        <v>4483</v>
      </c>
      <c r="H88" s="57">
        <v>4619</v>
      </c>
      <c r="I88" s="57">
        <v>3750</v>
      </c>
      <c r="J88" s="57">
        <v>3128</v>
      </c>
      <c r="K88" s="57">
        <v>5317</v>
      </c>
      <c r="L88" s="57">
        <v>4438</v>
      </c>
      <c r="M88" s="57">
        <v>3653</v>
      </c>
      <c r="N88" s="57">
        <v>3869</v>
      </c>
      <c r="O88" s="57">
        <v>5074</v>
      </c>
      <c r="P88" s="57">
        <v>5300</v>
      </c>
      <c r="Q88" s="57">
        <v>5702</v>
      </c>
      <c r="R88" s="57">
        <v>6890</v>
      </c>
      <c r="S88" s="57">
        <v>7592</v>
      </c>
      <c r="T88" s="57">
        <v>6678</v>
      </c>
      <c r="U88" s="57">
        <v>6658</v>
      </c>
      <c r="V88" s="57">
        <v>9815</v>
      </c>
      <c r="W88" s="57">
        <v>11020</v>
      </c>
      <c r="X88" s="57">
        <v>8850</v>
      </c>
    </row>
    <row r="89" spans="1:24" x14ac:dyDescent="0.2">
      <c r="A89" s="47" t="s">
        <v>133</v>
      </c>
      <c r="B89" s="57">
        <v>7</v>
      </c>
      <c r="C89" s="57">
        <v>441</v>
      </c>
      <c r="D89" s="57">
        <v>1205</v>
      </c>
      <c r="E89" s="57">
        <v>2029</v>
      </c>
      <c r="F89" s="57">
        <v>2614</v>
      </c>
      <c r="G89" s="57">
        <v>3431</v>
      </c>
      <c r="H89" s="57">
        <v>3597</v>
      </c>
      <c r="I89" s="57">
        <v>2728</v>
      </c>
      <c r="J89" s="57">
        <v>2251</v>
      </c>
      <c r="K89" s="57">
        <v>4452</v>
      </c>
      <c r="L89" s="57">
        <v>3539</v>
      </c>
      <c r="M89" s="57">
        <v>2717</v>
      </c>
      <c r="N89" s="57">
        <v>2990</v>
      </c>
      <c r="O89" s="57">
        <v>4224</v>
      </c>
      <c r="P89" s="57">
        <v>4534</v>
      </c>
      <c r="Q89" s="57">
        <v>5103</v>
      </c>
      <c r="R89" s="57">
        <v>6352</v>
      </c>
      <c r="S89" s="57">
        <v>7002</v>
      </c>
      <c r="T89" s="57">
        <v>5970</v>
      </c>
      <c r="U89" s="57">
        <v>5925</v>
      </c>
      <c r="V89" s="57">
        <v>9060</v>
      </c>
      <c r="W89" s="57">
        <v>10095</v>
      </c>
      <c r="X89" s="57">
        <v>7748</v>
      </c>
    </row>
    <row r="90" spans="1:24" x14ac:dyDescent="0.2">
      <c r="A90" s="47" t="s">
        <v>33</v>
      </c>
      <c r="B90" s="57">
        <v>-222</v>
      </c>
      <c r="C90" s="57">
        <v>326</v>
      </c>
      <c r="D90" s="57">
        <v>1106</v>
      </c>
      <c r="E90" s="57">
        <v>1960</v>
      </c>
      <c r="F90" s="57">
        <v>2559</v>
      </c>
      <c r="G90" s="57">
        <v>3372</v>
      </c>
      <c r="H90" s="57">
        <v>3549</v>
      </c>
      <c r="I90" s="57">
        <v>2691</v>
      </c>
      <c r="J90" s="57">
        <v>2203</v>
      </c>
      <c r="K90" s="57">
        <v>4404</v>
      </c>
      <c r="L90" s="57">
        <v>3428</v>
      </c>
      <c r="M90" s="57">
        <v>2375</v>
      </c>
      <c r="N90" s="57">
        <v>2654</v>
      </c>
      <c r="O90" s="57">
        <v>3903</v>
      </c>
      <c r="P90" s="57">
        <v>4215</v>
      </c>
      <c r="Q90" s="57">
        <v>4784</v>
      </c>
      <c r="R90" s="57">
        <v>6034</v>
      </c>
      <c r="S90" s="57">
        <v>6684</v>
      </c>
      <c r="T90" s="57">
        <v>5682</v>
      </c>
      <c r="U90" s="57">
        <v>5925</v>
      </c>
      <c r="V90" s="57">
        <v>8918</v>
      </c>
      <c r="W90" s="57">
        <v>10095</v>
      </c>
      <c r="X90" s="57">
        <v>7748</v>
      </c>
    </row>
    <row r="91" spans="1:24" x14ac:dyDescent="0.2">
      <c r="A91" s="47" t="s">
        <v>134</v>
      </c>
      <c r="B91" s="57">
        <v>1768</v>
      </c>
      <c r="C91" s="57">
        <v>2150</v>
      </c>
      <c r="D91" s="57">
        <v>2770</v>
      </c>
      <c r="E91" s="57">
        <v>3602</v>
      </c>
      <c r="F91" s="57">
        <v>4086</v>
      </c>
      <c r="G91" s="57">
        <v>4608</v>
      </c>
      <c r="H91" s="57">
        <v>4742</v>
      </c>
      <c r="I91" s="57">
        <v>3874</v>
      </c>
      <c r="J91" s="57">
        <v>3242</v>
      </c>
      <c r="K91" s="57">
        <v>5417</v>
      </c>
      <c r="L91" s="57">
        <v>4547</v>
      </c>
      <c r="M91" s="57">
        <v>3777</v>
      </c>
      <c r="N91" s="57">
        <v>3989</v>
      </c>
      <c r="O91" s="57">
        <v>5187</v>
      </c>
      <c r="P91" s="57">
        <v>5398</v>
      </c>
      <c r="Q91" s="57">
        <v>5788</v>
      </c>
      <c r="R91" s="57" t="s">
        <v>135</v>
      </c>
      <c r="S91" s="57" t="s">
        <v>135</v>
      </c>
      <c r="T91" s="57">
        <v>6785</v>
      </c>
      <c r="U91" s="57">
        <v>6764</v>
      </c>
      <c r="V91" s="57">
        <v>9940</v>
      </c>
      <c r="W91" s="57">
        <v>11133</v>
      </c>
      <c r="X91" s="57" t="s">
        <v>135</v>
      </c>
    </row>
    <row r="92" spans="1:24" x14ac:dyDescent="0.2">
      <c r="A92" s="47" t="s">
        <v>136</v>
      </c>
      <c r="B92" s="63" t="s">
        <v>272</v>
      </c>
      <c r="C92" s="63" t="s">
        <v>272</v>
      </c>
      <c r="D92" s="63">
        <v>4.1599999999999998E-2</v>
      </c>
      <c r="E92" s="63">
        <v>0.22145400000000001</v>
      </c>
      <c r="F92" s="63">
        <v>0.211252</v>
      </c>
      <c r="G92" s="63">
        <v>0.27227499999999999</v>
      </c>
      <c r="H92" s="63">
        <v>0.28466900000000001</v>
      </c>
      <c r="I92" s="63">
        <v>0.22611800000000001</v>
      </c>
      <c r="J92" s="63">
        <v>0.27119399999999999</v>
      </c>
      <c r="K92" s="63">
        <v>0.29070499999999999</v>
      </c>
      <c r="L92" s="63">
        <v>0.243316</v>
      </c>
      <c r="M92" s="63">
        <v>9.0955999999999995E-2</v>
      </c>
      <c r="N92" s="63">
        <v>0.21496000000000001</v>
      </c>
      <c r="O92" s="63">
        <v>0.271812</v>
      </c>
      <c r="P92" s="63">
        <v>0.29174499999999998</v>
      </c>
      <c r="Q92" s="63">
        <v>0.270791</v>
      </c>
      <c r="R92" s="63">
        <v>0.39440700000000001</v>
      </c>
      <c r="S92" s="63">
        <v>0.16542000000000001</v>
      </c>
      <c r="T92" s="63">
        <v>0.124127</v>
      </c>
      <c r="U92" s="63">
        <v>7.0134000000000002E-2</v>
      </c>
      <c r="V92" s="63">
        <v>0.128938</v>
      </c>
      <c r="W92" s="63">
        <v>0.12789</v>
      </c>
      <c r="X92" s="63">
        <v>0.116461</v>
      </c>
    </row>
    <row r="93" spans="1:24" x14ac:dyDescent="0.2">
      <c r="A93" s="47" t="s">
        <v>137</v>
      </c>
      <c r="B93" s="57">
        <v>-417</v>
      </c>
      <c r="C93" s="57">
        <v>-171</v>
      </c>
      <c r="D93" s="57">
        <v>-256</v>
      </c>
      <c r="E93" s="57">
        <v>200</v>
      </c>
      <c r="F93" s="57">
        <v>483</v>
      </c>
      <c r="G93" s="57">
        <v>907</v>
      </c>
      <c r="H93" s="57">
        <v>819</v>
      </c>
      <c r="I93" s="57">
        <v>654</v>
      </c>
      <c r="J93" s="57">
        <v>322</v>
      </c>
      <c r="K93" s="57">
        <v>1419</v>
      </c>
      <c r="L93" s="57">
        <v>526</v>
      </c>
      <c r="M93" s="57">
        <v>-110</v>
      </c>
      <c r="N93" s="57">
        <v>295</v>
      </c>
      <c r="O93" s="57">
        <v>920</v>
      </c>
      <c r="P93" s="57">
        <v>1117</v>
      </c>
      <c r="Q93" s="57">
        <v>1299</v>
      </c>
      <c r="R93" s="57">
        <v>2113</v>
      </c>
      <c r="S93" s="57">
        <v>986</v>
      </c>
      <c r="T93" s="57">
        <v>495</v>
      </c>
      <c r="U93" s="57">
        <v>367</v>
      </c>
      <c r="V93" s="57">
        <v>966</v>
      </c>
      <c r="W93" s="57">
        <v>1262</v>
      </c>
      <c r="X93" s="57">
        <v>1262</v>
      </c>
    </row>
    <row r="94" spans="1:24" x14ac:dyDescent="0.2">
      <c r="A94" s="47" t="s">
        <v>138</v>
      </c>
      <c r="B94" s="57">
        <v>173</v>
      </c>
      <c r="C94" s="57">
        <v>156</v>
      </c>
      <c r="D94" s="57">
        <v>233</v>
      </c>
      <c r="E94" s="57">
        <v>211</v>
      </c>
      <c r="F94" s="57">
        <v>293</v>
      </c>
      <c r="G94" s="57">
        <v>280</v>
      </c>
      <c r="H94" s="57">
        <v>198</v>
      </c>
      <c r="I94" s="57">
        <v>89</v>
      </c>
      <c r="J94" s="57">
        <v>79</v>
      </c>
      <c r="K94" s="57">
        <v>92</v>
      </c>
      <c r="L94" s="57">
        <v>138</v>
      </c>
      <c r="M94" s="57">
        <v>156</v>
      </c>
      <c r="N94" s="57">
        <v>247</v>
      </c>
      <c r="O94" s="57">
        <v>194</v>
      </c>
      <c r="P94" s="57">
        <v>168</v>
      </c>
      <c r="Q94" s="57">
        <v>238</v>
      </c>
      <c r="R94" s="57">
        <v>173</v>
      </c>
      <c r="S94" s="57">
        <v>225</v>
      </c>
      <c r="T94" s="57">
        <v>135</v>
      </c>
      <c r="U94" s="57">
        <v>192</v>
      </c>
      <c r="V94" s="57">
        <v>169</v>
      </c>
      <c r="W94" s="57">
        <v>212</v>
      </c>
      <c r="X94" s="57">
        <v>212</v>
      </c>
    </row>
    <row r="95" spans="1:24" x14ac:dyDescent="0.2">
      <c r="A95" s="47" t="s">
        <v>139</v>
      </c>
      <c r="B95" s="57">
        <v>-244</v>
      </c>
      <c r="C95" s="57">
        <v>-15</v>
      </c>
      <c r="D95" s="57">
        <v>-23</v>
      </c>
      <c r="E95" s="57">
        <v>411</v>
      </c>
      <c r="F95" s="57">
        <v>776</v>
      </c>
      <c r="G95" s="57">
        <v>1187</v>
      </c>
      <c r="H95" s="57">
        <v>1017</v>
      </c>
      <c r="I95" s="57">
        <v>743</v>
      </c>
      <c r="J95" s="57">
        <v>401</v>
      </c>
      <c r="K95" s="57">
        <v>1511</v>
      </c>
      <c r="L95" s="57">
        <v>664</v>
      </c>
      <c r="M95" s="57">
        <v>46</v>
      </c>
      <c r="N95" s="57">
        <v>542</v>
      </c>
      <c r="O95" s="57">
        <v>1114</v>
      </c>
      <c r="P95" s="57">
        <v>1285</v>
      </c>
      <c r="Q95" s="57">
        <v>1537</v>
      </c>
      <c r="R95" s="57">
        <v>2286</v>
      </c>
      <c r="S95" s="57">
        <v>1211</v>
      </c>
      <c r="T95" s="57">
        <v>630</v>
      </c>
      <c r="U95" s="57">
        <v>559</v>
      </c>
      <c r="V95" s="57">
        <v>1135</v>
      </c>
      <c r="W95" s="57">
        <v>1474</v>
      </c>
      <c r="X95" s="57">
        <v>1474</v>
      </c>
    </row>
    <row r="96" spans="1:24" x14ac:dyDescent="0.2">
      <c r="A96" s="47" t="s">
        <v>140</v>
      </c>
      <c r="B96" s="57">
        <v>-52</v>
      </c>
      <c r="C96" s="57">
        <v>-25</v>
      </c>
      <c r="D96" s="57">
        <v>68</v>
      </c>
      <c r="E96" s="57">
        <v>118</v>
      </c>
      <c r="F96" s="57">
        <v>-182</v>
      </c>
      <c r="G96" s="57">
        <v>-211</v>
      </c>
      <c r="H96" s="57">
        <v>-3</v>
      </c>
      <c r="I96" s="57">
        <v>-225</v>
      </c>
      <c r="J96" s="57">
        <v>123</v>
      </c>
      <c r="K96" s="57">
        <v>-186</v>
      </c>
      <c r="L96" s="57">
        <v>31</v>
      </c>
      <c r="M96" s="57">
        <v>65</v>
      </c>
      <c r="N96" s="57">
        <v>17</v>
      </c>
      <c r="O96" s="57">
        <v>-72</v>
      </c>
      <c r="P96" s="57">
        <v>-69</v>
      </c>
      <c r="Q96" s="57">
        <v>-122</v>
      </c>
      <c r="R96" s="57">
        <v>51</v>
      </c>
      <c r="S96" s="57">
        <v>-97</v>
      </c>
      <c r="T96" s="57">
        <v>25</v>
      </c>
      <c r="U96" s="57">
        <v>-122</v>
      </c>
      <c r="V96" s="57">
        <v>-23</v>
      </c>
      <c r="W96" s="57">
        <v>-223</v>
      </c>
      <c r="X96" s="57">
        <v>-223</v>
      </c>
    </row>
    <row r="97" spans="1:24" x14ac:dyDescent="0.2">
      <c r="A97" s="47" t="s">
        <v>141</v>
      </c>
      <c r="B97" s="57">
        <v>71</v>
      </c>
      <c r="C97" s="57">
        <v>38</v>
      </c>
      <c r="D97" s="57">
        <v>7</v>
      </c>
      <c r="E97" s="57">
        <v>-48</v>
      </c>
      <c r="F97" s="57">
        <v>-12</v>
      </c>
      <c r="G97" s="57">
        <v>11</v>
      </c>
      <c r="H97" s="57">
        <v>37</v>
      </c>
      <c r="I97" s="57">
        <v>43</v>
      </c>
      <c r="J97" s="57">
        <v>23</v>
      </c>
      <c r="K97" s="57">
        <v>-2</v>
      </c>
      <c r="L97" s="57">
        <v>24</v>
      </c>
      <c r="M97" s="57">
        <v>65</v>
      </c>
      <c r="N97" s="57">
        <v>33</v>
      </c>
      <c r="O97" s="57">
        <v>11</v>
      </c>
      <c r="P97" s="57">
        <v>14</v>
      </c>
      <c r="Q97" s="57">
        <v>-80</v>
      </c>
      <c r="R97" s="57">
        <v>61</v>
      </c>
      <c r="S97" s="57">
        <v>-8</v>
      </c>
      <c r="T97" s="57">
        <v>56</v>
      </c>
      <c r="U97" s="57">
        <v>-15</v>
      </c>
      <c r="V97" s="57">
        <v>38</v>
      </c>
      <c r="W97" s="57">
        <v>32</v>
      </c>
      <c r="X97" s="57">
        <v>32</v>
      </c>
    </row>
    <row r="98" spans="1:24" x14ac:dyDescent="0.2">
      <c r="A98" s="47" t="s">
        <v>142</v>
      </c>
      <c r="B98" s="57">
        <v>19</v>
      </c>
      <c r="C98" s="57">
        <v>13</v>
      </c>
      <c r="D98" s="57">
        <v>75</v>
      </c>
      <c r="E98" s="57">
        <v>70</v>
      </c>
      <c r="F98" s="57">
        <v>-194</v>
      </c>
      <c r="G98" s="57">
        <v>-200</v>
      </c>
      <c r="H98" s="57">
        <v>34</v>
      </c>
      <c r="I98" s="57">
        <v>-182</v>
      </c>
      <c r="J98" s="57">
        <v>146</v>
      </c>
      <c r="K98" s="57">
        <v>-188</v>
      </c>
      <c r="L98" s="57">
        <v>55</v>
      </c>
      <c r="M98" s="57">
        <v>130</v>
      </c>
      <c r="N98" s="57">
        <v>50</v>
      </c>
      <c r="O98" s="57">
        <v>-61</v>
      </c>
      <c r="P98" s="57">
        <v>-55</v>
      </c>
      <c r="Q98" s="57">
        <v>-202</v>
      </c>
      <c r="R98" s="57">
        <v>112</v>
      </c>
      <c r="S98" s="57">
        <v>-105</v>
      </c>
      <c r="T98" s="57">
        <v>81</v>
      </c>
      <c r="U98" s="57">
        <v>-137</v>
      </c>
      <c r="V98" s="57">
        <v>15</v>
      </c>
      <c r="W98" s="57">
        <v>-191</v>
      </c>
      <c r="X98" s="57">
        <v>-191</v>
      </c>
    </row>
    <row r="99" spans="1:24" x14ac:dyDescent="0.2">
      <c r="A99" s="47"/>
      <c r="B99" s="47"/>
      <c r="C99" s="47"/>
      <c r="D99" s="47"/>
      <c r="E99" s="47"/>
      <c r="F99" s="47"/>
      <c r="G99" s="47"/>
      <c r="H99" s="47"/>
      <c r="I99" s="47"/>
      <c r="J99" s="47"/>
      <c r="K99" s="47"/>
      <c r="L99" s="47"/>
      <c r="M99" s="47"/>
      <c r="N99" s="47"/>
      <c r="O99" s="47"/>
      <c r="P99" s="47"/>
      <c r="Q99" s="47"/>
      <c r="R99" s="47"/>
      <c r="S99" s="47"/>
      <c r="T99" s="47"/>
      <c r="U99" s="47"/>
      <c r="V99" s="47"/>
      <c r="W99" s="47"/>
      <c r="X99" s="47"/>
    </row>
    <row r="100" spans="1:24" x14ac:dyDescent="0.2">
      <c r="A100" s="47" t="s">
        <v>143</v>
      </c>
      <c r="B100" s="57">
        <v>-48.1</v>
      </c>
      <c r="C100" s="57">
        <v>268.125</v>
      </c>
      <c r="D100" s="57">
        <v>762.5</v>
      </c>
      <c r="E100" s="57">
        <v>1323.75</v>
      </c>
      <c r="F100" s="57">
        <v>1715</v>
      </c>
      <c r="G100" s="57">
        <v>2251.25</v>
      </c>
      <c r="H100" s="57">
        <v>2351.25</v>
      </c>
      <c r="I100" s="57">
        <v>1709.375</v>
      </c>
      <c r="J100" s="57">
        <v>1401.875</v>
      </c>
      <c r="K100" s="57">
        <v>2769.375</v>
      </c>
      <c r="L100" s="57">
        <v>2118.75</v>
      </c>
      <c r="M100" s="57">
        <v>1460</v>
      </c>
      <c r="N100" s="57">
        <v>1602.5</v>
      </c>
      <c r="O100" s="57">
        <v>2392.5</v>
      </c>
      <c r="P100" s="57">
        <v>2598.125</v>
      </c>
      <c r="Q100" s="57">
        <v>3071.875</v>
      </c>
      <c r="R100" s="57">
        <v>3806.875</v>
      </c>
      <c r="S100" s="57">
        <v>4180.625</v>
      </c>
      <c r="T100" s="57">
        <v>3557.5</v>
      </c>
      <c r="U100" s="57">
        <v>3775.625</v>
      </c>
      <c r="V100" s="57">
        <v>5543.125</v>
      </c>
      <c r="W100" s="57">
        <v>6270</v>
      </c>
      <c r="X100" s="57">
        <v>4892.5</v>
      </c>
    </row>
    <row r="101" spans="1:24" x14ac:dyDescent="0.2">
      <c r="A101" s="47" t="s">
        <v>337</v>
      </c>
      <c r="B101" s="57">
        <v>-510</v>
      </c>
      <c r="C101" s="57">
        <v>-752</v>
      </c>
      <c r="D101" s="57">
        <v>775</v>
      </c>
      <c r="E101" s="57">
        <v>1506</v>
      </c>
      <c r="F101" s="57">
        <v>2098</v>
      </c>
      <c r="G101" s="57" t="s">
        <v>135</v>
      </c>
      <c r="H101" s="57" t="s">
        <v>135</v>
      </c>
      <c r="I101" s="57" t="s">
        <v>135</v>
      </c>
      <c r="J101" s="57" t="s">
        <v>135</v>
      </c>
      <c r="K101" s="57" t="s">
        <v>135</v>
      </c>
      <c r="L101" s="57" t="s">
        <v>135</v>
      </c>
      <c r="M101" s="57" t="s">
        <v>135</v>
      </c>
      <c r="N101" s="57" t="s">
        <v>135</v>
      </c>
      <c r="O101" s="57" t="s">
        <v>135</v>
      </c>
      <c r="P101" s="57" t="s">
        <v>135</v>
      </c>
      <c r="Q101" s="57" t="s">
        <v>135</v>
      </c>
      <c r="R101" s="57" t="s">
        <v>135</v>
      </c>
      <c r="S101" s="57" t="s">
        <v>135</v>
      </c>
      <c r="T101" s="57" t="s">
        <v>135</v>
      </c>
      <c r="U101" s="57" t="s">
        <v>135</v>
      </c>
      <c r="V101" s="57" t="s">
        <v>135</v>
      </c>
      <c r="W101" s="57" t="s">
        <v>135</v>
      </c>
      <c r="X101" s="57" t="s">
        <v>135</v>
      </c>
    </row>
    <row r="102" spans="1:24" x14ac:dyDescent="0.2">
      <c r="A102" s="47" t="s">
        <v>338</v>
      </c>
      <c r="B102" s="57">
        <v>13</v>
      </c>
      <c r="C102" s="57">
        <v>3</v>
      </c>
      <c r="D102" s="57">
        <v>2</v>
      </c>
      <c r="E102" s="57">
        <v>3</v>
      </c>
      <c r="F102" s="57">
        <v>5</v>
      </c>
      <c r="G102" s="57">
        <v>5</v>
      </c>
      <c r="H102" s="57" t="s">
        <v>135</v>
      </c>
      <c r="I102" s="57" t="s">
        <v>135</v>
      </c>
      <c r="J102" s="57" t="s">
        <v>135</v>
      </c>
      <c r="K102" s="57" t="s">
        <v>135</v>
      </c>
      <c r="L102" s="57" t="s">
        <v>135</v>
      </c>
      <c r="M102" s="57" t="s">
        <v>135</v>
      </c>
      <c r="N102" s="57" t="s">
        <v>135</v>
      </c>
      <c r="O102" s="57" t="s">
        <v>135</v>
      </c>
      <c r="P102" s="57">
        <v>1</v>
      </c>
      <c r="Q102" s="57" t="s">
        <v>135</v>
      </c>
      <c r="R102" s="57" t="s">
        <v>135</v>
      </c>
      <c r="S102" s="57" t="s">
        <v>135</v>
      </c>
      <c r="T102" s="57" t="s">
        <v>135</v>
      </c>
      <c r="U102" s="57" t="s">
        <v>135</v>
      </c>
      <c r="V102" s="57" t="s">
        <v>135</v>
      </c>
      <c r="W102" s="57" t="s">
        <v>135</v>
      </c>
      <c r="X102" s="57" t="s">
        <v>135</v>
      </c>
    </row>
    <row r="103" spans="1:24" x14ac:dyDescent="0.2">
      <c r="A103" s="47" t="s">
        <v>144</v>
      </c>
      <c r="B103" s="57" t="s">
        <v>135</v>
      </c>
      <c r="C103" s="57" t="s">
        <v>135</v>
      </c>
      <c r="D103" s="57" t="s">
        <v>135</v>
      </c>
      <c r="E103" s="57" t="s">
        <v>135</v>
      </c>
      <c r="F103" s="57" t="s">
        <v>135</v>
      </c>
      <c r="G103" s="57" t="s">
        <v>135</v>
      </c>
      <c r="H103" s="57" t="s">
        <v>135</v>
      </c>
      <c r="I103" s="57" t="s">
        <v>135</v>
      </c>
      <c r="J103" s="57" t="s">
        <v>135</v>
      </c>
      <c r="K103" s="57" t="s">
        <v>135</v>
      </c>
      <c r="L103" s="57">
        <v>48</v>
      </c>
      <c r="M103" s="57">
        <v>104</v>
      </c>
      <c r="N103" s="57">
        <v>104</v>
      </c>
      <c r="O103" s="57">
        <v>103</v>
      </c>
      <c r="P103" s="57">
        <v>91</v>
      </c>
      <c r="Q103" s="57">
        <v>80</v>
      </c>
      <c r="R103" s="57">
        <v>78</v>
      </c>
      <c r="S103" s="57">
        <v>125</v>
      </c>
      <c r="T103" s="57">
        <v>170</v>
      </c>
      <c r="U103" s="57">
        <v>190</v>
      </c>
      <c r="V103" s="57">
        <v>184</v>
      </c>
      <c r="W103" s="57">
        <v>214</v>
      </c>
      <c r="X103" s="57" t="s">
        <v>135</v>
      </c>
    </row>
    <row r="104" spans="1:24" x14ac:dyDescent="0.2">
      <c r="A104" s="47" t="s">
        <v>145</v>
      </c>
      <c r="B104" s="57">
        <v>3</v>
      </c>
      <c r="C104" s="57">
        <v>23</v>
      </c>
      <c r="D104" s="57">
        <v>74</v>
      </c>
      <c r="E104" s="57">
        <v>41</v>
      </c>
      <c r="F104" s="57">
        <v>41</v>
      </c>
      <c r="G104" s="57">
        <v>37</v>
      </c>
      <c r="H104" s="57">
        <v>6</v>
      </c>
      <c r="I104" s="57">
        <v>26</v>
      </c>
      <c r="J104" s="57">
        <v>71</v>
      </c>
      <c r="K104" s="57">
        <v>72</v>
      </c>
      <c r="L104" s="57">
        <v>53</v>
      </c>
      <c r="M104" s="57">
        <v>-100</v>
      </c>
      <c r="N104" s="57">
        <v>79</v>
      </c>
      <c r="O104" s="57">
        <v>43</v>
      </c>
      <c r="P104" s="57">
        <v>40</v>
      </c>
      <c r="Q104" s="57">
        <v>52</v>
      </c>
      <c r="R104" s="57">
        <v>61</v>
      </c>
      <c r="S104" s="57">
        <v>33</v>
      </c>
      <c r="T104" s="57">
        <v>6</v>
      </c>
      <c r="U104" s="57">
        <v>-6</v>
      </c>
      <c r="V104" s="57">
        <v>-7</v>
      </c>
      <c r="W104" s="57">
        <v>48</v>
      </c>
      <c r="X104" s="57" t="s">
        <v>30</v>
      </c>
    </row>
    <row r="105" spans="1:24" x14ac:dyDescent="0.2">
      <c r="A105" s="47" t="s">
        <v>146</v>
      </c>
      <c r="B105" s="65">
        <v>38044</v>
      </c>
      <c r="C105" s="65">
        <v>38411</v>
      </c>
      <c r="D105" s="65">
        <v>38776</v>
      </c>
      <c r="E105" s="65">
        <v>39141</v>
      </c>
      <c r="F105" s="65">
        <v>39504</v>
      </c>
      <c r="G105" s="65">
        <v>39868</v>
      </c>
      <c r="H105" s="65">
        <v>40232</v>
      </c>
      <c r="I105" s="65">
        <v>40599</v>
      </c>
      <c r="J105" s="65">
        <v>40963</v>
      </c>
      <c r="K105" s="65">
        <v>41327</v>
      </c>
      <c r="L105" s="65">
        <v>41694</v>
      </c>
      <c r="M105" s="65">
        <v>42059</v>
      </c>
      <c r="N105" s="65">
        <v>42424</v>
      </c>
      <c r="O105" s="65">
        <v>42789</v>
      </c>
      <c r="P105" s="65">
        <v>43153</v>
      </c>
      <c r="Q105" s="65">
        <v>43518</v>
      </c>
      <c r="R105" s="65">
        <v>43881</v>
      </c>
      <c r="S105" s="65">
        <v>44232</v>
      </c>
      <c r="T105" s="65">
        <v>44596</v>
      </c>
      <c r="U105" s="65">
        <v>44960</v>
      </c>
      <c r="V105" s="65">
        <v>44960</v>
      </c>
      <c r="W105" s="65">
        <v>44960</v>
      </c>
      <c r="X105" s="65">
        <v>45224</v>
      </c>
    </row>
    <row r="106" spans="1:24" x14ac:dyDescent="0.2">
      <c r="A106" s="47" t="s">
        <v>147</v>
      </c>
      <c r="B106" s="66" t="s">
        <v>148</v>
      </c>
      <c r="C106" s="66" t="s">
        <v>339</v>
      </c>
      <c r="D106" s="66" t="s">
        <v>148</v>
      </c>
      <c r="E106" s="66" t="s">
        <v>340</v>
      </c>
      <c r="F106" s="66" t="s">
        <v>340</v>
      </c>
      <c r="G106" s="66" t="s">
        <v>339</v>
      </c>
      <c r="H106" s="66" t="s">
        <v>341</v>
      </c>
      <c r="I106" s="66" t="s">
        <v>341</v>
      </c>
      <c r="J106" s="66" t="s">
        <v>148</v>
      </c>
      <c r="K106" s="66" t="s">
        <v>339</v>
      </c>
      <c r="L106" s="66" t="s">
        <v>148</v>
      </c>
      <c r="M106" s="66" t="s">
        <v>148</v>
      </c>
      <c r="N106" s="66" t="s">
        <v>339</v>
      </c>
      <c r="O106" s="66" t="s">
        <v>148</v>
      </c>
      <c r="P106" s="66" t="s">
        <v>339</v>
      </c>
      <c r="Q106" s="66" t="s">
        <v>339</v>
      </c>
      <c r="R106" s="66" t="s">
        <v>339</v>
      </c>
      <c r="S106" s="66" t="s">
        <v>148</v>
      </c>
      <c r="T106" s="66" t="s">
        <v>148</v>
      </c>
      <c r="U106" s="66" t="s">
        <v>148</v>
      </c>
      <c r="V106" s="66" t="s">
        <v>148</v>
      </c>
      <c r="W106" s="66" t="s">
        <v>149</v>
      </c>
      <c r="X106" s="66" t="s">
        <v>149</v>
      </c>
    </row>
    <row r="107" spans="1:24" x14ac:dyDescent="0.2">
      <c r="A107" s="47" t="s">
        <v>150</v>
      </c>
      <c r="B107" s="66" t="s">
        <v>151</v>
      </c>
      <c r="C107" s="66" t="s">
        <v>151</v>
      </c>
      <c r="D107" s="66" t="s">
        <v>151</v>
      </c>
      <c r="E107" s="66" t="s">
        <v>151</v>
      </c>
      <c r="F107" s="66" t="s">
        <v>151</v>
      </c>
      <c r="G107" s="66" t="s">
        <v>151</v>
      </c>
      <c r="H107" s="66" t="s">
        <v>151</v>
      </c>
      <c r="I107" s="66" t="s">
        <v>151</v>
      </c>
      <c r="J107" s="66" t="s">
        <v>151</v>
      </c>
      <c r="K107" s="66" t="s">
        <v>151</v>
      </c>
      <c r="L107" s="66" t="s">
        <v>151</v>
      </c>
      <c r="M107" s="66" t="s">
        <v>151</v>
      </c>
      <c r="N107" s="66" t="s">
        <v>151</v>
      </c>
      <c r="O107" s="66" t="s">
        <v>151</v>
      </c>
      <c r="P107" s="66" t="s">
        <v>151</v>
      </c>
      <c r="Q107" s="66" t="s">
        <v>151</v>
      </c>
      <c r="R107" s="66" t="s">
        <v>151</v>
      </c>
      <c r="S107" s="66" t="s">
        <v>151</v>
      </c>
      <c r="T107" s="66" t="s">
        <v>151</v>
      </c>
      <c r="U107" s="66" t="s">
        <v>151</v>
      </c>
      <c r="V107" s="66" t="s">
        <v>151</v>
      </c>
      <c r="W107" s="66" t="s">
        <v>151</v>
      </c>
      <c r="X107" s="66" t="s">
        <v>152</v>
      </c>
    </row>
    <row r="108" spans="1:24" x14ac:dyDescent="0.2">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row>
    <row r="109" spans="1:24" ht="10.5" x14ac:dyDescent="0.2">
      <c r="A109" s="53" t="s">
        <v>153</v>
      </c>
      <c r="B109" s="47"/>
      <c r="C109" s="47"/>
      <c r="D109" s="47"/>
      <c r="E109" s="47"/>
      <c r="F109" s="47"/>
      <c r="G109" s="47"/>
      <c r="H109" s="47"/>
      <c r="I109" s="47"/>
      <c r="J109" s="47"/>
      <c r="K109" s="47"/>
      <c r="L109" s="47"/>
      <c r="M109" s="47"/>
      <c r="N109" s="47"/>
      <c r="O109" s="47"/>
      <c r="P109" s="47"/>
      <c r="Q109" s="47"/>
      <c r="R109" s="47"/>
      <c r="S109" s="47"/>
      <c r="T109" s="47"/>
      <c r="U109" s="47"/>
      <c r="V109" s="47"/>
      <c r="W109" s="47"/>
      <c r="X109" s="47"/>
    </row>
    <row r="110" spans="1:24" x14ac:dyDescent="0.2">
      <c r="A110" s="47" t="s">
        <v>154</v>
      </c>
      <c r="B110" s="57">
        <v>74</v>
      </c>
      <c r="C110" s="57">
        <v>76</v>
      </c>
      <c r="D110" s="57">
        <v>79</v>
      </c>
      <c r="E110" s="57">
        <v>92</v>
      </c>
      <c r="F110" s="57">
        <v>126</v>
      </c>
      <c r="G110" s="57">
        <v>216</v>
      </c>
      <c r="H110" s="57">
        <v>194</v>
      </c>
      <c r="I110" s="57">
        <v>123</v>
      </c>
      <c r="J110" s="57">
        <v>42</v>
      </c>
      <c r="K110" s="57">
        <v>44</v>
      </c>
      <c r="L110" s="57">
        <v>43</v>
      </c>
      <c r="M110" s="57">
        <v>46</v>
      </c>
      <c r="N110" s="57">
        <v>46</v>
      </c>
      <c r="O110" s="57">
        <v>45</v>
      </c>
      <c r="P110" s="57">
        <v>46</v>
      </c>
      <c r="Q110" s="57">
        <v>44</v>
      </c>
      <c r="R110" s="57">
        <v>39</v>
      </c>
      <c r="S110" s="57">
        <v>34</v>
      </c>
      <c r="T110" s="57">
        <v>30</v>
      </c>
      <c r="U110" s="57">
        <v>28</v>
      </c>
      <c r="V110" s="57">
        <v>27</v>
      </c>
      <c r="W110" s="57">
        <v>27</v>
      </c>
      <c r="X110" s="57" t="s">
        <v>135</v>
      </c>
    </row>
    <row r="111" spans="1:24" x14ac:dyDescent="0.2">
      <c r="A111" s="47" t="s">
        <v>342</v>
      </c>
      <c r="B111" s="57" t="s">
        <v>135</v>
      </c>
      <c r="C111" s="57" t="s">
        <v>135</v>
      </c>
      <c r="D111" s="57" t="s">
        <v>135</v>
      </c>
      <c r="E111" s="57" t="s">
        <v>135</v>
      </c>
      <c r="F111" s="57">
        <v>126</v>
      </c>
      <c r="G111" s="57">
        <v>216</v>
      </c>
      <c r="H111" s="57">
        <v>194</v>
      </c>
      <c r="I111" s="57" t="s">
        <v>135</v>
      </c>
      <c r="J111" s="57" t="s">
        <v>135</v>
      </c>
      <c r="K111" s="57" t="s">
        <v>135</v>
      </c>
      <c r="L111" s="57" t="s">
        <v>135</v>
      </c>
      <c r="M111" s="57" t="s">
        <v>135</v>
      </c>
      <c r="N111" s="57" t="s">
        <v>135</v>
      </c>
      <c r="O111" s="57" t="s">
        <v>135</v>
      </c>
      <c r="P111" s="57" t="s">
        <v>135</v>
      </c>
      <c r="Q111" s="57" t="s">
        <v>135</v>
      </c>
      <c r="R111" s="57" t="s">
        <v>135</v>
      </c>
      <c r="S111" s="57" t="s">
        <v>135</v>
      </c>
      <c r="T111" s="57" t="s">
        <v>135</v>
      </c>
      <c r="U111" s="57" t="s">
        <v>135</v>
      </c>
      <c r="V111" s="57" t="s">
        <v>135</v>
      </c>
      <c r="W111" s="57" t="s">
        <v>135</v>
      </c>
      <c r="X111" s="57" t="s">
        <v>135</v>
      </c>
    </row>
    <row r="112" spans="1:24" x14ac:dyDescent="0.2">
      <c r="A112" s="47" t="s">
        <v>155</v>
      </c>
      <c r="B112" s="57">
        <v>1598</v>
      </c>
      <c r="C112" s="57">
        <v>1618</v>
      </c>
      <c r="D112" s="57">
        <v>1748</v>
      </c>
      <c r="E112" s="57">
        <v>1946</v>
      </c>
      <c r="F112" s="57">
        <v>1986</v>
      </c>
      <c r="G112" s="57">
        <v>2195</v>
      </c>
      <c r="H112" s="57">
        <v>2140</v>
      </c>
      <c r="I112" s="57">
        <v>1940</v>
      </c>
      <c r="J112" s="57">
        <v>1476</v>
      </c>
      <c r="K112" s="57">
        <v>1570</v>
      </c>
      <c r="L112" s="57">
        <v>1715</v>
      </c>
      <c r="M112" s="57">
        <v>1877</v>
      </c>
      <c r="N112" s="57">
        <v>1522</v>
      </c>
      <c r="O112" s="57">
        <v>1358</v>
      </c>
      <c r="P112" s="57">
        <v>1267</v>
      </c>
      <c r="Q112" s="57">
        <v>1356</v>
      </c>
      <c r="R112" s="57">
        <v>1508</v>
      </c>
      <c r="S112" s="57">
        <v>1559</v>
      </c>
      <c r="T112" s="57">
        <v>1544</v>
      </c>
      <c r="U112" s="57">
        <v>1530</v>
      </c>
      <c r="V112" s="57">
        <v>1554</v>
      </c>
      <c r="W112" s="57">
        <v>1670</v>
      </c>
      <c r="X112" s="57">
        <v>1837</v>
      </c>
    </row>
    <row r="113" spans="1:24" x14ac:dyDescent="0.2">
      <c r="A113" s="47" t="s">
        <v>156</v>
      </c>
      <c r="B113" s="57">
        <v>162</v>
      </c>
      <c r="C113" s="57">
        <v>135</v>
      </c>
      <c r="D113" s="57">
        <v>136</v>
      </c>
      <c r="E113" s="57">
        <v>124</v>
      </c>
      <c r="F113" s="57">
        <v>126</v>
      </c>
      <c r="G113" s="57">
        <v>125</v>
      </c>
      <c r="H113" s="57">
        <v>123</v>
      </c>
      <c r="I113" s="57">
        <v>124</v>
      </c>
      <c r="J113" s="57">
        <v>114</v>
      </c>
      <c r="K113" s="57">
        <v>100</v>
      </c>
      <c r="L113" s="57">
        <v>109</v>
      </c>
      <c r="M113" s="57">
        <v>124</v>
      </c>
      <c r="N113" s="57">
        <v>120</v>
      </c>
      <c r="O113" s="57">
        <v>113</v>
      </c>
      <c r="P113" s="57">
        <v>98</v>
      </c>
      <c r="Q113" s="57">
        <v>86</v>
      </c>
      <c r="R113" s="57" t="s">
        <v>135</v>
      </c>
      <c r="S113" s="57" t="s">
        <v>135</v>
      </c>
      <c r="T113" s="57">
        <v>107</v>
      </c>
      <c r="U113" s="57">
        <v>106</v>
      </c>
      <c r="V113" s="57">
        <v>125</v>
      </c>
      <c r="W113" s="57">
        <v>113</v>
      </c>
      <c r="X113" s="57" t="s">
        <v>135</v>
      </c>
    </row>
    <row r="114" spans="1:24" x14ac:dyDescent="0.2">
      <c r="A114" s="47" t="s">
        <v>157</v>
      </c>
      <c r="B114" s="57">
        <v>73.404144000000002</v>
      </c>
      <c r="C114" s="57">
        <v>51.756839999999997</v>
      </c>
      <c r="D114" s="57">
        <v>42.747520000000002</v>
      </c>
      <c r="E114" s="57">
        <v>39.318911999999997</v>
      </c>
      <c r="F114" s="57">
        <v>27.972000000000001</v>
      </c>
      <c r="G114" s="57">
        <v>35.661000000000001</v>
      </c>
      <c r="H114" s="57" t="s">
        <v>30</v>
      </c>
      <c r="I114" s="57" t="s">
        <v>30</v>
      </c>
      <c r="J114" s="57" t="s">
        <v>30</v>
      </c>
      <c r="K114" s="57" t="s">
        <v>30</v>
      </c>
      <c r="L114" s="57" t="s">
        <v>30</v>
      </c>
      <c r="M114" s="57">
        <v>14.952415999999999</v>
      </c>
      <c r="N114" s="57">
        <v>18.590399999999999</v>
      </c>
      <c r="O114" s="57">
        <v>17.361319999999999</v>
      </c>
      <c r="P114" s="57">
        <v>16.304848</v>
      </c>
      <c r="Q114" s="57">
        <v>14.242288</v>
      </c>
      <c r="R114" s="57" t="s">
        <v>30</v>
      </c>
      <c r="S114" s="57" t="s">
        <v>30</v>
      </c>
      <c r="T114" s="57">
        <v>25.978743999999999</v>
      </c>
      <c r="U114" s="57">
        <v>24.312159999999999</v>
      </c>
      <c r="V114" s="57">
        <v>24.013000000000002</v>
      </c>
      <c r="W114" s="57">
        <v>22.287216000000001</v>
      </c>
      <c r="X114" s="57" t="s">
        <v>30</v>
      </c>
    </row>
    <row r="115" spans="1:24" x14ac:dyDescent="0.2">
      <c r="A115" s="47" t="s">
        <v>158</v>
      </c>
      <c r="B115" s="57">
        <v>88.595855999999998</v>
      </c>
      <c r="C115" s="57">
        <v>83.243160000000003</v>
      </c>
      <c r="D115" s="57">
        <v>93.252480000000006</v>
      </c>
      <c r="E115" s="57">
        <v>84.681088000000003</v>
      </c>
      <c r="F115" s="57">
        <v>98.028000000000006</v>
      </c>
      <c r="G115" s="57">
        <v>89.338999999999999</v>
      </c>
      <c r="H115" s="57" t="s">
        <v>30</v>
      </c>
      <c r="I115" s="57" t="s">
        <v>30</v>
      </c>
      <c r="J115" s="57" t="s">
        <v>30</v>
      </c>
      <c r="K115" s="57" t="s">
        <v>30</v>
      </c>
      <c r="L115" s="57" t="s">
        <v>30</v>
      </c>
      <c r="M115" s="57">
        <v>109.047584</v>
      </c>
      <c r="N115" s="57">
        <v>101.4096</v>
      </c>
      <c r="O115" s="57">
        <v>95.638679999999994</v>
      </c>
      <c r="P115" s="57">
        <v>81.695151999999993</v>
      </c>
      <c r="Q115" s="57">
        <v>71.757711999999998</v>
      </c>
      <c r="R115" s="57" t="s">
        <v>30</v>
      </c>
      <c r="S115" s="57" t="s">
        <v>30</v>
      </c>
      <c r="T115" s="57">
        <v>81.021255999999994</v>
      </c>
      <c r="U115" s="57">
        <v>81.687839999999994</v>
      </c>
      <c r="V115" s="57">
        <v>100.98699999999999</v>
      </c>
      <c r="W115" s="57">
        <v>90.712783999999999</v>
      </c>
      <c r="X115" s="57" t="s">
        <v>30</v>
      </c>
    </row>
    <row r="116" spans="1:24" x14ac:dyDescent="0.2">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row>
    <row r="117" spans="1:24" x14ac:dyDescent="0.2">
      <c r="A117" s="47" t="s">
        <v>159</v>
      </c>
      <c r="B117" s="57" t="s">
        <v>30</v>
      </c>
      <c r="C117" s="57" t="s">
        <v>30</v>
      </c>
      <c r="D117" s="57" t="s">
        <v>30</v>
      </c>
      <c r="E117" s="57" t="s">
        <v>30</v>
      </c>
      <c r="F117" s="57">
        <v>32</v>
      </c>
      <c r="G117" s="57">
        <v>64</v>
      </c>
      <c r="H117" s="57">
        <v>53</v>
      </c>
      <c r="I117" s="57">
        <v>41</v>
      </c>
      <c r="J117" s="57">
        <v>35</v>
      </c>
      <c r="K117" s="57">
        <v>36</v>
      </c>
      <c r="L117" s="57">
        <v>40</v>
      </c>
      <c r="M117" s="57">
        <v>48</v>
      </c>
      <c r="N117" s="57">
        <v>49</v>
      </c>
      <c r="O117" s="57">
        <v>48</v>
      </c>
      <c r="P117" s="57">
        <v>47</v>
      </c>
      <c r="Q117" s="57">
        <v>40</v>
      </c>
      <c r="R117" s="57">
        <v>36</v>
      </c>
      <c r="S117" s="57">
        <v>25</v>
      </c>
      <c r="T117" s="57">
        <v>21</v>
      </c>
      <c r="U117" s="57">
        <v>21</v>
      </c>
      <c r="V117" s="57">
        <v>21</v>
      </c>
      <c r="W117" s="57">
        <v>34</v>
      </c>
      <c r="X117" s="57">
        <v>34</v>
      </c>
    </row>
    <row r="118" spans="1:24" x14ac:dyDescent="0.2">
      <c r="A118" s="47" t="s">
        <v>160</v>
      </c>
      <c r="B118" s="57" t="s">
        <v>30</v>
      </c>
      <c r="C118" s="57" t="s">
        <v>30</v>
      </c>
      <c r="D118" s="57" t="s">
        <v>30</v>
      </c>
      <c r="E118" s="57" t="s">
        <v>30</v>
      </c>
      <c r="F118" s="57">
        <v>53</v>
      </c>
      <c r="G118" s="57">
        <v>101</v>
      </c>
      <c r="H118" s="57">
        <v>83</v>
      </c>
      <c r="I118" s="57">
        <v>62</v>
      </c>
      <c r="J118" s="57">
        <v>54</v>
      </c>
      <c r="K118" s="57">
        <v>53</v>
      </c>
      <c r="L118" s="57">
        <v>58</v>
      </c>
      <c r="M118" s="57">
        <v>71</v>
      </c>
      <c r="N118" s="57">
        <v>67</v>
      </c>
      <c r="O118" s="57">
        <v>62</v>
      </c>
      <c r="P118" s="57">
        <v>60</v>
      </c>
      <c r="Q118" s="57">
        <v>60</v>
      </c>
      <c r="R118" s="57">
        <v>59</v>
      </c>
      <c r="S118" s="57">
        <v>69</v>
      </c>
      <c r="T118" s="57">
        <v>66</v>
      </c>
      <c r="U118" s="57">
        <v>68</v>
      </c>
      <c r="V118" s="57">
        <v>67</v>
      </c>
      <c r="W118" s="57">
        <v>90</v>
      </c>
      <c r="X118" s="57">
        <v>90</v>
      </c>
    </row>
    <row r="119" spans="1:24" x14ac:dyDescent="0.2">
      <c r="A119" s="47" t="s">
        <v>161</v>
      </c>
      <c r="B119" s="57" t="s">
        <v>30</v>
      </c>
      <c r="C119" s="57" t="s">
        <v>30</v>
      </c>
      <c r="D119" s="57" t="s">
        <v>30</v>
      </c>
      <c r="E119" s="57">
        <v>18</v>
      </c>
      <c r="F119" s="57">
        <v>90</v>
      </c>
      <c r="G119" s="57">
        <v>167</v>
      </c>
      <c r="H119" s="57">
        <v>144</v>
      </c>
      <c r="I119" s="57">
        <v>110</v>
      </c>
      <c r="J119" s="57">
        <v>97</v>
      </c>
      <c r="K119" s="57">
        <v>101</v>
      </c>
      <c r="L119" s="57">
        <v>121</v>
      </c>
      <c r="M119" s="57">
        <v>127</v>
      </c>
      <c r="N119" s="57">
        <v>160</v>
      </c>
      <c r="O119" s="57">
        <v>156</v>
      </c>
      <c r="P119" s="57">
        <v>169</v>
      </c>
      <c r="Q119" s="57">
        <v>152</v>
      </c>
      <c r="R119" s="57">
        <v>147</v>
      </c>
      <c r="S119" s="57">
        <v>138</v>
      </c>
      <c r="T119" s="57">
        <v>130</v>
      </c>
      <c r="U119" s="57">
        <v>135</v>
      </c>
      <c r="V119" s="57">
        <v>134</v>
      </c>
      <c r="W119" s="57">
        <v>165</v>
      </c>
      <c r="X119" s="57">
        <v>165</v>
      </c>
    </row>
    <row r="120" spans="1:24" x14ac:dyDescent="0.2">
      <c r="A120" s="47" t="s">
        <v>162</v>
      </c>
      <c r="B120" s="57">
        <v>12</v>
      </c>
      <c r="C120" s="57">
        <v>10</v>
      </c>
      <c r="D120" s="57" t="s">
        <v>30</v>
      </c>
      <c r="E120" s="57" t="s">
        <v>30</v>
      </c>
      <c r="F120" s="57" t="s">
        <v>30</v>
      </c>
      <c r="G120" s="57" t="s">
        <v>30</v>
      </c>
      <c r="H120" s="57" t="s">
        <v>30</v>
      </c>
      <c r="I120" s="57" t="s">
        <v>30</v>
      </c>
      <c r="J120" s="57" t="s">
        <v>30</v>
      </c>
      <c r="K120" s="57" t="s">
        <v>30</v>
      </c>
      <c r="L120" s="57">
        <v>50</v>
      </c>
      <c r="M120" s="57">
        <v>17</v>
      </c>
      <c r="N120" s="57">
        <v>11</v>
      </c>
      <c r="O120" s="57">
        <v>11</v>
      </c>
      <c r="P120" s="57">
        <v>10</v>
      </c>
      <c r="Q120" s="57" t="s">
        <v>30</v>
      </c>
      <c r="R120" s="57" t="s">
        <v>30</v>
      </c>
      <c r="S120" s="57" t="s">
        <v>30</v>
      </c>
      <c r="T120" s="57" t="s">
        <v>30</v>
      </c>
      <c r="U120" s="57" t="s">
        <v>30</v>
      </c>
      <c r="V120" s="57">
        <v>8</v>
      </c>
      <c r="W120" s="57" t="s">
        <v>30</v>
      </c>
      <c r="X120" s="57">
        <v>67</v>
      </c>
    </row>
    <row r="121" spans="1:24" ht="10.5" x14ac:dyDescent="0.2">
      <c r="A121" s="53" t="s">
        <v>163</v>
      </c>
      <c r="B121" s="59">
        <v>12</v>
      </c>
      <c r="C121" s="59">
        <v>10</v>
      </c>
      <c r="D121" s="59" t="s">
        <v>30</v>
      </c>
      <c r="E121" s="59">
        <v>18</v>
      </c>
      <c r="F121" s="59">
        <v>175</v>
      </c>
      <c r="G121" s="59">
        <v>332</v>
      </c>
      <c r="H121" s="59">
        <v>280</v>
      </c>
      <c r="I121" s="59">
        <v>213</v>
      </c>
      <c r="J121" s="59">
        <v>186</v>
      </c>
      <c r="K121" s="59">
        <v>190</v>
      </c>
      <c r="L121" s="59">
        <v>269</v>
      </c>
      <c r="M121" s="59">
        <v>263</v>
      </c>
      <c r="N121" s="59">
        <v>287</v>
      </c>
      <c r="O121" s="59">
        <v>277</v>
      </c>
      <c r="P121" s="59">
        <v>286</v>
      </c>
      <c r="Q121" s="59">
        <v>252</v>
      </c>
      <c r="R121" s="59">
        <v>242</v>
      </c>
      <c r="S121" s="59">
        <v>232</v>
      </c>
      <c r="T121" s="59">
        <v>217</v>
      </c>
      <c r="U121" s="59">
        <v>224</v>
      </c>
      <c r="V121" s="59">
        <v>230</v>
      </c>
      <c r="W121" s="59">
        <v>289</v>
      </c>
      <c r="X121" s="59">
        <v>356</v>
      </c>
    </row>
    <row r="122" spans="1:24" x14ac:dyDescent="0.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row>
    <row r="123" spans="1:24" x14ac:dyDescent="0.2">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row>
    <row r="124" spans="1:24" x14ac:dyDescent="0.2">
      <c r="A124" s="43" t="s">
        <v>164</v>
      </c>
      <c r="B124" s="43"/>
      <c r="C124" s="43"/>
      <c r="D124" s="43"/>
      <c r="E124" s="43"/>
      <c r="F124" s="43"/>
      <c r="G124" s="43"/>
      <c r="H124" s="43"/>
      <c r="I124" s="43"/>
      <c r="J124" s="43"/>
      <c r="K124" s="43"/>
      <c r="L124" s="43"/>
      <c r="M124" s="43"/>
      <c r="N124" s="43"/>
      <c r="O124" s="43"/>
      <c r="P124" s="43"/>
      <c r="Q124" s="43"/>
      <c r="R124" s="43"/>
      <c r="S124" s="43"/>
      <c r="T124" s="43"/>
      <c r="U124" s="43"/>
      <c r="V124" s="43"/>
      <c r="W124" s="43"/>
      <c r="X124" s="43"/>
    </row>
    <row r="125" spans="1:24" x14ac:dyDescent="0.2">
      <c r="A125" s="67" t="s">
        <v>67</v>
      </c>
      <c r="B125" s="43"/>
      <c r="C125" s="43"/>
      <c r="D125" s="43"/>
      <c r="E125" s="43"/>
      <c r="F125" s="43"/>
      <c r="G125" s="43"/>
      <c r="H125" s="43"/>
      <c r="I125" s="43"/>
      <c r="J125" s="43"/>
      <c r="K125" s="43"/>
      <c r="L125" s="43"/>
      <c r="M125" s="43"/>
      <c r="N125" s="43"/>
      <c r="O125" s="43"/>
      <c r="P125" s="43"/>
      <c r="Q125" s="43"/>
      <c r="R125" s="43"/>
      <c r="S125" s="43"/>
      <c r="T125" s="43"/>
      <c r="U125" s="43"/>
      <c r="V125" s="43"/>
      <c r="W125" s="43"/>
      <c r="X125" s="4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0106-1A2D-4A90-A62C-E9350FEBEEFD}">
  <dimension ref="A5:IU98"/>
  <sheetViews>
    <sheetView topLeftCell="V14" zoomScale="135" workbookViewId="0">
      <selection activeCell="A59" sqref="A59:XFD59"/>
    </sheetView>
  </sheetViews>
  <sheetFormatPr defaultRowHeight="10" x14ac:dyDescent="0.2"/>
  <cols>
    <col min="1" max="1" width="45.81640625" customWidth="1"/>
    <col min="2" max="24" width="14.81640625" customWidth="1"/>
    <col min="257" max="257" width="45.81640625" customWidth="1"/>
    <col min="258" max="280" width="14.81640625" customWidth="1"/>
    <col min="513" max="513" width="45.81640625" customWidth="1"/>
    <col min="514" max="536" width="14.81640625" customWidth="1"/>
    <col min="769" max="769" width="45.81640625" customWidth="1"/>
    <col min="770" max="792" width="14.81640625" customWidth="1"/>
    <col min="1025" max="1025" width="45.81640625" customWidth="1"/>
    <col min="1026" max="1048" width="14.81640625" customWidth="1"/>
    <col min="1281" max="1281" width="45.81640625" customWidth="1"/>
    <col min="1282" max="1304" width="14.81640625" customWidth="1"/>
    <col min="1537" max="1537" width="45.81640625" customWidth="1"/>
    <col min="1538" max="1560" width="14.81640625" customWidth="1"/>
    <col min="1793" max="1793" width="45.81640625" customWidth="1"/>
    <col min="1794" max="1816" width="14.81640625" customWidth="1"/>
    <col min="2049" max="2049" width="45.81640625" customWidth="1"/>
    <col min="2050" max="2072" width="14.81640625" customWidth="1"/>
    <col min="2305" max="2305" width="45.81640625" customWidth="1"/>
    <col min="2306" max="2328" width="14.81640625" customWidth="1"/>
    <col min="2561" max="2561" width="45.81640625" customWidth="1"/>
    <col min="2562" max="2584" width="14.81640625" customWidth="1"/>
    <col min="2817" max="2817" width="45.81640625" customWidth="1"/>
    <col min="2818" max="2840" width="14.81640625" customWidth="1"/>
    <col min="3073" max="3073" width="45.81640625" customWidth="1"/>
    <col min="3074" max="3096" width="14.81640625" customWidth="1"/>
    <col min="3329" max="3329" width="45.81640625" customWidth="1"/>
    <col min="3330" max="3352" width="14.81640625" customWidth="1"/>
    <col min="3585" max="3585" width="45.81640625" customWidth="1"/>
    <col min="3586" max="3608" width="14.81640625" customWidth="1"/>
    <col min="3841" max="3841" width="45.81640625" customWidth="1"/>
    <col min="3842" max="3864" width="14.81640625" customWidth="1"/>
    <col min="4097" max="4097" width="45.81640625" customWidth="1"/>
    <col min="4098" max="4120" width="14.81640625" customWidth="1"/>
    <col min="4353" max="4353" width="45.81640625" customWidth="1"/>
    <col min="4354" max="4376" width="14.81640625" customWidth="1"/>
    <col min="4609" max="4609" width="45.81640625" customWidth="1"/>
    <col min="4610" max="4632" width="14.81640625" customWidth="1"/>
    <col min="4865" max="4865" width="45.81640625" customWidth="1"/>
    <col min="4866" max="4888" width="14.81640625" customWidth="1"/>
    <col min="5121" max="5121" width="45.81640625" customWidth="1"/>
    <col min="5122" max="5144" width="14.81640625" customWidth="1"/>
    <col min="5377" max="5377" width="45.81640625" customWidth="1"/>
    <col min="5378" max="5400" width="14.81640625" customWidth="1"/>
    <col min="5633" max="5633" width="45.81640625" customWidth="1"/>
    <col min="5634" max="5656" width="14.81640625" customWidth="1"/>
    <col min="5889" max="5889" width="45.81640625" customWidth="1"/>
    <col min="5890" max="5912" width="14.81640625" customWidth="1"/>
    <col min="6145" max="6145" width="45.81640625" customWidth="1"/>
    <col min="6146" max="6168" width="14.81640625" customWidth="1"/>
    <col min="6401" max="6401" width="45.81640625" customWidth="1"/>
    <col min="6402" max="6424" width="14.81640625" customWidth="1"/>
    <col min="6657" max="6657" width="45.81640625" customWidth="1"/>
    <col min="6658" max="6680" width="14.81640625" customWidth="1"/>
    <col min="6913" max="6913" width="45.81640625" customWidth="1"/>
    <col min="6914" max="6936" width="14.81640625" customWidth="1"/>
    <col min="7169" max="7169" width="45.81640625" customWidth="1"/>
    <col min="7170" max="7192" width="14.81640625" customWidth="1"/>
    <col min="7425" max="7425" width="45.81640625" customWidth="1"/>
    <col min="7426" max="7448" width="14.81640625" customWidth="1"/>
    <col min="7681" max="7681" width="45.81640625" customWidth="1"/>
    <col min="7682" max="7704" width="14.81640625" customWidth="1"/>
    <col min="7937" max="7937" width="45.81640625" customWidth="1"/>
    <col min="7938" max="7960" width="14.81640625" customWidth="1"/>
    <col min="8193" max="8193" width="45.81640625" customWidth="1"/>
    <col min="8194" max="8216" width="14.81640625" customWidth="1"/>
    <col min="8449" max="8449" width="45.81640625" customWidth="1"/>
    <col min="8450" max="8472" width="14.81640625" customWidth="1"/>
    <col min="8705" max="8705" width="45.81640625" customWidth="1"/>
    <col min="8706" max="8728" width="14.81640625" customWidth="1"/>
    <col min="8961" max="8961" width="45.81640625" customWidth="1"/>
    <col min="8962" max="8984" width="14.81640625" customWidth="1"/>
    <col min="9217" max="9217" width="45.81640625" customWidth="1"/>
    <col min="9218" max="9240" width="14.81640625" customWidth="1"/>
    <col min="9473" max="9473" width="45.81640625" customWidth="1"/>
    <col min="9474" max="9496" width="14.81640625" customWidth="1"/>
    <col min="9729" max="9729" width="45.81640625" customWidth="1"/>
    <col min="9730" max="9752" width="14.81640625" customWidth="1"/>
    <col min="9985" max="9985" width="45.81640625" customWidth="1"/>
    <col min="9986" max="10008" width="14.81640625" customWidth="1"/>
    <col min="10241" max="10241" width="45.81640625" customWidth="1"/>
    <col min="10242" max="10264" width="14.81640625" customWidth="1"/>
    <col min="10497" max="10497" width="45.81640625" customWidth="1"/>
    <col min="10498" max="10520" width="14.81640625" customWidth="1"/>
    <col min="10753" max="10753" width="45.81640625" customWidth="1"/>
    <col min="10754" max="10776" width="14.81640625" customWidth="1"/>
    <col min="11009" max="11009" width="45.81640625" customWidth="1"/>
    <col min="11010" max="11032" width="14.81640625" customWidth="1"/>
    <col min="11265" max="11265" width="45.81640625" customWidth="1"/>
    <col min="11266" max="11288" width="14.81640625" customWidth="1"/>
    <col min="11521" max="11521" width="45.81640625" customWidth="1"/>
    <col min="11522" max="11544" width="14.81640625" customWidth="1"/>
    <col min="11777" max="11777" width="45.81640625" customWidth="1"/>
    <col min="11778" max="11800" width="14.81640625" customWidth="1"/>
    <col min="12033" max="12033" width="45.81640625" customWidth="1"/>
    <col min="12034" max="12056" width="14.81640625" customWidth="1"/>
    <col min="12289" max="12289" width="45.81640625" customWidth="1"/>
    <col min="12290" max="12312" width="14.81640625" customWidth="1"/>
    <col min="12545" max="12545" width="45.81640625" customWidth="1"/>
    <col min="12546" max="12568" width="14.81640625" customWidth="1"/>
    <col min="12801" max="12801" width="45.81640625" customWidth="1"/>
    <col min="12802" max="12824" width="14.81640625" customWidth="1"/>
    <col min="13057" max="13057" width="45.81640625" customWidth="1"/>
    <col min="13058" max="13080" width="14.81640625" customWidth="1"/>
    <col min="13313" max="13313" width="45.81640625" customWidth="1"/>
    <col min="13314" max="13336" width="14.81640625" customWidth="1"/>
    <col min="13569" max="13569" width="45.81640625" customWidth="1"/>
    <col min="13570" max="13592" width="14.81640625" customWidth="1"/>
    <col min="13825" max="13825" width="45.81640625" customWidth="1"/>
    <col min="13826" max="13848" width="14.81640625" customWidth="1"/>
    <col min="14081" max="14081" width="45.81640625" customWidth="1"/>
    <col min="14082" max="14104" width="14.81640625" customWidth="1"/>
    <col min="14337" max="14337" width="45.81640625" customWidth="1"/>
    <col min="14338" max="14360" width="14.81640625" customWidth="1"/>
    <col min="14593" max="14593" width="45.81640625" customWidth="1"/>
    <col min="14594" max="14616" width="14.81640625" customWidth="1"/>
    <col min="14849" max="14849" width="45.81640625" customWidth="1"/>
    <col min="14850" max="14872" width="14.81640625" customWidth="1"/>
    <col min="15105" max="15105" width="45.81640625" customWidth="1"/>
    <col min="15106" max="15128" width="14.81640625" customWidth="1"/>
    <col min="15361" max="15361" width="45.81640625" customWidth="1"/>
    <col min="15362" max="15384" width="14.81640625" customWidth="1"/>
    <col min="15617" max="15617" width="45.81640625" customWidth="1"/>
    <col min="15618" max="15640" width="14.81640625" customWidth="1"/>
    <col min="15873" max="15873" width="45.81640625" customWidth="1"/>
    <col min="15874" max="15896" width="14.81640625" customWidth="1"/>
    <col min="16129" max="16129" width="45.81640625" customWidth="1"/>
    <col min="16130" max="16152" width="14.81640625" customWidth="1"/>
  </cols>
  <sheetData>
    <row r="5" spans="1:255" ht="17" x14ac:dyDescent="0.35">
      <c r="A5" s="1" t="s">
        <v>165</v>
      </c>
    </row>
    <row r="7" spans="1:255" ht="10.5" x14ac:dyDescent="0.25">
      <c r="A7" s="2" t="s">
        <v>69</v>
      </c>
      <c r="B7" s="3" t="s">
        <v>70</v>
      </c>
      <c r="C7" t="s">
        <v>71</v>
      </c>
      <c r="D7" s="4" t="s">
        <v>4</v>
      </c>
      <c r="E7" s="3" t="s">
        <v>72</v>
      </c>
      <c r="F7" t="s">
        <v>73</v>
      </c>
    </row>
    <row r="8" spans="1:255" ht="10.5" x14ac:dyDescent="0.25">
      <c r="A8" s="4"/>
      <c r="B8" s="3" t="s">
        <v>74</v>
      </c>
      <c r="C8" t="s">
        <v>75</v>
      </c>
      <c r="D8" s="4" t="s">
        <v>4</v>
      </c>
      <c r="E8" s="3" t="s">
        <v>7</v>
      </c>
      <c r="F8" t="s">
        <v>8</v>
      </c>
    </row>
    <row r="9" spans="1:255" ht="10.5" x14ac:dyDescent="0.25">
      <c r="A9" s="4"/>
      <c r="B9" s="3" t="s">
        <v>2</v>
      </c>
      <c r="C9" t="s">
        <v>76</v>
      </c>
      <c r="D9" s="4" t="s">
        <v>4</v>
      </c>
      <c r="E9" s="3" t="s">
        <v>5</v>
      </c>
      <c r="F9" t="s">
        <v>314</v>
      </c>
    </row>
    <row r="10" spans="1:255" ht="10.5" x14ac:dyDescent="0.25">
      <c r="A10" s="4"/>
      <c r="B10" s="3" t="s">
        <v>9</v>
      </c>
      <c r="C10" t="s">
        <v>10</v>
      </c>
      <c r="D10" s="4" t="s">
        <v>4</v>
      </c>
      <c r="E10" s="3" t="s">
        <v>11</v>
      </c>
      <c r="F10" s="5" t="s">
        <v>12</v>
      </c>
    </row>
    <row r="11" spans="1:255" ht="10.5" x14ac:dyDescent="0.25">
      <c r="A11" s="4"/>
      <c r="B11" s="3" t="s">
        <v>77</v>
      </c>
      <c r="C11" t="s">
        <v>78</v>
      </c>
      <c r="D11" s="4" t="s">
        <v>4</v>
      </c>
      <c r="E11" s="26"/>
      <c r="F11" s="26"/>
    </row>
    <row r="14" spans="1:255" x14ac:dyDescent="0.2">
      <c r="A14" s="6" t="s">
        <v>166</v>
      </c>
      <c r="B14" s="6"/>
      <c r="C14" s="6"/>
      <c r="D14" s="6"/>
      <c r="E14" s="6"/>
      <c r="F14" s="6"/>
      <c r="G14" s="6"/>
      <c r="H14" s="6"/>
      <c r="I14" s="6"/>
      <c r="J14" s="6"/>
      <c r="K14" s="6"/>
      <c r="L14" s="6"/>
      <c r="M14" s="6"/>
      <c r="N14" s="6"/>
      <c r="O14" s="6"/>
      <c r="P14" s="6"/>
      <c r="Q14" s="6"/>
      <c r="R14" s="6"/>
      <c r="S14" s="6"/>
      <c r="T14" s="6"/>
      <c r="U14" s="6"/>
      <c r="V14" s="6"/>
      <c r="W14" s="6"/>
      <c r="X14" s="6"/>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c r="GL14" s="31"/>
      <c r="GM14" s="31"/>
      <c r="GN14" s="31"/>
      <c r="GO14" s="31"/>
      <c r="GP14" s="31"/>
      <c r="GQ14" s="31"/>
      <c r="GR14" s="31"/>
      <c r="GS14" s="31"/>
      <c r="GT14" s="31"/>
      <c r="GU14" s="31"/>
      <c r="GV14" s="31"/>
      <c r="GW14" s="31"/>
      <c r="GX14" s="31"/>
      <c r="GY14" s="31"/>
      <c r="GZ14" s="31"/>
      <c r="HA14" s="31"/>
      <c r="HB14" s="31"/>
      <c r="HC14" s="31"/>
      <c r="HD14" s="31"/>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c r="IG14" s="31"/>
      <c r="IH14" s="31"/>
      <c r="II14" s="31"/>
      <c r="IJ14" s="31"/>
      <c r="IK14" s="31"/>
      <c r="IL14" s="31"/>
      <c r="IM14" s="31"/>
      <c r="IN14" s="31"/>
      <c r="IO14" s="31"/>
      <c r="IP14" s="31"/>
      <c r="IQ14" s="31"/>
      <c r="IR14" s="31"/>
      <c r="IS14" s="31"/>
      <c r="IT14" s="31"/>
      <c r="IU14" s="31"/>
    </row>
    <row r="15" spans="1:255" ht="21" x14ac:dyDescent="0.25">
      <c r="A15" s="7" t="s">
        <v>167</v>
      </c>
      <c r="B15" s="30">
        <v>37256</v>
      </c>
      <c r="C15" s="30">
        <v>37621</v>
      </c>
      <c r="D15" s="30">
        <v>37986</v>
      </c>
      <c r="E15" s="12" t="s">
        <v>343</v>
      </c>
      <c r="F15" s="12" t="s">
        <v>344</v>
      </c>
      <c r="G15" s="30">
        <v>39082</v>
      </c>
      <c r="H15" s="30">
        <v>39447</v>
      </c>
      <c r="I15" s="30">
        <v>39813</v>
      </c>
      <c r="J15" s="30">
        <v>40178</v>
      </c>
      <c r="K15" s="30">
        <v>40543</v>
      </c>
      <c r="L15" s="30">
        <v>40908</v>
      </c>
      <c r="M15" s="30">
        <v>41274</v>
      </c>
      <c r="N15" s="30">
        <v>41639</v>
      </c>
      <c r="O15" s="12" t="s">
        <v>345</v>
      </c>
      <c r="P15" s="30">
        <v>42369</v>
      </c>
      <c r="Q15" s="30">
        <v>42735</v>
      </c>
      <c r="R15" s="30">
        <v>43100</v>
      </c>
      <c r="S15" s="30">
        <v>43465</v>
      </c>
      <c r="T15" s="30">
        <v>43830</v>
      </c>
      <c r="U15" s="30">
        <v>44196</v>
      </c>
      <c r="V15" s="30">
        <v>44561</v>
      </c>
      <c r="W15" s="30">
        <v>44926</v>
      </c>
      <c r="X15" s="30">
        <v>45199</v>
      </c>
    </row>
    <row r="16" spans="1:255" x14ac:dyDescent="0.2">
      <c r="A16" s="8" t="s">
        <v>25</v>
      </c>
      <c r="B16" s="13" t="s">
        <v>26</v>
      </c>
      <c r="C16" s="13" t="s">
        <v>26</v>
      </c>
      <c r="D16" s="13" t="s">
        <v>26</v>
      </c>
      <c r="E16" s="13" t="s">
        <v>26</v>
      </c>
      <c r="F16" s="13" t="s">
        <v>26</v>
      </c>
      <c r="G16" s="13" t="s">
        <v>26</v>
      </c>
      <c r="H16" s="13" t="s">
        <v>26</v>
      </c>
      <c r="I16" s="13" t="s">
        <v>26</v>
      </c>
      <c r="J16" s="13" t="s">
        <v>26</v>
      </c>
      <c r="K16" s="13" t="s">
        <v>26</v>
      </c>
      <c r="L16" s="13" t="s">
        <v>26</v>
      </c>
      <c r="M16" s="13" t="s">
        <v>26</v>
      </c>
      <c r="N16" s="13" t="s">
        <v>26</v>
      </c>
      <c r="O16" s="13" t="s">
        <v>26</v>
      </c>
      <c r="P16" s="13" t="s">
        <v>26</v>
      </c>
      <c r="Q16" s="13" t="s">
        <v>26</v>
      </c>
      <c r="R16" s="13" t="s">
        <v>26</v>
      </c>
      <c r="S16" s="13" t="s">
        <v>26</v>
      </c>
      <c r="T16" s="13" t="s">
        <v>26</v>
      </c>
      <c r="U16" s="13" t="s">
        <v>26</v>
      </c>
      <c r="V16" s="13" t="s">
        <v>26</v>
      </c>
      <c r="W16" s="13" t="s">
        <v>26</v>
      </c>
      <c r="X16" s="13" t="s">
        <v>26</v>
      </c>
    </row>
    <row r="17" spans="1:24" ht="10.5" x14ac:dyDescent="0.2">
      <c r="A17" s="9" t="s">
        <v>168</v>
      </c>
      <c r="B17" s="4"/>
      <c r="C17" s="4"/>
      <c r="D17" s="4"/>
      <c r="E17" s="4"/>
      <c r="F17" s="4"/>
      <c r="G17" s="4"/>
      <c r="H17" s="4"/>
      <c r="I17" s="4"/>
      <c r="J17" s="4"/>
      <c r="K17" s="4"/>
      <c r="L17" s="4"/>
      <c r="M17" s="4"/>
      <c r="N17" s="4"/>
      <c r="O17" s="4"/>
      <c r="P17" s="4"/>
      <c r="Q17" s="4"/>
      <c r="R17" s="4"/>
      <c r="S17" s="4"/>
      <c r="T17" s="4"/>
      <c r="U17" s="4"/>
      <c r="V17" s="4"/>
      <c r="W17" s="4"/>
      <c r="X17" s="4"/>
    </row>
    <row r="18" spans="1:24" x14ac:dyDescent="0.2">
      <c r="A18" s="4" t="s">
        <v>169</v>
      </c>
      <c r="B18" s="20">
        <v>431</v>
      </c>
      <c r="C18" s="20">
        <v>949</v>
      </c>
      <c r="D18" s="20">
        <v>1818</v>
      </c>
      <c r="E18" s="20">
        <v>2668</v>
      </c>
      <c r="F18" s="20">
        <v>1214</v>
      </c>
      <c r="G18" s="20">
        <v>1183</v>
      </c>
      <c r="H18" s="20">
        <v>1328</v>
      </c>
      <c r="I18" s="20">
        <v>1046</v>
      </c>
      <c r="J18" s="20">
        <v>1182</v>
      </c>
      <c r="K18" s="20">
        <v>1319</v>
      </c>
      <c r="L18" s="20">
        <v>992</v>
      </c>
      <c r="M18" s="20">
        <v>1416</v>
      </c>
      <c r="N18" s="20">
        <v>1627</v>
      </c>
      <c r="O18" s="20">
        <v>1199</v>
      </c>
      <c r="P18" s="20">
        <v>1000</v>
      </c>
      <c r="Q18" s="20">
        <v>1154</v>
      </c>
      <c r="R18" s="20">
        <v>1656</v>
      </c>
      <c r="S18" s="20">
        <v>2438</v>
      </c>
      <c r="T18" s="20">
        <v>2437</v>
      </c>
      <c r="U18" s="20">
        <v>3107</v>
      </c>
      <c r="V18" s="20">
        <v>4631</v>
      </c>
      <c r="W18" s="20">
        <v>3050</v>
      </c>
      <c r="X18" s="20">
        <v>2566</v>
      </c>
    </row>
    <row r="19" spans="1:24" x14ac:dyDescent="0.2">
      <c r="A19" s="4" t="s">
        <v>170</v>
      </c>
      <c r="B19" s="20">
        <v>2513</v>
      </c>
      <c r="C19" s="20">
        <v>2063</v>
      </c>
      <c r="D19" s="20">
        <v>2511</v>
      </c>
      <c r="E19" s="20">
        <v>3690</v>
      </c>
      <c r="F19" s="20">
        <v>4116</v>
      </c>
      <c r="G19" s="20">
        <v>2534</v>
      </c>
      <c r="H19" s="20">
        <v>1596</v>
      </c>
      <c r="I19" s="20">
        <v>1494</v>
      </c>
      <c r="J19" s="20">
        <v>1743</v>
      </c>
      <c r="K19" s="20">
        <v>1753</v>
      </c>
      <c r="L19" s="20">
        <v>1943</v>
      </c>
      <c r="M19" s="20">
        <v>2549</v>
      </c>
      <c r="N19" s="20">
        <v>2202</v>
      </c>
      <c r="O19" s="20">
        <v>2342</v>
      </c>
      <c r="P19" s="20">
        <v>2218</v>
      </c>
      <c r="Q19" s="20">
        <v>2336</v>
      </c>
      <c r="R19" s="20">
        <v>2813</v>
      </c>
      <c r="S19" s="20">
        <v>1795</v>
      </c>
      <c r="T19" s="20">
        <v>2950</v>
      </c>
      <c r="U19" s="20">
        <v>3461</v>
      </c>
      <c r="V19" s="20">
        <v>5108</v>
      </c>
      <c r="W19" s="20">
        <v>6017</v>
      </c>
      <c r="X19" s="20">
        <v>6382</v>
      </c>
    </row>
    <row r="20" spans="1:24" ht="10.5" x14ac:dyDescent="0.2">
      <c r="A20" s="9" t="s">
        <v>171</v>
      </c>
      <c r="B20" s="27">
        <v>2944</v>
      </c>
      <c r="C20" s="27">
        <v>3012</v>
      </c>
      <c r="D20" s="27">
        <v>4329</v>
      </c>
      <c r="E20" s="27">
        <v>6358</v>
      </c>
      <c r="F20" s="27">
        <v>5330</v>
      </c>
      <c r="G20" s="27">
        <v>3717</v>
      </c>
      <c r="H20" s="27">
        <v>2924</v>
      </c>
      <c r="I20" s="27">
        <v>2540</v>
      </c>
      <c r="J20" s="27">
        <v>2925</v>
      </c>
      <c r="K20" s="27">
        <v>3072</v>
      </c>
      <c r="L20" s="27">
        <v>2935</v>
      </c>
      <c r="M20" s="27">
        <v>3965</v>
      </c>
      <c r="N20" s="27">
        <v>3829</v>
      </c>
      <c r="O20" s="27">
        <v>3541</v>
      </c>
      <c r="P20" s="27">
        <v>3218</v>
      </c>
      <c r="Q20" s="27">
        <v>3490</v>
      </c>
      <c r="R20" s="27">
        <v>4469</v>
      </c>
      <c r="S20" s="27">
        <v>4233</v>
      </c>
      <c r="T20" s="27">
        <v>5387</v>
      </c>
      <c r="U20" s="27">
        <v>6568</v>
      </c>
      <c r="V20" s="27">
        <v>9739</v>
      </c>
      <c r="W20" s="27">
        <v>9067</v>
      </c>
      <c r="X20" s="27">
        <v>8948</v>
      </c>
    </row>
    <row r="21" spans="1:24" x14ac:dyDescent="0.2">
      <c r="A21" s="4"/>
      <c r="B21" s="4"/>
      <c r="C21" s="4"/>
      <c r="D21" s="4"/>
      <c r="E21" s="4"/>
      <c r="F21" s="4"/>
      <c r="G21" s="4"/>
      <c r="H21" s="4"/>
      <c r="I21" s="4"/>
      <c r="J21" s="4"/>
      <c r="K21" s="4"/>
      <c r="L21" s="4"/>
      <c r="M21" s="4"/>
      <c r="N21" s="4"/>
      <c r="O21" s="4"/>
      <c r="P21" s="4"/>
      <c r="Q21" s="4"/>
      <c r="R21" s="4"/>
      <c r="S21" s="4"/>
      <c r="T21" s="4"/>
      <c r="U21" s="4"/>
      <c r="V21" s="4"/>
      <c r="W21" s="4"/>
      <c r="X21" s="4"/>
    </row>
    <row r="22" spans="1:24" x14ac:dyDescent="0.2">
      <c r="A22" s="4" t="s">
        <v>172</v>
      </c>
      <c r="B22" s="20">
        <v>1078</v>
      </c>
      <c r="C22" s="20">
        <v>1217</v>
      </c>
      <c r="D22" s="20">
        <v>1451</v>
      </c>
      <c r="E22" s="20">
        <v>1696</v>
      </c>
      <c r="F22" s="20">
        <v>1648</v>
      </c>
      <c r="G22" s="20">
        <v>1774</v>
      </c>
      <c r="H22" s="20">
        <v>1742</v>
      </c>
      <c r="I22" s="20">
        <v>913</v>
      </c>
      <c r="J22" s="20">
        <v>1277</v>
      </c>
      <c r="K22" s="20">
        <v>1518</v>
      </c>
      <c r="L22" s="20">
        <v>1545</v>
      </c>
      <c r="M22" s="20">
        <v>1230</v>
      </c>
      <c r="N22" s="20">
        <v>1203</v>
      </c>
      <c r="O22" s="20">
        <v>1246</v>
      </c>
      <c r="P22" s="20">
        <v>1165</v>
      </c>
      <c r="Q22" s="20">
        <v>1267</v>
      </c>
      <c r="R22" s="20">
        <v>1278</v>
      </c>
      <c r="S22" s="20">
        <v>1207</v>
      </c>
      <c r="T22" s="20">
        <v>1074</v>
      </c>
      <c r="U22" s="20">
        <v>1414</v>
      </c>
      <c r="V22" s="20">
        <v>1701</v>
      </c>
      <c r="W22" s="20">
        <v>1895</v>
      </c>
      <c r="X22" s="20">
        <v>1976</v>
      </c>
    </row>
    <row r="23" spans="1:24" ht="10.5" x14ac:dyDescent="0.2">
      <c r="A23" s="9" t="s">
        <v>173</v>
      </c>
      <c r="B23" s="27">
        <v>1078</v>
      </c>
      <c r="C23" s="27">
        <v>1217</v>
      </c>
      <c r="D23" s="27">
        <v>1451</v>
      </c>
      <c r="E23" s="27">
        <v>1696</v>
      </c>
      <c r="F23" s="27">
        <v>1648</v>
      </c>
      <c r="G23" s="27">
        <v>1774</v>
      </c>
      <c r="H23" s="27">
        <v>1742</v>
      </c>
      <c r="I23" s="27">
        <v>913</v>
      </c>
      <c r="J23" s="27">
        <v>1277</v>
      </c>
      <c r="K23" s="27">
        <v>1518</v>
      </c>
      <c r="L23" s="27">
        <v>1545</v>
      </c>
      <c r="M23" s="27">
        <v>1230</v>
      </c>
      <c r="N23" s="27">
        <v>1203</v>
      </c>
      <c r="O23" s="27">
        <v>1246</v>
      </c>
      <c r="P23" s="27">
        <v>1165</v>
      </c>
      <c r="Q23" s="27">
        <v>1267</v>
      </c>
      <c r="R23" s="27">
        <v>1278</v>
      </c>
      <c r="S23" s="27">
        <v>1207</v>
      </c>
      <c r="T23" s="27">
        <v>1074</v>
      </c>
      <c r="U23" s="27">
        <v>1414</v>
      </c>
      <c r="V23" s="27">
        <v>1701</v>
      </c>
      <c r="W23" s="27">
        <v>1895</v>
      </c>
      <c r="X23" s="27">
        <v>1976</v>
      </c>
    </row>
    <row r="24" spans="1:24" x14ac:dyDescent="0.2">
      <c r="A24" s="4"/>
      <c r="B24" s="4"/>
      <c r="C24" s="4"/>
      <c r="D24" s="4"/>
      <c r="E24" s="4"/>
      <c r="F24" s="4"/>
      <c r="G24" s="4"/>
      <c r="H24" s="4"/>
      <c r="I24" s="4"/>
      <c r="J24" s="4"/>
      <c r="K24" s="4"/>
      <c r="L24" s="4"/>
      <c r="M24" s="4"/>
      <c r="N24" s="4"/>
      <c r="O24" s="4"/>
      <c r="P24" s="4"/>
      <c r="Q24" s="4"/>
      <c r="R24" s="4"/>
      <c r="S24" s="4"/>
      <c r="T24" s="4"/>
      <c r="U24" s="4"/>
      <c r="V24" s="4"/>
      <c r="W24" s="4"/>
      <c r="X24" s="4"/>
    </row>
    <row r="25" spans="1:24" x14ac:dyDescent="0.2">
      <c r="A25" s="4" t="s">
        <v>174</v>
      </c>
      <c r="B25" s="20">
        <v>751</v>
      </c>
      <c r="C25" s="20">
        <v>790</v>
      </c>
      <c r="D25" s="20">
        <v>984</v>
      </c>
      <c r="E25" s="20">
        <v>1256</v>
      </c>
      <c r="F25" s="20">
        <v>1185</v>
      </c>
      <c r="G25" s="20">
        <v>1437</v>
      </c>
      <c r="H25" s="20">
        <v>1418</v>
      </c>
      <c r="I25" s="20">
        <v>1375</v>
      </c>
      <c r="J25" s="20">
        <v>1202</v>
      </c>
      <c r="K25" s="20">
        <v>1520</v>
      </c>
      <c r="L25" s="20">
        <v>1788</v>
      </c>
      <c r="M25" s="20">
        <v>1757</v>
      </c>
      <c r="N25" s="20">
        <v>1731</v>
      </c>
      <c r="O25" s="20">
        <v>1784</v>
      </c>
      <c r="P25" s="20">
        <v>1691</v>
      </c>
      <c r="Q25" s="20">
        <v>1790</v>
      </c>
      <c r="R25" s="20">
        <v>1957</v>
      </c>
      <c r="S25" s="20">
        <v>2217</v>
      </c>
      <c r="T25" s="20">
        <v>2001</v>
      </c>
      <c r="U25" s="20">
        <v>1955</v>
      </c>
      <c r="V25" s="20">
        <v>1910</v>
      </c>
      <c r="W25" s="20">
        <v>2757</v>
      </c>
      <c r="X25" s="20">
        <v>3908</v>
      </c>
    </row>
    <row r="26" spans="1:24" x14ac:dyDescent="0.2">
      <c r="A26" s="4" t="s">
        <v>175</v>
      </c>
      <c r="B26" s="20">
        <v>448</v>
      </c>
      <c r="C26" s="20">
        <v>562</v>
      </c>
      <c r="D26" s="20">
        <v>496</v>
      </c>
      <c r="E26" s="20">
        <v>272</v>
      </c>
      <c r="F26" s="20">
        <v>135</v>
      </c>
      <c r="G26" s="20">
        <v>185</v>
      </c>
      <c r="H26" s="20">
        <v>180</v>
      </c>
      <c r="I26" s="20">
        <v>267</v>
      </c>
      <c r="J26" s="20">
        <v>164</v>
      </c>
      <c r="K26" s="20">
        <v>180</v>
      </c>
      <c r="L26" s="20">
        <v>386</v>
      </c>
      <c r="M26" s="20">
        <v>805</v>
      </c>
      <c r="N26" s="20">
        <v>863</v>
      </c>
      <c r="O26" s="20">
        <v>850</v>
      </c>
      <c r="P26" s="20">
        <v>1000</v>
      </c>
      <c r="Q26" s="20">
        <v>566</v>
      </c>
      <c r="R26" s="20">
        <v>768</v>
      </c>
      <c r="S26" s="20">
        <v>440</v>
      </c>
      <c r="T26" s="20">
        <v>299</v>
      </c>
      <c r="U26" s="20">
        <v>302</v>
      </c>
      <c r="V26" s="20">
        <v>335</v>
      </c>
      <c r="W26" s="20">
        <v>302</v>
      </c>
      <c r="X26" s="20">
        <v>265</v>
      </c>
    </row>
    <row r="27" spans="1:24" x14ac:dyDescent="0.2">
      <c r="A27" s="4" t="s">
        <v>346</v>
      </c>
      <c r="B27" s="20">
        <v>554</v>
      </c>
      <c r="C27" s="20">
        <v>545</v>
      </c>
      <c r="D27" s="20">
        <v>449</v>
      </c>
      <c r="E27" s="20">
        <v>554</v>
      </c>
      <c r="F27" s="20">
        <v>619</v>
      </c>
      <c r="G27" s="20">
        <v>741</v>
      </c>
      <c r="H27" s="20">
        <v>654</v>
      </c>
      <c r="I27" s="20">
        <v>695</v>
      </c>
      <c r="J27" s="20">
        <v>546</v>
      </c>
      <c r="K27" s="20">
        <v>770</v>
      </c>
      <c r="L27" s="20">
        <v>1174</v>
      </c>
      <c r="M27" s="20">
        <v>473</v>
      </c>
      <c r="N27" s="20">
        <v>393</v>
      </c>
      <c r="O27" s="20" t="s">
        <v>30</v>
      </c>
      <c r="P27" s="20" t="s">
        <v>30</v>
      </c>
      <c r="Q27" s="20" t="s">
        <v>30</v>
      </c>
      <c r="R27" s="20" t="s">
        <v>30</v>
      </c>
      <c r="S27" s="20" t="s">
        <v>30</v>
      </c>
      <c r="T27" s="20" t="s">
        <v>30</v>
      </c>
      <c r="U27" s="20" t="s">
        <v>30</v>
      </c>
      <c r="V27" s="20" t="s">
        <v>30</v>
      </c>
      <c r="W27" s="20" t="s">
        <v>30</v>
      </c>
      <c r="X27" s="20" t="s">
        <v>30</v>
      </c>
    </row>
    <row r="28" spans="1:24" x14ac:dyDescent="0.2">
      <c r="A28" s="4" t="s">
        <v>176</v>
      </c>
      <c r="B28" s="20" t="s">
        <v>30</v>
      </c>
      <c r="C28" s="20" t="s">
        <v>30</v>
      </c>
      <c r="D28" s="20" t="s">
        <v>30</v>
      </c>
      <c r="E28" s="20" t="s">
        <v>30</v>
      </c>
      <c r="F28" s="20">
        <v>495</v>
      </c>
      <c r="G28" s="20" t="s">
        <v>30</v>
      </c>
      <c r="H28" s="20" t="s">
        <v>30</v>
      </c>
      <c r="I28" s="20" t="s">
        <v>30</v>
      </c>
      <c r="J28" s="20" t="s">
        <v>30</v>
      </c>
      <c r="K28" s="20" t="s">
        <v>30</v>
      </c>
      <c r="L28" s="20" t="s">
        <v>30</v>
      </c>
      <c r="M28" s="20" t="s">
        <v>30</v>
      </c>
      <c r="N28" s="20" t="s">
        <v>30</v>
      </c>
      <c r="O28" s="20" t="s">
        <v>30</v>
      </c>
      <c r="P28" s="20" t="s">
        <v>30</v>
      </c>
      <c r="Q28" s="20">
        <v>344</v>
      </c>
      <c r="R28" s="20">
        <v>262</v>
      </c>
      <c r="S28" s="20" t="s">
        <v>30</v>
      </c>
      <c r="T28" s="20" t="s">
        <v>30</v>
      </c>
      <c r="U28" s="20" t="s">
        <v>30</v>
      </c>
      <c r="V28" s="20" t="s">
        <v>30</v>
      </c>
      <c r="W28" s="20" t="s">
        <v>30</v>
      </c>
      <c r="X28" s="20" t="s">
        <v>30</v>
      </c>
    </row>
    <row r="29" spans="1:24" ht="10.5" x14ac:dyDescent="0.2">
      <c r="A29" s="9" t="s">
        <v>177</v>
      </c>
      <c r="B29" s="27">
        <v>5775</v>
      </c>
      <c r="C29" s="27">
        <v>6126</v>
      </c>
      <c r="D29" s="27">
        <v>7709</v>
      </c>
      <c r="E29" s="27">
        <v>10136</v>
      </c>
      <c r="F29" s="27">
        <v>9412</v>
      </c>
      <c r="G29" s="27">
        <v>7854</v>
      </c>
      <c r="H29" s="27">
        <v>6918</v>
      </c>
      <c r="I29" s="27">
        <v>5790</v>
      </c>
      <c r="J29" s="27">
        <v>6114</v>
      </c>
      <c r="K29" s="27">
        <v>7060</v>
      </c>
      <c r="L29" s="27">
        <v>7828</v>
      </c>
      <c r="M29" s="27">
        <v>8230</v>
      </c>
      <c r="N29" s="27">
        <v>8019</v>
      </c>
      <c r="O29" s="27">
        <v>7421</v>
      </c>
      <c r="P29" s="27">
        <v>7074</v>
      </c>
      <c r="Q29" s="27">
        <v>7457</v>
      </c>
      <c r="R29" s="27">
        <v>8734</v>
      </c>
      <c r="S29" s="27">
        <v>8097</v>
      </c>
      <c r="T29" s="27">
        <v>8761</v>
      </c>
      <c r="U29" s="27">
        <v>10239</v>
      </c>
      <c r="V29" s="27">
        <v>13685</v>
      </c>
      <c r="W29" s="27">
        <v>14021</v>
      </c>
      <c r="X29" s="27">
        <v>15097</v>
      </c>
    </row>
    <row r="30" spans="1:24" x14ac:dyDescent="0.2">
      <c r="A30" s="4"/>
      <c r="B30" s="4"/>
      <c r="C30" s="4"/>
      <c r="D30" s="4"/>
      <c r="E30" s="4"/>
      <c r="F30" s="4"/>
      <c r="G30" s="4"/>
      <c r="H30" s="4"/>
      <c r="I30" s="4"/>
      <c r="J30" s="4"/>
      <c r="K30" s="4"/>
      <c r="L30" s="4"/>
      <c r="M30" s="4"/>
      <c r="N30" s="4"/>
      <c r="O30" s="4"/>
      <c r="P30" s="4"/>
      <c r="Q30" s="4"/>
      <c r="R30" s="4"/>
      <c r="S30" s="4"/>
      <c r="T30" s="4"/>
      <c r="U30" s="4"/>
      <c r="V30" s="4"/>
      <c r="W30" s="4"/>
      <c r="X30" s="4"/>
    </row>
    <row r="31" spans="1:24" x14ac:dyDescent="0.2">
      <c r="A31" s="4" t="s">
        <v>178</v>
      </c>
      <c r="B31" s="20">
        <v>9683</v>
      </c>
      <c r="C31" s="20">
        <v>9516</v>
      </c>
      <c r="D31" s="20">
        <v>9549</v>
      </c>
      <c r="E31" s="20">
        <v>9573</v>
      </c>
      <c r="F31" s="20">
        <v>8374</v>
      </c>
      <c r="G31" s="20">
        <v>7751</v>
      </c>
      <c r="H31" s="20">
        <v>7568</v>
      </c>
      <c r="I31" s="20">
        <v>7321</v>
      </c>
      <c r="J31" s="20">
        <v>6705</v>
      </c>
      <c r="K31" s="20">
        <v>6907</v>
      </c>
      <c r="L31" s="20">
        <v>7133</v>
      </c>
      <c r="M31" s="20">
        <v>6891</v>
      </c>
      <c r="N31" s="20">
        <v>6556</v>
      </c>
      <c r="O31" s="20">
        <v>6266</v>
      </c>
      <c r="P31" s="20">
        <v>5465</v>
      </c>
      <c r="Q31" s="20">
        <v>4923</v>
      </c>
      <c r="R31" s="20">
        <v>4789</v>
      </c>
      <c r="S31" s="20">
        <v>5425</v>
      </c>
      <c r="T31" s="20">
        <v>6077</v>
      </c>
      <c r="U31" s="20">
        <v>6100</v>
      </c>
      <c r="V31" s="20">
        <v>8323</v>
      </c>
      <c r="W31" s="20">
        <v>10381</v>
      </c>
      <c r="X31" s="20">
        <v>12528</v>
      </c>
    </row>
    <row r="32" spans="1:24" x14ac:dyDescent="0.2">
      <c r="A32" s="4" t="s">
        <v>179</v>
      </c>
      <c r="B32" s="20">
        <v>-4094</v>
      </c>
      <c r="C32" s="20">
        <v>-4722</v>
      </c>
      <c r="D32" s="20">
        <v>-5417</v>
      </c>
      <c r="E32" s="20">
        <v>-5655</v>
      </c>
      <c r="F32" s="20">
        <v>-4644</v>
      </c>
      <c r="G32" s="20">
        <v>-3801</v>
      </c>
      <c r="H32" s="20">
        <v>-3959</v>
      </c>
      <c r="I32" s="20">
        <v>-4017</v>
      </c>
      <c r="J32" s="20">
        <v>-3547</v>
      </c>
      <c r="K32" s="20">
        <v>-3227</v>
      </c>
      <c r="L32" s="20">
        <v>-2705</v>
      </c>
      <c r="M32" s="20">
        <v>-2979</v>
      </c>
      <c r="N32" s="20">
        <v>-3157</v>
      </c>
      <c r="O32" s="20">
        <v>-3426</v>
      </c>
      <c r="P32" s="20">
        <v>-2869</v>
      </c>
      <c r="Q32" s="20">
        <v>-2411</v>
      </c>
      <c r="R32" s="20">
        <v>-2125</v>
      </c>
      <c r="S32" s="20">
        <v>-2242</v>
      </c>
      <c r="T32" s="20">
        <v>-2437</v>
      </c>
      <c r="U32" s="20">
        <v>-2512</v>
      </c>
      <c r="V32" s="20">
        <v>-2717</v>
      </c>
      <c r="W32" s="20">
        <v>-3074</v>
      </c>
      <c r="X32" s="20">
        <v>-3208</v>
      </c>
    </row>
    <row r="33" spans="1:24" ht="10.5" x14ac:dyDescent="0.2">
      <c r="A33" s="9" t="s">
        <v>180</v>
      </c>
      <c r="B33" s="27">
        <v>5589</v>
      </c>
      <c r="C33" s="27">
        <v>4794</v>
      </c>
      <c r="D33" s="27">
        <v>4132</v>
      </c>
      <c r="E33" s="27">
        <v>3918</v>
      </c>
      <c r="F33" s="27">
        <v>3730</v>
      </c>
      <c r="G33" s="27">
        <v>3950</v>
      </c>
      <c r="H33" s="27">
        <v>3609</v>
      </c>
      <c r="I33" s="27">
        <v>3304</v>
      </c>
      <c r="J33" s="27">
        <v>3158</v>
      </c>
      <c r="K33" s="27">
        <v>3680</v>
      </c>
      <c r="L33" s="27">
        <v>4428</v>
      </c>
      <c r="M33" s="27">
        <v>3912</v>
      </c>
      <c r="N33" s="27">
        <v>3399</v>
      </c>
      <c r="O33" s="27">
        <v>2840</v>
      </c>
      <c r="P33" s="27">
        <v>2596</v>
      </c>
      <c r="Q33" s="27">
        <v>2512</v>
      </c>
      <c r="R33" s="27">
        <v>2664</v>
      </c>
      <c r="S33" s="27">
        <v>3183</v>
      </c>
      <c r="T33" s="27">
        <v>3640</v>
      </c>
      <c r="U33" s="27">
        <v>3588</v>
      </c>
      <c r="V33" s="27">
        <v>5606</v>
      </c>
      <c r="W33" s="27">
        <v>7307</v>
      </c>
      <c r="X33" s="27">
        <v>9320</v>
      </c>
    </row>
    <row r="34" spans="1:24" x14ac:dyDescent="0.2">
      <c r="A34" s="4"/>
      <c r="B34" s="4"/>
      <c r="C34" s="4"/>
      <c r="D34" s="4"/>
      <c r="E34" s="4"/>
      <c r="F34" s="4"/>
      <c r="G34" s="4"/>
      <c r="H34" s="4"/>
      <c r="I34" s="4"/>
      <c r="J34" s="4"/>
      <c r="K34" s="4"/>
      <c r="L34" s="4"/>
      <c r="M34" s="4"/>
      <c r="N34" s="4"/>
      <c r="O34" s="4"/>
      <c r="P34" s="4"/>
      <c r="Q34" s="4"/>
      <c r="R34" s="4"/>
      <c r="S34" s="4"/>
      <c r="T34" s="4"/>
      <c r="U34" s="4"/>
      <c r="V34" s="4"/>
      <c r="W34" s="4"/>
      <c r="X34" s="4"/>
    </row>
    <row r="35" spans="1:24" x14ac:dyDescent="0.2">
      <c r="A35" s="4" t="s">
        <v>181</v>
      </c>
      <c r="B35" s="20">
        <v>2621</v>
      </c>
      <c r="C35" s="20">
        <v>1938</v>
      </c>
      <c r="D35" s="20">
        <v>1600</v>
      </c>
      <c r="E35" s="20">
        <v>264</v>
      </c>
      <c r="F35" s="20">
        <v>236</v>
      </c>
      <c r="G35" s="20">
        <v>287</v>
      </c>
      <c r="H35" s="20">
        <v>267</v>
      </c>
      <c r="I35" s="20">
        <v>653</v>
      </c>
      <c r="J35" s="20">
        <v>637</v>
      </c>
      <c r="K35" s="20">
        <v>453</v>
      </c>
      <c r="L35" s="20">
        <v>265</v>
      </c>
      <c r="M35" s="20">
        <v>215</v>
      </c>
      <c r="N35" s="20">
        <v>216</v>
      </c>
      <c r="O35" s="20">
        <v>224</v>
      </c>
      <c r="P35" s="20">
        <v>34</v>
      </c>
      <c r="Q35" s="20">
        <v>34</v>
      </c>
      <c r="R35" s="20">
        <v>32</v>
      </c>
      <c r="S35" s="20">
        <v>25</v>
      </c>
      <c r="T35" s="20">
        <v>300</v>
      </c>
      <c r="U35" s="20" t="s">
        <v>30</v>
      </c>
      <c r="V35" s="20" t="s">
        <v>30</v>
      </c>
      <c r="W35" s="20" t="s">
        <v>30</v>
      </c>
      <c r="X35" s="20" t="s">
        <v>30</v>
      </c>
    </row>
    <row r="36" spans="1:24" x14ac:dyDescent="0.2">
      <c r="A36" s="4" t="s">
        <v>182</v>
      </c>
      <c r="B36" s="20">
        <v>523</v>
      </c>
      <c r="C36" s="20">
        <v>638</v>
      </c>
      <c r="D36" s="20">
        <v>693</v>
      </c>
      <c r="E36" s="20">
        <v>701</v>
      </c>
      <c r="F36" s="20">
        <v>677</v>
      </c>
      <c r="G36" s="20">
        <v>792</v>
      </c>
      <c r="H36" s="20">
        <v>838</v>
      </c>
      <c r="I36" s="20">
        <v>840</v>
      </c>
      <c r="J36" s="20">
        <v>926</v>
      </c>
      <c r="K36" s="20">
        <v>924</v>
      </c>
      <c r="L36" s="20">
        <v>4452</v>
      </c>
      <c r="M36" s="20">
        <v>4362</v>
      </c>
      <c r="N36" s="20">
        <v>4362</v>
      </c>
      <c r="O36" s="20">
        <v>4362</v>
      </c>
      <c r="P36" s="20">
        <v>4362</v>
      </c>
      <c r="Q36" s="20">
        <v>4362</v>
      </c>
      <c r="R36" s="20">
        <v>4362</v>
      </c>
      <c r="S36" s="20">
        <v>4362</v>
      </c>
      <c r="T36" s="20">
        <v>4362</v>
      </c>
      <c r="U36" s="20">
        <v>4362</v>
      </c>
      <c r="V36" s="20">
        <v>4362</v>
      </c>
      <c r="W36" s="20">
        <v>4362</v>
      </c>
      <c r="X36" s="20">
        <v>4362</v>
      </c>
    </row>
    <row r="37" spans="1:24" x14ac:dyDescent="0.2">
      <c r="A37" s="4" t="s">
        <v>183</v>
      </c>
      <c r="B37" s="20">
        <v>225</v>
      </c>
      <c r="C37" s="20">
        <v>185</v>
      </c>
      <c r="D37" s="20">
        <v>511</v>
      </c>
      <c r="E37" s="20">
        <v>418</v>
      </c>
      <c r="F37" s="20">
        <v>303</v>
      </c>
      <c r="G37" s="20">
        <v>306</v>
      </c>
      <c r="H37" s="20">
        <v>342</v>
      </c>
      <c r="I37" s="20">
        <v>273</v>
      </c>
      <c r="J37" s="20">
        <v>243</v>
      </c>
      <c r="K37" s="20">
        <v>281</v>
      </c>
      <c r="L37" s="20">
        <v>3106</v>
      </c>
      <c r="M37" s="20">
        <v>2700</v>
      </c>
      <c r="N37" s="20">
        <v>2341</v>
      </c>
      <c r="O37" s="20">
        <v>1985</v>
      </c>
      <c r="P37" s="20">
        <v>1629</v>
      </c>
      <c r="Q37" s="20">
        <v>1316</v>
      </c>
      <c r="R37" s="20">
        <v>1056</v>
      </c>
      <c r="S37" s="20">
        <v>717</v>
      </c>
      <c r="T37" s="20">
        <v>409</v>
      </c>
      <c r="U37" s="20">
        <v>122</v>
      </c>
      <c r="V37" s="20">
        <v>85</v>
      </c>
      <c r="W37" s="20">
        <v>152</v>
      </c>
      <c r="X37" s="20">
        <v>138</v>
      </c>
    </row>
    <row r="38" spans="1:24" x14ac:dyDescent="0.2">
      <c r="A38" s="4" t="s">
        <v>184</v>
      </c>
      <c r="B38" s="20">
        <v>421</v>
      </c>
      <c r="C38" s="20">
        <v>618</v>
      </c>
      <c r="D38" s="20">
        <v>626</v>
      </c>
      <c r="E38" s="20">
        <v>449</v>
      </c>
      <c r="F38" s="20">
        <v>393</v>
      </c>
      <c r="G38" s="20">
        <v>601</v>
      </c>
      <c r="H38" s="20">
        <v>510</v>
      </c>
      <c r="I38" s="20">
        <v>990</v>
      </c>
      <c r="J38" s="20">
        <v>926</v>
      </c>
      <c r="K38" s="20">
        <v>927</v>
      </c>
      <c r="L38" s="20">
        <v>321</v>
      </c>
      <c r="M38" s="20">
        <v>280</v>
      </c>
      <c r="N38" s="20">
        <v>207</v>
      </c>
      <c r="O38" s="20">
        <v>180</v>
      </c>
      <c r="P38" s="20">
        <v>201</v>
      </c>
      <c r="Q38" s="20">
        <v>374</v>
      </c>
      <c r="R38" s="20">
        <v>264</v>
      </c>
      <c r="S38" s="20">
        <v>295</v>
      </c>
      <c r="T38" s="20">
        <v>197</v>
      </c>
      <c r="U38" s="20">
        <v>343</v>
      </c>
      <c r="V38" s="20">
        <v>263</v>
      </c>
      <c r="W38" s="20">
        <v>473</v>
      </c>
      <c r="X38" s="20">
        <v>632</v>
      </c>
    </row>
    <row r="39" spans="1:24" x14ac:dyDescent="0.2">
      <c r="A39" s="4" t="s">
        <v>347</v>
      </c>
      <c r="B39" s="20" t="s">
        <v>30</v>
      </c>
      <c r="C39" s="20" t="s">
        <v>30</v>
      </c>
      <c r="D39" s="20" t="s">
        <v>30</v>
      </c>
      <c r="E39" s="20" t="s">
        <v>30</v>
      </c>
      <c r="F39" s="20" t="s">
        <v>30</v>
      </c>
      <c r="G39" s="20" t="s">
        <v>30</v>
      </c>
      <c r="H39" s="20" t="s">
        <v>30</v>
      </c>
      <c r="I39" s="20" t="s">
        <v>30</v>
      </c>
      <c r="J39" s="20" t="s">
        <v>30</v>
      </c>
      <c r="K39" s="20" t="s">
        <v>30</v>
      </c>
      <c r="L39" s="20">
        <v>12</v>
      </c>
      <c r="M39" s="20" t="s">
        <v>30</v>
      </c>
      <c r="N39" s="20" t="s">
        <v>30</v>
      </c>
      <c r="O39" s="20" t="s">
        <v>30</v>
      </c>
      <c r="P39" s="20" t="s">
        <v>30</v>
      </c>
      <c r="Q39" s="20" t="s">
        <v>30</v>
      </c>
      <c r="R39" s="20" t="s">
        <v>30</v>
      </c>
      <c r="S39" s="20" t="s">
        <v>30</v>
      </c>
      <c r="T39" s="20" t="s">
        <v>30</v>
      </c>
      <c r="U39" s="20" t="s">
        <v>30</v>
      </c>
      <c r="V39" s="20" t="s">
        <v>30</v>
      </c>
      <c r="W39" s="20" t="s">
        <v>30</v>
      </c>
      <c r="X39" s="20" t="s">
        <v>30</v>
      </c>
    </row>
    <row r="40" spans="1:24" x14ac:dyDescent="0.2">
      <c r="A40" s="4" t="s">
        <v>185</v>
      </c>
      <c r="B40" s="20">
        <v>625</v>
      </c>
      <c r="C40" s="20">
        <v>380</v>
      </c>
      <c r="D40" s="20">
        <v>239</v>
      </c>
      <c r="E40" s="20">
        <v>413</v>
      </c>
      <c r="F40" s="20">
        <v>312</v>
      </c>
      <c r="G40" s="20">
        <v>140</v>
      </c>
      <c r="H40" s="20">
        <v>183</v>
      </c>
      <c r="I40" s="20">
        <v>73</v>
      </c>
      <c r="J40" s="20">
        <v>115</v>
      </c>
      <c r="K40" s="20">
        <v>76</v>
      </c>
      <c r="L40" s="20">
        <v>85</v>
      </c>
      <c r="M40" s="20">
        <v>322</v>
      </c>
      <c r="N40" s="20">
        <v>394</v>
      </c>
      <c r="O40" s="20">
        <v>360</v>
      </c>
      <c r="P40" s="20">
        <v>334</v>
      </c>
      <c r="Q40" s="20">
        <v>376</v>
      </c>
      <c r="R40" s="20">
        <v>530</v>
      </c>
      <c r="S40" s="20">
        <v>458</v>
      </c>
      <c r="T40" s="20">
        <v>349</v>
      </c>
      <c r="U40" s="20">
        <v>697</v>
      </c>
      <c r="V40" s="20">
        <v>675</v>
      </c>
      <c r="W40" s="20">
        <v>892</v>
      </c>
      <c r="X40" s="20">
        <v>2089</v>
      </c>
    </row>
    <row r="41" spans="1:24" ht="10.5" x14ac:dyDescent="0.2">
      <c r="A41" s="9" t="s">
        <v>186</v>
      </c>
      <c r="B41" s="28">
        <v>15779</v>
      </c>
      <c r="C41" s="28">
        <v>14679</v>
      </c>
      <c r="D41" s="28">
        <v>15510</v>
      </c>
      <c r="E41" s="28">
        <v>16299</v>
      </c>
      <c r="F41" s="28">
        <v>15063</v>
      </c>
      <c r="G41" s="28">
        <v>13930</v>
      </c>
      <c r="H41" s="28">
        <v>12667</v>
      </c>
      <c r="I41" s="28">
        <v>11923</v>
      </c>
      <c r="J41" s="28">
        <v>12119</v>
      </c>
      <c r="K41" s="28">
        <v>13401</v>
      </c>
      <c r="L41" s="28">
        <v>20497</v>
      </c>
      <c r="M41" s="28">
        <v>20021</v>
      </c>
      <c r="N41" s="28">
        <v>18938</v>
      </c>
      <c r="O41" s="28">
        <v>17372</v>
      </c>
      <c r="P41" s="28">
        <v>16230</v>
      </c>
      <c r="Q41" s="28">
        <v>16431</v>
      </c>
      <c r="R41" s="28">
        <v>17642</v>
      </c>
      <c r="S41" s="28">
        <v>17137</v>
      </c>
      <c r="T41" s="28">
        <v>18018</v>
      </c>
      <c r="U41" s="28">
        <v>19351</v>
      </c>
      <c r="V41" s="28">
        <v>24676</v>
      </c>
      <c r="W41" s="28">
        <v>27207</v>
      </c>
      <c r="X41" s="28">
        <v>31638</v>
      </c>
    </row>
    <row r="42" spans="1:24" x14ac:dyDescent="0.2">
      <c r="A42" s="4"/>
      <c r="B42" s="4"/>
      <c r="C42" s="4"/>
      <c r="D42" s="4"/>
      <c r="E42" s="4"/>
      <c r="F42" s="4"/>
      <c r="G42" s="4"/>
      <c r="H42" s="4"/>
      <c r="I42" s="4"/>
      <c r="J42" s="4"/>
      <c r="K42" s="4"/>
      <c r="L42" s="4"/>
      <c r="M42" s="4"/>
      <c r="N42" s="4"/>
      <c r="O42" s="4"/>
      <c r="P42" s="4"/>
      <c r="Q42" s="4"/>
      <c r="R42" s="4"/>
      <c r="S42" s="4"/>
      <c r="T42" s="4"/>
      <c r="U42" s="4"/>
      <c r="V42" s="4"/>
      <c r="W42" s="4"/>
      <c r="X42" s="4"/>
    </row>
    <row r="43" spans="1:24" ht="10.5" x14ac:dyDescent="0.2">
      <c r="A43" s="9" t="s">
        <v>187</v>
      </c>
      <c r="B43" s="4"/>
      <c r="C43" s="4"/>
      <c r="D43" s="4"/>
      <c r="E43" s="4"/>
      <c r="F43" s="4"/>
      <c r="G43" s="4"/>
      <c r="H43" s="4"/>
      <c r="I43" s="4"/>
      <c r="J43" s="4"/>
      <c r="K43" s="4"/>
      <c r="L43" s="4"/>
      <c r="M43" s="4"/>
      <c r="N43" s="4"/>
      <c r="O43" s="4"/>
      <c r="P43" s="4"/>
      <c r="Q43" s="4"/>
      <c r="R43" s="4"/>
      <c r="S43" s="4"/>
      <c r="T43" s="4"/>
      <c r="U43" s="4"/>
      <c r="V43" s="4"/>
      <c r="W43" s="4"/>
      <c r="X43" s="4"/>
    </row>
    <row r="44" spans="1:24" x14ac:dyDescent="0.2">
      <c r="A44" s="4" t="s">
        <v>188</v>
      </c>
      <c r="B44" s="20">
        <v>452</v>
      </c>
      <c r="C44" s="20">
        <v>511</v>
      </c>
      <c r="D44" s="20">
        <v>675</v>
      </c>
      <c r="E44" s="20">
        <v>552</v>
      </c>
      <c r="F44" s="20">
        <v>702</v>
      </c>
      <c r="G44" s="20">
        <v>560</v>
      </c>
      <c r="H44" s="20">
        <v>657</v>
      </c>
      <c r="I44" s="20">
        <v>324</v>
      </c>
      <c r="J44" s="20">
        <v>503</v>
      </c>
      <c r="K44" s="20">
        <v>621</v>
      </c>
      <c r="L44" s="20">
        <v>625</v>
      </c>
      <c r="M44" s="20">
        <v>444</v>
      </c>
      <c r="N44" s="20">
        <v>422</v>
      </c>
      <c r="O44" s="20">
        <v>437</v>
      </c>
      <c r="P44" s="20">
        <v>386</v>
      </c>
      <c r="Q44" s="20">
        <v>396</v>
      </c>
      <c r="R44" s="20">
        <v>466</v>
      </c>
      <c r="S44" s="20">
        <v>478</v>
      </c>
      <c r="T44" s="20">
        <v>388</v>
      </c>
      <c r="U44" s="20">
        <v>415</v>
      </c>
      <c r="V44" s="20">
        <v>571</v>
      </c>
      <c r="W44" s="20">
        <v>851</v>
      </c>
      <c r="X44" s="20">
        <v>713</v>
      </c>
    </row>
    <row r="45" spans="1:24" x14ac:dyDescent="0.2">
      <c r="A45" s="4" t="s">
        <v>189</v>
      </c>
      <c r="B45" s="20">
        <v>763</v>
      </c>
      <c r="C45" s="20">
        <v>708</v>
      </c>
      <c r="D45" s="20">
        <v>838</v>
      </c>
      <c r="E45" s="20">
        <v>1159</v>
      </c>
      <c r="F45" s="20">
        <v>747</v>
      </c>
      <c r="G45" s="20">
        <v>844</v>
      </c>
      <c r="H45" s="20">
        <v>1315</v>
      </c>
      <c r="I45" s="20">
        <v>1168</v>
      </c>
      <c r="J45" s="20">
        <v>593</v>
      </c>
      <c r="K45" s="20">
        <v>874</v>
      </c>
      <c r="L45" s="20">
        <v>1025</v>
      </c>
      <c r="M45" s="20">
        <v>1081</v>
      </c>
      <c r="N45" s="20">
        <v>855</v>
      </c>
      <c r="O45" s="20">
        <v>1149</v>
      </c>
      <c r="P45" s="20">
        <v>1074</v>
      </c>
      <c r="Q45" s="20">
        <v>1154</v>
      </c>
      <c r="R45" s="20">
        <v>1164</v>
      </c>
      <c r="S45" s="20">
        <v>1144</v>
      </c>
      <c r="T45" s="20">
        <v>1116</v>
      </c>
      <c r="U45" s="20">
        <v>1219</v>
      </c>
      <c r="V45" s="20">
        <v>1295</v>
      </c>
      <c r="W45" s="20">
        <v>1370</v>
      </c>
      <c r="X45" s="20">
        <v>1531</v>
      </c>
    </row>
    <row r="46" spans="1:24" x14ac:dyDescent="0.2">
      <c r="A46" s="4" t="s">
        <v>348</v>
      </c>
      <c r="B46" s="20">
        <v>17</v>
      </c>
      <c r="C46" s="20">
        <v>13</v>
      </c>
      <c r="D46" s="20">
        <v>6</v>
      </c>
      <c r="E46" s="20" t="s">
        <v>30</v>
      </c>
      <c r="F46" s="20" t="s">
        <v>30</v>
      </c>
      <c r="G46" s="20" t="s">
        <v>30</v>
      </c>
      <c r="H46" s="20" t="s">
        <v>30</v>
      </c>
      <c r="I46" s="20" t="s">
        <v>30</v>
      </c>
      <c r="J46" s="20" t="s">
        <v>30</v>
      </c>
      <c r="K46" s="20" t="s">
        <v>30</v>
      </c>
      <c r="L46" s="20">
        <v>999</v>
      </c>
      <c r="M46" s="20" t="s">
        <v>30</v>
      </c>
      <c r="N46" s="20" t="s">
        <v>30</v>
      </c>
      <c r="O46" s="20" t="s">
        <v>30</v>
      </c>
      <c r="P46" s="20" t="s">
        <v>30</v>
      </c>
      <c r="Q46" s="20" t="s">
        <v>30</v>
      </c>
      <c r="R46" s="20" t="s">
        <v>30</v>
      </c>
      <c r="S46" s="20" t="s">
        <v>30</v>
      </c>
      <c r="T46" s="20" t="s">
        <v>30</v>
      </c>
      <c r="U46" s="20" t="s">
        <v>30</v>
      </c>
      <c r="V46" s="20" t="s">
        <v>30</v>
      </c>
      <c r="W46" s="20" t="s">
        <v>30</v>
      </c>
      <c r="X46" s="20" t="s">
        <v>30</v>
      </c>
    </row>
    <row r="47" spans="1:24" x14ac:dyDescent="0.2">
      <c r="A47" s="4" t="s">
        <v>190</v>
      </c>
      <c r="B47" s="20">
        <v>21</v>
      </c>
      <c r="C47" s="20">
        <v>409</v>
      </c>
      <c r="D47" s="20">
        <v>431</v>
      </c>
      <c r="E47" s="20">
        <v>11</v>
      </c>
      <c r="F47" s="20">
        <v>301</v>
      </c>
      <c r="G47" s="20">
        <v>43</v>
      </c>
      <c r="H47" s="20">
        <v>0</v>
      </c>
      <c r="I47" s="20">
        <v>0</v>
      </c>
      <c r="J47" s="20">
        <v>0</v>
      </c>
      <c r="K47" s="20">
        <v>0</v>
      </c>
      <c r="L47" s="20">
        <v>382</v>
      </c>
      <c r="M47" s="20">
        <v>1500</v>
      </c>
      <c r="N47" s="20">
        <v>1000</v>
      </c>
      <c r="O47" s="20">
        <v>1001</v>
      </c>
      <c r="P47" s="20">
        <v>1000</v>
      </c>
      <c r="Q47" s="20">
        <v>631</v>
      </c>
      <c r="R47" s="20">
        <v>500</v>
      </c>
      <c r="S47" s="20">
        <v>749</v>
      </c>
      <c r="T47" s="20">
        <v>500</v>
      </c>
      <c r="U47" s="20">
        <v>550</v>
      </c>
      <c r="V47" s="20">
        <v>500</v>
      </c>
      <c r="W47" s="20">
        <v>500</v>
      </c>
      <c r="X47" s="20">
        <v>300</v>
      </c>
    </row>
    <row r="48" spans="1:24" x14ac:dyDescent="0.2">
      <c r="A48" s="4" t="s">
        <v>191</v>
      </c>
      <c r="B48" s="20">
        <v>0</v>
      </c>
      <c r="C48" s="20">
        <v>0</v>
      </c>
      <c r="D48" s="20">
        <v>0</v>
      </c>
      <c r="E48" s="20">
        <v>0</v>
      </c>
      <c r="F48" s="20">
        <v>0</v>
      </c>
      <c r="G48" s="20">
        <v>0</v>
      </c>
      <c r="H48" s="20">
        <v>0</v>
      </c>
      <c r="I48" s="20">
        <v>0</v>
      </c>
      <c r="J48" s="20">
        <v>0</v>
      </c>
      <c r="K48" s="20">
        <v>0</v>
      </c>
      <c r="L48" s="20">
        <v>0</v>
      </c>
      <c r="M48" s="20">
        <v>0</v>
      </c>
      <c r="N48" s="20">
        <v>0</v>
      </c>
      <c r="O48" s="20">
        <v>0</v>
      </c>
      <c r="P48" s="20">
        <v>0</v>
      </c>
      <c r="Q48" s="20">
        <v>0</v>
      </c>
      <c r="R48" s="20">
        <v>0</v>
      </c>
      <c r="S48" s="20">
        <v>0</v>
      </c>
      <c r="T48" s="20">
        <v>73</v>
      </c>
      <c r="U48" s="20">
        <v>72</v>
      </c>
      <c r="V48" s="20">
        <v>82</v>
      </c>
      <c r="W48" s="20">
        <v>75</v>
      </c>
      <c r="X48" s="20">
        <v>0</v>
      </c>
    </row>
    <row r="49" spans="1:24" x14ac:dyDescent="0.2">
      <c r="A49" s="4" t="s">
        <v>192</v>
      </c>
      <c r="B49" s="20">
        <v>327</v>
      </c>
      <c r="C49" s="20">
        <v>293</v>
      </c>
      <c r="D49" s="20">
        <v>250</v>
      </c>
      <c r="E49" s="20">
        <v>203</v>
      </c>
      <c r="F49" s="20">
        <v>154</v>
      </c>
      <c r="G49" s="20">
        <v>284</v>
      </c>
      <c r="H49" s="20">
        <v>53</v>
      </c>
      <c r="I49" s="20">
        <v>40</v>
      </c>
      <c r="J49" s="20">
        <v>128</v>
      </c>
      <c r="K49" s="20">
        <v>109</v>
      </c>
      <c r="L49" s="20">
        <v>101</v>
      </c>
      <c r="M49" s="20">
        <v>79</v>
      </c>
      <c r="N49" s="20">
        <v>119</v>
      </c>
      <c r="O49" s="20">
        <v>71</v>
      </c>
      <c r="P49" s="20">
        <v>95</v>
      </c>
      <c r="Q49" s="20">
        <v>83</v>
      </c>
      <c r="R49" s="20">
        <v>128</v>
      </c>
      <c r="S49" s="20">
        <v>103</v>
      </c>
      <c r="T49" s="20">
        <v>46</v>
      </c>
      <c r="U49" s="20">
        <v>134</v>
      </c>
      <c r="V49" s="20">
        <v>121</v>
      </c>
      <c r="W49" s="20">
        <v>189</v>
      </c>
      <c r="X49" s="20">
        <v>108</v>
      </c>
    </row>
    <row r="50" spans="1:24" x14ac:dyDescent="0.2">
      <c r="A50" s="4" t="s">
        <v>349</v>
      </c>
      <c r="B50" s="20" t="s">
        <v>30</v>
      </c>
      <c r="C50" s="20" t="s">
        <v>30</v>
      </c>
      <c r="D50" s="20" t="s">
        <v>30</v>
      </c>
      <c r="E50" s="20" t="s">
        <v>30</v>
      </c>
      <c r="F50" s="20" t="s">
        <v>30</v>
      </c>
      <c r="G50" s="20" t="s">
        <v>30</v>
      </c>
      <c r="H50" s="20" t="s">
        <v>30</v>
      </c>
      <c r="I50" s="20" t="s">
        <v>30</v>
      </c>
      <c r="J50" s="20" t="s">
        <v>30</v>
      </c>
      <c r="K50" s="20" t="s">
        <v>30</v>
      </c>
      <c r="L50" s="20" t="s">
        <v>30</v>
      </c>
      <c r="M50" s="20">
        <v>2</v>
      </c>
      <c r="N50" s="20">
        <v>1</v>
      </c>
      <c r="O50" s="20" t="s">
        <v>30</v>
      </c>
      <c r="P50" s="20" t="s">
        <v>30</v>
      </c>
      <c r="Q50" s="20" t="s">
        <v>30</v>
      </c>
      <c r="R50" s="20" t="s">
        <v>30</v>
      </c>
      <c r="S50" s="20" t="s">
        <v>30</v>
      </c>
      <c r="T50" s="20" t="s">
        <v>30</v>
      </c>
      <c r="U50" s="20" t="s">
        <v>30</v>
      </c>
      <c r="V50" s="20" t="s">
        <v>30</v>
      </c>
      <c r="W50" s="20" t="s">
        <v>30</v>
      </c>
      <c r="X50" s="20" t="s">
        <v>30</v>
      </c>
    </row>
    <row r="51" spans="1:24" x14ac:dyDescent="0.2">
      <c r="A51" s="4" t="s">
        <v>193</v>
      </c>
      <c r="B51" s="20" t="s">
        <v>30</v>
      </c>
      <c r="C51" s="20" t="s">
        <v>30</v>
      </c>
      <c r="D51" s="20" t="s">
        <v>30</v>
      </c>
      <c r="E51" s="20" t="s">
        <v>30</v>
      </c>
      <c r="F51" s="20">
        <v>473</v>
      </c>
      <c r="G51" s="20">
        <v>347</v>
      </c>
      <c r="H51" s="20" t="s">
        <v>30</v>
      </c>
      <c r="I51" s="20" t="s">
        <v>30</v>
      </c>
      <c r="J51" s="20">
        <v>363</v>
      </c>
      <c r="K51" s="20">
        <v>377</v>
      </c>
      <c r="L51" s="20">
        <v>367</v>
      </c>
      <c r="M51" s="20">
        <v>324</v>
      </c>
      <c r="N51" s="20">
        <v>350</v>
      </c>
      <c r="O51" s="20" t="s">
        <v>30</v>
      </c>
      <c r="P51" s="20" t="s">
        <v>30</v>
      </c>
      <c r="Q51" s="20" t="s">
        <v>30</v>
      </c>
      <c r="R51" s="20" t="s">
        <v>30</v>
      </c>
      <c r="S51" s="20" t="s">
        <v>30</v>
      </c>
      <c r="T51" s="20" t="s">
        <v>30</v>
      </c>
      <c r="U51" s="20" t="s">
        <v>30</v>
      </c>
      <c r="V51" s="20" t="s">
        <v>30</v>
      </c>
      <c r="W51" s="20" t="s">
        <v>30</v>
      </c>
      <c r="X51" s="20" t="s">
        <v>30</v>
      </c>
    </row>
    <row r="52" spans="1:24" ht="10.5" x14ac:dyDescent="0.2">
      <c r="A52" s="9" t="s">
        <v>194</v>
      </c>
      <c r="B52" s="27">
        <v>1580</v>
      </c>
      <c r="C52" s="27">
        <v>1934</v>
      </c>
      <c r="D52" s="27">
        <v>2200</v>
      </c>
      <c r="E52" s="27">
        <v>1925</v>
      </c>
      <c r="F52" s="27">
        <v>2377</v>
      </c>
      <c r="G52" s="27">
        <v>2078</v>
      </c>
      <c r="H52" s="27">
        <v>2025</v>
      </c>
      <c r="I52" s="27">
        <v>1532</v>
      </c>
      <c r="J52" s="27">
        <v>1587</v>
      </c>
      <c r="K52" s="27">
        <v>1981</v>
      </c>
      <c r="L52" s="27">
        <v>3499</v>
      </c>
      <c r="M52" s="27">
        <v>3430</v>
      </c>
      <c r="N52" s="27">
        <v>2747</v>
      </c>
      <c r="O52" s="27">
        <v>2658</v>
      </c>
      <c r="P52" s="27">
        <v>2555</v>
      </c>
      <c r="Q52" s="27">
        <v>2264</v>
      </c>
      <c r="R52" s="27">
        <v>2258</v>
      </c>
      <c r="S52" s="27">
        <v>2474</v>
      </c>
      <c r="T52" s="27">
        <v>2123</v>
      </c>
      <c r="U52" s="27">
        <v>2390</v>
      </c>
      <c r="V52" s="27">
        <v>2569</v>
      </c>
      <c r="W52" s="27">
        <v>2985</v>
      </c>
      <c r="X52" s="27">
        <v>2652</v>
      </c>
    </row>
    <row r="53" spans="1:24" x14ac:dyDescent="0.2">
      <c r="A53" s="4"/>
      <c r="B53" s="4"/>
      <c r="C53" s="4"/>
      <c r="D53" s="4"/>
      <c r="E53" s="4"/>
      <c r="F53" s="4"/>
      <c r="G53" s="4"/>
      <c r="H53" s="4"/>
      <c r="I53" s="4"/>
      <c r="J53" s="4"/>
      <c r="K53" s="4"/>
      <c r="L53" s="4"/>
      <c r="M53" s="4"/>
      <c r="N53" s="4"/>
      <c r="O53" s="4"/>
      <c r="P53" s="4"/>
      <c r="Q53" s="4"/>
      <c r="R53" s="4"/>
      <c r="S53" s="4"/>
      <c r="T53" s="4"/>
      <c r="U53" s="4"/>
      <c r="V53" s="4"/>
      <c r="W53" s="4"/>
      <c r="X53" s="4"/>
    </row>
    <row r="54" spans="1:24" x14ac:dyDescent="0.2">
      <c r="A54" s="4" t="s">
        <v>195</v>
      </c>
      <c r="B54" s="20">
        <v>1211</v>
      </c>
      <c r="C54" s="20">
        <v>833</v>
      </c>
      <c r="D54" s="20">
        <v>395</v>
      </c>
      <c r="E54" s="20">
        <v>368</v>
      </c>
      <c r="F54" s="20">
        <v>329</v>
      </c>
      <c r="G54" s="20" t="s">
        <v>30</v>
      </c>
      <c r="H54" s="20" t="s">
        <v>30</v>
      </c>
      <c r="I54" s="20" t="s">
        <v>30</v>
      </c>
      <c r="J54" s="20" t="s">
        <v>30</v>
      </c>
      <c r="K54" s="20" t="s">
        <v>30</v>
      </c>
      <c r="L54" s="20">
        <v>4211</v>
      </c>
      <c r="M54" s="20">
        <v>4186</v>
      </c>
      <c r="N54" s="20">
        <v>4158</v>
      </c>
      <c r="O54" s="20">
        <v>3630</v>
      </c>
      <c r="P54" s="20">
        <v>3120</v>
      </c>
      <c r="Q54" s="20">
        <v>2978</v>
      </c>
      <c r="R54" s="20">
        <v>3577</v>
      </c>
      <c r="S54" s="20">
        <v>4319</v>
      </c>
      <c r="T54" s="20">
        <v>5303</v>
      </c>
      <c r="U54" s="20">
        <v>6248</v>
      </c>
      <c r="V54" s="20">
        <v>7241</v>
      </c>
      <c r="W54" s="20">
        <v>8235</v>
      </c>
      <c r="X54" s="20">
        <v>10922</v>
      </c>
    </row>
    <row r="55" spans="1:24" x14ac:dyDescent="0.2">
      <c r="A55" s="4" t="s">
        <v>196</v>
      </c>
      <c r="B55" s="20" t="s">
        <v>30</v>
      </c>
      <c r="C55" s="20" t="s">
        <v>30</v>
      </c>
      <c r="D55" s="20" t="s">
        <v>30</v>
      </c>
      <c r="E55" s="20" t="s">
        <v>30</v>
      </c>
      <c r="F55" s="20" t="s">
        <v>30</v>
      </c>
      <c r="G55" s="20" t="s">
        <v>30</v>
      </c>
      <c r="H55" s="20" t="s">
        <v>30</v>
      </c>
      <c r="I55" s="20" t="s">
        <v>30</v>
      </c>
      <c r="J55" s="20" t="s">
        <v>30</v>
      </c>
      <c r="K55" s="20" t="s">
        <v>30</v>
      </c>
      <c r="L55" s="20" t="s">
        <v>30</v>
      </c>
      <c r="M55" s="20" t="s">
        <v>30</v>
      </c>
      <c r="N55" s="20" t="s">
        <v>30</v>
      </c>
      <c r="O55" s="20" t="s">
        <v>30</v>
      </c>
      <c r="P55" s="20" t="s">
        <v>30</v>
      </c>
      <c r="Q55" s="20" t="s">
        <v>30</v>
      </c>
      <c r="R55" s="20" t="s">
        <v>30</v>
      </c>
      <c r="S55" s="20" t="s">
        <v>30</v>
      </c>
      <c r="T55" s="20">
        <v>259</v>
      </c>
      <c r="U55" s="20">
        <v>249</v>
      </c>
      <c r="V55" s="20">
        <v>383</v>
      </c>
      <c r="W55" s="20">
        <v>344</v>
      </c>
      <c r="X55" s="20" t="s">
        <v>30</v>
      </c>
    </row>
    <row r="56" spans="1:24" x14ac:dyDescent="0.2">
      <c r="A56" s="4" t="s">
        <v>197</v>
      </c>
      <c r="B56" s="20">
        <v>485</v>
      </c>
      <c r="C56" s="20">
        <v>777</v>
      </c>
      <c r="D56" s="20">
        <v>628</v>
      </c>
      <c r="E56" s="20">
        <v>589</v>
      </c>
      <c r="F56" s="20">
        <v>136</v>
      </c>
      <c r="G56" s="20">
        <v>208</v>
      </c>
      <c r="H56" s="20">
        <v>184</v>
      </c>
      <c r="I56" s="20">
        <v>640</v>
      </c>
      <c r="J56" s="20">
        <v>425</v>
      </c>
      <c r="K56" s="20">
        <v>519</v>
      </c>
      <c r="L56" s="20">
        <v>701</v>
      </c>
      <c r="M56" s="20">
        <v>269</v>
      </c>
      <c r="N56" s="20">
        <v>216</v>
      </c>
      <c r="O56" s="20">
        <v>225</v>
      </c>
      <c r="P56" s="20">
        <v>196</v>
      </c>
      <c r="Q56" s="20">
        <v>129</v>
      </c>
      <c r="R56" s="20">
        <v>89</v>
      </c>
      <c r="S56" s="20">
        <v>118</v>
      </c>
      <c r="T56" s="20">
        <v>93</v>
      </c>
      <c r="U56" s="20">
        <v>131</v>
      </c>
      <c r="V56" s="20">
        <v>79</v>
      </c>
      <c r="W56" s="20">
        <v>118</v>
      </c>
      <c r="X56" s="20">
        <v>141</v>
      </c>
    </row>
    <row r="57" spans="1:24" x14ac:dyDescent="0.2">
      <c r="A57" s="4" t="s">
        <v>198</v>
      </c>
      <c r="B57" s="20">
        <v>331</v>
      </c>
      <c r="C57" s="20">
        <v>129</v>
      </c>
      <c r="D57" s="20">
        <v>59</v>
      </c>
      <c r="E57" s="20">
        <v>40</v>
      </c>
      <c r="F57" s="20">
        <v>23</v>
      </c>
      <c r="G57" s="20">
        <v>23</v>
      </c>
      <c r="H57" s="20">
        <v>49</v>
      </c>
      <c r="I57" s="20">
        <v>59</v>
      </c>
      <c r="J57" s="20">
        <v>67</v>
      </c>
      <c r="K57" s="20">
        <v>86</v>
      </c>
      <c r="L57" s="20">
        <v>607</v>
      </c>
      <c r="M57" s="20">
        <v>572</v>
      </c>
      <c r="N57" s="20">
        <v>548</v>
      </c>
      <c r="O57" s="20">
        <v>64</v>
      </c>
      <c r="P57" s="20">
        <v>37</v>
      </c>
      <c r="Q57" s="20">
        <v>33</v>
      </c>
      <c r="R57" s="20">
        <v>78</v>
      </c>
      <c r="S57" s="20">
        <v>42</v>
      </c>
      <c r="T57" s="20">
        <v>78</v>
      </c>
      <c r="U57" s="20">
        <v>90</v>
      </c>
      <c r="V57" s="20">
        <v>87</v>
      </c>
      <c r="W57" s="20">
        <v>66</v>
      </c>
      <c r="X57" s="20">
        <v>66</v>
      </c>
    </row>
    <row r="58" spans="1:24" x14ac:dyDescent="0.2">
      <c r="A58" s="4" t="s">
        <v>199</v>
      </c>
      <c r="B58" s="20">
        <v>293</v>
      </c>
      <c r="C58" s="20">
        <v>272</v>
      </c>
      <c r="D58" s="20">
        <v>364</v>
      </c>
      <c r="E58" s="20">
        <v>314</v>
      </c>
      <c r="F58" s="20">
        <v>261</v>
      </c>
      <c r="G58" s="20">
        <v>261</v>
      </c>
      <c r="H58" s="20">
        <v>434</v>
      </c>
      <c r="I58" s="20">
        <v>366</v>
      </c>
      <c r="J58" s="20">
        <v>318</v>
      </c>
      <c r="K58" s="20">
        <v>378</v>
      </c>
      <c r="L58" s="20">
        <v>527</v>
      </c>
      <c r="M58" s="20">
        <v>603</v>
      </c>
      <c r="N58" s="20">
        <v>462</v>
      </c>
      <c r="O58" s="20">
        <v>405</v>
      </c>
      <c r="P58" s="20">
        <v>376</v>
      </c>
      <c r="Q58" s="20">
        <v>554</v>
      </c>
      <c r="R58" s="20">
        <v>1303</v>
      </c>
      <c r="S58" s="20">
        <v>1190</v>
      </c>
      <c r="T58" s="20">
        <v>1255</v>
      </c>
      <c r="U58" s="20">
        <v>1056</v>
      </c>
      <c r="V58" s="20">
        <v>984</v>
      </c>
      <c r="W58" s="20">
        <v>882</v>
      </c>
      <c r="X58" s="20">
        <v>1226</v>
      </c>
    </row>
    <row r="59" spans="1:24" ht="10.5" x14ac:dyDescent="0.2">
      <c r="A59" s="9" t="s">
        <v>200</v>
      </c>
      <c r="B59" s="27">
        <v>3900</v>
      </c>
      <c r="C59" s="27">
        <v>3945</v>
      </c>
      <c r="D59" s="27">
        <v>3646</v>
      </c>
      <c r="E59" s="27">
        <v>3236</v>
      </c>
      <c r="F59" s="27">
        <v>3126</v>
      </c>
      <c r="G59" s="27">
        <v>2570</v>
      </c>
      <c r="H59" s="27">
        <v>2692</v>
      </c>
      <c r="I59" s="27">
        <v>2597</v>
      </c>
      <c r="J59" s="27">
        <v>2397</v>
      </c>
      <c r="K59" s="27">
        <v>2964</v>
      </c>
      <c r="L59" s="27">
        <v>9545</v>
      </c>
      <c r="M59" s="27">
        <v>9060</v>
      </c>
      <c r="N59" s="27">
        <v>8131</v>
      </c>
      <c r="O59" s="27">
        <v>6982</v>
      </c>
      <c r="P59" s="27">
        <v>6284</v>
      </c>
      <c r="Q59" s="27">
        <v>5958</v>
      </c>
      <c r="R59" s="27">
        <v>7305</v>
      </c>
      <c r="S59" s="27">
        <v>8143</v>
      </c>
      <c r="T59" s="27">
        <v>9111</v>
      </c>
      <c r="U59" s="27">
        <v>10164</v>
      </c>
      <c r="V59" s="27">
        <v>11343</v>
      </c>
      <c r="W59" s="27">
        <v>12630</v>
      </c>
      <c r="X59" s="27">
        <v>15007</v>
      </c>
    </row>
    <row r="60" spans="1:24" x14ac:dyDescent="0.2">
      <c r="A60" s="4"/>
      <c r="B60" s="4"/>
      <c r="C60" s="4"/>
      <c r="D60" s="4"/>
      <c r="E60" s="4"/>
      <c r="F60" s="4"/>
      <c r="G60" s="4"/>
      <c r="H60" s="4"/>
      <c r="I60" s="4"/>
      <c r="J60" s="4"/>
      <c r="K60" s="4"/>
      <c r="L60" s="4"/>
      <c r="M60" s="4"/>
      <c r="N60" s="4"/>
      <c r="O60" s="4"/>
      <c r="P60" s="4"/>
      <c r="Q60" s="4"/>
      <c r="R60" s="4"/>
      <c r="S60" s="4"/>
      <c r="T60" s="4"/>
      <c r="U60" s="4"/>
      <c r="V60" s="4"/>
      <c r="W60" s="4"/>
      <c r="X60" s="4"/>
    </row>
    <row r="61" spans="1:24" x14ac:dyDescent="0.2">
      <c r="A61" s="4" t="s">
        <v>201</v>
      </c>
      <c r="B61" s="20">
        <v>1740</v>
      </c>
      <c r="C61" s="20">
        <v>1740</v>
      </c>
      <c r="D61" s="20">
        <v>1738</v>
      </c>
      <c r="E61" s="20">
        <v>1738</v>
      </c>
      <c r="F61" s="20">
        <v>1739</v>
      </c>
      <c r="G61" s="20">
        <v>1739</v>
      </c>
      <c r="H61" s="20">
        <v>1740</v>
      </c>
      <c r="I61" s="20">
        <v>1740</v>
      </c>
      <c r="J61" s="20">
        <v>1740</v>
      </c>
      <c r="K61" s="20">
        <v>1740</v>
      </c>
      <c r="L61" s="20">
        <v>1741</v>
      </c>
      <c r="M61" s="20">
        <v>1741</v>
      </c>
      <c r="N61" s="20">
        <v>1741</v>
      </c>
      <c r="O61" s="20">
        <v>1741</v>
      </c>
      <c r="P61" s="20">
        <v>1741</v>
      </c>
      <c r="Q61" s="20">
        <v>1741</v>
      </c>
      <c r="R61" s="20">
        <v>1741</v>
      </c>
      <c r="S61" s="20">
        <v>1741</v>
      </c>
      <c r="T61" s="20">
        <v>1741</v>
      </c>
      <c r="U61" s="20">
        <v>1741</v>
      </c>
      <c r="V61" s="20">
        <v>1741</v>
      </c>
      <c r="W61" s="20">
        <v>1741</v>
      </c>
      <c r="X61" s="20">
        <v>1741</v>
      </c>
    </row>
    <row r="62" spans="1:24" x14ac:dyDescent="0.2">
      <c r="A62" s="4" t="s">
        <v>202</v>
      </c>
      <c r="B62" s="20">
        <v>1216</v>
      </c>
      <c r="C62" s="20">
        <v>1042</v>
      </c>
      <c r="D62" s="20">
        <v>901</v>
      </c>
      <c r="E62" s="20">
        <v>750</v>
      </c>
      <c r="F62" s="20">
        <v>742</v>
      </c>
      <c r="G62" s="20">
        <v>885</v>
      </c>
      <c r="H62" s="20">
        <v>931</v>
      </c>
      <c r="I62" s="20">
        <v>1022</v>
      </c>
      <c r="J62" s="20">
        <v>1086</v>
      </c>
      <c r="K62" s="20">
        <v>1114</v>
      </c>
      <c r="L62" s="20">
        <v>1194</v>
      </c>
      <c r="M62" s="20">
        <v>1176</v>
      </c>
      <c r="N62" s="20">
        <v>1211</v>
      </c>
      <c r="O62" s="20">
        <v>1368</v>
      </c>
      <c r="P62" s="20">
        <v>1629</v>
      </c>
      <c r="Q62" s="20">
        <v>1674</v>
      </c>
      <c r="R62" s="20">
        <v>1776</v>
      </c>
      <c r="S62" s="20">
        <v>1950</v>
      </c>
      <c r="T62" s="20">
        <v>2110</v>
      </c>
      <c r="U62" s="20">
        <v>2333</v>
      </c>
      <c r="V62" s="20">
        <v>2630</v>
      </c>
      <c r="W62" s="20">
        <v>2951</v>
      </c>
      <c r="X62" s="20">
        <v>3280</v>
      </c>
    </row>
    <row r="63" spans="1:24" x14ac:dyDescent="0.2">
      <c r="A63" s="4" t="s">
        <v>203</v>
      </c>
      <c r="B63" s="20">
        <v>8975</v>
      </c>
      <c r="C63" s="20">
        <v>8484</v>
      </c>
      <c r="D63" s="20">
        <v>9535</v>
      </c>
      <c r="E63" s="20">
        <v>11242</v>
      </c>
      <c r="F63" s="20">
        <v>13394</v>
      </c>
      <c r="G63" s="20">
        <v>17529</v>
      </c>
      <c r="H63" s="20">
        <v>19788</v>
      </c>
      <c r="I63" s="20">
        <v>21168</v>
      </c>
      <c r="J63" s="20">
        <v>22066</v>
      </c>
      <c r="K63" s="20">
        <v>24695</v>
      </c>
      <c r="L63" s="20">
        <v>26278</v>
      </c>
      <c r="M63" s="20">
        <v>27205</v>
      </c>
      <c r="N63" s="20">
        <v>28173</v>
      </c>
      <c r="O63" s="20">
        <v>29653</v>
      </c>
      <c r="P63" s="20">
        <v>31176</v>
      </c>
      <c r="Q63" s="20">
        <v>33107</v>
      </c>
      <c r="R63" s="20">
        <v>34662</v>
      </c>
      <c r="S63" s="20">
        <v>37906</v>
      </c>
      <c r="T63" s="20">
        <v>39898</v>
      </c>
      <c r="U63" s="20">
        <v>42051</v>
      </c>
      <c r="V63" s="20">
        <v>45919</v>
      </c>
      <c r="W63" s="20">
        <v>50353</v>
      </c>
      <c r="X63" s="20">
        <v>52098</v>
      </c>
    </row>
    <row r="64" spans="1:24" x14ac:dyDescent="0.2">
      <c r="A64" s="4" t="s">
        <v>204</v>
      </c>
      <c r="B64" s="20">
        <v>-235</v>
      </c>
      <c r="C64" s="20">
        <v>-229</v>
      </c>
      <c r="D64" s="20">
        <v>-135</v>
      </c>
      <c r="E64" s="20">
        <v>-480</v>
      </c>
      <c r="F64" s="20">
        <v>-3856</v>
      </c>
      <c r="G64" s="20">
        <v>-8430</v>
      </c>
      <c r="H64" s="20">
        <v>-12160</v>
      </c>
      <c r="I64" s="20">
        <v>-13814</v>
      </c>
      <c r="J64" s="20">
        <v>-14549</v>
      </c>
      <c r="K64" s="20">
        <v>-16411</v>
      </c>
      <c r="L64" s="20">
        <v>-17485</v>
      </c>
      <c r="M64" s="20">
        <v>-18462</v>
      </c>
      <c r="N64" s="20">
        <v>-19790</v>
      </c>
      <c r="O64" s="20">
        <v>-21840</v>
      </c>
      <c r="P64" s="20">
        <v>-24068</v>
      </c>
      <c r="Q64" s="20">
        <v>-25523</v>
      </c>
      <c r="R64" s="20">
        <v>-27458</v>
      </c>
      <c r="S64" s="20">
        <v>-32130</v>
      </c>
      <c r="T64" s="20">
        <v>-34495</v>
      </c>
      <c r="U64" s="20">
        <v>-36578</v>
      </c>
      <c r="V64" s="20">
        <v>-36800</v>
      </c>
      <c r="W64" s="20">
        <v>-40214</v>
      </c>
      <c r="X64" s="20">
        <v>-40253</v>
      </c>
    </row>
    <row r="65" spans="1:24" x14ac:dyDescent="0.2">
      <c r="A65" s="4" t="s">
        <v>205</v>
      </c>
      <c r="B65" s="20">
        <v>183</v>
      </c>
      <c r="C65" s="20">
        <v>-303</v>
      </c>
      <c r="D65" s="20">
        <v>-175</v>
      </c>
      <c r="E65" s="20">
        <v>-187</v>
      </c>
      <c r="F65" s="20">
        <v>-82</v>
      </c>
      <c r="G65" s="20">
        <v>-363</v>
      </c>
      <c r="H65" s="20">
        <v>-324</v>
      </c>
      <c r="I65" s="20">
        <v>-790</v>
      </c>
      <c r="J65" s="20">
        <v>-621</v>
      </c>
      <c r="K65" s="20">
        <v>-701</v>
      </c>
      <c r="L65" s="20">
        <v>-776</v>
      </c>
      <c r="M65" s="20">
        <v>-699</v>
      </c>
      <c r="N65" s="20">
        <v>-528</v>
      </c>
      <c r="O65" s="20">
        <v>-532</v>
      </c>
      <c r="P65" s="20">
        <v>-532</v>
      </c>
      <c r="Q65" s="20">
        <v>-526</v>
      </c>
      <c r="R65" s="20">
        <v>-384</v>
      </c>
      <c r="S65" s="20">
        <v>-473</v>
      </c>
      <c r="T65" s="20">
        <v>-347</v>
      </c>
      <c r="U65" s="20">
        <v>-360</v>
      </c>
      <c r="V65" s="20">
        <v>-157</v>
      </c>
      <c r="W65" s="20">
        <v>-254</v>
      </c>
      <c r="X65" s="20">
        <v>-235</v>
      </c>
    </row>
    <row r="66" spans="1:24" ht="10.5" x14ac:dyDescent="0.2">
      <c r="A66" s="9" t="s">
        <v>206</v>
      </c>
      <c r="B66" s="27">
        <v>11879</v>
      </c>
      <c r="C66" s="27">
        <v>10734</v>
      </c>
      <c r="D66" s="27">
        <v>11864</v>
      </c>
      <c r="E66" s="27">
        <v>13063</v>
      </c>
      <c r="F66" s="27">
        <v>11937</v>
      </c>
      <c r="G66" s="27">
        <v>11360</v>
      </c>
      <c r="H66" s="27">
        <v>9975</v>
      </c>
      <c r="I66" s="27">
        <v>9326</v>
      </c>
      <c r="J66" s="27">
        <v>9722</v>
      </c>
      <c r="K66" s="27">
        <v>10437</v>
      </c>
      <c r="L66" s="27">
        <v>10952</v>
      </c>
      <c r="M66" s="27">
        <v>10961</v>
      </c>
      <c r="N66" s="27">
        <v>10807</v>
      </c>
      <c r="O66" s="27">
        <v>10390</v>
      </c>
      <c r="P66" s="27">
        <v>9946</v>
      </c>
      <c r="Q66" s="27">
        <v>10473</v>
      </c>
      <c r="R66" s="27">
        <v>10337</v>
      </c>
      <c r="S66" s="27">
        <v>8994</v>
      </c>
      <c r="T66" s="27">
        <v>8907</v>
      </c>
      <c r="U66" s="27">
        <v>9187</v>
      </c>
      <c r="V66" s="27">
        <v>13333</v>
      </c>
      <c r="W66" s="27">
        <v>14577</v>
      </c>
      <c r="X66" s="27">
        <v>16631</v>
      </c>
    </row>
    <row r="67" spans="1:24" x14ac:dyDescent="0.2">
      <c r="A67" s="4"/>
      <c r="B67" s="4"/>
      <c r="C67" s="4"/>
      <c r="D67" s="4"/>
      <c r="E67" s="4"/>
      <c r="F67" s="4"/>
      <c r="G67" s="4"/>
      <c r="H67" s="4"/>
      <c r="I67" s="4"/>
      <c r="J67" s="4"/>
      <c r="K67" s="4"/>
      <c r="L67" s="4"/>
      <c r="M67" s="4"/>
      <c r="N67" s="4"/>
      <c r="O67" s="4"/>
      <c r="P67" s="4"/>
      <c r="Q67" s="4"/>
      <c r="R67" s="4"/>
      <c r="S67" s="4"/>
      <c r="T67" s="4"/>
      <c r="U67" s="4"/>
      <c r="V67" s="4"/>
      <c r="W67" s="4"/>
      <c r="X67" s="4"/>
    </row>
    <row r="68" spans="1:24" ht="10.5" x14ac:dyDescent="0.2">
      <c r="A68" s="9" t="s">
        <v>207</v>
      </c>
      <c r="B68" s="70">
        <v>11879</v>
      </c>
      <c r="C68" s="70">
        <v>10734</v>
      </c>
      <c r="D68" s="70">
        <v>11864</v>
      </c>
      <c r="E68" s="70">
        <v>13063</v>
      </c>
      <c r="F68" s="70">
        <v>11937</v>
      </c>
      <c r="G68" s="70">
        <v>11360</v>
      </c>
      <c r="H68" s="70">
        <v>9975</v>
      </c>
      <c r="I68" s="70">
        <v>9326</v>
      </c>
      <c r="J68" s="70">
        <v>9722</v>
      </c>
      <c r="K68" s="70">
        <v>10437</v>
      </c>
      <c r="L68" s="70">
        <v>10952</v>
      </c>
      <c r="M68" s="70">
        <v>10961</v>
      </c>
      <c r="N68" s="70">
        <v>10807</v>
      </c>
      <c r="O68" s="70">
        <v>10390</v>
      </c>
      <c r="P68" s="70">
        <v>9946</v>
      </c>
      <c r="Q68" s="70">
        <v>10473</v>
      </c>
      <c r="R68" s="70">
        <v>10337</v>
      </c>
      <c r="S68" s="70">
        <v>8994</v>
      </c>
      <c r="T68" s="70">
        <v>8907</v>
      </c>
      <c r="U68" s="70">
        <v>9187</v>
      </c>
      <c r="V68" s="70">
        <v>13333</v>
      </c>
      <c r="W68" s="70">
        <v>14577</v>
      </c>
      <c r="X68" s="70">
        <v>16631</v>
      </c>
    </row>
    <row r="69" spans="1:24" x14ac:dyDescent="0.2">
      <c r="A69" s="4"/>
      <c r="B69" s="4"/>
      <c r="C69" s="4"/>
      <c r="D69" s="4"/>
      <c r="E69" s="4"/>
      <c r="F69" s="4"/>
      <c r="G69" s="4"/>
      <c r="H69" s="4"/>
      <c r="I69" s="4"/>
      <c r="J69" s="4"/>
      <c r="K69" s="4"/>
      <c r="L69" s="4"/>
      <c r="M69" s="4"/>
      <c r="N69" s="4"/>
      <c r="O69" s="4"/>
      <c r="P69" s="4"/>
      <c r="Q69" s="4"/>
      <c r="R69" s="4"/>
      <c r="S69" s="4"/>
      <c r="T69" s="4"/>
      <c r="U69" s="4"/>
      <c r="V69" s="4"/>
      <c r="W69" s="4"/>
      <c r="X69" s="4"/>
    </row>
    <row r="70" spans="1:24" ht="10.5" x14ac:dyDescent="0.2">
      <c r="A70" s="9" t="s">
        <v>208</v>
      </c>
      <c r="B70" s="69">
        <v>15779</v>
      </c>
      <c r="C70" s="69">
        <v>14679</v>
      </c>
      <c r="D70" s="69">
        <v>15510</v>
      </c>
      <c r="E70" s="69">
        <v>16299</v>
      </c>
      <c r="F70" s="69">
        <v>15063</v>
      </c>
      <c r="G70" s="69">
        <v>13930</v>
      </c>
      <c r="H70" s="69">
        <v>12667</v>
      </c>
      <c r="I70" s="69">
        <v>11923</v>
      </c>
      <c r="J70" s="69">
        <v>12119</v>
      </c>
      <c r="K70" s="69">
        <v>13401</v>
      </c>
      <c r="L70" s="69">
        <v>20497</v>
      </c>
      <c r="M70" s="69">
        <v>20021</v>
      </c>
      <c r="N70" s="69">
        <v>18938</v>
      </c>
      <c r="O70" s="69">
        <v>17372</v>
      </c>
      <c r="P70" s="69">
        <v>16230</v>
      </c>
      <c r="Q70" s="69">
        <v>16431</v>
      </c>
      <c r="R70" s="69">
        <v>17642</v>
      </c>
      <c r="S70" s="69">
        <v>17137</v>
      </c>
      <c r="T70" s="69">
        <v>18018</v>
      </c>
      <c r="U70" s="69">
        <v>19351</v>
      </c>
      <c r="V70" s="69">
        <v>24676</v>
      </c>
      <c r="W70" s="69">
        <v>27207</v>
      </c>
      <c r="X70" s="69">
        <v>31638</v>
      </c>
    </row>
    <row r="71" spans="1:24" x14ac:dyDescent="0.2">
      <c r="A71" s="4"/>
      <c r="B71" s="4"/>
      <c r="C71" s="4"/>
      <c r="D71" s="4"/>
      <c r="E71" s="4"/>
      <c r="F71" s="4"/>
      <c r="G71" s="4"/>
      <c r="H71" s="4"/>
      <c r="I71" s="4"/>
      <c r="J71" s="4"/>
      <c r="K71" s="4"/>
      <c r="L71" s="4"/>
      <c r="M71" s="4"/>
      <c r="N71" s="4"/>
      <c r="O71" s="4"/>
      <c r="P71" s="4"/>
      <c r="Q71" s="4"/>
      <c r="R71" s="4"/>
      <c r="S71" s="4"/>
      <c r="T71" s="4"/>
      <c r="U71" s="4"/>
      <c r="V71" s="4"/>
      <c r="W71" s="4"/>
      <c r="X71" s="4"/>
    </row>
    <row r="72" spans="1:24" ht="10.5" x14ac:dyDescent="0.2">
      <c r="A72" s="9" t="s">
        <v>132</v>
      </c>
      <c r="B72" s="4"/>
      <c r="C72" s="4"/>
      <c r="D72" s="4"/>
      <c r="E72" s="4"/>
      <c r="F72" s="4"/>
      <c r="G72" s="4"/>
      <c r="H72" s="4"/>
      <c r="I72" s="4"/>
      <c r="J72" s="4"/>
      <c r="K72" s="4"/>
      <c r="L72" s="4"/>
      <c r="M72" s="4"/>
      <c r="N72" s="4"/>
      <c r="O72" s="4"/>
      <c r="P72" s="4"/>
      <c r="Q72" s="4"/>
      <c r="R72" s="4"/>
      <c r="S72" s="4"/>
      <c r="T72" s="4"/>
      <c r="U72" s="4"/>
      <c r="V72" s="4"/>
      <c r="W72" s="4"/>
      <c r="X72" s="4"/>
    </row>
    <row r="73" spans="1:24" x14ac:dyDescent="0.2">
      <c r="A73" s="4" t="s">
        <v>209</v>
      </c>
      <c r="B73" s="20">
        <v>1736.2480619999999</v>
      </c>
      <c r="C73" s="20">
        <v>1730.3911840000001</v>
      </c>
      <c r="D73" s="20">
        <v>1732.3814990000001</v>
      </c>
      <c r="E73" s="20">
        <v>1721.3122530000001</v>
      </c>
      <c r="F73" s="20">
        <v>1600.342965</v>
      </c>
      <c r="G73" s="20">
        <v>1443.427201</v>
      </c>
      <c r="H73" s="20">
        <v>1326.3192509999999</v>
      </c>
      <c r="I73" s="20">
        <v>1276.5552540000001</v>
      </c>
      <c r="J73" s="20">
        <v>1241.8885359999999</v>
      </c>
      <c r="K73" s="20">
        <v>1172.0514740000001</v>
      </c>
      <c r="L73" s="20">
        <v>1144.9715120000001</v>
      </c>
      <c r="M73" s="20">
        <v>1104.7873890000001</v>
      </c>
      <c r="N73" s="20">
        <v>1084.2139910000001</v>
      </c>
      <c r="O73" s="20">
        <v>1047.1423010000001</v>
      </c>
      <c r="P73" s="20">
        <v>1005.2577230000001</v>
      </c>
      <c r="Q73" s="20">
        <v>999.63973299999998</v>
      </c>
      <c r="R73" s="20">
        <v>983.78750200000002</v>
      </c>
      <c r="S73" s="20">
        <v>938.48460299999999</v>
      </c>
      <c r="T73" s="20">
        <v>933.97561900000005</v>
      </c>
      <c r="U73" s="20">
        <v>920.23919100000001</v>
      </c>
      <c r="V73" s="20">
        <v>923.54706199999998</v>
      </c>
      <c r="W73" s="20">
        <v>906.20579499999997</v>
      </c>
      <c r="X73" s="20">
        <v>908.20409299999994</v>
      </c>
    </row>
    <row r="74" spans="1:24" x14ac:dyDescent="0.2">
      <c r="A74" s="4" t="s">
        <v>210</v>
      </c>
      <c r="B74" s="20">
        <v>1733.9338760000001</v>
      </c>
      <c r="C74" s="20">
        <v>1730.5884160000001</v>
      </c>
      <c r="D74" s="20">
        <v>1732.3379890000001</v>
      </c>
      <c r="E74" s="20">
        <v>1718.1151179999999</v>
      </c>
      <c r="F74" s="20">
        <v>1596.5898050000001</v>
      </c>
      <c r="G74" s="20">
        <v>1450.030244</v>
      </c>
      <c r="H74" s="20">
        <v>1343.2108029999999</v>
      </c>
      <c r="I74" s="20">
        <v>1277.8958580000001</v>
      </c>
      <c r="J74" s="20">
        <v>1240.118017</v>
      </c>
      <c r="K74" s="20">
        <v>1167.443704</v>
      </c>
      <c r="L74" s="20">
        <v>1139.4987599999999</v>
      </c>
      <c r="M74" s="20">
        <v>1108.1789690000001</v>
      </c>
      <c r="N74" s="20">
        <v>1082.8029690000001</v>
      </c>
      <c r="O74" s="20">
        <v>1046.626812</v>
      </c>
      <c r="P74" s="20">
        <v>1011.268412</v>
      </c>
      <c r="Q74" s="20">
        <v>995.98396100000002</v>
      </c>
      <c r="R74" s="20">
        <v>983.15872200000001</v>
      </c>
      <c r="S74" s="20">
        <v>945.15029300000003</v>
      </c>
      <c r="T74" s="20">
        <v>932.03155800000002</v>
      </c>
      <c r="U74" s="20">
        <v>919.354152</v>
      </c>
      <c r="V74" s="20">
        <v>924</v>
      </c>
      <c r="W74" s="20">
        <v>906</v>
      </c>
      <c r="X74" s="20">
        <v>908</v>
      </c>
    </row>
    <row r="75" spans="1:24" x14ac:dyDescent="0.2">
      <c r="A75" s="4" t="s">
        <v>211</v>
      </c>
      <c r="B75" s="19">
        <v>6.85</v>
      </c>
      <c r="C75" s="19">
        <v>6.2</v>
      </c>
      <c r="D75" s="19">
        <v>6.85</v>
      </c>
      <c r="E75" s="19">
        <v>7.6</v>
      </c>
      <c r="F75" s="19">
        <v>7.48</v>
      </c>
      <c r="G75" s="19">
        <v>7.83</v>
      </c>
      <c r="H75" s="19">
        <v>7.43</v>
      </c>
      <c r="I75" s="19">
        <v>7.3</v>
      </c>
      <c r="J75" s="19">
        <v>7.84</v>
      </c>
      <c r="K75" s="19">
        <v>8.94</v>
      </c>
      <c r="L75" s="19">
        <v>9.61</v>
      </c>
      <c r="M75" s="19">
        <v>9.89</v>
      </c>
      <c r="N75" s="19">
        <v>9.98</v>
      </c>
      <c r="O75" s="19">
        <v>9.93</v>
      </c>
      <c r="P75" s="19">
        <v>9.84</v>
      </c>
      <c r="Q75" s="19">
        <v>10.52</v>
      </c>
      <c r="R75" s="19">
        <v>10.51</v>
      </c>
      <c r="S75" s="19">
        <v>9.52</v>
      </c>
      <c r="T75" s="19">
        <v>9.56</v>
      </c>
      <c r="U75" s="19">
        <v>9.99</v>
      </c>
      <c r="V75" s="19">
        <v>14.43</v>
      </c>
      <c r="W75" s="19">
        <v>16.09</v>
      </c>
      <c r="X75" s="19">
        <v>18.32</v>
      </c>
    </row>
    <row r="76" spans="1:24" x14ac:dyDescent="0.2">
      <c r="A76" s="4" t="s">
        <v>212</v>
      </c>
      <c r="B76" s="20">
        <v>11131</v>
      </c>
      <c r="C76" s="20">
        <v>9911</v>
      </c>
      <c r="D76" s="20">
        <v>10660</v>
      </c>
      <c r="E76" s="20">
        <v>11944</v>
      </c>
      <c r="F76" s="20">
        <v>10957</v>
      </c>
      <c r="G76" s="20">
        <v>10262</v>
      </c>
      <c r="H76" s="20">
        <v>8795</v>
      </c>
      <c r="I76" s="20">
        <v>8213</v>
      </c>
      <c r="J76" s="20">
        <v>8553</v>
      </c>
      <c r="K76" s="20">
        <v>9232</v>
      </c>
      <c r="L76" s="20">
        <v>3394</v>
      </c>
      <c r="M76" s="20">
        <v>3899</v>
      </c>
      <c r="N76" s="20">
        <v>4104</v>
      </c>
      <c r="O76" s="20">
        <v>4043</v>
      </c>
      <c r="P76" s="20">
        <v>3955</v>
      </c>
      <c r="Q76" s="20">
        <v>4795</v>
      </c>
      <c r="R76" s="20">
        <v>4919</v>
      </c>
      <c r="S76" s="20">
        <v>3915</v>
      </c>
      <c r="T76" s="20">
        <v>4136</v>
      </c>
      <c r="U76" s="20">
        <v>4703</v>
      </c>
      <c r="V76" s="20">
        <v>8886</v>
      </c>
      <c r="W76" s="20">
        <v>10063</v>
      </c>
      <c r="X76" s="20">
        <v>12131</v>
      </c>
    </row>
    <row r="77" spans="1:24" x14ac:dyDescent="0.2">
      <c r="A77" s="4" t="s">
        <v>213</v>
      </c>
      <c r="B77" s="19">
        <v>6.42</v>
      </c>
      <c r="C77" s="19">
        <v>5.73</v>
      </c>
      <c r="D77" s="19">
        <v>6.15</v>
      </c>
      <c r="E77" s="19">
        <v>6.95</v>
      </c>
      <c r="F77" s="19">
        <v>6.86</v>
      </c>
      <c r="G77" s="19">
        <v>7.08</v>
      </c>
      <c r="H77" s="19">
        <v>6.55</v>
      </c>
      <c r="I77" s="19">
        <v>6.43</v>
      </c>
      <c r="J77" s="19">
        <v>6.9</v>
      </c>
      <c r="K77" s="19">
        <v>7.91</v>
      </c>
      <c r="L77" s="19">
        <v>2.98</v>
      </c>
      <c r="M77" s="19">
        <v>3.52</v>
      </c>
      <c r="N77" s="19">
        <v>3.79</v>
      </c>
      <c r="O77" s="19">
        <v>3.86</v>
      </c>
      <c r="P77" s="19">
        <v>3.91</v>
      </c>
      <c r="Q77" s="19">
        <v>4.8099999999999996</v>
      </c>
      <c r="R77" s="19">
        <v>5</v>
      </c>
      <c r="S77" s="19">
        <v>4.1399999999999997</v>
      </c>
      <c r="T77" s="19">
        <v>4.4400000000000004</v>
      </c>
      <c r="U77" s="19">
        <v>5.12</v>
      </c>
      <c r="V77" s="19">
        <v>9.6199999999999992</v>
      </c>
      <c r="W77" s="19">
        <v>11.11</v>
      </c>
      <c r="X77" s="19">
        <v>13.36</v>
      </c>
    </row>
    <row r="78" spans="1:24" x14ac:dyDescent="0.2">
      <c r="A78" s="4" t="s">
        <v>214</v>
      </c>
      <c r="B78" s="20">
        <v>1249</v>
      </c>
      <c r="C78" s="20">
        <v>1255</v>
      </c>
      <c r="D78" s="20">
        <v>832</v>
      </c>
      <c r="E78" s="20">
        <v>379</v>
      </c>
      <c r="F78" s="20">
        <v>630</v>
      </c>
      <c r="G78" s="20">
        <v>43</v>
      </c>
      <c r="H78" s="20">
        <v>0</v>
      </c>
      <c r="I78" s="20">
        <v>0</v>
      </c>
      <c r="J78" s="20">
        <v>0</v>
      </c>
      <c r="K78" s="20">
        <v>0</v>
      </c>
      <c r="L78" s="20">
        <v>5592</v>
      </c>
      <c r="M78" s="20">
        <v>5686</v>
      </c>
      <c r="N78" s="20">
        <v>5158</v>
      </c>
      <c r="O78" s="20">
        <v>4631</v>
      </c>
      <c r="P78" s="20">
        <v>4120</v>
      </c>
      <c r="Q78" s="20">
        <v>3609</v>
      </c>
      <c r="R78" s="20">
        <v>4077</v>
      </c>
      <c r="S78" s="20">
        <v>5068</v>
      </c>
      <c r="T78" s="20">
        <v>6135</v>
      </c>
      <c r="U78" s="20">
        <v>7119</v>
      </c>
      <c r="V78" s="20">
        <v>8206</v>
      </c>
      <c r="W78" s="20">
        <v>9154</v>
      </c>
      <c r="X78" s="20">
        <v>11222</v>
      </c>
    </row>
    <row r="79" spans="1:24" x14ac:dyDescent="0.2">
      <c r="A79" s="4" t="s">
        <v>215</v>
      </c>
      <c r="B79" s="20">
        <v>-1695</v>
      </c>
      <c r="C79" s="20">
        <v>-1757</v>
      </c>
      <c r="D79" s="20">
        <v>-3497</v>
      </c>
      <c r="E79" s="20">
        <v>-5979</v>
      </c>
      <c r="F79" s="20">
        <v>-4700</v>
      </c>
      <c r="G79" s="20">
        <v>-3674</v>
      </c>
      <c r="H79" s="20">
        <v>-2924</v>
      </c>
      <c r="I79" s="20">
        <v>-2540</v>
      </c>
      <c r="J79" s="20">
        <v>-2925</v>
      </c>
      <c r="K79" s="20">
        <v>-3072</v>
      </c>
      <c r="L79" s="20">
        <v>2657</v>
      </c>
      <c r="M79" s="20">
        <v>1721</v>
      </c>
      <c r="N79" s="20">
        <v>1329</v>
      </c>
      <c r="O79" s="20">
        <v>1090</v>
      </c>
      <c r="P79" s="20">
        <v>902</v>
      </c>
      <c r="Q79" s="20">
        <v>119</v>
      </c>
      <c r="R79" s="20">
        <v>-392</v>
      </c>
      <c r="S79" s="20">
        <v>835</v>
      </c>
      <c r="T79" s="20">
        <v>748</v>
      </c>
      <c r="U79" s="20">
        <v>551</v>
      </c>
      <c r="V79" s="20">
        <v>-1533</v>
      </c>
      <c r="W79" s="20">
        <v>87</v>
      </c>
      <c r="X79" s="20">
        <v>2274</v>
      </c>
    </row>
    <row r="80" spans="1:24" x14ac:dyDescent="0.2">
      <c r="A80" s="4" t="s">
        <v>216</v>
      </c>
      <c r="B80" s="20">
        <v>174</v>
      </c>
      <c r="C80" s="20">
        <v>901</v>
      </c>
      <c r="D80" s="20">
        <v>883</v>
      </c>
      <c r="E80" s="20">
        <v>764</v>
      </c>
      <c r="F80" s="20">
        <v>623</v>
      </c>
      <c r="G80" s="20">
        <v>121</v>
      </c>
      <c r="H80" s="20">
        <v>19</v>
      </c>
      <c r="I80" s="20">
        <v>522</v>
      </c>
      <c r="J80" s="20">
        <v>274</v>
      </c>
      <c r="K80" s="20">
        <v>429</v>
      </c>
      <c r="L80" s="20">
        <v>582</v>
      </c>
      <c r="M80" s="20">
        <v>223</v>
      </c>
      <c r="N80" s="20">
        <v>111</v>
      </c>
      <c r="O80" s="20">
        <v>97</v>
      </c>
      <c r="P80" s="20">
        <v>111</v>
      </c>
      <c r="Q80" s="20">
        <v>48</v>
      </c>
      <c r="R80" s="20">
        <v>-121</v>
      </c>
      <c r="S80" s="20">
        <v>6</v>
      </c>
      <c r="T80" s="20">
        <v>-107</v>
      </c>
      <c r="U80" s="20">
        <v>-104</v>
      </c>
      <c r="V80" s="20">
        <v>-278</v>
      </c>
      <c r="W80" s="20">
        <v>-55</v>
      </c>
      <c r="X80" s="20" t="s">
        <v>135</v>
      </c>
    </row>
    <row r="81" spans="1:24" x14ac:dyDescent="0.2">
      <c r="A81" s="4" t="s">
        <v>217</v>
      </c>
      <c r="B81" s="20">
        <v>1296</v>
      </c>
      <c r="C81" s="20">
        <v>1080</v>
      </c>
      <c r="D81" s="20">
        <v>1088</v>
      </c>
      <c r="E81" s="20">
        <v>992</v>
      </c>
      <c r="F81" s="20">
        <v>1008</v>
      </c>
      <c r="G81" s="20">
        <v>1000</v>
      </c>
      <c r="H81" s="20">
        <v>984</v>
      </c>
      <c r="I81" s="20">
        <v>992</v>
      </c>
      <c r="J81" s="20">
        <v>912</v>
      </c>
      <c r="K81" s="20">
        <v>800</v>
      </c>
      <c r="L81" s="20">
        <v>872</v>
      </c>
      <c r="M81" s="20">
        <v>992</v>
      </c>
      <c r="N81" s="20">
        <v>960</v>
      </c>
      <c r="O81" s="20">
        <v>904</v>
      </c>
      <c r="P81" s="20">
        <v>784</v>
      </c>
      <c r="Q81" s="20">
        <v>688</v>
      </c>
      <c r="R81" s="20" t="s">
        <v>135</v>
      </c>
      <c r="S81" s="20" t="s">
        <v>135</v>
      </c>
      <c r="T81" s="20">
        <v>856</v>
      </c>
      <c r="U81" s="20">
        <v>848</v>
      </c>
      <c r="V81" s="20">
        <v>1000</v>
      </c>
      <c r="W81" s="20">
        <v>904</v>
      </c>
      <c r="X81" s="20" t="s">
        <v>135</v>
      </c>
    </row>
    <row r="82" spans="1:24" x14ac:dyDescent="0.2">
      <c r="A82" s="4" t="s">
        <v>218</v>
      </c>
      <c r="B82" s="20" t="s">
        <v>135</v>
      </c>
      <c r="C82" s="20" t="s">
        <v>135</v>
      </c>
      <c r="D82" s="20" t="s">
        <v>135</v>
      </c>
      <c r="E82" s="20" t="s">
        <v>135</v>
      </c>
      <c r="F82" s="20" t="s">
        <v>135</v>
      </c>
      <c r="G82" s="20">
        <v>55</v>
      </c>
      <c r="H82" s="20">
        <v>65</v>
      </c>
      <c r="I82" s="20">
        <v>53</v>
      </c>
      <c r="J82" s="20">
        <v>33</v>
      </c>
      <c r="K82" s="20">
        <v>36</v>
      </c>
      <c r="L82" s="20">
        <v>32</v>
      </c>
      <c r="M82" s="20">
        <v>34</v>
      </c>
      <c r="N82" s="20">
        <v>24</v>
      </c>
      <c r="O82" s="20">
        <v>27</v>
      </c>
      <c r="P82" s="20">
        <v>25</v>
      </c>
      <c r="Q82" s="20">
        <v>25</v>
      </c>
      <c r="R82" s="20">
        <v>26</v>
      </c>
      <c r="S82" s="20">
        <v>21</v>
      </c>
      <c r="T82" s="20">
        <v>24</v>
      </c>
      <c r="U82" s="20" t="s">
        <v>135</v>
      </c>
      <c r="V82" s="20" t="s">
        <v>135</v>
      </c>
      <c r="W82" s="20" t="s">
        <v>135</v>
      </c>
      <c r="X82" s="20" t="s">
        <v>135</v>
      </c>
    </row>
    <row r="83" spans="1:24" x14ac:dyDescent="0.2">
      <c r="A83" s="4" t="s">
        <v>219</v>
      </c>
      <c r="B83" s="24" t="s">
        <v>135</v>
      </c>
      <c r="C83" s="24" t="s">
        <v>135</v>
      </c>
      <c r="D83" s="24" t="s">
        <v>135</v>
      </c>
      <c r="E83" s="24" t="s">
        <v>135</v>
      </c>
      <c r="F83" s="24" t="s">
        <v>135</v>
      </c>
      <c r="G83" s="24" t="s">
        <v>220</v>
      </c>
      <c r="H83" s="24" t="s">
        <v>220</v>
      </c>
      <c r="I83" s="24" t="s">
        <v>220</v>
      </c>
      <c r="J83" s="24" t="s">
        <v>220</v>
      </c>
      <c r="K83" s="24" t="s">
        <v>220</v>
      </c>
      <c r="L83" s="24" t="s">
        <v>220</v>
      </c>
      <c r="M83" s="24" t="s">
        <v>220</v>
      </c>
      <c r="N83" s="24" t="s">
        <v>220</v>
      </c>
      <c r="O83" s="24" t="s">
        <v>220</v>
      </c>
      <c r="P83" s="24" t="s">
        <v>220</v>
      </c>
      <c r="Q83" s="24" t="s">
        <v>220</v>
      </c>
      <c r="R83" s="24" t="s">
        <v>135</v>
      </c>
      <c r="S83" s="24" t="s">
        <v>135</v>
      </c>
      <c r="T83" s="24" t="s">
        <v>135</v>
      </c>
      <c r="U83" s="24" t="s">
        <v>135</v>
      </c>
      <c r="V83" s="24" t="s">
        <v>135</v>
      </c>
      <c r="W83" s="24" t="s">
        <v>220</v>
      </c>
      <c r="X83" s="24" t="s">
        <v>135</v>
      </c>
    </row>
    <row r="84" spans="1:24" x14ac:dyDescent="0.2">
      <c r="A84" s="4" t="s">
        <v>221</v>
      </c>
      <c r="B84" s="20">
        <v>133</v>
      </c>
      <c r="C84" s="20">
        <v>121</v>
      </c>
      <c r="D84" s="20">
        <v>106</v>
      </c>
      <c r="E84" s="20">
        <v>117</v>
      </c>
      <c r="F84" s="20">
        <v>83</v>
      </c>
      <c r="G84" s="20">
        <v>105</v>
      </c>
      <c r="H84" s="20">
        <v>105</v>
      </c>
      <c r="I84" s="20">
        <v>99</v>
      </c>
      <c r="J84" s="20">
        <v>93</v>
      </c>
      <c r="K84" s="20">
        <v>122</v>
      </c>
      <c r="L84" s="20">
        <v>115</v>
      </c>
      <c r="M84" s="20">
        <v>116</v>
      </c>
      <c r="N84" s="20">
        <v>102</v>
      </c>
      <c r="O84" s="20">
        <v>101</v>
      </c>
      <c r="P84" s="20">
        <v>109</v>
      </c>
      <c r="Q84" s="20">
        <v>102</v>
      </c>
      <c r="R84" s="20">
        <v>126</v>
      </c>
      <c r="S84" s="20">
        <v>181</v>
      </c>
      <c r="T84" s="20">
        <v>176</v>
      </c>
      <c r="U84" s="20">
        <v>180</v>
      </c>
      <c r="V84" s="20">
        <v>245</v>
      </c>
      <c r="W84" s="20">
        <v>353</v>
      </c>
      <c r="X84" s="20">
        <v>401</v>
      </c>
    </row>
    <row r="85" spans="1:24" x14ac:dyDescent="0.2">
      <c r="A85" s="4" t="s">
        <v>222</v>
      </c>
      <c r="B85" s="20">
        <v>407</v>
      </c>
      <c r="C85" s="20">
        <v>478</v>
      </c>
      <c r="D85" s="20">
        <v>624</v>
      </c>
      <c r="E85" s="20">
        <v>756</v>
      </c>
      <c r="F85" s="20">
        <v>813</v>
      </c>
      <c r="G85" s="20">
        <v>930</v>
      </c>
      <c r="H85" s="20">
        <v>876</v>
      </c>
      <c r="I85" s="20">
        <v>837</v>
      </c>
      <c r="J85" s="20">
        <v>758</v>
      </c>
      <c r="K85" s="20">
        <v>919</v>
      </c>
      <c r="L85" s="20">
        <v>1004</v>
      </c>
      <c r="M85" s="20">
        <v>935</v>
      </c>
      <c r="N85" s="20">
        <v>919</v>
      </c>
      <c r="O85" s="20">
        <v>896</v>
      </c>
      <c r="P85" s="20">
        <v>846</v>
      </c>
      <c r="Q85" s="20">
        <v>954</v>
      </c>
      <c r="R85" s="20">
        <v>1089</v>
      </c>
      <c r="S85" s="20">
        <v>1070</v>
      </c>
      <c r="T85" s="20">
        <v>916</v>
      </c>
      <c r="U85" s="20">
        <v>964</v>
      </c>
      <c r="V85" s="20">
        <v>1067</v>
      </c>
      <c r="W85" s="20">
        <v>1546</v>
      </c>
      <c r="X85" s="20">
        <v>2147</v>
      </c>
    </row>
    <row r="86" spans="1:24" x14ac:dyDescent="0.2">
      <c r="A86" s="4" t="s">
        <v>223</v>
      </c>
      <c r="B86" s="20">
        <v>211</v>
      </c>
      <c r="C86" s="20">
        <v>191</v>
      </c>
      <c r="D86" s="20">
        <v>254</v>
      </c>
      <c r="E86" s="20">
        <v>383</v>
      </c>
      <c r="F86" s="20">
        <v>289</v>
      </c>
      <c r="G86" s="20">
        <v>402</v>
      </c>
      <c r="H86" s="20">
        <v>437</v>
      </c>
      <c r="I86" s="20">
        <v>439</v>
      </c>
      <c r="J86" s="20">
        <v>351</v>
      </c>
      <c r="K86" s="20">
        <v>479</v>
      </c>
      <c r="L86" s="20">
        <v>669</v>
      </c>
      <c r="M86" s="20">
        <v>706</v>
      </c>
      <c r="N86" s="20">
        <v>710</v>
      </c>
      <c r="O86" s="20">
        <v>787</v>
      </c>
      <c r="P86" s="20">
        <v>736</v>
      </c>
      <c r="Q86" s="20">
        <v>734</v>
      </c>
      <c r="R86" s="20">
        <v>742</v>
      </c>
      <c r="S86" s="20">
        <v>966</v>
      </c>
      <c r="T86" s="20">
        <v>909</v>
      </c>
      <c r="U86" s="20">
        <v>811</v>
      </c>
      <c r="V86" s="20">
        <v>598</v>
      </c>
      <c r="W86" s="20">
        <v>858</v>
      </c>
      <c r="X86" s="20">
        <v>1360</v>
      </c>
    </row>
    <row r="87" spans="1:24" x14ac:dyDescent="0.2">
      <c r="A87" s="4" t="s">
        <v>224</v>
      </c>
      <c r="B87" s="20">
        <v>95</v>
      </c>
      <c r="C87" s="20">
        <v>93</v>
      </c>
      <c r="D87" s="20">
        <v>100</v>
      </c>
      <c r="E87" s="20">
        <v>88</v>
      </c>
      <c r="F87" s="20">
        <v>79</v>
      </c>
      <c r="G87" s="20">
        <v>82</v>
      </c>
      <c r="H87" s="20">
        <v>82</v>
      </c>
      <c r="I87" s="20">
        <v>83</v>
      </c>
      <c r="J87" s="20">
        <v>83</v>
      </c>
      <c r="K87" s="20">
        <v>92</v>
      </c>
      <c r="L87" s="20">
        <v>188</v>
      </c>
      <c r="M87" s="20">
        <v>189</v>
      </c>
      <c r="N87" s="20">
        <v>175</v>
      </c>
      <c r="O87" s="20">
        <v>137</v>
      </c>
      <c r="P87" s="20">
        <v>127</v>
      </c>
      <c r="Q87" s="20">
        <v>127</v>
      </c>
      <c r="R87" s="20">
        <v>127</v>
      </c>
      <c r="S87" s="20">
        <v>128</v>
      </c>
      <c r="T87" s="20">
        <v>126</v>
      </c>
      <c r="U87" s="20">
        <v>125</v>
      </c>
      <c r="V87" s="20">
        <v>132</v>
      </c>
      <c r="W87" s="20">
        <v>132</v>
      </c>
      <c r="X87" s="20" t="s">
        <v>135</v>
      </c>
    </row>
    <row r="88" spans="1:24" x14ac:dyDescent="0.2">
      <c r="A88" s="4" t="s">
        <v>225</v>
      </c>
      <c r="B88" s="20">
        <v>2908</v>
      </c>
      <c r="C88" s="20">
        <v>2891</v>
      </c>
      <c r="D88" s="20">
        <v>2917</v>
      </c>
      <c r="E88" s="20">
        <v>2800</v>
      </c>
      <c r="F88" s="20">
        <v>2930</v>
      </c>
      <c r="G88" s="20">
        <v>2890</v>
      </c>
      <c r="H88" s="20">
        <v>2895</v>
      </c>
      <c r="I88" s="20">
        <v>2948</v>
      </c>
      <c r="J88" s="20">
        <v>2867</v>
      </c>
      <c r="K88" s="20">
        <v>2815</v>
      </c>
      <c r="L88" s="20">
        <v>2998</v>
      </c>
      <c r="M88" s="20">
        <v>3006</v>
      </c>
      <c r="N88" s="20">
        <v>2913</v>
      </c>
      <c r="O88" s="20">
        <v>2801</v>
      </c>
      <c r="P88" s="20">
        <v>2789</v>
      </c>
      <c r="Q88" s="20">
        <v>2753</v>
      </c>
      <c r="R88" s="20">
        <v>2467</v>
      </c>
      <c r="S88" s="20">
        <v>2497</v>
      </c>
      <c r="T88" s="20">
        <v>2504</v>
      </c>
      <c r="U88" s="20">
        <v>2571</v>
      </c>
      <c r="V88" s="20">
        <v>3490</v>
      </c>
      <c r="W88" s="20">
        <v>4154</v>
      </c>
      <c r="X88" s="20" t="s">
        <v>135</v>
      </c>
    </row>
    <row r="89" spans="1:24" x14ac:dyDescent="0.2">
      <c r="A89" s="4" t="s">
        <v>226</v>
      </c>
      <c r="B89" s="20">
        <v>6680</v>
      </c>
      <c r="C89" s="20">
        <v>6532</v>
      </c>
      <c r="D89" s="20">
        <v>6532</v>
      </c>
      <c r="E89" s="20">
        <v>6685</v>
      </c>
      <c r="F89" s="20">
        <v>5365</v>
      </c>
      <c r="G89" s="20">
        <v>4779</v>
      </c>
      <c r="H89" s="20">
        <v>4591</v>
      </c>
      <c r="I89" s="20">
        <v>4290</v>
      </c>
      <c r="J89" s="20">
        <v>3755</v>
      </c>
      <c r="K89" s="20">
        <v>4000</v>
      </c>
      <c r="L89" s="20">
        <v>3947</v>
      </c>
      <c r="M89" s="20">
        <v>3696</v>
      </c>
      <c r="N89" s="20">
        <v>3468</v>
      </c>
      <c r="O89" s="20">
        <v>3328</v>
      </c>
      <c r="P89" s="20">
        <v>2549</v>
      </c>
      <c r="Q89" s="20">
        <v>2043</v>
      </c>
      <c r="R89" s="20">
        <v>2195</v>
      </c>
      <c r="S89" s="20">
        <v>2800</v>
      </c>
      <c r="T89" s="20">
        <v>3110</v>
      </c>
      <c r="U89" s="20">
        <v>3085</v>
      </c>
      <c r="V89" s="20">
        <v>4236</v>
      </c>
      <c r="W89" s="20">
        <v>5664</v>
      </c>
      <c r="X89" s="20" t="s">
        <v>135</v>
      </c>
    </row>
    <row r="90" spans="1:24" x14ac:dyDescent="0.2">
      <c r="A90" s="4" t="s">
        <v>227</v>
      </c>
      <c r="B90" s="71">
        <v>34724</v>
      </c>
      <c r="C90" s="71">
        <v>34589</v>
      </c>
      <c r="D90" s="71">
        <v>34154</v>
      </c>
      <c r="E90" s="71">
        <v>35472</v>
      </c>
      <c r="F90" s="71">
        <v>35207</v>
      </c>
      <c r="G90" s="71">
        <v>30986</v>
      </c>
      <c r="H90" s="71">
        <v>30175</v>
      </c>
      <c r="I90" s="71">
        <v>29537</v>
      </c>
      <c r="J90" s="71">
        <v>26584</v>
      </c>
      <c r="K90" s="71">
        <v>28412</v>
      </c>
      <c r="L90" s="71">
        <v>34759</v>
      </c>
      <c r="M90" s="71">
        <v>34151</v>
      </c>
      <c r="N90" s="71">
        <v>32209</v>
      </c>
      <c r="O90" s="71">
        <v>31003</v>
      </c>
      <c r="P90" s="71">
        <v>29977</v>
      </c>
      <c r="Q90" s="71">
        <v>29865</v>
      </c>
      <c r="R90" s="71">
        <v>29714</v>
      </c>
      <c r="S90" s="71">
        <v>29888</v>
      </c>
      <c r="T90" s="71">
        <v>29768</v>
      </c>
      <c r="U90" s="71">
        <v>30000</v>
      </c>
      <c r="V90" s="71">
        <v>31000</v>
      </c>
      <c r="W90" s="71">
        <v>33000</v>
      </c>
      <c r="X90" s="71" t="s">
        <v>135</v>
      </c>
    </row>
    <row r="91" spans="1:24" x14ac:dyDescent="0.2">
      <c r="A91" s="4" t="s">
        <v>228</v>
      </c>
      <c r="B91" s="20">
        <v>61</v>
      </c>
      <c r="C91" s="20">
        <v>60</v>
      </c>
      <c r="D91" s="20">
        <v>47</v>
      </c>
      <c r="E91" s="20">
        <v>41</v>
      </c>
      <c r="F91" s="20">
        <v>34</v>
      </c>
      <c r="G91" s="20">
        <v>26</v>
      </c>
      <c r="H91" s="20">
        <v>26</v>
      </c>
      <c r="I91" s="20">
        <v>30</v>
      </c>
      <c r="J91" s="20">
        <v>23</v>
      </c>
      <c r="K91" s="20">
        <v>18</v>
      </c>
      <c r="L91" s="20">
        <v>19</v>
      </c>
      <c r="M91" s="20">
        <v>31</v>
      </c>
      <c r="N91" s="20">
        <v>22</v>
      </c>
      <c r="O91" s="20">
        <v>12</v>
      </c>
      <c r="P91" s="20">
        <v>7</v>
      </c>
      <c r="Q91" s="20">
        <v>17</v>
      </c>
      <c r="R91" s="20">
        <v>8</v>
      </c>
      <c r="S91" s="20">
        <v>19</v>
      </c>
      <c r="T91" s="20">
        <v>8</v>
      </c>
      <c r="U91" s="20">
        <v>11</v>
      </c>
      <c r="V91" s="20">
        <v>8</v>
      </c>
      <c r="W91" s="20">
        <v>13</v>
      </c>
      <c r="X91" s="20">
        <v>15</v>
      </c>
    </row>
    <row r="92" spans="1:24" x14ac:dyDescent="0.2">
      <c r="A92" s="4" t="s">
        <v>146</v>
      </c>
      <c r="B92" s="29">
        <v>38044</v>
      </c>
      <c r="C92" s="29">
        <v>38411</v>
      </c>
      <c r="D92" s="29">
        <v>38776</v>
      </c>
      <c r="E92" s="29">
        <v>39141</v>
      </c>
      <c r="F92" s="29">
        <v>39504</v>
      </c>
      <c r="G92" s="29">
        <v>39868</v>
      </c>
      <c r="H92" s="29">
        <v>40232</v>
      </c>
      <c r="I92" s="29">
        <v>40599</v>
      </c>
      <c r="J92" s="29">
        <v>40963</v>
      </c>
      <c r="K92" s="29">
        <v>41327</v>
      </c>
      <c r="L92" s="29">
        <v>41694</v>
      </c>
      <c r="M92" s="29">
        <v>42059</v>
      </c>
      <c r="N92" s="29">
        <v>42424</v>
      </c>
      <c r="O92" s="29">
        <v>42789</v>
      </c>
      <c r="P92" s="29">
        <v>43153</v>
      </c>
      <c r="Q92" s="29">
        <v>43518</v>
      </c>
      <c r="R92" s="29">
        <v>43881</v>
      </c>
      <c r="S92" s="29">
        <v>44232</v>
      </c>
      <c r="T92" s="29">
        <v>44596</v>
      </c>
      <c r="U92" s="29">
        <v>44960</v>
      </c>
      <c r="V92" s="29">
        <v>44960</v>
      </c>
      <c r="W92" s="29">
        <v>44960</v>
      </c>
      <c r="X92" s="29">
        <v>45224</v>
      </c>
    </row>
    <row r="93" spans="1:24" x14ac:dyDescent="0.2">
      <c r="A93" s="4" t="s">
        <v>147</v>
      </c>
      <c r="B93" s="24" t="s">
        <v>148</v>
      </c>
      <c r="C93" s="24" t="s">
        <v>148</v>
      </c>
      <c r="D93" s="24" t="s">
        <v>148</v>
      </c>
      <c r="E93" s="24" t="s">
        <v>339</v>
      </c>
      <c r="F93" s="24" t="s">
        <v>340</v>
      </c>
      <c r="G93" s="24" t="s">
        <v>148</v>
      </c>
      <c r="H93" s="24" t="s">
        <v>148</v>
      </c>
      <c r="I93" s="24" t="s">
        <v>148</v>
      </c>
      <c r="J93" s="24" t="s">
        <v>148</v>
      </c>
      <c r="K93" s="24" t="s">
        <v>148</v>
      </c>
      <c r="L93" s="24" t="s">
        <v>148</v>
      </c>
      <c r="M93" s="24" t="s">
        <v>148</v>
      </c>
      <c r="N93" s="24" t="s">
        <v>148</v>
      </c>
      <c r="O93" s="24" t="s">
        <v>341</v>
      </c>
      <c r="P93" s="24" t="s">
        <v>148</v>
      </c>
      <c r="Q93" s="24" t="s">
        <v>148</v>
      </c>
      <c r="R93" s="24" t="s">
        <v>148</v>
      </c>
      <c r="S93" s="24" t="s">
        <v>148</v>
      </c>
      <c r="T93" s="24" t="s">
        <v>148</v>
      </c>
      <c r="U93" s="24" t="s">
        <v>148</v>
      </c>
      <c r="V93" s="24" t="s">
        <v>148</v>
      </c>
      <c r="W93" s="24" t="s">
        <v>149</v>
      </c>
      <c r="X93" s="24" t="s">
        <v>149</v>
      </c>
    </row>
    <row r="94" spans="1:24" x14ac:dyDescent="0.2">
      <c r="A94" s="4" t="s">
        <v>150</v>
      </c>
      <c r="B94" s="24" t="s">
        <v>229</v>
      </c>
      <c r="C94" s="24" t="s">
        <v>229</v>
      </c>
      <c r="D94" s="24" t="s">
        <v>229</v>
      </c>
      <c r="E94" s="24" t="s">
        <v>229</v>
      </c>
      <c r="F94" s="24" t="s">
        <v>229</v>
      </c>
      <c r="G94" s="24" t="s">
        <v>229</v>
      </c>
      <c r="H94" s="24" t="s">
        <v>229</v>
      </c>
      <c r="I94" s="24" t="s">
        <v>229</v>
      </c>
      <c r="J94" s="24" t="s">
        <v>229</v>
      </c>
      <c r="K94" s="24" t="s">
        <v>229</v>
      </c>
      <c r="L94" s="24" t="s">
        <v>229</v>
      </c>
      <c r="M94" s="24" t="s">
        <v>229</v>
      </c>
      <c r="N94" s="24" t="s">
        <v>229</v>
      </c>
      <c r="O94" s="24" t="s">
        <v>229</v>
      </c>
      <c r="P94" s="24" t="s">
        <v>229</v>
      </c>
      <c r="Q94" s="24" t="s">
        <v>229</v>
      </c>
      <c r="R94" s="24" t="s">
        <v>229</v>
      </c>
      <c r="S94" s="24" t="s">
        <v>229</v>
      </c>
      <c r="T94" s="24" t="s">
        <v>229</v>
      </c>
      <c r="U94" s="24" t="s">
        <v>229</v>
      </c>
      <c r="V94" s="24" t="s">
        <v>151</v>
      </c>
      <c r="W94" s="24" t="s">
        <v>151</v>
      </c>
      <c r="X94" s="24" t="s">
        <v>151</v>
      </c>
    </row>
    <row r="95" spans="1:24" x14ac:dyDescent="0.2">
      <c r="A95" s="4"/>
      <c r="B95" s="4"/>
      <c r="C95" s="4"/>
      <c r="D95" s="4"/>
      <c r="E95" s="4"/>
      <c r="F95" s="4"/>
      <c r="G95" s="4"/>
      <c r="H95" s="4"/>
      <c r="I95" s="4"/>
      <c r="J95" s="4"/>
      <c r="K95" s="4"/>
      <c r="L95" s="4"/>
      <c r="M95" s="4"/>
      <c r="N95" s="4"/>
      <c r="O95" s="4"/>
      <c r="P95" s="4"/>
      <c r="Q95" s="4"/>
      <c r="R95" s="4"/>
      <c r="S95" s="4"/>
      <c r="T95" s="4"/>
      <c r="U95" s="4"/>
      <c r="V95" s="4"/>
      <c r="W95" s="4"/>
      <c r="X95" s="4"/>
    </row>
    <row r="96" spans="1:24"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row>
    <row r="97" spans="1:1" x14ac:dyDescent="0.2">
      <c r="A97" t="s">
        <v>230</v>
      </c>
    </row>
    <row r="98" spans="1:1" x14ac:dyDescent="0.2">
      <c r="A98" s="25" t="s">
        <v>67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BD8E8-95EC-4A98-BDE7-6A9D5F5F24E9}">
  <dimension ref="A5:IU78"/>
  <sheetViews>
    <sheetView topLeftCell="A6" workbookViewId="0">
      <selection activeCell="V37" sqref="V37"/>
    </sheetView>
  </sheetViews>
  <sheetFormatPr defaultRowHeight="10" x14ac:dyDescent="0.2"/>
  <cols>
    <col min="1" max="1" width="45.81640625" style="34" customWidth="1"/>
    <col min="2" max="24" width="14.81640625" style="34" customWidth="1"/>
    <col min="25" max="256" width="8.90625" style="34"/>
    <col min="257" max="257" width="45.81640625" style="34" customWidth="1"/>
    <col min="258" max="280" width="14.81640625" style="34" customWidth="1"/>
    <col min="281" max="512" width="8.90625" style="34"/>
    <col min="513" max="513" width="45.81640625" style="34" customWidth="1"/>
    <col min="514" max="536" width="14.81640625" style="34" customWidth="1"/>
    <col min="537" max="768" width="8.90625" style="34"/>
    <col min="769" max="769" width="45.81640625" style="34" customWidth="1"/>
    <col min="770" max="792" width="14.81640625" style="34" customWidth="1"/>
    <col min="793" max="1024" width="8.90625" style="34"/>
    <col min="1025" max="1025" width="45.81640625" style="34" customWidth="1"/>
    <col min="1026" max="1048" width="14.81640625" style="34" customWidth="1"/>
    <col min="1049" max="1280" width="8.90625" style="34"/>
    <col min="1281" max="1281" width="45.81640625" style="34" customWidth="1"/>
    <col min="1282" max="1304" width="14.81640625" style="34" customWidth="1"/>
    <col min="1305" max="1536" width="8.90625" style="34"/>
    <col min="1537" max="1537" width="45.81640625" style="34" customWidth="1"/>
    <col min="1538" max="1560" width="14.81640625" style="34" customWidth="1"/>
    <col min="1561" max="1792" width="8.90625" style="34"/>
    <col min="1793" max="1793" width="45.81640625" style="34" customWidth="1"/>
    <col min="1794" max="1816" width="14.81640625" style="34" customWidth="1"/>
    <col min="1817" max="2048" width="8.90625" style="34"/>
    <col min="2049" max="2049" width="45.81640625" style="34" customWidth="1"/>
    <col min="2050" max="2072" width="14.81640625" style="34" customWidth="1"/>
    <col min="2073" max="2304" width="8.90625" style="34"/>
    <col min="2305" max="2305" width="45.81640625" style="34" customWidth="1"/>
    <col min="2306" max="2328" width="14.81640625" style="34" customWidth="1"/>
    <col min="2329" max="2560" width="8.90625" style="34"/>
    <col min="2561" max="2561" width="45.81640625" style="34" customWidth="1"/>
    <col min="2562" max="2584" width="14.81640625" style="34" customWidth="1"/>
    <col min="2585" max="2816" width="8.90625" style="34"/>
    <col min="2817" max="2817" width="45.81640625" style="34" customWidth="1"/>
    <col min="2818" max="2840" width="14.81640625" style="34" customWidth="1"/>
    <col min="2841" max="3072" width="8.90625" style="34"/>
    <col min="3073" max="3073" width="45.81640625" style="34" customWidth="1"/>
    <col min="3074" max="3096" width="14.81640625" style="34" customWidth="1"/>
    <col min="3097" max="3328" width="8.90625" style="34"/>
    <col min="3329" max="3329" width="45.81640625" style="34" customWidth="1"/>
    <col min="3330" max="3352" width="14.81640625" style="34" customWidth="1"/>
    <col min="3353" max="3584" width="8.90625" style="34"/>
    <col min="3585" max="3585" width="45.81640625" style="34" customWidth="1"/>
    <col min="3586" max="3608" width="14.81640625" style="34" customWidth="1"/>
    <col min="3609" max="3840" width="8.90625" style="34"/>
    <col min="3841" max="3841" width="45.81640625" style="34" customWidth="1"/>
    <col min="3842" max="3864" width="14.81640625" style="34" customWidth="1"/>
    <col min="3865" max="4096" width="8.90625" style="34"/>
    <col min="4097" max="4097" width="45.81640625" style="34" customWidth="1"/>
    <col min="4098" max="4120" width="14.81640625" style="34" customWidth="1"/>
    <col min="4121" max="4352" width="8.90625" style="34"/>
    <col min="4353" max="4353" width="45.81640625" style="34" customWidth="1"/>
    <col min="4354" max="4376" width="14.81640625" style="34" customWidth="1"/>
    <col min="4377" max="4608" width="8.90625" style="34"/>
    <col min="4609" max="4609" width="45.81640625" style="34" customWidth="1"/>
    <col min="4610" max="4632" width="14.81640625" style="34" customWidth="1"/>
    <col min="4633" max="4864" width="8.90625" style="34"/>
    <col min="4865" max="4865" width="45.81640625" style="34" customWidth="1"/>
    <col min="4866" max="4888" width="14.81640625" style="34" customWidth="1"/>
    <col min="4889" max="5120" width="8.90625" style="34"/>
    <col min="5121" max="5121" width="45.81640625" style="34" customWidth="1"/>
    <col min="5122" max="5144" width="14.81640625" style="34" customWidth="1"/>
    <col min="5145" max="5376" width="8.90625" style="34"/>
    <col min="5377" max="5377" width="45.81640625" style="34" customWidth="1"/>
    <col min="5378" max="5400" width="14.81640625" style="34" customWidth="1"/>
    <col min="5401" max="5632" width="8.90625" style="34"/>
    <col min="5633" max="5633" width="45.81640625" style="34" customWidth="1"/>
    <col min="5634" max="5656" width="14.81640625" style="34" customWidth="1"/>
    <col min="5657" max="5888" width="8.90625" style="34"/>
    <col min="5889" max="5889" width="45.81640625" style="34" customWidth="1"/>
    <col min="5890" max="5912" width="14.81640625" style="34" customWidth="1"/>
    <col min="5913" max="6144" width="8.90625" style="34"/>
    <col min="6145" max="6145" width="45.81640625" style="34" customWidth="1"/>
    <col min="6146" max="6168" width="14.81640625" style="34" customWidth="1"/>
    <col min="6169" max="6400" width="8.90625" style="34"/>
    <col min="6401" max="6401" width="45.81640625" style="34" customWidth="1"/>
    <col min="6402" max="6424" width="14.81640625" style="34" customWidth="1"/>
    <col min="6425" max="6656" width="8.90625" style="34"/>
    <col min="6657" max="6657" width="45.81640625" style="34" customWidth="1"/>
    <col min="6658" max="6680" width="14.81640625" style="34" customWidth="1"/>
    <col min="6681" max="6912" width="8.90625" style="34"/>
    <col min="6913" max="6913" width="45.81640625" style="34" customWidth="1"/>
    <col min="6914" max="6936" width="14.81640625" style="34" customWidth="1"/>
    <col min="6937" max="7168" width="8.90625" style="34"/>
    <col min="7169" max="7169" width="45.81640625" style="34" customWidth="1"/>
    <col min="7170" max="7192" width="14.81640625" style="34" customWidth="1"/>
    <col min="7193" max="7424" width="8.90625" style="34"/>
    <col min="7425" max="7425" width="45.81640625" style="34" customWidth="1"/>
    <col min="7426" max="7448" width="14.81640625" style="34" customWidth="1"/>
    <col min="7449" max="7680" width="8.90625" style="34"/>
    <col min="7681" max="7681" width="45.81640625" style="34" customWidth="1"/>
    <col min="7682" max="7704" width="14.81640625" style="34" customWidth="1"/>
    <col min="7705" max="7936" width="8.90625" style="34"/>
    <col min="7937" max="7937" width="45.81640625" style="34" customWidth="1"/>
    <col min="7938" max="7960" width="14.81640625" style="34" customWidth="1"/>
    <col min="7961" max="8192" width="8.90625" style="34"/>
    <col min="8193" max="8193" width="45.81640625" style="34" customWidth="1"/>
    <col min="8194" max="8216" width="14.81640625" style="34" customWidth="1"/>
    <col min="8217" max="8448" width="8.90625" style="34"/>
    <col min="8449" max="8449" width="45.81640625" style="34" customWidth="1"/>
    <col min="8450" max="8472" width="14.81640625" style="34" customWidth="1"/>
    <col min="8473" max="8704" width="8.90625" style="34"/>
    <col min="8705" max="8705" width="45.81640625" style="34" customWidth="1"/>
    <col min="8706" max="8728" width="14.81640625" style="34" customWidth="1"/>
    <col min="8729" max="8960" width="8.90625" style="34"/>
    <col min="8961" max="8961" width="45.81640625" style="34" customWidth="1"/>
    <col min="8962" max="8984" width="14.81640625" style="34" customWidth="1"/>
    <col min="8985" max="9216" width="8.90625" style="34"/>
    <col min="9217" max="9217" width="45.81640625" style="34" customWidth="1"/>
    <col min="9218" max="9240" width="14.81640625" style="34" customWidth="1"/>
    <col min="9241" max="9472" width="8.90625" style="34"/>
    <col min="9473" max="9473" width="45.81640625" style="34" customWidth="1"/>
    <col min="9474" max="9496" width="14.81640625" style="34" customWidth="1"/>
    <col min="9497" max="9728" width="8.90625" style="34"/>
    <col min="9729" max="9729" width="45.81640625" style="34" customWidth="1"/>
    <col min="9730" max="9752" width="14.81640625" style="34" customWidth="1"/>
    <col min="9753" max="9984" width="8.90625" style="34"/>
    <col min="9985" max="9985" width="45.81640625" style="34" customWidth="1"/>
    <col min="9986" max="10008" width="14.81640625" style="34" customWidth="1"/>
    <col min="10009" max="10240" width="8.90625" style="34"/>
    <col min="10241" max="10241" width="45.81640625" style="34" customWidth="1"/>
    <col min="10242" max="10264" width="14.81640625" style="34" customWidth="1"/>
    <col min="10265" max="10496" width="8.90625" style="34"/>
    <col min="10497" max="10497" width="45.81640625" style="34" customWidth="1"/>
    <col min="10498" max="10520" width="14.81640625" style="34" customWidth="1"/>
    <col min="10521" max="10752" width="8.90625" style="34"/>
    <col min="10753" max="10753" width="45.81640625" style="34" customWidth="1"/>
    <col min="10754" max="10776" width="14.81640625" style="34" customWidth="1"/>
    <col min="10777" max="11008" width="8.90625" style="34"/>
    <col min="11009" max="11009" width="45.81640625" style="34" customWidth="1"/>
    <col min="11010" max="11032" width="14.81640625" style="34" customWidth="1"/>
    <col min="11033" max="11264" width="8.90625" style="34"/>
    <col min="11265" max="11265" width="45.81640625" style="34" customWidth="1"/>
    <col min="11266" max="11288" width="14.81640625" style="34" customWidth="1"/>
    <col min="11289" max="11520" width="8.90625" style="34"/>
    <col min="11521" max="11521" width="45.81640625" style="34" customWidth="1"/>
    <col min="11522" max="11544" width="14.81640625" style="34" customWidth="1"/>
    <col min="11545" max="11776" width="8.90625" style="34"/>
    <col min="11777" max="11777" width="45.81640625" style="34" customWidth="1"/>
    <col min="11778" max="11800" width="14.81640625" style="34" customWidth="1"/>
    <col min="11801" max="12032" width="8.90625" style="34"/>
    <col min="12033" max="12033" width="45.81640625" style="34" customWidth="1"/>
    <col min="12034" max="12056" width="14.81640625" style="34" customWidth="1"/>
    <col min="12057" max="12288" width="8.90625" style="34"/>
    <col min="12289" max="12289" width="45.81640625" style="34" customWidth="1"/>
    <col min="12290" max="12312" width="14.81640625" style="34" customWidth="1"/>
    <col min="12313" max="12544" width="8.90625" style="34"/>
    <col min="12545" max="12545" width="45.81640625" style="34" customWidth="1"/>
    <col min="12546" max="12568" width="14.81640625" style="34" customWidth="1"/>
    <col min="12569" max="12800" width="8.90625" style="34"/>
    <col min="12801" max="12801" width="45.81640625" style="34" customWidth="1"/>
    <col min="12802" max="12824" width="14.81640625" style="34" customWidth="1"/>
    <col min="12825" max="13056" width="8.90625" style="34"/>
    <col min="13057" max="13057" width="45.81640625" style="34" customWidth="1"/>
    <col min="13058" max="13080" width="14.81640625" style="34" customWidth="1"/>
    <col min="13081" max="13312" width="8.90625" style="34"/>
    <col min="13313" max="13313" width="45.81640625" style="34" customWidth="1"/>
    <col min="13314" max="13336" width="14.81640625" style="34" customWidth="1"/>
    <col min="13337" max="13568" width="8.90625" style="34"/>
    <col min="13569" max="13569" width="45.81640625" style="34" customWidth="1"/>
    <col min="13570" max="13592" width="14.81640625" style="34" customWidth="1"/>
    <col min="13593" max="13824" width="8.90625" style="34"/>
    <col min="13825" max="13825" width="45.81640625" style="34" customWidth="1"/>
    <col min="13826" max="13848" width="14.81640625" style="34" customWidth="1"/>
    <col min="13849" max="14080" width="8.90625" style="34"/>
    <col min="14081" max="14081" width="45.81640625" style="34" customWidth="1"/>
    <col min="14082" max="14104" width="14.81640625" style="34" customWidth="1"/>
    <col min="14105" max="14336" width="8.90625" style="34"/>
    <col min="14337" max="14337" width="45.81640625" style="34" customWidth="1"/>
    <col min="14338" max="14360" width="14.81640625" style="34" customWidth="1"/>
    <col min="14361" max="14592" width="8.90625" style="34"/>
    <col min="14593" max="14593" width="45.81640625" style="34" customWidth="1"/>
    <col min="14594" max="14616" width="14.81640625" style="34" customWidth="1"/>
    <col min="14617" max="14848" width="8.90625" style="34"/>
    <col min="14849" max="14849" width="45.81640625" style="34" customWidth="1"/>
    <col min="14850" max="14872" width="14.81640625" style="34" customWidth="1"/>
    <col min="14873" max="15104" width="8.90625" style="34"/>
    <col min="15105" max="15105" width="45.81640625" style="34" customWidth="1"/>
    <col min="15106" max="15128" width="14.81640625" style="34" customWidth="1"/>
    <col min="15129" max="15360" width="8.90625" style="34"/>
    <col min="15361" max="15361" width="45.81640625" style="34" customWidth="1"/>
    <col min="15362" max="15384" width="14.81640625" style="34" customWidth="1"/>
    <col min="15385" max="15616" width="8.90625" style="34"/>
    <col min="15617" max="15617" width="45.81640625" style="34" customWidth="1"/>
    <col min="15618" max="15640" width="14.81640625" style="34" customWidth="1"/>
    <col min="15641" max="15872" width="8.90625" style="34"/>
    <col min="15873" max="15873" width="45.81640625" style="34" customWidth="1"/>
    <col min="15874" max="15896" width="14.81640625" style="34" customWidth="1"/>
    <col min="15897" max="16128" width="8.90625" style="34"/>
    <col min="16129" max="16129" width="45.81640625" style="34" customWidth="1"/>
    <col min="16130" max="16152" width="14.81640625" style="34" customWidth="1"/>
    <col min="16153" max="16384" width="8.90625" style="34"/>
  </cols>
  <sheetData>
    <row r="5" spans="1:255" ht="17" x14ac:dyDescent="0.35">
      <c r="A5" s="76" t="s">
        <v>231</v>
      </c>
    </row>
    <row r="7" spans="1:255" ht="10.5" x14ac:dyDescent="0.25">
      <c r="A7" s="77" t="s">
        <v>69</v>
      </c>
      <c r="B7" s="33" t="s">
        <v>70</v>
      </c>
      <c r="C7" s="34" t="s">
        <v>71</v>
      </c>
      <c r="D7" s="78" t="s">
        <v>4</v>
      </c>
      <c r="E7" s="33" t="s">
        <v>72</v>
      </c>
      <c r="F7" s="34" t="s">
        <v>73</v>
      </c>
    </row>
    <row r="8" spans="1:255" ht="10.5" x14ac:dyDescent="0.25">
      <c r="A8" s="78"/>
      <c r="B8" s="33" t="s">
        <v>74</v>
      </c>
      <c r="C8" s="34" t="s">
        <v>75</v>
      </c>
      <c r="D8" s="78" t="s">
        <v>4</v>
      </c>
      <c r="E8" s="33" t="s">
        <v>7</v>
      </c>
      <c r="F8" s="34" t="s">
        <v>8</v>
      </c>
    </row>
    <row r="9" spans="1:255" ht="10.5" x14ac:dyDescent="0.25">
      <c r="A9" s="78"/>
      <c r="B9" s="33" t="s">
        <v>2</v>
      </c>
      <c r="C9" s="34" t="s">
        <v>76</v>
      </c>
      <c r="D9" s="78" t="s">
        <v>4</v>
      </c>
      <c r="E9" s="33" t="s">
        <v>5</v>
      </c>
      <c r="F9" s="34" t="s">
        <v>314</v>
      </c>
    </row>
    <row r="10" spans="1:255" ht="10.5" x14ac:dyDescent="0.25">
      <c r="A10" s="78"/>
      <c r="B10" s="33" t="s">
        <v>9</v>
      </c>
      <c r="C10" s="34" t="s">
        <v>10</v>
      </c>
      <c r="D10" s="78" t="s">
        <v>4</v>
      </c>
      <c r="E10" s="33" t="s">
        <v>11</v>
      </c>
      <c r="F10" s="79" t="s">
        <v>12</v>
      </c>
    </row>
    <row r="11" spans="1:255" ht="10.5" x14ac:dyDescent="0.25">
      <c r="A11" s="78"/>
      <c r="B11" s="33" t="s">
        <v>77</v>
      </c>
      <c r="C11" s="34" t="s">
        <v>78</v>
      </c>
      <c r="D11" s="78" t="s">
        <v>4</v>
      </c>
      <c r="E11" s="80"/>
      <c r="F11" s="80"/>
    </row>
    <row r="14" spans="1:255" x14ac:dyDescent="0.2">
      <c r="A14" s="81" t="s">
        <v>232</v>
      </c>
      <c r="B14" s="81"/>
      <c r="C14" s="81"/>
      <c r="D14" s="81"/>
      <c r="E14" s="81"/>
      <c r="F14" s="81"/>
      <c r="G14" s="81"/>
      <c r="H14" s="81"/>
      <c r="I14" s="81"/>
      <c r="J14" s="81"/>
      <c r="K14" s="81"/>
      <c r="L14" s="81"/>
      <c r="M14" s="81"/>
      <c r="N14" s="81"/>
      <c r="O14" s="81"/>
      <c r="P14" s="81"/>
      <c r="Q14" s="81"/>
      <c r="R14" s="81"/>
      <c r="S14" s="81"/>
      <c r="T14" s="81"/>
      <c r="U14" s="81"/>
      <c r="V14" s="81"/>
      <c r="W14" s="81"/>
      <c r="X14" s="81"/>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c r="GK14" s="68"/>
      <c r="GL14" s="68"/>
      <c r="GM14" s="68"/>
      <c r="GN14" s="68"/>
      <c r="GO14" s="68"/>
      <c r="GP14" s="68"/>
      <c r="GQ14" s="68"/>
      <c r="GR14" s="68"/>
      <c r="GS14" s="68"/>
      <c r="GT14" s="68"/>
      <c r="GU14" s="68"/>
      <c r="GV14" s="68"/>
      <c r="GW14" s="68"/>
      <c r="GX14" s="68"/>
      <c r="GY14" s="68"/>
      <c r="GZ14" s="68"/>
      <c r="HA14" s="68"/>
      <c r="HB14" s="68"/>
      <c r="HC14" s="68"/>
      <c r="HD14" s="68"/>
      <c r="HE14" s="68"/>
      <c r="HF14" s="68"/>
      <c r="HG14" s="68"/>
      <c r="HH14" s="68"/>
      <c r="HI14" s="68"/>
      <c r="HJ14" s="68"/>
      <c r="HK14" s="68"/>
      <c r="HL14" s="68"/>
      <c r="HM14" s="68"/>
      <c r="HN14" s="68"/>
      <c r="HO14" s="68"/>
      <c r="HP14" s="68"/>
      <c r="HQ14" s="68"/>
      <c r="HR14" s="68"/>
      <c r="HS14" s="68"/>
      <c r="HT14" s="68"/>
      <c r="HU14" s="68"/>
      <c r="HV14" s="68"/>
      <c r="HW14" s="68"/>
      <c r="HX14" s="68"/>
      <c r="HY14" s="68"/>
      <c r="HZ14" s="68"/>
      <c r="IA14" s="68"/>
      <c r="IB14" s="68"/>
      <c r="IC14" s="68"/>
      <c r="ID14" s="68"/>
      <c r="IE14" s="68"/>
      <c r="IF14" s="68"/>
      <c r="IG14" s="68"/>
      <c r="IH14" s="68"/>
      <c r="II14" s="68"/>
      <c r="IJ14" s="68"/>
      <c r="IK14" s="68"/>
      <c r="IL14" s="68"/>
      <c r="IM14" s="68"/>
      <c r="IN14" s="68"/>
      <c r="IO14" s="68"/>
      <c r="IP14" s="68"/>
      <c r="IQ14" s="68"/>
      <c r="IR14" s="68"/>
      <c r="IS14" s="68"/>
      <c r="IT14" s="68"/>
      <c r="IU14" s="68"/>
    </row>
    <row r="15" spans="1:255" ht="31.5" x14ac:dyDescent="0.25">
      <c r="A15" s="82" t="s">
        <v>16</v>
      </c>
      <c r="B15" s="83" t="s">
        <v>315</v>
      </c>
      <c r="C15" s="83" t="s">
        <v>351</v>
      </c>
      <c r="D15" s="83" t="s">
        <v>317</v>
      </c>
      <c r="E15" s="83" t="s">
        <v>318</v>
      </c>
      <c r="F15" s="83" t="s">
        <v>319</v>
      </c>
      <c r="G15" s="83" t="s">
        <v>352</v>
      </c>
      <c r="H15" s="83" t="s">
        <v>321</v>
      </c>
      <c r="I15" s="83" t="s">
        <v>353</v>
      </c>
      <c r="J15" s="83" t="s">
        <v>323</v>
      </c>
      <c r="K15" s="83" t="s">
        <v>354</v>
      </c>
      <c r="L15" s="83" t="s">
        <v>325</v>
      </c>
      <c r="M15" s="83" t="s">
        <v>326</v>
      </c>
      <c r="N15" s="83" t="s">
        <v>355</v>
      </c>
      <c r="O15" s="83" t="s">
        <v>356</v>
      </c>
      <c r="P15" s="83" t="s">
        <v>357</v>
      </c>
      <c r="Q15" s="83" t="s">
        <v>358</v>
      </c>
      <c r="R15" s="83" t="s">
        <v>273</v>
      </c>
      <c r="S15" s="83" t="s">
        <v>80</v>
      </c>
      <c r="T15" s="83" t="s">
        <v>81</v>
      </c>
      <c r="U15" s="83" t="s">
        <v>82</v>
      </c>
      <c r="V15" s="83" t="s">
        <v>83</v>
      </c>
      <c r="W15" s="83" t="s">
        <v>84</v>
      </c>
      <c r="X15" s="83" t="s">
        <v>85</v>
      </c>
    </row>
    <row r="16" spans="1:255" x14ac:dyDescent="0.2">
      <c r="A16" s="84" t="s">
        <v>25</v>
      </c>
      <c r="B16" s="85" t="s">
        <v>26</v>
      </c>
      <c r="C16" s="85" t="s">
        <v>26</v>
      </c>
      <c r="D16" s="85" t="s">
        <v>26</v>
      </c>
      <c r="E16" s="85" t="s">
        <v>26</v>
      </c>
      <c r="F16" s="85" t="s">
        <v>26</v>
      </c>
      <c r="G16" s="85" t="s">
        <v>26</v>
      </c>
      <c r="H16" s="85" t="s">
        <v>26</v>
      </c>
      <c r="I16" s="85" t="s">
        <v>26</v>
      </c>
      <c r="J16" s="85" t="s">
        <v>26</v>
      </c>
      <c r="K16" s="85" t="s">
        <v>26</v>
      </c>
      <c r="L16" s="85" t="s">
        <v>26</v>
      </c>
      <c r="M16" s="85" t="s">
        <v>26</v>
      </c>
      <c r="N16" s="85" t="s">
        <v>26</v>
      </c>
      <c r="O16" s="85" t="s">
        <v>26</v>
      </c>
      <c r="P16" s="85" t="s">
        <v>26</v>
      </c>
      <c r="Q16" s="85" t="s">
        <v>26</v>
      </c>
      <c r="R16" s="85" t="s">
        <v>26</v>
      </c>
      <c r="S16" s="85" t="s">
        <v>26</v>
      </c>
      <c r="T16" s="85" t="s">
        <v>26</v>
      </c>
      <c r="U16" s="85" t="s">
        <v>26</v>
      </c>
      <c r="V16" s="85" t="s">
        <v>26</v>
      </c>
      <c r="W16" s="85" t="s">
        <v>26</v>
      </c>
      <c r="X16" s="85" t="s">
        <v>26</v>
      </c>
    </row>
    <row r="17" spans="1:24" ht="10.5" x14ac:dyDescent="0.2">
      <c r="A17" s="86" t="s">
        <v>86</v>
      </c>
      <c r="B17" s="78"/>
      <c r="C17" s="78"/>
      <c r="D17" s="78"/>
      <c r="E17" s="78"/>
      <c r="F17" s="78"/>
      <c r="G17" s="78"/>
      <c r="H17" s="78"/>
      <c r="I17" s="78"/>
      <c r="J17" s="78"/>
      <c r="K17" s="78"/>
      <c r="L17" s="78"/>
      <c r="M17" s="78"/>
      <c r="N17" s="78"/>
      <c r="O17" s="78"/>
      <c r="P17" s="78"/>
      <c r="Q17" s="78"/>
      <c r="R17" s="78"/>
      <c r="S17" s="78"/>
      <c r="T17" s="78"/>
      <c r="U17" s="78"/>
      <c r="V17" s="78"/>
      <c r="W17" s="78"/>
      <c r="X17" s="78"/>
    </row>
    <row r="18" spans="1:24" ht="10.5" x14ac:dyDescent="0.2">
      <c r="A18" s="86" t="s">
        <v>35</v>
      </c>
      <c r="B18" s="87">
        <v>-201</v>
      </c>
      <c r="C18" s="87">
        <v>-344</v>
      </c>
      <c r="D18" s="87">
        <v>1198</v>
      </c>
      <c r="E18" s="87">
        <v>1861</v>
      </c>
      <c r="F18" s="87">
        <v>2324</v>
      </c>
      <c r="G18" s="87">
        <v>4341</v>
      </c>
      <c r="H18" s="87">
        <v>2657</v>
      </c>
      <c r="I18" s="87">
        <v>1920</v>
      </c>
      <c r="J18" s="87">
        <v>1470</v>
      </c>
      <c r="K18" s="87">
        <v>3228</v>
      </c>
      <c r="L18" s="87">
        <v>2236</v>
      </c>
      <c r="M18" s="87">
        <v>1759</v>
      </c>
      <c r="N18" s="87">
        <v>2162</v>
      </c>
      <c r="O18" s="87">
        <v>2821</v>
      </c>
      <c r="P18" s="87">
        <v>2986</v>
      </c>
      <c r="Q18" s="87">
        <v>3595</v>
      </c>
      <c r="R18" s="87">
        <v>3682</v>
      </c>
      <c r="S18" s="87">
        <v>5580</v>
      </c>
      <c r="T18" s="87">
        <v>5017</v>
      </c>
      <c r="U18" s="87">
        <v>5595</v>
      </c>
      <c r="V18" s="87">
        <v>7769</v>
      </c>
      <c r="W18" s="87">
        <v>8749</v>
      </c>
      <c r="X18" s="87">
        <v>7101</v>
      </c>
    </row>
    <row r="19" spans="1:24" x14ac:dyDescent="0.2">
      <c r="A19" s="78" t="s">
        <v>95</v>
      </c>
      <c r="B19" s="88">
        <v>1599</v>
      </c>
      <c r="C19" s="88">
        <v>1574</v>
      </c>
      <c r="D19" s="88">
        <v>1429</v>
      </c>
      <c r="E19" s="88">
        <v>1449</v>
      </c>
      <c r="F19" s="88">
        <v>1346</v>
      </c>
      <c r="G19" s="88">
        <v>1052</v>
      </c>
      <c r="H19" s="88">
        <v>1022</v>
      </c>
      <c r="I19" s="88">
        <v>1022</v>
      </c>
      <c r="J19" s="88">
        <v>877</v>
      </c>
      <c r="K19" s="88">
        <v>865</v>
      </c>
      <c r="L19" s="88">
        <v>899</v>
      </c>
      <c r="M19" s="88">
        <v>936</v>
      </c>
      <c r="N19" s="88">
        <v>879</v>
      </c>
      <c r="O19" s="88">
        <v>850</v>
      </c>
      <c r="P19" s="88">
        <v>766</v>
      </c>
      <c r="Q19" s="88">
        <v>599</v>
      </c>
      <c r="R19" s="88">
        <v>538</v>
      </c>
      <c r="S19" s="88">
        <v>590</v>
      </c>
      <c r="T19" s="88">
        <v>708</v>
      </c>
      <c r="U19" s="88">
        <v>733</v>
      </c>
      <c r="V19" s="88">
        <v>755</v>
      </c>
      <c r="W19" s="88">
        <v>925</v>
      </c>
      <c r="X19" s="88">
        <v>1102</v>
      </c>
    </row>
    <row r="20" spans="1:24" x14ac:dyDescent="0.2">
      <c r="A20" s="78" t="s">
        <v>96</v>
      </c>
      <c r="B20" s="88">
        <v>229</v>
      </c>
      <c r="C20" s="88">
        <v>115</v>
      </c>
      <c r="D20" s="88">
        <v>99</v>
      </c>
      <c r="E20" s="88">
        <v>69</v>
      </c>
      <c r="F20" s="88">
        <v>55</v>
      </c>
      <c r="G20" s="88">
        <v>59</v>
      </c>
      <c r="H20" s="88">
        <v>48</v>
      </c>
      <c r="I20" s="88">
        <v>37</v>
      </c>
      <c r="J20" s="88">
        <v>48</v>
      </c>
      <c r="K20" s="88">
        <v>48</v>
      </c>
      <c r="L20" s="88">
        <v>111</v>
      </c>
      <c r="M20" s="88">
        <v>342</v>
      </c>
      <c r="N20" s="88">
        <v>336</v>
      </c>
      <c r="O20" s="88">
        <v>321</v>
      </c>
      <c r="P20" s="88">
        <v>319</v>
      </c>
      <c r="Q20" s="88">
        <v>319</v>
      </c>
      <c r="R20" s="88">
        <v>318</v>
      </c>
      <c r="S20" s="88">
        <v>318</v>
      </c>
      <c r="T20" s="88">
        <v>288</v>
      </c>
      <c r="U20" s="88" t="s">
        <v>30</v>
      </c>
      <c r="V20" s="88">
        <v>142</v>
      </c>
      <c r="W20" s="88" t="s">
        <v>30</v>
      </c>
      <c r="X20" s="88" t="s">
        <v>30</v>
      </c>
    </row>
    <row r="21" spans="1:24" ht="10.5" x14ac:dyDescent="0.2">
      <c r="A21" s="86" t="s">
        <v>233</v>
      </c>
      <c r="B21" s="89">
        <v>1828</v>
      </c>
      <c r="C21" s="89">
        <v>1689</v>
      </c>
      <c r="D21" s="89">
        <v>1528</v>
      </c>
      <c r="E21" s="89">
        <v>1518</v>
      </c>
      <c r="F21" s="89">
        <v>1401</v>
      </c>
      <c r="G21" s="89">
        <v>1111</v>
      </c>
      <c r="H21" s="89">
        <v>1070</v>
      </c>
      <c r="I21" s="89">
        <v>1059</v>
      </c>
      <c r="J21" s="89">
        <v>925</v>
      </c>
      <c r="K21" s="89">
        <v>913</v>
      </c>
      <c r="L21" s="89">
        <v>1010</v>
      </c>
      <c r="M21" s="89">
        <v>1278</v>
      </c>
      <c r="N21" s="89">
        <v>1215</v>
      </c>
      <c r="O21" s="89">
        <v>1171</v>
      </c>
      <c r="P21" s="89">
        <v>1085</v>
      </c>
      <c r="Q21" s="89">
        <v>918</v>
      </c>
      <c r="R21" s="89">
        <v>856</v>
      </c>
      <c r="S21" s="89">
        <v>908</v>
      </c>
      <c r="T21" s="89">
        <v>996</v>
      </c>
      <c r="U21" s="89">
        <v>733</v>
      </c>
      <c r="V21" s="89">
        <v>897</v>
      </c>
      <c r="W21" s="89">
        <v>925</v>
      </c>
      <c r="X21" s="89">
        <v>1102</v>
      </c>
    </row>
    <row r="22" spans="1:24" x14ac:dyDescent="0.2">
      <c r="A22" s="78"/>
      <c r="B22" s="78"/>
      <c r="C22" s="78"/>
      <c r="D22" s="78"/>
      <c r="E22" s="78"/>
      <c r="F22" s="78"/>
      <c r="G22" s="78"/>
      <c r="H22" s="78"/>
      <c r="I22" s="78"/>
      <c r="J22" s="78"/>
      <c r="K22" s="78"/>
      <c r="L22" s="78"/>
      <c r="M22" s="78"/>
      <c r="N22" s="78"/>
      <c r="O22" s="78"/>
      <c r="P22" s="78"/>
      <c r="Q22" s="78"/>
      <c r="R22" s="78"/>
      <c r="S22" s="78"/>
      <c r="T22" s="78"/>
      <c r="U22" s="78"/>
      <c r="V22" s="78"/>
      <c r="W22" s="78"/>
      <c r="X22" s="78"/>
    </row>
    <row r="23" spans="1:24" x14ac:dyDescent="0.2">
      <c r="A23" s="78" t="s">
        <v>234</v>
      </c>
      <c r="B23" s="88" t="s">
        <v>30</v>
      </c>
      <c r="C23" s="88" t="s">
        <v>30</v>
      </c>
      <c r="D23" s="88">
        <v>96</v>
      </c>
      <c r="E23" s="88">
        <v>119</v>
      </c>
      <c r="F23" s="88" t="s">
        <v>30</v>
      </c>
      <c r="G23" s="88" t="s">
        <v>30</v>
      </c>
      <c r="H23" s="88" t="s">
        <v>30</v>
      </c>
      <c r="I23" s="88" t="s">
        <v>30</v>
      </c>
      <c r="J23" s="88" t="s">
        <v>30</v>
      </c>
      <c r="K23" s="88" t="s">
        <v>30</v>
      </c>
      <c r="L23" s="88">
        <v>93</v>
      </c>
      <c r="M23" s="88">
        <v>102</v>
      </c>
      <c r="N23" s="88">
        <v>82</v>
      </c>
      <c r="O23" s="88">
        <v>59</v>
      </c>
      <c r="P23" s="88">
        <v>48</v>
      </c>
      <c r="Q23" s="88">
        <v>31</v>
      </c>
      <c r="R23" s="88">
        <v>47</v>
      </c>
      <c r="S23" s="88">
        <v>46</v>
      </c>
      <c r="T23" s="88">
        <v>54</v>
      </c>
      <c r="U23" s="88">
        <v>259</v>
      </c>
      <c r="V23" s="88">
        <v>57</v>
      </c>
      <c r="W23" s="88">
        <v>54</v>
      </c>
      <c r="X23" s="88">
        <v>62</v>
      </c>
    </row>
    <row r="24" spans="1:24" x14ac:dyDescent="0.2">
      <c r="A24" s="78" t="s">
        <v>235</v>
      </c>
      <c r="B24" s="88" t="s">
        <v>30</v>
      </c>
      <c r="C24" s="88" t="s">
        <v>30</v>
      </c>
      <c r="D24" s="88" t="s">
        <v>30</v>
      </c>
      <c r="E24" s="88" t="s">
        <v>30</v>
      </c>
      <c r="F24" s="88">
        <v>-25</v>
      </c>
      <c r="G24" s="88" t="s">
        <v>30</v>
      </c>
      <c r="H24" s="88">
        <v>-39</v>
      </c>
      <c r="I24" s="88" t="s">
        <v>30</v>
      </c>
      <c r="J24" s="88" t="s">
        <v>30</v>
      </c>
      <c r="K24" s="88">
        <v>-144</v>
      </c>
      <c r="L24" s="88">
        <v>-5</v>
      </c>
      <c r="M24" s="88" t="s">
        <v>30</v>
      </c>
      <c r="N24" s="88">
        <v>-6</v>
      </c>
      <c r="O24" s="88">
        <v>-73</v>
      </c>
      <c r="P24" s="88">
        <v>-85</v>
      </c>
      <c r="Q24" s="88">
        <v>-40</v>
      </c>
      <c r="R24" s="88" t="s">
        <v>30</v>
      </c>
      <c r="S24" s="88">
        <v>-3</v>
      </c>
      <c r="T24" s="88">
        <v>-23</v>
      </c>
      <c r="U24" s="88">
        <v>-4</v>
      </c>
      <c r="V24" s="88">
        <v>-57</v>
      </c>
      <c r="W24" s="88">
        <v>-3</v>
      </c>
      <c r="X24" s="88">
        <v>-1</v>
      </c>
    </row>
    <row r="25" spans="1:24" x14ac:dyDescent="0.2">
      <c r="A25" s="78" t="s">
        <v>359</v>
      </c>
      <c r="B25" s="88">
        <v>-11</v>
      </c>
      <c r="C25" s="88">
        <v>801</v>
      </c>
      <c r="D25" s="88">
        <v>-171</v>
      </c>
      <c r="E25" s="88" t="s">
        <v>30</v>
      </c>
      <c r="F25" s="88" t="s">
        <v>30</v>
      </c>
      <c r="G25" s="88" t="s">
        <v>30</v>
      </c>
      <c r="H25" s="88" t="s">
        <v>30</v>
      </c>
      <c r="I25" s="88" t="s">
        <v>30</v>
      </c>
      <c r="J25" s="88" t="s">
        <v>30</v>
      </c>
      <c r="K25" s="88" t="s">
        <v>30</v>
      </c>
      <c r="L25" s="88" t="s">
        <v>30</v>
      </c>
      <c r="M25" s="88" t="s">
        <v>30</v>
      </c>
      <c r="N25" s="88" t="s">
        <v>30</v>
      </c>
      <c r="O25" s="88" t="s">
        <v>30</v>
      </c>
      <c r="P25" s="88" t="s">
        <v>30</v>
      </c>
      <c r="Q25" s="88" t="s">
        <v>30</v>
      </c>
      <c r="R25" s="88" t="s">
        <v>30</v>
      </c>
      <c r="S25" s="88" t="s">
        <v>30</v>
      </c>
      <c r="T25" s="88" t="s">
        <v>30</v>
      </c>
      <c r="U25" s="88" t="s">
        <v>30</v>
      </c>
      <c r="V25" s="88" t="s">
        <v>30</v>
      </c>
      <c r="W25" s="88" t="s">
        <v>30</v>
      </c>
      <c r="X25" s="88" t="s">
        <v>30</v>
      </c>
    </row>
    <row r="26" spans="1:24" x14ac:dyDescent="0.2">
      <c r="A26" s="78" t="s">
        <v>360</v>
      </c>
      <c r="B26" s="88" t="s">
        <v>30</v>
      </c>
      <c r="C26" s="88">
        <v>1</v>
      </c>
      <c r="D26" s="88">
        <v>23</v>
      </c>
      <c r="E26" s="88" t="s">
        <v>30</v>
      </c>
      <c r="F26" s="88" t="s">
        <v>30</v>
      </c>
      <c r="G26" s="88" t="s">
        <v>30</v>
      </c>
      <c r="H26" s="88" t="s">
        <v>30</v>
      </c>
      <c r="I26" s="88" t="s">
        <v>30</v>
      </c>
      <c r="J26" s="88" t="s">
        <v>30</v>
      </c>
      <c r="K26" s="88" t="s">
        <v>30</v>
      </c>
      <c r="L26" s="88">
        <v>5</v>
      </c>
      <c r="M26" s="88">
        <v>21</v>
      </c>
      <c r="N26" s="88" t="s">
        <v>30</v>
      </c>
      <c r="O26" s="88" t="s">
        <v>30</v>
      </c>
      <c r="P26" s="88" t="s">
        <v>30</v>
      </c>
      <c r="Q26" s="88">
        <v>6</v>
      </c>
      <c r="R26" s="88">
        <v>1</v>
      </c>
      <c r="S26" s="88" t="s">
        <v>30</v>
      </c>
      <c r="T26" s="88" t="s">
        <v>30</v>
      </c>
      <c r="U26" s="88" t="s">
        <v>30</v>
      </c>
      <c r="V26" s="88" t="s">
        <v>30</v>
      </c>
      <c r="W26" s="88" t="s">
        <v>30</v>
      </c>
      <c r="X26" s="88" t="s">
        <v>30</v>
      </c>
    </row>
    <row r="27" spans="1:24" x14ac:dyDescent="0.2">
      <c r="A27" s="78" t="s">
        <v>93</v>
      </c>
      <c r="B27" s="88" t="s">
        <v>30</v>
      </c>
      <c r="C27" s="88" t="s">
        <v>30</v>
      </c>
      <c r="D27" s="88">
        <v>15</v>
      </c>
      <c r="E27" s="88">
        <v>18</v>
      </c>
      <c r="F27" s="88">
        <v>175</v>
      </c>
      <c r="G27" s="88">
        <v>332</v>
      </c>
      <c r="H27" s="88">
        <v>280</v>
      </c>
      <c r="I27" s="88">
        <v>213</v>
      </c>
      <c r="J27" s="88">
        <v>186</v>
      </c>
      <c r="K27" s="88">
        <v>190</v>
      </c>
      <c r="L27" s="88">
        <v>269</v>
      </c>
      <c r="M27" s="88">
        <v>263</v>
      </c>
      <c r="N27" s="88">
        <v>287</v>
      </c>
      <c r="O27" s="88">
        <v>277</v>
      </c>
      <c r="P27" s="88">
        <v>286</v>
      </c>
      <c r="Q27" s="88">
        <v>252</v>
      </c>
      <c r="R27" s="88">
        <v>242</v>
      </c>
      <c r="S27" s="88">
        <v>232</v>
      </c>
      <c r="T27" s="88">
        <v>217</v>
      </c>
      <c r="U27" s="88">
        <v>224</v>
      </c>
      <c r="V27" s="88">
        <v>230</v>
      </c>
      <c r="W27" s="88">
        <v>289</v>
      </c>
      <c r="X27" s="88">
        <v>356</v>
      </c>
    </row>
    <row r="28" spans="1:24" x14ac:dyDescent="0.2">
      <c r="A28" s="78" t="s">
        <v>361</v>
      </c>
      <c r="B28" s="88" t="s">
        <v>30</v>
      </c>
      <c r="C28" s="88" t="s">
        <v>30</v>
      </c>
      <c r="D28" s="88" t="s">
        <v>30</v>
      </c>
      <c r="E28" s="88">
        <v>173</v>
      </c>
      <c r="F28" s="88">
        <v>164</v>
      </c>
      <c r="G28" s="88">
        <v>7</v>
      </c>
      <c r="H28" s="88">
        <v>-16</v>
      </c>
      <c r="I28" s="88" t="s">
        <v>30</v>
      </c>
      <c r="J28" s="88" t="s">
        <v>30</v>
      </c>
      <c r="K28" s="88" t="s">
        <v>30</v>
      </c>
      <c r="L28" s="88" t="s">
        <v>30</v>
      </c>
      <c r="M28" s="88" t="s">
        <v>30</v>
      </c>
      <c r="N28" s="88" t="s">
        <v>30</v>
      </c>
      <c r="O28" s="88" t="s">
        <v>30</v>
      </c>
      <c r="P28" s="88" t="s">
        <v>30</v>
      </c>
      <c r="Q28" s="88" t="s">
        <v>30</v>
      </c>
      <c r="R28" s="88" t="s">
        <v>30</v>
      </c>
      <c r="S28" s="88" t="s">
        <v>30</v>
      </c>
      <c r="T28" s="88" t="s">
        <v>30</v>
      </c>
      <c r="U28" s="88" t="s">
        <v>30</v>
      </c>
      <c r="V28" s="88" t="s">
        <v>30</v>
      </c>
      <c r="W28" s="88" t="s">
        <v>30</v>
      </c>
      <c r="X28" s="88" t="s">
        <v>30</v>
      </c>
    </row>
    <row r="29" spans="1:24" x14ac:dyDescent="0.2">
      <c r="A29" s="78" t="s">
        <v>236</v>
      </c>
      <c r="B29" s="88">
        <v>19</v>
      </c>
      <c r="C29" s="88">
        <v>13</v>
      </c>
      <c r="D29" s="88">
        <v>75</v>
      </c>
      <c r="E29" s="88">
        <v>-440</v>
      </c>
      <c r="F29" s="88">
        <v>-345</v>
      </c>
      <c r="G29" s="88">
        <v>-1903</v>
      </c>
      <c r="H29" s="88">
        <v>-23</v>
      </c>
      <c r="I29" s="88">
        <v>-217</v>
      </c>
      <c r="J29" s="88">
        <v>80</v>
      </c>
      <c r="K29" s="88">
        <v>-108</v>
      </c>
      <c r="L29" s="88">
        <v>-84</v>
      </c>
      <c r="M29" s="88">
        <v>-275</v>
      </c>
      <c r="N29" s="88">
        <v>-74</v>
      </c>
      <c r="O29" s="88">
        <v>-40</v>
      </c>
      <c r="P29" s="88">
        <v>-63</v>
      </c>
      <c r="Q29" s="88">
        <v>-301</v>
      </c>
      <c r="R29" s="88">
        <v>117</v>
      </c>
      <c r="S29" s="88">
        <v>-176</v>
      </c>
      <c r="T29" s="88">
        <v>75</v>
      </c>
      <c r="U29" s="88">
        <v>-240</v>
      </c>
      <c r="V29" s="88">
        <v>25</v>
      </c>
      <c r="W29" s="88">
        <v>-481</v>
      </c>
      <c r="X29" s="88">
        <v>-694</v>
      </c>
    </row>
    <row r="30" spans="1:24" x14ac:dyDescent="0.2">
      <c r="A30" s="78" t="s">
        <v>237</v>
      </c>
      <c r="B30" s="88">
        <v>958</v>
      </c>
      <c r="C30" s="88">
        <v>-114</v>
      </c>
      <c r="D30" s="88">
        <v>-197</v>
      </c>
      <c r="E30" s="88">
        <v>-214</v>
      </c>
      <c r="F30" s="88">
        <v>-127</v>
      </c>
      <c r="G30" s="88">
        <v>-116</v>
      </c>
      <c r="H30" s="88">
        <v>40</v>
      </c>
      <c r="I30" s="88">
        <v>865</v>
      </c>
      <c r="J30" s="88">
        <v>-364</v>
      </c>
      <c r="K30" s="88">
        <v>-231</v>
      </c>
      <c r="L30" s="88">
        <v>112</v>
      </c>
      <c r="M30" s="88">
        <v>311</v>
      </c>
      <c r="N30" s="88">
        <v>16</v>
      </c>
      <c r="O30" s="88">
        <v>-49</v>
      </c>
      <c r="P30" s="88">
        <v>77</v>
      </c>
      <c r="Q30" s="88">
        <v>-108</v>
      </c>
      <c r="R30" s="88">
        <v>-7</v>
      </c>
      <c r="S30" s="88">
        <v>71</v>
      </c>
      <c r="T30" s="88">
        <v>133</v>
      </c>
      <c r="U30" s="88">
        <v>-340</v>
      </c>
      <c r="V30" s="88">
        <v>-287</v>
      </c>
      <c r="W30" s="88">
        <v>-194</v>
      </c>
      <c r="X30" s="88">
        <v>64</v>
      </c>
    </row>
    <row r="31" spans="1:24" x14ac:dyDescent="0.2">
      <c r="A31" s="78" t="s">
        <v>238</v>
      </c>
      <c r="B31" s="88">
        <v>482</v>
      </c>
      <c r="C31" s="88">
        <v>-39</v>
      </c>
      <c r="D31" s="88">
        <v>-194</v>
      </c>
      <c r="E31" s="88">
        <v>-257</v>
      </c>
      <c r="F31" s="88">
        <v>-23</v>
      </c>
      <c r="G31" s="88">
        <v>-248</v>
      </c>
      <c r="H31" s="88">
        <v>11</v>
      </c>
      <c r="I31" s="88">
        <v>43</v>
      </c>
      <c r="J31" s="88">
        <v>177</v>
      </c>
      <c r="K31" s="88">
        <v>-304</v>
      </c>
      <c r="L31" s="88">
        <v>-17</v>
      </c>
      <c r="M31" s="88">
        <v>5</v>
      </c>
      <c r="N31" s="88">
        <v>26</v>
      </c>
      <c r="O31" s="88">
        <v>-53</v>
      </c>
      <c r="P31" s="88">
        <v>93</v>
      </c>
      <c r="Q31" s="88">
        <v>-99</v>
      </c>
      <c r="R31" s="88">
        <v>-167</v>
      </c>
      <c r="S31" s="88">
        <v>-282</v>
      </c>
      <c r="T31" s="88">
        <v>216</v>
      </c>
      <c r="U31" s="88">
        <v>46</v>
      </c>
      <c r="V31" s="88">
        <v>45</v>
      </c>
      <c r="W31" s="88">
        <v>-847</v>
      </c>
      <c r="X31" s="88">
        <v>-1504</v>
      </c>
    </row>
    <row r="32" spans="1:24" x14ac:dyDescent="0.2">
      <c r="A32" s="78" t="s">
        <v>239</v>
      </c>
      <c r="B32" s="88">
        <v>-687</v>
      </c>
      <c r="C32" s="88">
        <v>-81</v>
      </c>
      <c r="D32" s="88">
        <v>264</v>
      </c>
      <c r="E32" s="88">
        <v>-68</v>
      </c>
      <c r="F32" s="88">
        <v>254</v>
      </c>
      <c r="G32" s="88">
        <v>-104</v>
      </c>
      <c r="H32" s="88">
        <v>77</v>
      </c>
      <c r="I32" s="88">
        <v>-325</v>
      </c>
      <c r="J32" s="88">
        <v>5</v>
      </c>
      <c r="K32" s="88">
        <v>57</v>
      </c>
      <c r="L32" s="88">
        <v>2</v>
      </c>
      <c r="M32" s="88">
        <v>99</v>
      </c>
      <c r="N32" s="88">
        <v>-284</v>
      </c>
      <c r="O32" s="88">
        <v>-132</v>
      </c>
      <c r="P32" s="88">
        <v>-142</v>
      </c>
      <c r="Q32" s="88">
        <v>72</v>
      </c>
      <c r="R32" s="88">
        <v>51</v>
      </c>
      <c r="S32" s="88">
        <v>-7</v>
      </c>
      <c r="T32" s="88">
        <v>-93</v>
      </c>
      <c r="U32" s="88">
        <v>63</v>
      </c>
      <c r="V32" s="88">
        <v>33</v>
      </c>
      <c r="W32" s="88">
        <v>106</v>
      </c>
      <c r="X32" s="88">
        <v>11</v>
      </c>
    </row>
    <row r="33" spans="1:24" x14ac:dyDescent="0.2">
      <c r="A33" s="78" t="s">
        <v>240</v>
      </c>
      <c r="B33" s="88">
        <v>112</v>
      </c>
      <c r="C33" s="88">
        <v>-5</v>
      </c>
      <c r="D33" s="88">
        <v>118</v>
      </c>
      <c r="E33" s="88">
        <v>54</v>
      </c>
      <c r="F33" s="88">
        <v>35</v>
      </c>
      <c r="G33" s="88">
        <v>-616</v>
      </c>
      <c r="H33" s="88">
        <v>304</v>
      </c>
      <c r="I33" s="88">
        <v>38</v>
      </c>
      <c r="J33" s="88">
        <v>87</v>
      </c>
      <c r="K33" s="88">
        <v>-19</v>
      </c>
      <c r="L33" s="88">
        <v>-85</v>
      </c>
      <c r="M33" s="88">
        <v>-229</v>
      </c>
      <c r="N33" s="88">
        <v>78</v>
      </c>
      <c r="O33" s="88">
        <v>-81</v>
      </c>
      <c r="P33" s="88">
        <v>11</v>
      </c>
      <c r="Q33" s="88">
        <v>333</v>
      </c>
      <c r="R33" s="88">
        <v>468</v>
      </c>
      <c r="S33" s="88">
        <v>158</v>
      </c>
      <c r="T33" s="88">
        <v>-193</v>
      </c>
      <c r="U33" s="88">
        <v>-181</v>
      </c>
      <c r="V33" s="88">
        <v>-20</v>
      </c>
      <c r="W33" s="88">
        <v>94</v>
      </c>
      <c r="X33" s="88">
        <v>3</v>
      </c>
    </row>
    <row r="34" spans="1:24" x14ac:dyDescent="0.2">
      <c r="A34" s="78" t="s">
        <v>241</v>
      </c>
      <c r="B34" s="88">
        <v>-681</v>
      </c>
      <c r="C34" s="88">
        <v>71</v>
      </c>
      <c r="D34" s="88">
        <v>-604</v>
      </c>
      <c r="E34" s="88">
        <v>382</v>
      </c>
      <c r="F34" s="88">
        <v>-61</v>
      </c>
      <c r="G34" s="88">
        <v>-341</v>
      </c>
      <c r="H34" s="88">
        <v>46</v>
      </c>
      <c r="I34" s="88">
        <v>-266</v>
      </c>
      <c r="J34" s="88">
        <v>77</v>
      </c>
      <c r="K34" s="88">
        <v>238</v>
      </c>
      <c r="L34" s="88">
        <v>-280</v>
      </c>
      <c r="M34" s="88">
        <v>80</v>
      </c>
      <c r="N34" s="88">
        <v>-118</v>
      </c>
      <c r="O34" s="88">
        <v>154</v>
      </c>
      <c r="P34" s="88">
        <v>101</v>
      </c>
      <c r="Q34" s="88">
        <v>-45</v>
      </c>
      <c r="R34" s="88">
        <v>73</v>
      </c>
      <c r="S34" s="88">
        <v>662</v>
      </c>
      <c r="T34" s="88">
        <v>250</v>
      </c>
      <c r="U34" s="88">
        <v>-16</v>
      </c>
      <c r="V34" s="88">
        <v>64</v>
      </c>
      <c r="W34" s="88">
        <v>28</v>
      </c>
      <c r="X34" s="88">
        <v>38</v>
      </c>
    </row>
    <row r="35" spans="1:24" ht="10.5" x14ac:dyDescent="0.2">
      <c r="A35" s="86" t="s">
        <v>242</v>
      </c>
      <c r="B35" s="89">
        <v>1819</v>
      </c>
      <c r="C35" s="89">
        <v>1992</v>
      </c>
      <c r="D35" s="89">
        <v>2151</v>
      </c>
      <c r="E35" s="89">
        <v>3146</v>
      </c>
      <c r="F35" s="89">
        <v>3772</v>
      </c>
      <c r="G35" s="89">
        <v>2463</v>
      </c>
      <c r="H35" s="89">
        <v>4407</v>
      </c>
      <c r="I35" s="89">
        <v>3330</v>
      </c>
      <c r="J35" s="89">
        <v>2643</v>
      </c>
      <c r="K35" s="89">
        <v>3820</v>
      </c>
      <c r="L35" s="89">
        <v>3256</v>
      </c>
      <c r="M35" s="89">
        <v>3414</v>
      </c>
      <c r="N35" s="89">
        <v>3384</v>
      </c>
      <c r="O35" s="89">
        <v>4054</v>
      </c>
      <c r="P35" s="89">
        <v>4397</v>
      </c>
      <c r="Q35" s="89">
        <v>4614</v>
      </c>
      <c r="R35" s="89">
        <v>5363</v>
      </c>
      <c r="S35" s="89">
        <v>7189</v>
      </c>
      <c r="T35" s="89">
        <v>6649</v>
      </c>
      <c r="U35" s="89">
        <v>6139</v>
      </c>
      <c r="V35" s="89">
        <v>8756</v>
      </c>
      <c r="W35" s="89">
        <v>8720</v>
      </c>
      <c r="X35" s="89">
        <v>6538</v>
      </c>
    </row>
    <row r="36" spans="1:24" x14ac:dyDescent="0.2">
      <c r="A36" s="78"/>
      <c r="B36" s="78"/>
      <c r="C36" s="78"/>
      <c r="D36" s="78"/>
      <c r="E36" s="78"/>
      <c r="F36" s="78"/>
      <c r="G36" s="78"/>
      <c r="H36" s="78"/>
      <c r="I36" s="78"/>
      <c r="J36" s="78"/>
      <c r="K36" s="78"/>
      <c r="L36" s="78"/>
      <c r="M36" s="78"/>
      <c r="N36" s="78"/>
      <c r="O36" s="78"/>
      <c r="P36" s="78"/>
      <c r="Q36" s="78"/>
      <c r="R36" s="78"/>
      <c r="S36" s="78"/>
      <c r="T36" s="78"/>
      <c r="U36" s="78"/>
      <c r="V36" s="78"/>
      <c r="W36" s="78"/>
      <c r="X36" s="78"/>
    </row>
    <row r="37" spans="1:24" x14ac:dyDescent="0.2">
      <c r="A37" s="78" t="s">
        <v>243</v>
      </c>
      <c r="B37" s="88">
        <v>-1790</v>
      </c>
      <c r="C37" s="88">
        <v>-802</v>
      </c>
      <c r="D37" s="88">
        <v>-800</v>
      </c>
      <c r="E37" s="88">
        <v>-1260</v>
      </c>
      <c r="F37" s="88">
        <v>-1288</v>
      </c>
      <c r="G37" s="88">
        <v>-1272</v>
      </c>
      <c r="H37" s="88">
        <v>-686</v>
      </c>
      <c r="I37" s="88">
        <v>-763</v>
      </c>
      <c r="J37" s="88">
        <v>-753</v>
      </c>
      <c r="K37" s="88">
        <v>-1199</v>
      </c>
      <c r="L37" s="88">
        <v>-816</v>
      </c>
      <c r="M37" s="88">
        <v>-495</v>
      </c>
      <c r="N37" s="88">
        <v>-412</v>
      </c>
      <c r="O37" s="88">
        <v>-385</v>
      </c>
      <c r="P37" s="88">
        <v>-551</v>
      </c>
      <c r="Q37" s="88">
        <v>-531</v>
      </c>
      <c r="R37" s="88">
        <v>-695</v>
      </c>
      <c r="S37" s="88">
        <v>-1131</v>
      </c>
      <c r="T37" s="88">
        <v>-847</v>
      </c>
      <c r="U37" s="88">
        <v>-649</v>
      </c>
      <c r="V37" s="88">
        <v>-2462</v>
      </c>
      <c r="W37" s="88">
        <v>-2797</v>
      </c>
      <c r="X37" s="88">
        <v>-4890</v>
      </c>
    </row>
    <row r="38" spans="1:24" x14ac:dyDescent="0.2">
      <c r="A38" s="78" t="s">
        <v>244</v>
      </c>
      <c r="B38" s="88" t="s">
        <v>30</v>
      </c>
      <c r="C38" s="88" t="s">
        <v>30</v>
      </c>
      <c r="D38" s="88" t="s">
        <v>30</v>
      </c>
      <c r="E38" s="88" t="s">
        <v>30</v>
      </c>
      <c r="F38" s="88">
        <v>42</v>
      </c>
      <c r="G38" s="88">
        <v>3000</v>
      </c>
      <c r="H38" s="88">
        <v>61</v>
      </c>
      <c r="I38" s="88" t="s">
        <v>30</v>
      </c>
      <c r="J38" s="88" t="s">
        <v>30</v>
      </c>
      <c r="K38" s="88" t="s">
        <v>30</v>
      </c>
      <c r="L38" s="88">
        <v>16</v>
      </c>
      <c r="M38" s="88" t="s">
        <v>30</v>
      </c>
      <c r="N38" s="88">
        <v>21</v>
      </c>
      <c r="O38" s="88">
        <v>142</v>
      </c>
      <c r="P38" s="88">
        <v>110</v>
      </c>
      <c r="Q38" s="88" t="s">
        <v>30</v>
      </c>
      <c r="R38" s="88">
        <v>40</v>
      </c>
      <c r="S38" s="88">
        <v>9</v>
      </c>
      <c r="T38" s="88">
        <v>30</v>
      </c>
      <c r="U38" s="88">
        <v>4</v>
      </c>
      <c r="V38" s="88">
        <v>75</v>
      </c>
      <c r="W38" s="88">
        <v>3</v>
      </c>
      <c r="X38" s="88">
        <v>3</v>
      </c>
    </row>
    <row r="39" spans="1:24" x14ac:dyDescent="0.2">
      <c r="A39" s="78" t="s">
        <v>245</v>
      </c>
      <c r="B39" s="88" t="s">
        <v>30</v>
      </c>
      <c r="C39" s="88">
        <v>-69</v>
      </c>
      <c r="D39" s="88">
        <v>-128</v>
      </c>
      <c r="E39" s="88" t="s">
        <v>30</v>
      </c>
      <c r="F39" s="88" t="s">
        <v>30</v>
      </c>
      <c r="G39" s="88">
        <v>-205</v>
      </c>
      <c r="H39" s="88">
        <v>-87</v>
      </c>
      <c r="I39" s="88">
        <v>-19</v>
      </c>
      <c r="J39" s="88">
        <v>-155</v>
      </c>
      <c r="K39" s="88">
        <v>-199</v>
      </c>
      <c r="L39" s="88">
        <v>-5425</v>
      </c>
      <c r="M39" s="88" t="s">
        <v>30</v>
      </c>
      <c r="N39" s="88" t="s">
        <v>30</v>
      </c>
      <c r="O39" s="88" t="s">
        <v>30</v>
      </c>
      <c r="P39" s="88" t="s">
        <v>30</v>
      </c>
      <c r="Q39" s="88" t="s">
        <v>30</v>
      </c>
      <c r="R39" s="88" t="s">
        <v>30</v>
      </c>
      <c r="S39" s="88" t="s">
        <v>30</v>
      </c>
      <c r="T39" s="88" t="s">
        <v>30</v>
      </c>
      <c r="U39" s="88" t="s">
        <v>30</v>
      </c>
      <c r="V39" s="88" t="s">
        <v>30</v>
      </c>
      <c r="W39" s="88" t="s">
        <v>30</v>
      </c>
      <c r="X39" s="88" t="s">
        <v>30</v>
      </c>
    </row>
    <row r="40" spans="1:24" x14ac:dyDescent="0.2">
      <c r="A40" s="78" t="s">
        <v>246</v>
      </c>
      <c r="B40" s="88" t="s">
        <v>30</v>
      </c>
      <c r="C40" s="88" t="s">
        <v>30</v>
      </c>
      <c r="D40" s="88" t="s">
        <v>30</v>
      </c>
      <c r="E40" s="88" t="s">
        <v>30</v>
      </c>
      <c r="F40" s="88" t="s">
        <v>30</v>
      </c>
      <c r="G40" s="88" t="s">
        <v>30</v>
      </c>
      <c r="H40" s="88" t="s">
        <v>30</v>
      </c>
      <c r="I40" s="88" t="s">
        <v>30</v>
      </c>
      <c r="J40" s="88" t="s">
        <v>30</v>
      </c>
      <c r="K40" s="88">
        <v>148</v>
      </c>
      <c r="L40" s="88" t="s">
        <v>30</v>
      </c>
      <c r="M40" s="88" t="s">
        <v>30</v>
      </c>
      <c r="N40" s="88" t="s">
        <v>30</v>
      </c>
      <c r="O40" s="88" t="s">
        <v>30</v>
      </c>
      <c r="P40" s="88" t="s">
        <v>30</v>
      </c>
      <c r="Q40" s="88" t="s">
        <v>30</v>
      </c>
      <c r="R40" s="88" t="s">
        <v>30</v>
      </c>
      <c r="S40" s="88" t="s">
        <v>30</v>
      </c>
      <c r="T40" s="88" t="s">
        <v>30</v>
      </c>
      <c r="U40" s="88" t="s">
        <v>30</v>
      </c>
      <c r="V40" s="88" t="s">
        <v>30</v>
      </c>
      <c r="W40" s="88" t="s">
        <v>30</v>
      </c>
      <c r="X40" s="88" t="s">
        <v>30</v>
      </c>
    </row>
    <row r="41" spans="1:24" x14ac:dyDescent="0.2">
      <c r="A41" s="78" t="s">
        <v>247</v>
      </c>
      <c r="B41" s="88">
        <v>164</v>
      </c>
      <c r="C41" s="88">
        <v>-238</v>
      </c>
      <c r="D41" s="88">
        <v>86</v>
      </c>
      <c r="E41" s="88">
        <v>145</v>
      </c>
      <c r="F41" s="88">
        <v>-385</v>
      </c>
      <c r="G41" s="88">
        <v>1568</v>
      </c>
      <c r="H41" s="88">
        <v>927</v>
      </c>
      <c r="I41" s="88">
        <v>-400</v>
      </c>
      <c r="J41" s="88">
        <v>-188</v>
      </c>
      <c r="K41" s="88">
        <v>193</v>
      </c>
      <c r="L41" s="88">
        <v>-98</v>
      </c>
      <c r="M41" s="88">
        <v>-604</v>
      </c>
      <c r="N41" s="88">
        <v>342</v>
      </c>
      <c r="O41" s="88">
        <v>-141</v>
      </c>
      <c r="P41" s="88">
        <v>125</v>
      </c>
      <c r="Q41" s="88">
        <v>-113</v>
      </c>
      <c r="R41" s="88">
        <v>-460</v>
      </c>
      <c r="S41" s="88">
        <v>1067</v>
      </c>
      <c r="T41" s="88">
        <v>-1135</v>
      </c>
      <c r="U41" s="88">
        <v>-241</v>
      </c>
      <c r="V41" s="88">
        <v>-1646</v>
      </c>
      <c r="W41" s="88">
        <v>-826</v>
      </c>
      <c r="X41" s="88">
        <v>-202</v>
      </c>
    </row>
    <row r="42" spans="1:24" x14ac:dyDescent="0.2">
      <c r="A42" s="78" t="s">
        <v>248</v>
      </c>
      <c r="B42" s="88" t="s">
        <v>30</v>
      </c>
      <c r="C42" s="88" t="s">
        <v>30</v>
      </c>
      <c r="D42" s="88" t="s">
        <v>30</v>
      </c>
      <c r="E42" s="88" t="s">
        <v>30</v>
      </c>
      <c r="F42" s="88" t="s">
        <v>30</v>
      </c>
      <c r="G42" s="88" t="s">
        <v>30</v>
      </c>
      <c r="H42" s="88" t="s">
        <v>30</v>
      </c>
      <c r="I42" s="88" t="s">
        <v>30</v>
      </c>
      <c r="J42" s="88" t="s">
        <v>30</v>
      </c>
      <c r="K42" s="88" t="s">
        <v>30</v>
      </c>
      <c r="L42" s="88" t="s">
        <v>30</v>
      </c>
      <c r="M42" s="88" t="s">
        <v>30</v>
      </c>
      <c r="N42" s="88" t="s">
        <v>30</v>
      </c>
      <c r="O42" s="88" t="s">
        <v>30</v>
      </c>
      <c r="P42" s="88" t="s">
        <v>30</v>
      </c>
      <c r="Q42" s="88" t="s">
        <v>30</v>
      </c>
      <c r="R42" s="88" t="s">
        <v>30</v>
      </c>
      <c r="S42" s="88" t="s">
        <v>30</v>
      </c>
      <c r="T42" s="88" t="s">
        <v>30</v>
      </c>
      <c r="U42" s="88" t="s">
        <v>30</v>
      </c>
      <c r="V42" s="88" t="s">
        <v>30</v>
      </c>
      <c r="W42" s="88" t="s">
        <v>30</v>
      </c>
      <c r="X42" s="88" t="s">
        <v>30</v>
      </c>
    </row>
    <row r="43" spans="1:24" x14ac:dyDescent="0.2">
      <c r="A43" s="78" t="s">
        <v>249</v>
      </c>
      <c r="B43" s="88" t="s">
        <v>30</v>
      </c>
      <c r="C43" s="88" t="s">
        <v>30</v>
      </c>
      <c r="D43" s="88" t="s">
        <v>30</v>
      </c>
      <c r="E43" s="88">
        <v>-46</v>
      </c>
      <c r="F43" s="88">
        <v>-56</v>
      </c>
      <c r="G43" s="88">
        <v>-16</v>
      </c>
      <c r="H43" s="88" t="s">
        <v>30</v>
      </c>
      <c r="I43" s="88" t="s">
        <v>30</v>
      </c>
      <c r="J43" s="88" t="s">
        <v>30</v>
      </c>
      <c r="K43" s="88" t="s">
        <v>30</v>
      </c>
      <c r="L43" s="88">
        <v>151</v>
      </c>
      <c r="M43" s="88">
        <v>60</v>
      </c>
      <c r="N43" s="88">
        <v>46</v>
      </c>
      <c r="O43" s="88">
        <v>7</v>
      </c>
      <c r="P43" s="88">
        <v>14</v>
      </c>
      <c r="Q43" s="88">
        <v>-6</v>
      </c>
      <c r="R43" s="88">
        <v>-12</v>
      </c>
      <c r="S43" s="88">
        <v>-23</v>
      </c>
      <c r="T43" s="88">
        <v>32</v>
      </c>
      <c r="U43" s="88">
        <v>-36</v>
      </c>
      <c r="V43" s="88">
        <v>-62</v>
      </c>
      <c r="W43" s="88">
        <v>37</v>
      </c>
      <c r="X43" s="88">
        <v>11</v>
      </c>
    </row>
    <row r="44" spans="1:24" ht="10.5" x14ac:dyDescent="0.2">
      <c r="A44" s="86" t="s">
        <v>250</v>
      </c>
      <c r="B44" s="89">
        <v>-1626</v>
      </c>
      <c r="C44" s="89">
        <v>-1109</v>
      </c>
      <c r="D44" s="89">
        <v>-842</v>
      </c>
      <c r="E44" s="89">
        <v>-1161</v>
      </c>
      <c r="F44" s="89">
        <v>-1687</v>
      </c>
      <c r="G44" s="89">
        <v>3075</v>
      </c>
      <c r="H44" s="89">
        <v>215</v>
      </c>
      <c r="I44" s="89">
        <v>-1182</v>
      </c>
      <c r="J44" s="89">
        <v>-1096</v>
      </c>
      <c r="K44" s="89">
        <v>-1057</v>
      </c>
      <c r="L44" s="89">
        <v>-6172</v>
      </c>
      <c r="M44" s="89">
        <v>-1039</v>
      </c>
      <c r="N44" s="89">
        <v>-3</v>
      </c>
      <c r="O44" s="89">
        <v>-377</v>
      </c>
      <c r="P44" s="89">
        <v>-302</v>
      </c>
      <c r="Q44" s="89">
        <v>-650</v>
      </c>
      <c r="R44" s="89">
        <v>-1127</v>
      </c>
      <c r="S44" s="89">
        <v>-78</v>
      </c>
      <c r="T44" s="89">
        <v>-1920</v>
      </c>
      <c r="U44" s="89">
        <v>-922</v>
      </c>
      <c r="V44" s="89">
        <v>-4095</v>
      </c>
      <c r="W44" s="89">
        <v>-3583</v>
      </c>
      <c r="X44" s="89">
        <v>-5078</v>
      </c>
    </row>
    <row r="45" spans="1:24" x14ac:dyDescent="0.2">
      <c r="A45" s="78"/>
      <c r="B45" s="78"/>
      <c r="C45" s="78"/>
      <c r="D45" s="78"/>
      <c r="E45" s="78"/>
      <c r="F45" s="78"/>
      <c r="G45" s="78"/>
      <c r="H45" s="78"/>
      <c r="I45" s="78"/>
      <c r="J45" s="78"/>
      <c r="K45" s="78"/>
      <c r="L45" s="78"/>
      <c r="M45" s="78"/>
      <c r="N45" s="78"/>
      <c r="O45" s="78"/>
      <c r="P45" s="78"/>
      <c r="Q45" s="78"/>
      <c r="R45" s="78"/>
      <c r="S45" s="78"/>
      <c r="T45" s="78"/>
      <c r="U45" s="78"/>
      <c r="V45" s="78"/>
      <c r="W45" s="78"/>
      <c r="X45" s="78"/>
    </row>
    <row r="46" spans="1:24" x14ac:dyDescent="0.2">
      <c r="A46" s="78" t="s">
        <v>251</v>
      </c>
      <c r="B46" s="88" t="s">
        <v>30</v>
      </c>
      <c r="C46" s="88" t="s">
        <v>30</v>
      </c>
      <c r="D46" s="88" t="s">
        <v>30</v>
      </c>
      <c r="E46" s="88" t="s">
        <v>30</v>
      </c>
      <c r="F46" s="88" t="s">
        <v>30</v>
      </c>
      <c r="G46" s="88" t="s">
        <v>30</v>
      </c>
      <c r="H46" s="88" t="s">
        <v>30</v>
      </c>
      <c r="I46" s="88" t="s">
        <v>30</v>
      </c>
      <c r="J46" s="88" t="s">
        <v>30</v>
      </c>
      <c r="K46" s="88" t="s">
        <v>30</v>
      </c>
      <c r="L46" s="88" t="s">
        <v>30</v>
      </c>
      <c r="M46" s="88" t="s">
        <v>30</v>
      </c>
      <c r="N46" s="88" t="s">
        <v>30</v>
      </c>
      <c r="O46" s="88" t="s">
        <v>30</v>
      </c>
      <c r="P46" s="88" t="s">
        <v>30</v>
      </c>
      <c r="Q46" s="88" t="s">
        <v>30</v>
      </c>
      <c r="R46" s="88" t="s">
        <v>30</v>
      </c>
      <c r="S46" s="88" t="s">
        <v>30</v>
      </c>
      <c r="T46" s="88" t="s">
        <v>30</v>
      </c>
      <c r="U46" s="88" t="s">
        <v>30</v>
      </c>
      <c r="V46" s="88" t="s">
        <v>30</v>
      </c>
      <c r="W46" s="88" t="s">
        <v>30</v>
      </c>
      <c r="X46" s="88" t="s">
        <v>30</v>
      </c>
    </row>
    <row r="47" spans="1:24" x14ac:dyDescent="0.2">
      <c r="A47" s="78" t="s">
        <v>252</v>
      </c>
      <c r="B47" s="88">
        <v>3</v>
      </c>
      <c r="C47" s="88">
        <v>9</v>
      </c>
      <c r="D47" s="88" t="s">
        <v>30</v>
      </c>
      <c r="E47" s="88" t="s">
        <v>30</v>
      </c>
      <c r="F47" s="88">
        <v>275</v>
      </c>
      <c r="G47" s="88" t="s">
        <v>30</v>
      </c>
      <c r="H47" s="88" t="s">
        <v>30</v>
      </c>
      <c r="I47" s="88" t="s">
        <v>30</v>
      </c>
      <c r="J47" s="88" t="s">
        <v>30</v>
      </c>
      <c r="K47" s="88" t="s">
        <v>30</v>
      </c>
      <c r="L47" s="88">
        <v>4697</v>
      </c>
      <c r="M47" s="88">
        <v>1492</v>
      </c>
      <c r="N47" s="88">
        <v>986</v>
      </c>
      <c r="O47" s="88">
        <v>498</v>
      </c>
      <c r="P47" s="88">
        <v>498</v>
      </c>
      <c r="Q47" s="88">
        <v>499</v>
      </c>
      <c r="R47" s="88">
        <v>1099</v>
      </c>
      <c r="S47" s="88">
        <v>1500</v>
      </c>
      <c r="T47" s="88">
        <v>1491</v>
      </c>
      <c r="U47" s="88">
        <v>1498</v>
      </c>
      <c r="V47" s="88">
        <v>1495</v>
      </c>
      <c r="W47" s="88">
        <v>1494</v>
      </c>
      <c r="X47" s="88" t="s">
        <v>30</v>
      </c>
    </row>
    <row r="48" spans="1:24" ht="10.5" x14ac:dyDescent="0.2">
      <c r="A48" s="86" t="s">
        <v>253</v>
      </c>
      <c r="B48" s="89">
        <v>3</v>
      </c>
      <c r="C48" s="89">
        <v>9</v>
      </c>
      <c r="D48" s="89" t="s">
        <v>30</v>
      </c>
      <c r="E48" s="89" t="s">
        <v>30</v>
      </c>
      <c r="F48" s="89">
        <v>275</v>
      </c>
      <c r="G48" s="89" t="s">
        <v>30</v>
      </c>
      <c r="H48" s="89" t="s">
        <v>30</v>
      </c>
      <c r="I48" s="89" t="s">
        <v>30</v>
      </c>
      <c r="J48" s="89" t="s">
        <v>30</v>
      </c>
      <c r="K48" s="89" t="s">
        <v>30</v>
      </c>
      <c r="L48" s="89">
        <v>4697</v>
      </c>
      <c r="M48" s="89">
        <v>1492</v>
      </c>
      <c r="N48" s="89">
        <v>986</v>
      </c>
      <c r="O48" s="89">
        <v>498</v>
      </c>
      <c r="P48" s="89">
        <v>498</v>
      </c>
      <c r="Q48" s="89">
        <v>499</v>
      </c>
      <c r="R48" s="89">
        <v>1099</v>
      </c>
      <c r="S48" s="89">
        <v>1500</v>
      </c>
      <c r="T48" s="89">
        <v>1491</v>
      </c>
      <c r="U48" s="89">
        <v>1498</v>
      </c>
      <c r="V48" s="89">
        <v>1495</v>
      </c>
      <c r="W48" s="89">
        <v>1494</v>
      </c>
      <c r="X48" s="89">
        <v>3799</v>
      </c>
    </row>
    <row r="49" spans="1:24" x14ac:dyDescent="0.2">
      <c r="A49" s="78" t="s">
        <v>254</v>
      </c>
      <c r="B49" s="88" t="s">
        <v>30</v>
      </c>
      <c r="C49" s="88" t="s">
        <v>30</v>
      </c>
      <c r="D49" s="88" t="s">
        <v>30</v>
      </c>
      <c r="E49" s="88" t="s">
        <v>30</v>
      </c>
      <c r="F49" s="88" t="s">
        <v>30</v>
      </c>
      <c r="G49" s="88" t="s">
        <v>30</v>
      </c>
      <c r="H49" s="88" t="s">
        <v>30</v>
      </c>
      <c r="I49" s="88" t="s">
        <v>30</v>
      </c>
      <c r="J49" s="88" t="s">
        <v>30</v>
      </c>
      <c r="K49" s="88" t="s">
        <v>30</v>
      </c>
      <c r="L49" s="88" t="s">
        <v>30</v>
      </c>
      <c r="M49" s="88" t="s">
        <v>30</v>
      </c>
      <c r="N49" s="88" t="s">
        <v>30</v>
      </c>
      <c r="O49" s="88" t="s">
        <v>30</v>
      </c>
      <c r="P49" s="88" t="s">
        <v>30</v>
      </c>
      <c r="Q49" s="88" t="s">
        <v>30</v>
      </c>
      <c r="R49" s="88" t="s">
        <v>30</v>
      </c>
      <c r="S49" s="88" t="s">
        <v>30</v>
      </c>
      <c r="T49" s="88" t="s">
        <v>30</v>
      </c>
      <c r="U49" s="88" t="s">
        <v>30</v>
      </c>
      <c r="V49" s="88" t="s">
        <v>30</v>
      </c>
      <c r="W49" s="88" t="s">
        <v>30</v>
      </c>
      <c r="X49" s="88" t="s">
        <v>30</v>
      </c>
    </row>
    <row r="50" spans="1:24" x14ac:dyDescent="0.2">
      <c r="A50" s="78" t="s">
        <v>255</v>
      </c>
      <c r="B50" s="88">
        <v>-135</v>
      </c>
      <c r="C50" s="88">
        <v>-38</v>
      </c>
      <c r="D50" s="88">
        <v>-426</v>
      </c>
      <c r="E50" s="88">
        <v>-435</v>
      </c>
      <c r="F50" s="88">
        <v>-11</v>
      </c>
      <c r="G50" s="88">
        <v>-586</v>
      </c>
      <c r="H50" s="88">
        <v>-43</v>
      </c>
      <c r="I50" s="88" t="s">
        <v>30</v>
      </c>
      <c r="J50" s="88" t="s">
        <v>30</v>
      </c>
      <c r="K50" s="88" t="s">
        <v>30</v>
      </c>
      <c r="L50" s="88">
        <v>-200</v>
      </c>
      <c r="M50" s="88">
        <v>-1375</v>
      </c>
      <c r="N50" s="88">
        <v>-1500</v>
      </c>
      <c r="O50" s="88">
        <v>-1000</v>
      </c>
      <c r="P50" s="88">
        <v>-1000</v>
      </c>
      <c r="Q50" s="88">
        <v>-1000</v>
      </c>
      <c r="R50" s="88">
        <v>-625</v>
      </c>
      <c r="S50" s="88">
        <v>-500</v>
      </c>
      <c r="T50" s="88">
        <v>-750</v>
      </c>
      <c r="U50" s="88">
        <v>-500</v>
      </c>
      <c r="V50" s="88">
        <v>-550</v>
      </c>
      <c r="W50" s="88">
        <v>-500</v>
      </c>
      <c r="X50" s="88" t="s">
        <v>30</v>
      </c>
    </row>
    <row r="51" spans="1:24" ht="10.5" x14ac:dyDescent="0.2">
      <c r="A51" s="86" t="s">
        <v>256</v>
      </c>
      <c r="B51" s="89">
        <v>-135</v>
      </c>
      <c r="C51" s="89">
        <v>-38</v>
      </c>
      <c r="D51" s="89">
        <v>-426</v>
      </c>
      <c r="E51" s="89">
        <v>-435</v>
      </c>
      <c r="F51" s="89">
        <v>-11</v>
      </c>
      <c r="G51" s="89">
        <v>-586</v>
      </c>
      <c r="H51" s="89">
        <v>-43</v>
      </c>
      <c r="I51" s="89" t="s">
        <v>30</v>
      </c>
      <c r="J51" s="89" t="s">
        <v>30</v>
      </c>
      <c r="K51" s="89" t="s">
        <v>30</v>
      </c>
      <c r="L51" s="89">
        <v>-200</v>
      </c>
      <c r="M51" s="89">
        <v>-1375</v>
      </c>
      <c r="N51" s="89">
        <v>-1500</v>
      </c>
      <c r="O51" s="89">
        <v>-1000</v>
      </c>
      <c r="P51" s="89">
        <v>-1000</v>
      </c>
      <c r="Q51" s="89">
        <v>-1000</v>
      </c>
      <c r="R51" s="89">
        <v>-625</v>
      </c>
      <c r="S51" s="89">
        <v>-500</v>
      </c>
      <c r="T51" s="89">
        <v>-750</v>
      </c>
      <c r="U51" s="89">
        <v>-500</v>
      </c>
      <c r="V51" s="89">
        <v>-550</v>
      </c>
      <c r="W51" s="89">
        <v>-500</v>
      </c>
      <c r="X51" s="89">
        <v>-500</v>
      </c>
    </row>
    <row r="52" spans="1:24" x14ac:dyDescent="0.2">
      <c r="A52" s="78"/>
      <c r="B52" s="78"/>
      <c r="C52" s="78"/>
      <c r="D52" s="78"/>
      <c r="E52" s="78"/>
      <c r="F52" s="78"/>
      <c r="G52" s="78"/>
      <c r="H52" s="78"/>
      <c r="I52" s="78"/>
      <c r="J52" s="78"/>
      <c r="K52" s="78"/>
      <c r="L52" s="78"/>
      <c r="M52" s="78"/>
      <c r="N52" s="78"/>
      <c r="O52" s="78"/>
      <c r="P52" s="78"/>
      <c r="Q52" s="78"/>
      <c r="R52" s="78"/>
      <c r="S52" s="78"/>
      <c r="T52" s="78"/>
      <c r="U52" s="78"/>
      <c r="V52" s="78"/>
      <c r="W52" s="78"/>
      <c r="X52" s="78"/>
    </row>
    <row r="53" spans="1:24" x14ac:dyDescent="0.2">
      <c r="A53" s="78" t="s">
        <v>257</v>
      </c>
      <c r="B53" s="88">
        <v>183</v>
      </c>
      <c r="C53" s="88">
        <v>167</v>
      </c>
      <c r="D53" s="88">
        <v>157</v>
      </c>
      <c r="E53" s="88">
        <v>192</v>
      </c>
      <c r="F53" s="88">
        <v>461</v>
      </c>
      <c r="G53" s="88">
        <v>418</v>
      </c>
      <c r="H53" s="88">
        <v>761</v>
      </c>
      <c r="I53" s="88">
        <v>210</v>
      </c>
      <c r="J53" s="88">
        <v>109</v>
      </c>
      <c r="K53" s="88">
        <v>407</v>
      </c>
      <c r="L53" s="88">
        <v>690</v>
      </c>
      <c r="M53" s="88">
        <v>523</v>
      </c>
      <c r="N53" s="88">
        <v>1314</v>
      </c>
      <c r="O53" s="88">
        <v>554</v>
      </c>
      <c r="P53" s="88">
        <v>396</v>
      </c>
      <c r="Q53" s="88">
        <v>472</v>
      </c>
      <c r="R53" s="88">
        <v>483</v>
      </c>
      <c r="S53" s="88">
        <v>373</v>
      </c>
      <c r="T53" s="88">
        <v>539</v>
      </c>
      <c r="U53" s="88">
        <v>470</v>
      </c>
      <c r="V53" s="88">
        <v>377</v>
      </c>
      <c r="W53" s="88">
        <v>241</v>
      </c>
      <c r="X53" s="88">
        <v>268</v>
      </c>
    </row>
    <row r="54" spans="1:24" x14ac:dyDescent="0.2">
      <c r="A54" s="78" t="s">
        <v>258</v>
      </c>
      <c r="B54" s="88">
        <v>-395</v>
      </c>
      <c r="C54" s="88">
        <v>-370</v>
      </c>
      <c r="D54" s="88">
        <v>-284</v>
      </c>
      <c r="E54" s="88">
        <v>-753</v>
      </c>
      <c r="F54" s="88">
        <v>-4151</v>
      </c>
      <c r="G54" s="88">
        <v>-5302</v>
      </c>
      <c r="H54" s="88">
        <v>-4886</v>
      </c>
      <c r="I54" s="88">
        <v>-2122</v>
      </c>
      <c r="J54" s="88">
        <v>-954</v>
      </c>
      <c r="K54" s="88">
        <v>-2454</v>
      </c>
      <c r="L54" s="88">
        <v>-1973</v>
      </c>
      <c r="M54" s="88">
        <v>-1800</v>
      </c>
      <c r="N54" s="88">
        <v>-2868</v>
      </c>
      <c r="O54" s="88">
        <v>-2831</v>
      </c>
      <c r="P54" s="88">
        <v>-2741</v>
      </c>
      <c r="Q54" s="88">
        <v>-2132</v>
      </c>
      <c r="R54" s="88">
        <v>-2556</v>
      </c>
      <c r="S54" s="88">
        <v>-5100</v>
      </c>
      <c r="T54" s="88">
        <v>-2960</v>
      </c>
      <c r="U54" s="88">
        <v>-2553</v>
      </c>
      <c r="V54" s="88">
        <v>-527</v>
      </c>
      <c r="W54" s="88">
        <v>-3615</v>
      </c>
      <c r="X54" s="88">
        <v>-1076</v>
      </c>
    </row>
    <row r="55" spans="1:24" x14ac:dyDescent="0.2">
      <c r="A55" s="78"/>
      <c r="B55" s="78"/>
      <c r="C55" s="78"/>
      <c r="D55" s="78"/>
      <c r="E55" s="78"/>
      <c r="F55" s="78"/>
      <c r="G55" s="78"/>
      <c r="H55" s="78"/>
      <c r="I55" s="78"/>
      <c r="J55" s="78"/>
      <c r="K55" s="78"/>
      <c r="L55" s="78"/>
      <c r="M55" s="78"/>
      <c r="N55" s="78"/>
      <c r="O55" s="78"/>
      <c r="P55" s="78"/>
      <c r="Q55" s="78"/>
      <c r="R55" s="78"/>
      <c r="S55" s="78"/>
      <c r="T55" s="78"/>
      <c r="U55" s="78"/>
      <c r="V55" s="78"/>
      <c r="W55" s="78"/>
      <c r="X55" s="78"/>
    </row>
    <row r="56" spans="1:24" x14ac:dyDescent="0.2">
      <c r="A56" s="78" t="s">
        <v>259</v>
      </c>
      <c r="B56" s="88">
        <v>-147</v>
      </c>
      <c r="C56" s="88">
        <v>-147</v>
      </c>
      <c r="D56" s="88">
        <v>-147</v>
      </c>
      <c r="E56" s="88">
        <v>-154</v>
      </c>
      <c r="F56" s="88">
        <v>-173</v>
      </c>
      <c r="G56" s="88">
        <v>-199</v>
      </c>
      <c r="H56" s="88">
        <v>-425</v>
      </c>
      <c r="I56" s="88">
        <v>-537</v>
      </c>
      <c r="J56" s="88">
        <v>-567</v>
      </c>
      <c r="K56" s="88">
        <v>-592</v>
      </c>
      <c r="L56" s="88">
        <v>-644</v>
      </c>
      <c r="M56" s="88">
        <v>-819</v>
      </c>
      <c r="N56" s="88">
        <v>-1175</v>
      </c>
      <c r="O56" s="88">
        <v>-1323</v>
      </c>
      <c r="P56" s="88">
        <v>-1444</v>
      </c>
      <c r="Q56" s="88">
        <v>-1646</v>
      </c>
      <c r="R56" s="88">
        <v>-2104</v>
      </c>
      <c r="S56" s="88">
        <v>-2555</v>
      </c>
      <c r="T56" s="88">
        <v>-3008</v>
      </c>
      <c r="U56" s="88">
        <v>-3426</v>
      </c>
      <c r="V56" s="88">
        <v>-3886</v>
      </c>
      <c r="W56" s="88">
        <v>-4297</v>
      </c>
      <c r="X56" s="88">
        <v>-4499</v>
      </c>
    </row>
    <row r="57" spans="1:24" ht="10.5" x14ac:dyDescent="0.2">
      <c r="A57" s="86" t="s">
        <v>260</v>
      </c>
      <c r="B57" s="89">
        <v>-147</v>
      </c>
      <c r="C57" s="89">
        <v>-147</v>
      </c>
      <c r="D57" s="89">
        <v>-147</v>
      </c>
      <c r="E57" s="89">
        <v>-154</v>
      </c>
      <c r="F57" s="89">
        <v>-173</v>
      </c>
      <c r="G57" s="89">
        <v>-199</v>
      </c>
      <c r="H57" s="89">
        <v>-425</v>
      </c>
      <c r="I57" s="89">
        <v>-537</v>
      </c>
      <c r="J57" s="89">
        <v>-567</v>
      </c>
      <c r="K57" s="89">
        <v>-592</v>
      </c>
      <c r="L57" s="89">
        <v>-644</v>
      </c>
      <c r="M57" s="89">
        <v>-819</v>
      </c>
      <c r="N57" s="89">
        <v>-1175</v>
      </c>
      <c r="O57" s="89">
        <v>-1323</v>
      </c>
      <c r="P57" s="89">
        <v>-1444</v>
      </c>
      <c r="Q57" s="89">
        <v>-1646</v>
      </c>
      <c r="R57" s="89">
        <v>-2104</v>
      </c>
      <c r="S57" s="89">
        <v>-2555</v>
      </c>
      <c r="T57" s="89">
        <v>-3008</v>
      </c>
      <c r="U57" s="89">
        <v>-3426</v>
      </c>
      <c r="V57" s="89">
        <v>-3886</v>
      </c>
      <c r="W57" s="89">
        <v>-4297</v>
      </c>
      <c r="X57" s="89">
        <v>-4499</v>
      </c>
    </row>
    <row r="58" spans="1:24" x14ac:dyDescent="0.2">
      <c r="A58" s="78"/>
      <c r="B58" s="78"/>
      <c r="C58" s="78"/>
      <c r="D58" s="78"/>
      <c r="E58" s="78"/>
      <c r="F58" s="78"/>
      <c r="G58" s="78"/>
      <c r="H58" s="78"/>
      <c r="I58" s="78"/>
      <c r="J58" s="78"/>
      <c r="K58" s="78"/>
      <c r="L58" s="78"/>
      <c r="M58" s="78"/>
      <c r="N58" s="78"/>
      <c r="O58" s="78"/>
      <c r="P58" s="78"/>
      <c r="Q58" s="78"/>
      <c r="R58" s="78"/>
      <c r="S58" s="78"/>
      <c r="T58" s="78"/>
      <c r="U58" s="78"/>
      <c r="V58" s="78"/>
      <c r="W58" s="78"/>
      <c r="X58" s="78"/>
    </row>
    <row r="59" spans="1:24" x14ac:dyDescent="0.2">
      <c r="A59" s="78" t="s">
        <v>261</v>
      </c>
      <c r="B59" s="88" t="s">
        <v>30</v>
      </c>
      <c r="C59" s="88" t="s">
        <v>30</v>
      </c>
      <c r="D59" s="88" t="s">
        <v>30</v>
      </c>
      <c r="E59" s="88" t="s">
        <v>30</v>
      </c>
      <c r="F59" s="88" t="s">
        <v>30</v>
      </c>
      <c r="G59" s="88" t="s">
        <v>30</v>
      </c>
      <c r="H59" s="88" t="s">
        <v>30</v>
      </c>
      <c r="I59" s="88" t="s">
        <v>30</v>
      </c>
      <c r="J59" s="88" t="s">
        <v>30</v>
      </c>
      <c r="K59" s="88" t="s">
        <v>30</v>
      </c>
      <c r="L59" s="88" t="s">
        <v>30</v>
      </c>
      <c r="M59" s="88" t="s">
        <v>30</v>
      </c>
      <c r="N59" s="88" t="s">
        <v>30</v>
      </c>
      <c r="O59" s="88" t="s">
        <v>30</v>
      </c>
      <c r="P59" s="88" t="s">
        <v>30</v>
      </c>
      <c r="Q59" s="88" t="s">
        <v>30</v>
      </c>
      <c r="R59" s="88" t="s">
        <v>30</v>
      </c>
      <c r="S59" s="88" t="s">
        <v>30</v>
      </c>
      <c r="T59" s="88" t="s">
        <v>30</v>
      </c>
      <c r="U59" s="88" t="s">
        <v>30</v>
      </c>
      <c r="V59" s="88" t="s">
        <v>30</v>
      </c>
      <c r="W59" s="88" t="s">
        <v>30</v>
      </c>
      <c r="X59" s="88" t="s">
        <v>30</v>
      </c>
    </row>
    <row r="60" spans="1:24" x14ac:dyDescent="0.2">
      <c r="A60" s="78" t="s">
        <v>262</v>
      </c>
      <c r="B60" s="88" t="s">
        <v>30</v>
      </c>
      <c r="C60" s="88" t="s">
        <v>30</v>
      </c>
      <c r="D60" s="88">
        <v>261</v>
      </c>
      <c r="E60" s="88" t="s">
        <v>30</v>
      </c>
      <c r="F60" s="88">
        <v>59</v>
      </c>
      <c r="G60" s="88">
        <v>100</v>
      </c>
      <c r="H60" s="88">
        <v>116</v>
      </c>
      <c r="I60" s="88">
        <v>19</v>
      </c>
      <c r="J60" s="88">
        <v>1</v>
      </c>
      <c r="K60" s="88">
        <v>13</v>
      </c>
      <c r="L60" s="88">
        <v>19</v>
      </c>
      <c r="M60" s="88">
        <v>28</v>
      </c>
      <c r="N60" s="88">
        <v>73</v>
      </c>
      <c r="O60" s="88">
        <v>-3</v>
      </c>
      <c r="P60" s="88">
        <v>-3</v>
      </c>
      <c r="Q60" s="88">
        <v>-3</v>
      </c>
      <c r="R60" s="88">
        <v>-31</v>
      </c>
      <c r="S60" s="88">
        <v>-47</v>
      </c>
      <c r="T60" s="88">
        <v>-42</v>
      </c>
      <c r="U60" s="88">
        <v>-36</v>
      </c>
      <c r="V60" s="88">
        <v>-46</v>
      </c>
      <c r="W60" s="88">
        <v>-41</v>
      </c>
      <c r="X60" s="88">
        <v>-55</v>
      </c>
    </row>
    <row r="61" spans="1:24" ht="10.5" x14ac:dyDescent="0.2">
      <c r="A61" s="86" t="s">
        <v>263</v>
      </c>
      <c r="B61" s="89">
        <v>-491</v>
      </c>
      <c r="C61" s="89">
        <v>-379</v>
      </c>
      <c r="D61" s="89">
        <v>-439</v>
      </c>
      <c r="E61" s="89">
        <v>-1150</v>
      </c>
      <c r="F61" s="89">
        <v>-3540</v>
      </c>
      <c r="G61" s="89">
        <v>-5569</v>
      </c>
      <c r="H61" s="89">
        <v>-4477</v>
      </c>
      <c r="I61" s="89">
        <v>-2430</v>
      </c>
      <c r="J61" s="89">
        <v>-1411</v>
      </c>
      <c r="K61" s="89">
        <v>-2626</v>
      </c>
      <c r="L61" s="89">
        <v>2589</v>
      </c>
      <c r="M61" s="89">
        <v>-1951</v>
      </c>
      <c r="N61" s="89">
        <v>-3170</v>
      </c>
      <c r="O61" s="89">
        <v>-4105</v>
      </c>
      <c r="P61" s="89">
        <v>-4294</v>
      </c>
      <c r="Q61" s="89">
        <v>-3810</v>
      </c>
      <c r="R61" s="89">
        <v>-3734</v>
      </c>
      <c r="S61" s="89">
        <v>-6329</v>
      </c>
      <c r="T61" s="89">
        <v>-4730</v>
      </c>
      <c r="U61" s="89">
        <v>-4547</v>
      </c>
      <c r="V61" s="89">
        <v>-3137</v>
      </c>
      <c r="W61" s="89">
        <v>-6718</v>
      </c>
      <c r="X61" s="89">
        <v>-2063</v>
      </c>
    </row>
    <row r="62" spans="1:24" x14ac:dyDescent="0.2">
      <c r="A62" s="78"/>
      <c r="B62" s="78"/>
      <c r="C62" s="78"/>
      <c r="D62" s="78"/>
      <c r="E62" s="78"/>
      <c r="F62" s="78"/>
      <c r="G62" s="78"/>
      <c r="H62" s="78"/>
      <c r="I62" s="78"/>
      <c r="J62" s="78"/>
      <c r="K62" s="78"/>
      <c r="L62" s="78"/>
      <c r="M62" s="78"/>
      <c r="N62" s="78"/>
      <c r="O62" s="78"/>
      <c r="P62" s="78"/>
      <c r="Q62" s="78"/>
      <c r="R62" s="78"/>
      <c r="S62" s="78"/>
      <c r="T62" s="78"/>
      <c r="U62" s="78"/>
      <c r="V62" s="78"/>
      <c r="W62" s="78"/>
      <c r="X62" s="78"/>
    </row>
    <row r="63" spans="1:24" x14ac:dyDescent="0.2">
      <c r="A63" s="78" t="s">
        <v>362</v>
      </c>
      <c r="B63" s="88">
        <v>-16</v>
      </c>
      <c r="C63" s="88">
        <v>14</v>
      </c>
      <c r="D63" s="88">
        <v>-1</v>
      </c>
      <c r="E63" s="88">
        <v>15</v>
      </c>
      <c r="F63" s="88">
        <v>6</v>
      </c>
      <c r="G63" s="88" t="s">
        <v>30</v>
      </c>
      <c r="H63" s="88" t="s">
        <v>30</v>
      </c>
      <c r="I63" s="88" t="s">
        <v>30</v>
      </c>
      <c r="J63" s="88" t="s">
        <v>30</v>
      </c>
      <c r="K63" s="88" t="s">
        <v>30</v>
      </c>
      <c r="L63" s="88" t="s">
        <v>30</v>
      </c>
      <c r="M63" s="88" t="s">
        <v>30</v>
      </c>
      <c r="N63" s="88" t="s">
        <v>30</v>
      </c>
      <c r="O63" s="88" t="s">
        <v>30</v>
      </c>
      <c r="P63" s="88" t="s">
        <v>30</v>
      </c>
      <c r="Q63" s="88" t="s">
        <v>30</v>
      </c>
      <c r="R63" s="88" t="s">
        <v>30</v>
      </c>
      <c r="S63" s="88" t="s">
        <v>30</v>
      </c>
      <c r="T63" s="88" t="s">
        <v>30</v>
      </c>
      <c r="U63" s="88" t="s">
        <v>30</v>
      </c>
      <c r="V63" s="88" t="s">
        <v>30</v>
      </c>
      <c r="W63" s="88" t="s">
        <v>30</v>
      </c>
      <c r="X63" s="88" t="s">
        <v>30</v>
      </c>
    </row>
    <row r="64" spans="1:24" ht="10.5" x14ac:dyDescent="0.2">
      <c r="A64" s="86" t="s">
        <v>264</v>
      </c>
      <c r="B64" s="90">
        <v>-314</v>
      </c>
      <c r="C64" s="90">
        <v>518</v>
      </c>
      <c r="D64" s="90">
        <v>869</v>
      </c>
      <c r="E64" s="90">
        <v>850</v>
      </c>
      <c r="F64" s="90">
        <v>-1449</v>
      </c>
      <c r="G64" s="90">
        <v>-31</v>
      </c>
      <c r="H64" s="90">
        <v>145</v>
      </c>
      <c r="I64" s="90">
        <v>-282</v>
      </c>
      <c r="J64" s="90">
        <v>136</v>
      </c>
      <c r="K64" s="90">
        <v>137</v>
      </c>
      <c r="L64" s="90">
        <v>-327</v>
      </c>
      <c r="M64" s="90">
        <v>424</v>
      </c>
      <c r="N64" s="90">
        <v>211</v>
      </c>
      <c r="O64" s="90">
        <v>-428</v>
      </c>
      <c r="P64" s="90">
        <v>-199</v>
      </c>
      <c r="Q64" s="90">
        <v>154</v>
      </c>
      <c r="R64" s="90">
        <v>502</v>
      </c>
      <c r="S64" s="90">
        <v>782</v>
      </c>
      <c r="T64" s="90">
        <v>-1</v>
      </c>
      <c r="U64" s="90">
        <v>670</v>
      </c>
      <c r="V64" s="90">
        <v>1524</v>
      </c>
      <c r="W64" s="90">
        <v>-1581</v>
      </c>
      <c r="X64" s="90">
        <v>-603</v>
      </c>
    </row>
    <row r="65" spans="1:24" x14ac:dyDescent="0.2">
      <c r="A65" s="78"/>
      <c r="B65" s="78"/>
      <c r="C65" s="78"/>
      <c r="D65" s="78"/>
      <c r="E65" s="78"/>
      <c r="F65" s="78"/>
      <c r="G65" s="78"/>
      <c r="H65" s="78"/>
      <c r="I65" s="78"/>
      <c r="J65" s="78"/>
      <c r="K65" s="78"/>
      <c r="L65" s="78"/>
      <c r="M65" s="78"/>
      <c r="N65" s="78"/>
      <c r="O65" s="78"/>
      <c r="P65" s="78"/>
      <c r="Q65" s="78"/>
      <c r="R65" s="78"/>
      <c r="S65" s="78"/>
      <c r="T65" s="78"/>
      <c r="U65" s="78"/>
      <c r="V65" s="78"/>
      <c r="W65" s="78"/>
      <c r="X65" s="78"/>
    </row>
    <row r="66" spans="1:24" ht="10.5" x14ac:dyDescent="0.2">
      <c r="A66" s="86" t="s">
        <v>132</v>
      </c>
      <c r="B66" s="78"/>
      <c r="C66" s="78"/>
      <c r="D66" s="78"/>
      <c r="E66" s="78"/>
      <c r="F66" s="78"/>
      <c r="G66" s="78"/>
      <c r="H66" s="78"/>
      <c r="I66" s="78"/>
      <c r="J66" s="78"/>
      <c r="K66" s="78"/>
      <c r="L66" s="78"/>
      <c r="M66" s="78"/>
      <c r="N66" s="78"/>
      <c r="O66" s="78"/>
      <c r="P66" s="78"/>
      <c r="Q66" s="78"/>
      <c r="R66" s="78"/>
      <c r="S66" s="78"/>
      <c r="T66" s="78"/>
      <c r="U66" s="78"/>
      <c r="V66" s="78"/>
      <c r="W66" s="78"/>
      <c r="X66" s="78"/>
    </row>
    <row r="67" spans="1:24" x14ac:dyDescent="0.2">
      <c r="A67" s="78" t="s">
        <v>265</v>
      </c>
      <c r="B67" s="88">
        <v>61</v>
      </c>
      <c r="C67" s="88">
        <v>57</v>
      </c>
      <c r="D67" s="88">
        <v>39</v>
      </c>
      <c r="E67" s="88">
        <v>21</v>
      </c>
      <c r="F67" s="88" t="s">
        <v>135</v>
      </c>
      <c r="G67" s="88" t="s">
        <v>135</v>
      </c>
      <c r="H67" s="88" t="s">
        <v>135</v>
      </c>
      <c r="I67" s="88" t="s">
        <v>135</v>
      </c>
      <c r="J67" s="88" t="s">
        <v>135</v>
      </c>
      <c r="K67" s="88" t="s">
        <v>135</v>
      </c>
      <c r="L67" s="88">
        <v>54</v>
      </c>
      <c r="M67" s="88">
        <v>97</v>
      </c>
      <c r="N67" s="88">
        <v>102</v>
      </c>
      <c r="O67" s="88">
        <v>102</v>
      </c>
      <c r="P67" s="88">
        <v>99</v>
      </c>
      <c r="Q67" s="88">
        <v>88</v>
      </c>
      <c r="R67" s="88">
        <v>75</v>
      </c>
      <c r="S67" s="88">
        <v>114</v>
      </c>
      <c r="T67" s="88">
        <v>156</v>
      </c>
      <c r="U67" s="88">
        <v>182</v>
      </c>
      <c r="V67" s="88">
        <v>181</v>
      </c>
      <c r="W67" s="88">
        <v>198</v>
      </c>
      <c r="X67" s="88">
        <v>198</v>
      </c>
    </row>
    <row r="68" spans="1:24" x14ac:dyDescent="0.2">
      <c r="A68" s="78" t="s">
        <v>266</v>
      </c>
      <c r="B68" s="88">
        <v>81</v>
      </c>
      <c r="C68" s="88">
        <v>-42</v>
      </c>
      <c r="D68" s="88">
        <v>243</v>
      </c>
      <c r="E68" s="88">
        <v>261</v>
      </c>
      <c r="F68" s="88">
        <v>591</v>
      </c>
      <c r="G68" s="88">
        <v>1830</v>
      </c>
      <c r="H68" s="88">
        <v>733</v>
      </c>
      <c r="I68" s="88">
        <v>772</v>
      </c>
      <c r="J68" s="88">
        <v>331</v>
      </c>
      <c r="K68" s="88">
        <v>1470</v>
      </c>
      <c r="L68" s="88">
        <v>902</v>
      </c>
      <c r="M68" s="88">
        <v>171</v>
      </c>
      <c r="N68" s="88">
        <v>569</v>
      </c>
      <c r="O68" s="88">
        <v>1100</v>
      </c>
      <c r="P68" s="88">
        <v>1170</v>
      </c>
      <c r="Q68" s="88">
        <v>1150</v>
      </c>
      <c r="R68" s="88">
        <v>1800</v>
      </c>
      <c r="S68" s="88">
        <v>705</v>
      </c>
      <c r="T68" s="88">
        <v>570</v>
      </c>
      <c r="U68" s="88">
        <v>720</v>
      </c>
      <c r="V68" s="88">
        <v>1200</v>
      </c>
      <c r="W68" s="88">
        <v>1480</v>
      </c>
      <c r="X68" s="88">
        <v>1480</v>
      </c>
    </row>
    <row r="69" spans="1:24" x14ac:dyDescent="0.2">
      <c r="A69" s="78" t="s">
        <v>267</v>
      </c>
      <c r="B69" s="88">
        <v>31.125</v>
      </c>
      <c r="C69" s="88">
        <v>752.125</v>
      </c>
      <c r="D69" s="88">
        <v>1475.875</v>
      </c>
      <c r="E69" s="88">
        <v>1359.875</v>
      </c>
      <c r="F69" s="88">
        <v>1739.75</v>
      </c>
      <c r="G69" s="88">
        <v>2178.125</v>
      </c>
      <c r="H69" s="88">
        <v>3015.125</v>
      </c>
      <c r="I69" s="88">
        <v>2441.875</v>
      </c>
      <c r="J69" s="88">
        <v>1850.875</v>
      </c>
      <c r="K69" s="88">
        <v>2251.5</v>
      </c>
      <c r="L69" s="88">
        <v>1904.25</v>
      </c>
      <c r="M69" s="88">
        <v>3019.25</v>
      </c>
      <c r="N69" s="88">
        <v>2657.125</v>
      </c>
      <c r="O69" s="88">
        <v>3722.625</v>
      </c>
      <c r="P69" s="88">
        <v>3368.125</v>
      </c>
      <c r="Q69" s="88">
        <v>3577</v>
      </c>
      <c r="R69" s="88">
        <v>3999.5</v>
      </c>
      <c r="S69" s="88">
        <v>4522.375</v>
      </c>
      <c r="T69" s="88">
        <v>4180</v>
      </c>
      <c r="U69" s="88">
        <v>4072.375</v>
      </c>
      <c r="V69" s="88">
        <v>4124.75</v>
      </c>
      <c r="W69" s="88">
        <v>4061.625</v>
      </c>
      <c r="X69" s="88">
        <v>-138.4</v>
      </c>
    </row>
    <row r="70" spans="1:24" x14ac:dyDescent="0.2">
      <c r="A70" s="78" t="s">
        <v>268</v>
      </c>
      <c r="B70" s="88">
        <v>69.25</v>
      </c>
      <c r="C70" s="88">
        <v>787.75</v>
      </c>
      <c r="D70" s="88">
        <v>1500.25</v>
      </c>
      <c r="E70" s="88">
        <v>1373</v>
      </c>
      <c r="F70" s="88">
        <v>1745.375</v>
      </c>
      <c r="G70" s="88">
        <v>2182.5</v>
      </c>
      <c r="H70" s="88">
        <v>3015.125</v>
      </c>
      <c r="I70" s="88">
        <v>2441.875</v>
      </c>
      <c r="J70" s="88">
        <v>1850.875</v>
      </c>
      <c r="K70" s="88">
        <v>2251.5</v>
      </c>
      <c r="L70" s="88">
        <v>1930.5</v>
      </c>
      <c r="M70" s="88">
        <v>3072.375</v>
      </c>
      <c r="N70" s="88">
        <v>2722.75</v>
      </c>
      <c r="O70" s="88">
        <v>3781.375</v>
      </c>
      <c r="P70" s="88">
        <v>3424.375</v>
      </c>
      <c r="Q70" s="88">
        <v>3627</v>
      </c>
      <c r="R70" s="88">
        <v>4048.25</v>
      </c>
      <c r="S70" s="88">
        <v>4600.5</v>
      </c>
      <c r="T70" s="88">
        <v>4286.25</v>
      </c>
      <c r="U70" s="88">
        <v>4191.125</v>
      </c>
      <c r="V70" s="88">
        <v>4239.75</v>
      </c>
      <c r="W70" s="88">
        <v>4195.375</v>
      </c>
      <c r="X70" s="88">
        <v>58.5</v>
      </c>
    </row>
    <row r="71" spans="1:24" x14ac:dyDescent="0.2">
      <c r="A71" s="78" t="s">
        <v>269</v>
      </c>
      <c r="B71" s="88">
        <v>-158</v>
      </c>
      <c r="C71" s="88">
        <v>313</v>
      </c>
      <c r="D71" s="88">
        <v>15</v>
      </c>
      <c r="E71" s="88">
        <v>247</v>
      </c>
      <c r="F71" s="88">
        <v>142</v>
      </c>
      <c r="G71" s="88">
        <v>96</v>
      </c>
      <c r="H71" s="88">
        <v>-133</v>
      </c>
      <c r="I71" s="88">
        <v>-251</v>
      </c>
      <c r="J71" s="88">
        <v>-116</v>
      </c>
      <c r="K71" s="88">
        <v>405</v>
      </c>
      <c r="L71" s="88">
        <v>768</v>
      </c>
      <c r="M71" s="88">
        <v>-440</v>
      </c>
      <c r="N71" s="88">
        <v>108</v>
      </c>
      <c r="O71" s="88">
        <v>-220</v>
      </c>
      <c r="P71" s="88">
        <v>78</v>
      </c>
      <c r="Q71" s="88">
        <v>33</v>
      </c>
      <c r="R71" s="88">
        <v>173</v>
      </c>
      <c r="S71" s="88">
        <v>-368</v>
      </c>
      <c r="T71" s="88">
        <v>-315</v>
      </c>
      <c r="U71" s="88">
        <v>79</v>
      </c>
      <c r="V71" s="88">
        <v>56</v>
      </c>
      <c r="W71" s="88">
        <v>585</v>
      </c>
      <c r="X71" s="88">
        <v>1414</v>
      </c>
    </row>
    <row r="72" spans="1:24" x14ac:dyDescent="0.2">
      <c r="A72" s="78" t="s">
        <v>270</v>
      </c>
      <c r="B72" s="88">
        <v>-132</v>
      </c>
      <c r="C72" s="88">
        <v>-29</v>
      </c>
      <c r="D72" s="88">
        <v>-426</v>
      </c>
      <c r="E72" s="88">
        <v>-435</v>
      </c>
      <c r="F72" s="88">
        <v>264</v>
      </c>
      <c r="G72" s="88">
        <v>-586</v>
      </c>
      <c r="H72" s="88">
        <v>-43</v>
      </c>
      <c r="I72" s="88" t="s">
        <v>135</v>
      </c>
      <c r="J72" s="88" t="s">
        <v>135</v>
      </c>
      <c r="K72" s="88" t="s">
        <v>135</v>
      </c>
      <c r="L72" s="88">
        <v>4497</v>
      </c>
      <c r="M72" s="88">
        <v>117</v>
      </c>
      <c r="N72" s="88">
        <v>-514</v>
      </c>
      <c r="O72" s="88">
        <v>-502</v>
      </c>
      <c r="P72" s="88">
        <v>-502</v>
      </c>
      <c r="Q72" s="88">
        <v>-501</v>
      </c>
      <c r="R72" s="88">
        <v>474</v>
      </c>
      <c r="S72" s="88">
        <v>1000</v>
      </c>
      <c r="T72" s="88">
        <v>741</v>
      </c>
      <c r="U72" s="88">
        <v>998</v>
      </c>
      <c r="V72" s="88">
        <v>945</v>
      </c>
      <c r="W72" s="88">
        <v>994</v>
      </c>
      <c r="X72" s="88">
        <v>3299</v>
      </c>
    </row>
    <row r="73" spans="1:24" x14ac:dyDescent="0.2">
      <c r="A73" s="78" t="s">
        <v>363</v>
      </c>
      <c r="B73" s="88" t="s">
        <v>30</v>
      </c>
      <c r="C73" s="88" t="s">
        <v>30</v>
      </c>
      <c r="D73" s="88" t="s">
        <v>30</v>
      </c>
      <c r="E73" s="88">
        <v>-46</v>
      </c>
      <c r="F73" s="88">
        <v>-56</v>
      </c>
      <c r="G73" s="88">
        <v>-16</v>
      </c>
      <c r="H73" s="88" t="s">
        <v>30</v>
      </c>
      <c r="I73" s="88" t="s">
        <v>30</v>
      </c>
      <c r="J73" s="88" t="s">
        <v>30</v>
      </c>
      <c r="K73" s="88" t="s">
        <v>30</v>
      </c>
      <c r="L73" s="88" t="s">
        <v>30</v>
      </c>
      <c r="M73" s="88" t="s">
        <v>30</v>
      </c>
      <c r="N73" s="88" t="s">
        <v>30</v>
      </c>
      <c r="O73" s="88" t="s">
        <v>30</v>
      </c>
      <c r="P73" s="88" t="s">
        <v>30</v>
      </c>
      <c r="Q73" s="88" t="s">
        <v>30</v>
      </c>
      <c r="R73" s="88" t="s">
        <v>30</v>
      </c>
      <c r="S73" s="88" t="s">
        <v>30</v>
      </c>
      <c r="T73" s="88" t="s">
        <v>30</v>
      </c>
      <c r="U73" s="88" t="s">
        <v>30</v>
      </c>
      <c r="V73" s="88" t="s">
        <v>30</v>
      </c>
      <c r="W73" s="88" t="s">
        <v>30</v>
      </c>
      <c r="X73" s="88" t="s">
        <v>30</v>
      </c>
    </row>
    <row r="74" spans="1:24" x14ac:dyDescent="0.2">
      <c r="A74" s="78" t="s">
        <v>146</v>
      </c>
      <c r="B74" s="91">
        <v>38044</v>
      </c>
      <c r="C74" s="91">
        <v>38411</v>
      </c>
      <c r="D74" s="91">
        <v>38776</v>
      </c>
      <c r="E74" s="91">
        <v>39141</v>
      </c>
      <c r="F74" s="91">
        <v>39504</v>
      </c>
      <c r="G74" s="91">
        <v>39868</v>
      </c>
      <c r="H74" s="91">
        <v>40232</v>
      </c>
      <c r="I74" s="91">
        <v>40599</v>
      </c>
      <c r="J74" s="91">
        <v>40963</v>
      </c>
      <c r="K74" s="91">
        <v>41327</v>
      </c>
      <c r="L74" s="91">
        <v>41694</v>
      </c>
      <c r="M74" s="91">
        <v>42059</v>
      </c>
      <c r="N74" s="91">
        <v>42424</v>
      </c>
      <c r="O74" s="91">
        <v>42789</v>
      </c>
      <c r="P74" s="91">
        <v>43153</v>
      </c>
      <c r="Q74" s="91">
        <v>43518</v>
      </c>
      <c r="R74" s="91">
        <v>43881</v>
      </c>
      <c r="S74" s="91">
        <v>44232</v>
      </c>
      <c r="T74" s="91">
        <v>44596</v>
      </c>
      <c r="U74" s="91">
        <v>44960</v>
      </c>
      <c r="V74" s="91">
        <v>44960</v>
      </c>
      <c r="W74" s="91">
        <v>44960</v>
      </c>
      <c r="X74" s="91">
        <v>45224</v>
      </c>
    </row>
    <row r="75" spans="1:24" x14ac:dyDescent="0.2">
      <c r="A75" s="78" t="s">
        <v>147</v>
      </c>
      <c r="B75" s="92" t="s">
        <v>148</v>
      </c>
      <c r="C75" s="92" t="s">
        <v>148</v>
      </c>
      <c r="D75" s="92" t="s">
        <v>148</v>
      </c>
      <c r="E75" s="92" t="s">
        <v>340</v>
      </c>
      <c r="F75" s="92" t="s">
        <v>340</v>
      </c>
      <c r="G75" s="92" t="s">
        <v>341</v>
      </c>
      <c r="H75" s="92" t="s">
        <v>341</v>
      </c>
      <c r="I75" s="92" t="s">
        <v>148</v>
      </c>
      <c r="J75" s="92" t="s">
        <v>148</v>
      </c>
      <c r="K75" s="92" t="s">
        <v>148</v>
      </c>
      <c r="L75" s="92" t="s">
        <v>148</v>
      </c>
      <c r="M75" s="92" t="s">
        <v>148</v>
      </c>
      <c r="N75" s="92" t="s">
        <v>148</v>
      </c>
      <c r="O75" s="92" t="s">
        <v>341</v>
      </c>
      <c r="P75" s="92" t="s">
        <v>341</v>
      </c>
      <c r="Q75" s="92" t="s">
        <v>148</v>
      </c>
      <c r="R75" s="92" t="s">
        <v>148</v>
      </c>
      <c r="S75" s="92" t="s">
        <v>148</v>
      </c>
      <c r="T75" s="92" t="s">
        <v>148</v>
      </c>
      <c r="U75" s="92" t="s">
        <v>148</v>
      </c>
      <c r="V75" s="92" t="s">
        <v>148</v>
      </c>
      <c r="W75" s="92" t="s">
        <v>149</v>
      </c>
      <c r="X75" s="92" t="s">
        <v>149</v>
      </c>
    </row>
    <row r="76" spans="1:24" x14ac:dyDescent="0.2">
      <c r="A76" s="78" t="s">
        <v>150</v>
      </c>
      <c r="B76" s="92" t="s">
        <v>151</v>
      </c>
      <c r="C76" s="92" t="s">
        <v>151</v>
      </c>
      <c r="D76" s="92" t="s">
        <v>151</v>
      </c>
      <c r="E76" s="92" t="s">
        <v>151</v>
      </c>
      <c r="F76" s="92" t="s">
        <v>151</v>
      </c>
      <c r="G76" s="92" t="s">
        <v>151</v>
      </c>
      <c r="H76" s="92" t="s">
        <v>151</v>
      </c>
      <c r="I76" s="92" t="s">
        <v>151</v>
      </c>
      <c r="J76" s="92" t="s">
        <v>151</v>
      </c>
      <c r="K76" s="92" t="s">
        <v>151</v>
      </c>
      <c r="L76" s="92" t="s">
        <v>151</v>
      </c>
      <c r="M76" s="92" t="s">
        <v>151</v>
      </c>
      <c r="N76" s="92" t="s">
        <v>151</v>
      </c>
      <c r="O76" s="92" t="s">
        <v>151</v>
      </c>
      <c r="P76" s="92" t="s">
        <v>151</v>
      </c>
      <c r="Q76" s="92" t="s">
        <v>151</v>
      </c>
      <c r="R76" s="92" t="s">
        <v>151</v>
      </c>
      <c r="S76" s="92" t="s">
        <v>151</v>
      </c>
      <c r="T76" s="92" t="s">
        <v>151</v>
      </c>
      <c r="U76" s="92" t="s">
        <v>151</v>
      </c>
      <c r="V76" s="92" t="s">
        <v>151</v>
      </c>
      <c r="W76" s="92" t="s">
        <v>151</v>
      </c>
      <c r="X76" s="92" t="s">
        <v>152</v>
      </c>
    </row>
    <row r="77" spans="1:24" x14ac:dyDescent="0.2">
      <c r="A77" s="78"/>
      <c r="B77" s="78"/>
      <c r="C77" s="78"/>
      <c r="D77" s="78"/>
      <c r="E77" s="78"/>
      <c r="F77" s="78"/>
      <c r="G77" s="78"/>
      <c r="H77" s="78"/>
      <c r="I77" s="78"/>
      <c r="J77" s="78"/>
      <c r="K77" s="78"/>
      <c r="L77" s="78"/>
      <c r="M77" s="78"/>
      <c r="N77" s="78"/>
      <c r="O77" s="78"/>
      <c r="P77" s="78"/>
      <c r="Q77" s="78"/>
      <c r="R77" s="78"/>
      <c r="S77" s="78"/>
      <c r="T77" s="78"/>
      <c r="U77" s="78"/>
      <c r="V77" s="78"/>
      <c r="W77" s="78"/>
      <c r="X77" s="78"/>
    </row>
    <row r="78" spans="1:24" ht="60" x14ac:dyDescent="0.2">
      <c r="A78" s="93" t="s">
        <v>67</v>
      </c>
      <c r="B78" s="94"/>
      <c r="C78" s="94"/>
      <c r="D78" s="94"/>
      <c r="E78" s="94"/>
      <c r="F78" s="94"/>
      <c r="G78" s="94"/>
      <c r="H78" s="94"/>
      <c r="I78" s="94"/>
      <c r="J78" s="94"/>
      <c r="K78" s="94"/>
      <c r="L78" s="94"/>
      <c r="M78" s="94"/>
      <c r="N78" s="94"/>
      <c r="O78" s="94"/>
      <c r="P78" s="94"/>
      <c r="Q78" s="94"/>
      <c r="R78" s="94"/>
      <c r="S78" s="94"/>
      <c r="T78" s="94"/>
      <c r="U78" s="94"/>
      <c r="V78" s="94"/>
      <c r="W78" s="94"/>
      <c r="X78" s="94"/>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57F99-E27D-4C6C-82DF-B81B5608F73E}">
  <dimension ref="A5:IU86"/>
  <sheetViews>
    <sheetView topLeftCell="A8" workbookViewId="0">
      <selection activeCell="A19" sqref="A19"/>
    </sheetView>
  </sheetViews>
  <sheetFormatPr defaultRowHeight="10" x14ac:dyDescent="0.2"/>
  <cols>
    <col min="1" max="1" width="45.81640625" customWidth="1"/>
    <col min="2" max="37" width="14.81640625" customWidth="1"/>
    <col min="257" max="257" width="45.81640625" customWidth="1"/>
    <col min="258" max="293" width="14.81640625" customWidth="1"/>
    <col min="513" max="513" width="45.81640625" customWidth="1"/>
    <col min="514" max="549" width="14.81640625" customWidth="1"/>
    <col min="769" max="769" width="45.81640625" customWidth="1"/>
    <col min="770" max="805" width="14.81640625" customWidth="1"/>
    <col min="1025" max="1025" width="45.81640625" customWidth="1"/>
    <col min="1026" max="1061" width="14.81640625" customWidth="1"/>
    <col min="1281" max="1281" width="45.81640625" customWidth="1"/>
    <col min="1282" max="1317" width="14.81640625" customWidth="1"/>
    <col min="1537" max="1537" width="45.81640625" customWidth="1"/>
    <col min="1538" max="1573" width="14.81640625" customWidth="1"/>
    <col min="1793" max="1793" width="45.81640625" customWidth="1"/>
    <col min="1794" max="1829" width="14.81640625" customWidth="1"/>
    <col min="2049" max="2049" width="45.81640625" customWidth="1"/>
    <col min="2050" max="2085" width="14.81640625" customWidth="1"/>
    <col min="2305" max="2305" width="45.81640625" customWidth="1"/>
    <col min="2306" max="2341" width="14.81640625" customWidth="1"/>
    <col min="2561" max="2561" width="45.81640625" customWidth="1"/>
    <col min="2562" max="2597" width="14.81640625" customWidth="1"/>
    <col min="2817" max="2817" width="45.81640625" customWidth="1"/>
    <col min="2818" max="2853" width="14.81640625" customWidth="1"/>
    <col min="3073" max="3073" width="45.81640625" customWidth="1"/>
    <col min="3074" max="3109" width="14.81640625" customWidth="1"/>
    <col min="3329" max="3329" width="45.81640625" customWidth="1"/>
    <col min="3330" max="3365" width="14.81640625" customWidth="1"/>
    <col min="3585" max="3585" width="45.81640625" customWidth="1"/>
    <col min="3586" max="3621" width="14.81640625" customWidth="1"/>
    <col min="3841" max="3841" width="45.81640625" customWidth="1"/>
    <col min="3842" max="3877" width="14.81640625" customWidth="1"/>
    <col min="4097" max="4097" width="45.81640625" customWidth="1"/>
    <col min="4098" max="4133" width="14.81640625" customWidth="1"/>
    <col min="4353" max="4353" width="45.81640625" customWidth="1"/>
    <col min="4354" max="4389" width="14.81640625" customWidth="1"/>
    <col min="4609" max="4609" width="45.81640625" customWidth="1"/>
    <col min="4610" max="4645" width="14.81640625" customWidth="1"/>
    <col min="4865" max="4865" width="45.81640625" customWidth="1"/>
    <col min="4866" max="4901" width="14.81640625" customWidth="1"/>
    <col min="5121" max="5121" width="45.81640625" customWidth="1"/>
    <col min="5122" max="5157" width="14.81640625" customWidth="1"/>
    <col min="5377" max="5377" width="45.81640625" customWidth="1"/>
    <col min="5378" max="5413" width="14.81640625" customWidth="1"/>
    <col min="5633" max="5633" width="45.81640625" customWidth="1"/>
    <col min="5634" max="5669" width="14.81640625" customWidth="1"/>
    <col min="5889" max="5889" width="45.81640625" customWidth="1"/>
    <col min="5890" max="5925" width="14.81640625" customWidth="1"/>
    <col min="6145" max="6145" width="45.81640625" customWidth="1"/>
    <col min="6146" max="6181" width="14.81640625" customWidth="1"/>
    <col min="6401" max="6401" width="45.81640625" customWidth="1"/>
    <col min="6402" max="6437" width="14.81640625" customWidth="1"/>
    <col min="6657" max="6657" width="45.81640625" customWidth="1"/>
    <col min="6658" max="6693" width="14.81640625" customWidth="1"/>
    <col min="6913" max="6913" width="45.81640625" customWidth="1"/>
    <col min="6914" max="6949" width="14.81640625" customWidth="1"/>
    <col min="7169" max="7169" width="45.81640625" customWidth="1"/>
    <col min="7170" max="7205" width="14.81640625" customWidth="1"/>
    <col min="7425" max="7425" width="45.81640625" customWidth="1"/>
    <col min="7426" max="7461" width="14.81640625" customWidth="1"/>
    <col min="7681" max="7681" width="45.81640625" customWidth="1"/>
    <col min="7682" max="7717" width="14.81640625" customWidth="1"/>
    <col min="7937" max="7937" width="45.81640625" customWidth="1"/>
    <col min="7938" max="7973" width="14.81640625" customWidth="1"/>
    <col min="8193" max="8193" width="45.81640625" customWidth="1"/>
    <col min="8194" max="8229" width="14.81640625" customWidth="1"/>
    <col min="8449" max="8449" width="45.81640625" customWidth="1"/>
    <col min="8450" max="8485" width="14.81640625" customWidth="1"/>
    <col min="8705" max="8705" width="45.81640625" customWidth="1"/>
    <col min="8706" max="8741" width="14.81640625" customWidth="1"/>
    <col min="8961" max="8961" width="45.81640625" customWidth="1"/>
    <col min="8962" max="8997" width="14.81640625" customWidth="1"/>
    <col min="9217" max="9217" width="45.81640625" customWidth="1"/>
    <col min="9218" max="9253" width="14.81640625" customWidth="1"/>
    <col min="9473" max="9473" width="45.81640625" customWidth="1"/>
    <col min="9474" max="9509" width="14.81640625" customWidth="1"/>
    <col min="9729" max="9729" width="45.81640625" customWidth="1"/>
    <col min="9730" max="9765" width="14.81640625" customWidth="1"/>
    <col min="9985" max="9985" width="45.81640625" customWidth="1"/>
    <col min="9986" max="10021" width="14.81640625" customWidth="1"/>
    <col min="10241" max="10241" width="45.81640625" customWidth="1"/>
    <col min="10242" max="10277" width="14.81640625" customWidth="1"/>
    <col min="10497" max="10497" width="45.81640625" customWidth="1"/>
    <col min="10498" max="10533" width="14.81640625" customWidth="1"/>
    <col min="10753" max="10753" width="45.81640625" customWidth="1"/>
    <col min="10754" max="10789" width="14.81640625" customWidth="1"/>
    <col min="11009" max="11009" width="45.81640625" customWidth="1"/>
    <col min="11010" max="11045" width="14.81640625" customWidth="1"/>
    <col min="11265" max="11265" width="45.81640625" customWidth="1"/>
    <col min="11266" max="11301" width="14.81640625" customWidth="1"/>
    <col min="11521" max="11521" width="45.81640625" customWidth="1"/>
    <col min="11522" max="11557" width="14.81640625" customWidth="1"/>
    <col min="11777" max="11777" width="45.81640625" customWidth="1"/>
    <col min="11778" max="11813" width="14.81640625" customWidth="1"/>
    <col min="12033" max="12033" width="45.81640625" customWidth="1"/>
    <col min="12034" max="12069" width="14.81640625" customWidth="1"/>
    <col min="12289" max="12289" width="45.81640625" customWidth="1"/>
    <col min="12290" max="12325" width="14.81640625" customWidth="1"/>
    <col min="12545" max="12545" width="45.81640625" customWidth="1"/>
    <col min="12546" max="12581" width="14.81640625" customWidth="1"/>
    <col min="12801" max="12801" width="45.81640625" customWidth="1"/>
    <col min="12802" max="12837" width="14.81640625" customWidth="1"/>
    <col min="13057" max="13057" width="45.81640625" customWidth="1"/>
    <col min="13058" max="13093" width="14.81640625" customWidth="1"/>
    <col min="13313" max="13313" width="45.81640625" customWidth="1"/>
    <col min="13314" max="13349" width="14.81640625" customWidth="1"/>
    <col min="13569" max="13569" width="45.81640625" customWidth="1"/>
    <col min="13570" max="13605" width="14.81640625" customWidth="1"/>
    <col min="13825" max="13825" width="45.81640625" customWidth="1"/>
    <col min="13826" max="13861" width="14.81640625" customWidth="1"/>
    <col min="14081" max="14081" width="45.81640625" customWidth="1"/>
    <col min="14082" max="14117" width="14.81640625" customWidth="1"/>
    <col min="14337" max="14337" width="45.81640625" customWidth="1"/>
    <col min="14338" max="14373" width="14.81640625" customWidth="1"/>
    <col min="14593" max="14593" width="45.81640625" customWidth="1"/>
    <col min="14594" max="14629" width="14.81640625" customWidth="1"/>
    <col min="14849" max="14849" width="45.81640625" customWidth="1"/>
    <col min="14850" max="14885" width="14.81640625" customWidth="1"/>
    <col min="15105" max="15105" width="45.81640625" customWidth="1"/>
    <col min="15106" max="15141" width="14.81640625" customWidth="1"/>
    <col min="15361" max="15361" width="45.81640625" customWidth="1"/>
    <col min="15362" max="15397" width="14.81640625" customWidth="1"/>
    <col min="15617" max="15617" width="45.81640625" customWidth="1"/>
    <col min="15618" max="15653" width="14.81640625" customWidth="1"/>
    <col min="15873" max="15873" width="45.81640625" customWidth="1"/>
    <col min="15874" max="15909" width="14.81640625" customWidth="1"/>
    <col min="16129" max="16129" width="45.81640625" customWidth="1"/>
    <col min="16130" max="16165" width="14.81640625" customWidth="1"/>
  </cols>
  <sheetData>
    <row r="5" spans="1:255" ht="17" x14ac:dyDescent="0.35">
      <c r="A5" s="1" t="s">
        <v>0</v>
      </c>
    </row>
    <row r="7" spans="1:255" ht="10.5" x14ac:dyDescent="0.25">
      <c r="A7" s="2" t="s">
        <v>1</v>
      </c>
      <c r="B7" s="3" t="s">
        <v>2</v>
      </c>
      <c r="C7" t="s">
        <v>3</v>
      </c>
      <c r="D7" s="4" t="s">
        <v>4</v>
      </c>
      <c r="E7" s="3" t="s">
        <v>5</v>
      </c>
      <c r="F7" t="s">
        <v>6</v>
      </c>
    </row>
    <row r="8" spans="1:255" ht="10.5" x14ac:dyDescent="0.25">
      <c r="A8" s="4"/>
      <c r="B8" s="3" t="s">
        <v>7</v>
      </c>
      <c r="C8" t="s">
        <v>8</v>
      </c>
      <c r="D8" s="4" t="s">
        <v>4</v>
      </c>
      <c r="E8" s="3" t="s">
        <v>9</v>
      </c>
      <c r="F8" t="s">
        <v>10</v>
      </c>
    </row>
    <row r="9" spans="1:255" ht="10.5" x14ac:dyDescent="0.25">
      <c r="A9" s="4"/>
      <c r="B9" s="3" t="s">
        <v>11</v>
      </c>
      <c r="C9" s="5" t="s">
        <v>12</v>
      </c>
      <c r="D9" s="4" t="s">
        <v>4</v>
      </c>
      <c r="E9" s="3" t="s">
        <v>13</v>
      </c>
      <c r="F9" t="s">
        <v>14</v>
      </c>
    </row>
    <row r="12" spans="1:255" x14ac:dyDescent="0.2">
      <c r="A12" s="6" t="s">
        <v>15</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c r="FU12" s="31"/>
      <c r="FV12" s="31"/>
      <c r="FW12" s="31"/>
      <c r="FX12" s="31"/>
      <c r="FY12" s="31"/>
      <c r="FZ12" s="31"/>
      <c r="GA12" s="31"/>
      <c r="GB12" s="31"/>
      <c r="GC12" s="31"/>
      <c r="GD12" s="31"/>
      <c r="GE12" s="31"/>
      <c r="GF12" s="31"/>
      <c r="GG12" s="31"/>
      <c r="GH12" s="31"/>
      <c r="GI12" s="31"/>
      <c r="GJ12" s="31"/>
      <c r="GK12" s="31"/>
      <c r="GL12" s="31"/>
      <c r="GM12" s="31"/>
      <c r="GN12" s="31"/>
      <c r="GO12" s="31"/>
      <c r="GP12" s="31"/>
      <c r="GQ12" s="31"/>
      <c r="GR12" s="31"/>
      <c r="GS12" s="31"/>
      <c r="GT12" s="31"/>
      <c r="GU12" s="31"/>
      <c r="GV12" s="31"/>
      <c r="GW12" s="31"/>
      <c r="GX12" s="31"/>
      <c r="GY12" s="31"/>
      <c r="GZ12" s="31"/>
      <c r="HA12" s="31"/>
      <c r="HB12" s="31"/>
      <c r="HC12" s="31"/>
      <c r="HD12" s="31"/>
      <c r="HE12" s="31"/>
      <c r="HF12" s="31"/>
      <c r="HG12" s="31"/>
      <c r="HH12" s="31"/>
      <c r="HI12" s="31"/>
      <c r="HJ12" s="31"/>
      <c r="HK12" s="31"/>
      <c r="HL12" s="31"/>
      <c r="HM12" s="31"/>
      <c r="HN12" s="31"/>
      <c r="HO12" s="31"/>
      <c r="HP12" s="31"/>
      <c r="HQ12" s="31"/>
      <c r="HR12" s="31"/>
      <c r="HS12" s="31"/>
      <c r="HT12" s="31"/>
      <c r="HU12" s="31"/>
      <c r="HV12" s="31"/>
      <c r="HW12" s="31"/>
      <c r="HX12" s="31"/>
      <c r="HY12" s="31"/>
      <c r="HZ12" s="31"/>
      <c r="IA12" s="31"/>
      <c r="IB12" s="31"/>
      <c r="IC12" s="31"/>
      <c r="ID12" s="31"/>
      <c r="IE12" s="31"/>
      <c r="IF12" s="31"/>
      <c r="IG12" s="31"/>
      <c r="IH12" s="31"/>
      <c r="II12" s="31"/>
      <c r="IJ12" s="31"/>
      <c r="IK12" s="31"/>
      <c r="IL12" s="31"/>
      <c r="IM12" s="31"/>
      <c r="IN12" s="31"/>
      <c r="IO12" s="31"/>
      <c r="IP12" s="31"/>
      <c r="IQ12" s="31"/>
      <c r="IR12" s="31"/>
      <c r="IS12" s="31"/>
      <c r="IT12" s="31"/>
      <c r="IU12" s="31"/>
    </row>
    <row r="13" spans="1:255" ht="31.5" x14ac:dyDescent="0.25">
      <c r="A13" s="7" t="s">
        <v>16</v>
      </c>
      <c r="B13" s="12" t="s">
        <v>283</v>
      </c>
      <c r="C13" s="12" t="s">
        <v>284</v>
      </c>
      <c r="D13" s="12" t="s">
        <v>285</v>
      </c>
      <c r="E13" s="12" t="s">
        <v>286</v>
      </c>
      <c r="F13" s="12" t="s">
        <v>287</v>
      </c>
      <c r="G13" s="12" t="s">
        <v>288</v>
      </c>
      <c r="H13" s="12" t="s">
        <v>289</v>
      </c>
      <c r="I13" s="12" t="s">
        <v>290</v>
      </c>
      <c r="J13" s="12" t="s">
        <v>291</v>
      </c>
      <c r="K13" s="12" t="s">
        <v>292</v>
      </c>
      <c r="L13" s="12" t="s">
        <v>293</v>
      </c>
      <c r="M13" s="12" t="s">
        <v>294</v>
      </c>
      <c r="N13" s="12" t="s">
        <v>295</v>
      </c>
      <c r="O13" s="12" t="s">
        <v>296</v>
      </c>
      <c r="P13" s="12" t="s">
        <v>297</v>
      </c>
      <c r="Q13" s="12" t="s">
        <v>298</v>
      </c>
      <c r="R13" s="12" t="s">
        <v>299</v>
      </c>
      <c r="S13" s="12" t="s">
        <v>300</v>
      </c>
      <c r="T13" s="12" t="s">
        <v>301</v>
      </c>
      <c r="U13" s="12" t="s">
        <v>302</v>
      </c>
      <c r="V13" s="12" t="s">
        <v>303</v>
      </c>
      <c r="W13" s="12" t="s">
        <v>304</v>
      </c>
      <c r="X13" s="12" t="s">
        <v>305</v>
      </c>
      <c r="Y13" s="12" t="s">
        <v>306</v>
      </c>
      <c r="Z13" s="12" t="s">
        <v>307</v>
      </c>
      <c r="AA13" s="12" t="s">
        <v>308</v>
      </c>
      <c r="AB13" s="12" t="s">
        <v>309</v>
      </c>
      <c r="AC13" s="12" t="s">
        <v>310</v>
      </c>
      <c r="AD13" s="12" t="s">
        <v>17</v>
      </c>
      <c r="AE13" s="12" t="s">
        <v>18</v>
      </c>
      <c r="AF13" s="12" t="s">
        <v>19</v>
      </c>
      <c r="AG13" s="12" t="s">
        <v>20</v>
      </c>
      <c r="AH13" s="12" t="s">
        <v>21</v>
      </c>
      <c r="AI13" s="12" t="s">
        <v>22</v>
      </c>
      <c r="AJ13" s="12" t="s">
        <v>23</v>
      </c>
      <c r="AK13" s="12" t="s">
        <v>24</v>
      </c>
    </row>
    <row r="14" spans="1:255" x14ac:dyDescent="0.2">
      <c r="A14" s="8" t="s">
        <v>25</v>
      </c>
      <c r="B14" s="13" t="s">
        <v>26</v>
      </c>
      <c r="C14" s="13" t="s">
        <v>26</v>
      </c>
      <c r="D14" s="13" t="s">
        <v>26</v>
      </c>
      <c r="E14" s="13" t="s">
        <v>26</v>
      </c>
      <c r="F14" s="13" t="s">
        <v>26</v>
      </c>
      <c r="G14" s="13" t="s">
        <v>26</v>
      </c>
      <c r="H14" s="13" t="s">
        <v>26</v>
      </c>
      <c r="I14" s="13" t="s">
        <v>26</v>
      </c>
      <c r="J14" s="13" t="s">
        <v>26</v>
      </c>
      <c r="K14" s="13" t="s">
        <v>26</v>
      </c>
      <c r="L14" s="13" t="s">
        <v>26</v>
      </c>
      <c r="M14" s="13" t="s">
        <v>26</v>
      </c>
      <c r="N14" s="13" t="s">
        <v>26</v>
      </c>
      <c r="O14" s="13" t="s">
        <v>26</v>
      </c>
      <c r="P14" s="13" t="s">
        <v>26</v>
      </c>
      <c r="Q14" s="13" t="s">
        <v>26</v>
      </c>
      <c r="R14" s="13" t="s">
        <v>26</v>
      </c>
      <c r="S14" s="13" t="s">
        <v>26</v>
      </c>
      <c r="T14" s="13" t="s">
        <v>26</v>
      </c>
      <c r="U14" s="13" t="s">
        <v>26</v>
      </c>
      <c r="V14" s="13" t="s">
        <v>26</v>
      </c>
      <c r="W14" s="13" t="s">
        <v>26</v>
      </c>
      <c r="X14" s="13" t="s">
        <v>26</v>
      </c>
      <c r="Y14" s="13" t="s">
        <v>26</v>
      </c>
      <c r="Z14" s="13" t="s">
        <v>26</v>
      </c>
      <c r="AA14" s="13" t="s">
        <v>26</v>
      </c>
      <c r="AB14" s="13" t="s">
        <v>26</v>
      </c>
      <c r="AC14" s="13" t="s">
        <v>26</v>
      </c>
      <c r="AD14" s="13" t="s">
        <v>26</v>
      </c>
      <c r="AE14" s="13" t="s">
        <v>26</v>
      </c>
      <c r="AF14" s="13" t="s">
        <v>26</v>
      </c>
      <c r="AG14" s="13" t="s">
        <v>26</v>
      </c>
      <c r="AH14" s="13" t="s">
        <v>26</v>
      </c>
      <c r="AI14" s="13" t="s">
        <v>26</v>
      </c>
      <c r="AJ14" s="13" t="s">
        <v>26</v>
      </c>
      <c r="AK14" s="13" t="s">
        <v>26</v>
      </c>
    </row>
    <row r="15" spans="1:255" ht="10.5" x14ac:dyDescent="0.2">
      <c r="A15" s="9"/>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row>
    <row r="16" spans="1:255" ht="10.5" x14ac:dyDescent="0.2">
      <c r="A16" s="9" t="s">
        <v>27</v>
      </c>
      <c r="B16" s="14">
        <v>6784</v>
      </c>
      <c r="C16" s="14">
        <v>7440</v>
      </c>
      <c r="D16" s="14">
        <v>8523</v>
      </c>
      <c r="E16" s="14">
        <v>8608</v>
      </c>
      <c r="F16" s="14">
        <v>11409</v>
      </c>
      <c r="G16" s="14">
        <v>9940</v>
      </c>
      <c r="H16" s="14">
        <v>9972</v>
      </c>
      <c r="I16" s="14">
        <v>8875</v>
      </c>
      <c r="J16" s="14">
        <v>9759</v>
      </c>
      <c r="K16" s="14">
        <v>11875</v>
      </c>
      <c r="L16" s="14">
        <v>8201</v>
      </c>
      <c r="M16" s="14">
        <v>8383</v>
      </c>
      <c r="N16" s="14">
        <v>9834</v>
      </c>
      <c r="O16" s="14">
        <v>11552</v>
      </c>
      <c r="P16" s="14">
        <v>12335</v>
      </c>
      <c r="Q16" s="14">
        <v>14255</v>
      </c>
      <c r="R16" s="14">
        <v>13835</v>
      </c>
      <c r="S16" s="14">
        <v>12501</v>
      </c>
      <c r="T16" s="14">
        <v>10427</v>
      </c>
      <c r="U16" s="14">
        <v>13966</v>
      </c>
      <c r="V16" s="14">
        <v>13735</v>
      </c>
      <c r="W16" s="14">
        <v>12825</v>
      </c>
      <c r="X16" s="14">
        <v>12205</v>
      </c>
      <c r="Y16" s="14">
        <v>13045</v>
      </c>
      <c r="Z16" s="14">
        <v>13000</v>
      </c>
      <c r="AA16" s="14">
        <v>13370</v>
      </c>
      <c r="AB16" s="14">
        <v>14961</v>
      </c>
      <c r="AC16" s="14">
        <v>15784</v>
      </c>
      <c r="AD16" s="14">
        <v>14383</v>
      </c>
      <c r="AE16" s="14">
        <v>14461</v>
      </c>
      <c r="AF16" s="14">
        <v>18344</v>
      </c>
      <c r="AG16" s="14">
        <v>20028</v>
      </c>
      <c r="AH16" s="14">
        <v>18112</v>
      </c>
      <c r="AI16" s="16">
        <v>17563.84994</v>
      </c>
      <c r="AJ16" s="16">
        <v>17749.724490000001</v>
      </c>
      <c r="AK16" s="16">
        <v>20016.469300000001</v>
      </c>
    </row>
    <row r="17" spans="1:37" x14ac:dyDescent="0.2">
      <c r="A17" s="10" t="s">
        <v>28</v>
      </c>
      <c r="B17" s="15">
        <v>3.3043999999999997E-2</v>
      </c>
      <c r="C17" s="15">
        <v>9.6698000000000006E-2</v>
      </c>
      <c r="D17" s="15">
        <v>0.145564</v>
      </c>
      <c r="E17" s="15">
        <v>9.9729999999999992E-3</v>
      </c>
      <c r="F17" s="15">
        <v>0.32539400000000002</v>
      </c>
      <c r="G17" s="15">
        <v>-0.12875800000000001</v>
      </c>
      <c r="H17" s="15">
        <v>3.2190000000000001E-3</v>
      </c>
      <c r="I17" s="15">
        <v>-0.110009</v>
      </c>
      <c r="J17" s="15">
        <v>9.9604999999999999E-2</v>
      </c>
      <c r="K17" s="15">
        <v>0.21682499999999999</v>
      </c>
      <c r="L17" s="15">
        <v>-0.30939</v>
      </c>
      <c r="M17" s="15">
        <v>2.2192E-2</v>
      </c>
      <c r="N17" s="15">
        <v>0.17308799999999999</v>
      </c>
      <c r="O17" s="15">
        <v>0.17469999999999999</v>
      </c>
      <c r="P17" s="15">
        <v>6.7780000000000007E-2</v>
      </c>
      <c r="Q17" s="15">
        <v>0.15565399999999999</v>
      </c>
      <c r="R17" s="15">
        <v>-2.9464000000000001E-2</v>
      </c>
      <c r="S17" s="15">
        <v>-9.6422999999999995E-2</v>
      </c>
      <c r="T17" s="15">
        <v>-0.165907</v>
      </c>
      <c r="U17" s="15">
        <v>0.33940700000000001</v>
      </c>
      <c r="V17" s="15">
        <v>-1.6541E-2</v>
      </c>
      <c r="W17" s="15">
        <v>-6.6254999999999994E-2</v>
      </c>
      <c r="X17" s="15">
        <v>-4.8343999999999998E-2</v>
      </c>
      <c r="Y17" s="15">
        <v>6.8823999999999996E-2</v>
      </c>
      <c r="Z17" s="15">
        <v>-3.4499999999999999E-3</v>
      </c>
      <c r="AA17" s="15">
        <v>2.8461E-2</v>
      </c>
      <c r="AB17" s="15">
        <v>0.11899700000000001</v>
      </c>
      <c r="AC17" s="15">
        <v>5.5009000000000002E-2</v>
      </c>
      <c r="AD17" s="15">
        <v>-8.8761000000000007E-2</v>
      </c>
      <c r="AE17" s="15">
        <v>5.4229999999999999E-3</v>
      </c>
      <c r="AF17" s="15">
        <v>0.268515</v>
      </c>
      <c r="AG17" s="15">
        <v>9.1800999999999994E-2</v>
      </c>
      <c r="AH17" s="15">
        <v>-0.102923</v>
      </c>
      <c r="AI17" s="17">
        <v>-0.123035253645</v>
      </c>
      <c r="AJ17" s="17">
        <v>1.0582790825000001E-2</v>
      </c>
      <c r="AK17" s="17">
        <v>0.12770591516900001</v>
      </c>
    </row>
    <row r="18" spans="1:37" x14ac:dyDescent="0.2">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row>
    <row r="19" spans="1:37" ht="10.5" x14ac:dyDescent="0.2">
      <c r="A19" s="9" t="s">
        <v>29</v>
      </c>
      <c r="B19" s="14">
        <v>1122</v>
      </c>
      <c r="C19" s="14">
        <v>1720</v>
      </c>
      <c r="D19" s="14">
        <v>2249</v>
      </c>
      <c r="E19" s="14">
        <v>2883</v>
      </c>
      <c r="F19" s="14">
        <v>4008</v>
      </c>
      <c r="G19" s="14">
        <v>2794</v>
      </c>
      <c r="H19" s="14">
        <v>3793</v>
      </c>
      <c r="I19" s="14">
        <v>3270</v>
      </c>
      <c r="J19" s="14">
        <v>4718</v>
      </c>
      <c r="K19" s="14">
        <v>5776</v>
      </c>
      <c r="L19" s="14">
        <v>2624</v>
      </c>
      <c r="M19" s="14">
        <v>3096</v>
      </c>
      <c r="N19" s="14">
        <v>4064</v>
      </c>
      <c r="O19" s="14">
        <v>5257</v>
      </c>
      <c r="P19" s="14">
        <v>6016</v>
      </c>
      <c r="Q19" s="14">
        <v>7259</v>
      </c>
      <c r="R19" s="14">
        <v>7369</v>
      </c>
      <c r="S19" s="14">
        <v>6245</v>
      </c>
      <c r="T19" s="14">
        <v>4999</v>
      </c>
      <c r="U19" s="14">
        <v>7492</v>
      </c>
      <c r="V19" s="14">
        <v>6868</v>
      </c>
      <c r="W19" s="14">
        <v>6389</v>
      </c>
      <c r="X19" s="14">
        <v>6364</v>
      </c>
      <c r="Y19" s="14">
        <v>7427</v>
      </c>
      <c r="Z19" s="14">
        <v>7575</v>
      </c>
      <c r="AA19" s="14">
        <v>8257</v>
      </c>
      <c r="AB19" s="14">
        <v>9614</v>
      </c>
      <c r="AC19" s="14">
        <v>10277</v>
      </c>
      <c r="AD19" s="14">
        <v>9164</v>
      </c>
      <c r="AE19" s="14">
        <v>9269</v>
      </c>
      <c r="AF19" s="14">
        <v>12376</v>
      </c>
      <c r="AG19" s="14">
        <v>13771</v>
      </c>
      <c r="AH19" s="14">
        <v>11675</v>
      </c>
      <c r="AI19" s="14" t="s">
        <v>30</v>
      </c>
      <c r="AJ19" s="14" t="s">
        <v>30</v>
      </c>
      <c r="AK19" s="14" t="s">
        <v>30</v>
      </c>
    </row>
    <row r="20" spans="1:37" x14ac:dyDescent="0.2">
      <c r="A20" s="10" t="s">
        <v>31</v>
      </c>
      <c r="B20" s="15">
        <v>0.16538900000000001</v>
      </c>
      <c r="C20" s="15">
        <v>0.231182</v>
      </c>
      <c r="D20" s="15">
        <v>0.263874</v>
      </c>
      <c r="E20" s="15">
        <v>0.33492100000000002</v>
      </c>
      <c r="F20" s="15">
        <v>0.35130099999999997</v>
      </c>
      <c r="G20" s="15">
        <v>0.281086</v>
      </c>
      <c r="H20" s="15">
        <v>0.38036500000000001</v>
      </c>
      <c r="I20" s="15">
        <v>0.36845</v>
      </c>
      <c r="J20" s="15">
        <v>0.48345100000000002</v>
      </c>
      <c r="K20" s="15">
        <v>0.4864</v>
      </c>
      <c r="L20" s="15">
        <v>0.31996000000000002</v>
      </c>
      <c r="M20" s="15">
        <v>0.36931799999999998</v>
      </c>
      <c r="N20" s="15">
        <v>0.41326000000000002</v>
      </c>
      <c r="O20" s="15">
        <v>0.45507199999999998</v>
      </c>
      <c r="P20" s="15">
        <v>0.48771700000000001</v>
      </c>
      <c r="Q20" s="15">
        <v>0.50922400000000001</v>
      </c>
      <c r="R20" s="15">
        <v>0.53263400000000005</v>
      </c>
      <c r="S20" s="15">
        <v>0.49956</v>
      </c>
      <c r="T20" s="15">
        <v>0.47942800000000002</v>
      </c>
      <c r="U20" s="15">
        <v>0.53644499999999995</v>
      </c>
      <c r="V20" s="15">
        <v>0.50003600000000004</v>
      </c>
      <c r="W20" s="15">
        <v>0.49816700000000003</v>
      </c>
      <c r="X20" s="15">
        <v>0.52142500000000003</v>
      </c>
      <c r="Y20" s="15">
        <v>0.56933599999999995</v>
      </c>
      <c r="Z20" s="15">
        <v>0.58269199999999999</v>
      </c>
      <c r="AA20" s="15">
        <v>0.61757600000000001</v>
      </c>
      <c r="AB20" s="15">
        <v>0.64260399999999995</v>
      </c>
      <c r="AC20" s="15">
        <v>0.65110199999999996</v>
      </c>
      <c r="AD20" s="15">
        <v>0.63714099999999996</v>
      </c>
      <c r="AE20" s="15">
        <v>0.64096500000000001</v>
      </c>
      <c r="AF20" s="15">
        <v>0.67466199999999998</v>
      </c>
      <c r="AG20" s="15">
        <v>0.68758699999999995</v>
      </c>
      <c r="AH20" s="15">
        <v>0.64459999999999995</v>
      </c>
      <c r="AI20" s="17">
        <v>0.6331097</v>
      </c>
      <c r="AJ20" s="17">
        <v>0.60964649999999998</v>
      </c>
      <c r="AK20" s="17">
        <v>0.62138150000000003</v>
      </c>
    </row>
    <row r="21" spans="1:37" x14ac:dyDescent="0.2">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row>
    <row r="22" spans="1:37" ht="10.5" x14ac:dyDescent="0.2">
      <c r="A22" s="9" t="s">
        <v>32</v>
      </c>
      <c r="B22" s="14">
        <v>341</v>
      </c>
      <c r="C22" s="14">
        <v>1030</v>
      </c>
      <c r="D22" s="14">
        <v>1345</v>
      </c>
      <c r="E22" s="14">
        <v>1506</v>
      </c>
      <c r="F22" s="14">
        <v>2120</v>
      </c>
      <c r="G22" s="14">
        <v>878</v>
      </c>
      <c r="H22" s="14">
        <v>1823</v>
      </c>
      <c r="I22" s="14">
        <v>1704</v>
      </c>
      <c r="J22" s="14">
        <v>2945</v>
      </c>
      <c r="K22" s="14">
        <v>3862</v>
      </c>
      <c r="L22" s="14">
        <v>1606</v>
      </c>
      <c r="M22" s="14">
        <v>2015</v>
      </c>
      <c r="N22" s="14">
        <v>2634</v>
      </c>
      <c r="O22" s="14">
        <v>3478</v>
      </c>
      <c r="P22" s="14">
        <v>3960</v>
      </c>
      <c r="Q22" s="14">
        <v>4483</v>
      </c>
      <c r="R22" s="14">
        <v>4619</v>
      </c>
      <c r="S22" s="14">
        <v>3750</v>
      </c>
      <c r="T22" s="14">
        <v>3128</v>
      </c>
      <c r="U22" s="14">
        <v>5317</v>
      </c>
      <c r="V22" s="14">
        <v>4438</v>
      </c>
      <c r="W22" s="14">
        <v>3653</v>
      </c>
      <c r="X22" s="14">
        <v>3869</v>
      </c>
      <c r="Y22" s="14">
        <v>5074</v>
      </c>
      <c r="Z22" s="14">
        <v>5300</v>
      </c>
      <c r="AA22" s="14">
        <v>5702</v>
      </c>
      <c r="AB22" s="14">
        <v>6890</v>
      </c>
      <c r="AC22" s="14">
        <v>7592</v>
      </c>
      <c r="AD22" s="14">
        <v>6678</v>
      </c>
      <c r="AE22" s="14">
        <v>6658</v>
      </c>
      <c r="AF22" s="14">
        <v>9815</v>
      </c>
      <c r="AG22" s="14">
        <v>11020</v>
      </c>
      <c r="AH22" s="14">
        <v>8850</v>
      </c>
      <c r="AI22" s="16">
        <v>8600.2388100000007</v>
      </c>
      <c r="AJ22" s="16">
        <v>8639.7520800000002</v>
      </c>
      <c r="AK22" s="16">
        <v>10614.480890000001</v>
      </c>
    </row>
    <row r="23" spans="1:37" x14ac:dyDescent="0.2">
      <c r="A23" s="10" t="s">
        <v>31</v>
      </c>
      <c r="B23" s="15">
        <v>5.0264999999999997E-2</v>
      </c>
      <c r="C23" s="15">
        <v>0.13844000000000001</v>
      </c>
      <c r="D23" s="15">
        <v>0.157808</v>
      </c>
      <c r="E23" s="15">
        <v>0.174953</v>
      </c>
      <c r="F23" s="15">
        <v>0.18581800000000001</v>
      </c>
      <c r="G23" s="15">
        <v>8.8329000000000005E-2</v>
      </c>
      <c r="H23" s="15">
        <v>0.182811</v>
      </c>
      <c r="I23" s="15">
        <v>0.192</v>
      </c>
      <c r="J23" s="15">
        <v>0.30177199999999998</v>
      </c>
      <c r="K23" s="15">
        <v>0.32522099999999998</v>
      </c>
      <c r="L23" s="15">
        <v>0.195829</v>
      </c>
      <c r="M23" s="15">
        <v>0.240367</v>
      </c>
      <c r="N23" s="15">
        <v>0.26784599999999997</v>
      </c>
      <c r="O23" s="15">
        <v>0.30107299999999998</v>
      </c>
      <c r="P23" s="15">
        <v>0.32103700000000002</v>
      </c>
      <c r="Q23" s="15">
        <v>0.31448599999999999</v>
      </c>
      <c r="R23" s="15">
        <v>0.33386300000000002</v>
      </c>
      <c r="S23" s="15">
        <v>0.29997600000000002</v>
      </c>
      <c r="T23" s="15">
        <v>0.29998999999999998</v>
      </c>
      <c r="U23" s="15">
        <v>0.38070999999999999</v>
      </c>
      <c r="V23" s="15">
        <v>0.32311600000000001</v>
      </c>
      <c r="W23" s="15">
        <v>0.28483399999999998</v>
      </c>
      <c r="X23" s="15">
        <v>0.31700099999999998</v>
      </c>
      <c r="Y23" s="15">
        <v>0.388961</v>
      </c>
      <c r="Z23" s="15">
        <v>0.407692</v>
      </c>
      <c r="AA23" s="15">
        <v>0.42647699999999999</v>
      </c>
      <c r="AB23" s="15">
        <v>0.46052999999999999</v>
      </c>
      <c r="AC23" s="15">
        <v>0.480993</v>
      </c>
      <c r="AD23" s="15">
        <v>0.46429799999999999</v>
      </c>
      <c r="AE23" s="15">
        <v>0.46040999999999999</v>
      </c>
      <c r="AF23" s="15">
        <v>0.53505199999999997</v>
      </c>
      <c r="AG23" s="15">
        <v>0.55022899999999997</v>
      </c>
      <c r="AH23" s="15">
        <v>0.488626</v>
      </c>
      <c r="AI23" s="17">
        <v>0.48965567568500001</v>
      </c>
      <c r="AJ23" s="17">
        <v>0.48675415130299998</v>
      </c>
      <c r="AK23" s="17">
        <v>0.53028737141000004</v>
      </c>
    </row>
    <row r="24" spans="1:37" x14ac:dyDescent="0.2">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row>
    <row r="25" spans="1:37" ht="10.5" x14ac:dyDescent="0.2">
      <c r="A25" s="9" t="s">
        <v>33</v>
      </c>
      <c r="B25" s="14">
        <v>-249</v>
      </c>
      <c r="C25" s="14">
        <v>420</v>
      </c>
      <c r="D25" s="14">
        <v>728</v>
      </c>
      <c r="E25" s="14">
        <v>926</v>
      </c>
      <c r="F25" s="14">
        <v>1439</v>
      </c>
      <c r="G25" s="14">
        <v>-26</v>
      </c>
      <c r="H25" s="14">
        <v>666</v>
      </c>
      <c r="I25" s="14">
        <v>456</v>
      </c>
      <c r="J25" s="14">
        <v>1871</v>
      </c>
      <c r="K25" s="14">
        <v>2486</v>
      </c>
      <c r="L25" s="14">
        <v>-222</v>
      </c>
      <c r="M25" s="14">
        <v>326</v>
      </c>
      <c r="N25" s="14">
        <v>1106</v>
      </c>
      <c r="O25" s="14">
        <v>1960</v>
      </c>
      <c r="P25" s="14">
        <v>2559</v>
      </c>
      <c r="Q25" s="14">
        <v>3372</v>
      </c>
      <c r="R25" s="14">
        <v>3549</v>
      </c>
      <c r="S25" s="14">
        <v>2691</v>
      </c>
      <c r="T25" s="14">
        <v>2203</v>
      </c>
      <c r="U25" s="14">
        <v>4404</v>
      </c>
      <c r="V25" s="14">
        <v>3428</v>
      </c>
      <c r="W25" s="14">
        <v>2375</v>
      </c>
      <c r="X25" s="14">
        <v>2654</v>
      </c>
      <c r="Y25" s="14">
        <v>3903</v>
      </c>
      <c r="Z25" s="14">
        <v>4215</v>
      </c>
      <c r="AA25" s="14">
        <v>4784</v>
      </c>
      <c r="AB25" s="14">
        <v>6034</v>
      </c>
      <c r="AC25" s="14">
        <v>6684</v>
      </c>
      <c r="AD25" s="14">
        <v>5682</v>
      </c>
      <c r="AE25" s="14">
        <v>5925</v>
      </c>
      <c r="AF25" s="14">
        <v>8918</v>
      </c>
      <c r="AG25" s="14">
        <v>10095</v>
      </c>
      <c r="AH25" s="14">
        <v>7748</v>
      </c>
      <c r="AI25" s="16">
        <v>7375.3845000000001</v>
      </c>
      <c r="AJ25" s="16">
        <v>6961.9921100000001</v>
      </c>
      <c r="AK25" s="16">
        <v>8374.8762599999991</v>
      </c>
    </row>
    <row r="26" spans="1:37" x14ac:dyDescent="0.2">
      <c r="A26" s="10" t="s">
        <v>31</v>
      </c>
      <c r="B26" s="15">
        <v>-3.6704000000000001E-2</v>
      </c>
      <c r="C26" s="15">
        <v>5.6451000000000001E-2</v>
      </c>
      <c r="D26" s="15">
        <v>8.5415000000000005E-2</v>
      </c>
      <c r="E26" s="15">
        <v>0.107574</v>
      </c>
      <c r="F26" s="15">
        <v>0.12612799999999999</v>
      </c>
      <c r="G26" s="15">
        <v>-2.6150000000000001E-3</v>
      </c>
      <c r="H26" s="15">
        <v>6.6786999999999999E-2</v>
      </c>
      <c r="I26" s="15">
        <v>5.1380000000000002E-2</v>
      </c>
      <c r="J26" s="15">
        <v>0.19172</v>
      </c>
      <c r="K26" s="15">
        <v>0.20934700000000001</v>
      </c>
      <c r="L26" s="15">
        <v>-2.7068999999999999E-2</v>
      </c>
      <c r="M26" s="15">
        <v>3.8887999999999999E-2</v>
      </c>
      <c r="N26" s="15">
        <v>0.112466</v>
      </c>
      <c r="O26" s="15">
        <v>0.16966700000000001</v>
      </c>
      <c r="P26" s="15">
        <v>0.207458</v>
      </c>
      <c r="Q26" s="15">
        <v>0.23654800000000001</v>
      </c>
      <c r="R26" s="15">
        <v>0.256523</v>
      </c>
      <c r="S26" s="15">
        <v>0.21526200000000001</v>
      </c>
      <c r="T26" s="15">
        <v>0.21127799999999999</v>
      </c>
      <c r="U26" s="15">
        <v>0.31533699999999998</v>
      </c>
      <c r="V26" s="15">
        <v>0.249581</v>
      </c>
      <c r="W26" s="15">
        <v>0.18518499999999999</v>
      </c>
      <c r="X26" s="15">
        <v>0.21745100000000001</v>
      </c>
      <c r="Y26" s="15">
        <v>0.29919499999999999</v>
      </c>
      <c r="Z26" s="15">
        <v>0.32423000000000002</v>
      </c>
      <c r="AA26" s="15">
        <v>0.35781600000000002</v>
      </c>
      <c r="AB26" s="15">
        <v>0.40331499999999998</v>
      </c>
      <c r="AC26" s="15">
        <v>0.42346600000000001</v>
      </c>
      <c r="AD26" s="15">
        <v>0.39504899999999998</v>
      </c>
      <c r="AE26" s="15">
        <v>0.40972199999999998</v>
      </c>
      <c r="AF26" s="15">
        <v>0.486153</v>
      </c>
      <c r="AG26" s="15">
        <v>0.50404400000000005</v>
      </c>
      <c r="AH26" s="15">
        <v>0.427782</v>
      </c>
      <c r="AI26" s="17">
        <v>0.41991844186799998</v>
      </c>
      <c r="AJ26" s="17">
        <v>0.392230995694</v>
      </c>
      <c r="AK26" s="17">
        <v>0.41839927583999997</v>
      </c>
    </row>
    <row r="27" spans="1:37" x14ac:dyDescent="0.2">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row>
    <row r="28" spans="1:37" ht="10.5" x14ac:dyDescent="0.2">
      <c r="A28" s="9" t="s">
        <v>34</v>
      </c>
      <c r="B28" s="14">
        <v>-409</v>
      </c>
      <c r="C28" s="14">
        <v>247</v>
      </c>
      <c r="D28" s="14">
        <v>476</v>
      </c>
      <c r="E28" s="14">
        <v>592</v>
      </c>
      <c r="F28" s="14">
        <v>996</v>
      </c>
      <c r="G28" s="14">
        <v>-46</v>
      </c>
      <c r="H28" s="14">
        <v>339</v>
      </c>
      <c r="I28" s="14">
        <v>452</v>
      </c>
      <c r="J28" s="14">
        <v>1451</v>
      </c>
      <c r="K28" s="14">
        <v>3087</v>
      </c>
      <c r="L28" s="14">
        <v>-201</v>
      </c>
      <c r="M28" s="14">
        <v>-344</v>
      </c>
      <c r="N28" s="14">
        <v>1198</v>
      </c>
      <c r="O28" s="14">
        <v>1691</v>
      </c>
      <c r="P28" s="14">
        <v>2173</v>
      </c>
      <c r="Q28" s="14">
        <v>2638</v>
      </c>
      <c r="R28" s="14">
        <v>2641</v>
      </c>
      <c r="S28" s="14">
        <v>1920</v>
      </c>
      <c r="T28" s="14">
        <v>1470</v>
      </c>
      <c r="U28" s="14">
        <v>3228</v>
      </c>
      <c r="V28" s="14">
        <v>2236</v>
      </c>
      <c r="W28" s="14">
        <v>1759</v>
      </c>
      <c r="X28" s="14">
        <v>2162</v>
      </c>
      <c r="Y28" s="14">
        <v>2821</v>
      </c>
      <c r="Z28" s="14">
        <v>2986</v>
      </c>
      <c r="AA28" s="14">
        <v>3595</v>
      </c>
      <c r="AB28" s="14">
        <v>3682</v>
      </c>
      <c r="AC28" s="14">
        <v>5580</v>
      </c>
      <c r="AD28" s="14">
        <v>5017</v>
      </c>
      <c r="AE28" s="14">
        <v>5595</v>
      </c>
      <c r="AF28" s="14">
        <v>7769</v>
      </c>
      <c r="AG28" s="14">
        <v>8749</v>
      </c>
      <c r="AH28" s="14">
        <v>7101</v>
      </c>
      <c r="AI28" s="14" t="s">
        <v>30</v>
      </c>
      <c r="AJ28" s="14" t="s">
        <v>30</v>
      </c>
      <c r="AK28" s="14" t="s">
        <v>30</v>
      </c>
    </row>
    <row r="29" spans="1:37" x14ac:dyDescent="0.2">
      <c r="A29" s="10" t="s">
        <v>31</v>
      </c>
      <c r="B29" s="15">
        <v>-6.0288000000000001E-2</v>
      </c>
      <c r="C29" s="15">
        <v>3.3197999999999998E-2</v>
      </c>
      <c r="D29" s="15">
        <v>5.5848000000000002E-2</v>
      </c>
      <c r="E29" s="15">
        <v>6.8773000000000001E-2</v>
      </c>
      <c r="F29" s="15">
        <v>8.7299000000000002E-2</v>
      </c>
      <c r="G29" s="15">
        <v>-4.627E-3</v>
      </c>
      <c r="H29" s="15">
        <v>3.3994999999999997E-2</v>
      </c>
      <c r="I29" s="15">
        <v>5.0929000000000002E-2</v>
      </c>
      <c r="J29" s="15">
        <v>0.14868300000000001</v>
      </c>
      <c r="K29" s="15">
        <v>0.25995699999999999</v>
      </c>
      <c r="L29" s="15">
        <v>-2.4509E-2</v>
      </c>
      <c r="M29" s="15">
        <v>-4.1035000000000002E-2</v>
      </c>
      <c r="N29" s="15">
        <v>0.121822</v>
      </c>
      <c r="O29" s="15">
        <v>0.14638100000000001</v>
      </c>
      <c r="P29" s="15">
        <v>0.17616499999999999</v>
      </c>
      <c r="Q29" s="15">
        <v>0.185057</v>
      </c>
      <c r="R29" s="15">
        <v>0.19089200000000001</v>
      </c>
      <c r="S29" s="15">
        <v>0.153587</v>
      </c>
      <c r="T29" s="15">
        <v>0.14097999999999999</v>
      </c>
      <c r="U29" s="15">
        <v>0.231132</v>
      </c>
      <c r="V29" s="15">
        <v>0.162795</v>
      </c>
      <c r="W29" s="15">
        <v>0.137153</v>
      </c>
      <c r="X29" s="15">
        <v>0.17713999999999999</v>
      </c>
      <c r="Y29" s="15">
        <v>0.216251</v>
      </c>
      <c r="Z29" s="15">
        <v>0.22969200000000001</v>
      </c>
      <c r="AA29" s="15">
        <v>0.26888499999999999</v>
      </c>
      <c r="AB29" s="15">
        <v>0.24610599999999999</v>
      </c>
      <c r="AC29" s="15">
        <v>0.353522</v>
      </c>
      <c r="AD29" s="15">
        <v>0.34881400000000001</v>
      </c>
      <c r="AE29" s="15">
        <v>0.38690200000000002</v>
      </c>
      <c r="AF29" s="15">
        <v>0.42351699999999998</v>
      </c>
      <c r="AG29" s="15">
        <v>0.436838</v>
      </c>
      <c r="AH29" s="15">
        <v>0.39206000000000002</v>
      </c>
      <c r="AI29" s="18" t="s">
        <v>30</v>
      </c>
      <c r="AJ29" s="18" t="s">
        <v>30</v>
      </c>
      <c r="AK29" s="18" t="s">
        <v>30</v>
      </c>
    </row>
    <row r="30" spans="1:37" x14ac:dyDescent="0.2">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row>
    <row r="31" spans="1:37" ht="10.5" x14ac:dyDescent="0.2">
      <c r="A31" s="9" t="s">
        <v>35</v>
      </c>
      <c r="B31" s="14">
        <v>-409</v>
      </c>
      <c r="C31" s="14">
        <v>247</v>
      </c>
      <c r="D31" s="14">
        <v>472</v>
      </c>
      <c r="E31" s="14">
        <v>691</v>
      </c>
      <c r="F31" s="14">
        <v>1088</v>
      </c>
      <c r="G31" s="14">
        <v>63</v>
      </c>
      <c r="H31" s="14">
        <v>1842</v>
      </c>
      <c r="I31" s="14">
        <v>452</v>
      </c>
      <c r="J31" s="14">
        <v>1451</v>
      </c>
      <c r="K31" s="14">
        <v>3058</v>
      </c>
      <c r="L31" s="14">
        <v>-201</v>
      </c>
      <c r="M31" s="14">
        <v>-344</v>
      </c>
      <c r="N31" s="14">
        <v>1198</v>
      </c>
      <c r="O31" s="14">
        <v>1861</v>
      </c>
      <c r="P31" s="14">
        <v>2324</v>
      </c>
      <c r="Q31" s="14">
        <v>4341</v>
      </c>
      <c r="R31" s="14">
        <v>2657</v>
      </c>
      <c r="S31" s="14">
        <v>1920</v>
      </c>
      <c r="T31" s="14">
        <v>1470</v>
      </c>
      <c r="U31" s="14">
        <v>3228</v>
      </c>
      <c r="V31" s="14">
        <v>2236</v>
      </c>
      <c r="W31" s="14">
        <v>1759</v>
      </c>
      <c r="X31" s="14">
        <v>2162</v>
      </c>
      <c r="Y31" s="14">
        <v>2821</v>
      </c>
      <c r="Z31" s="14">
        <v>2986</v>
      </c>
      <c r="AA31" s="14">
        <v>3595</v>
      </c>
      <c r="AB31" s="14">
        <v>3682</v>
      </c>
      <c r="AC31" s="14">
        <v>5580</v>
      </c>
      <c r="AD31" s="14">
        <v>5017</v>
      </c>
      <c r="AE31" s="14">
        <v>5595</v>
      </c>
      <c r="AF31" s="14">
        <v>7769</v>
      </c>
      <c r="AG31" s="14">
        <v>8749</v>
      </c>
      <c r="AH31" s="14">
        <v>7101</v>
      </c>
      <c r="AI31" s="16">
        <v>6521.2732599999999</v>
      </c>
      <c r="AJ31" s="16">
        <v>6116.1721100000004</v>
      </c>
      <c r="AK31" s="16">
        <v>7226.8824699999996</v>
      </c>
    </row>
    <row r="32" spans="1:37" x14ac:dyDescent="0.2">
      <c r="A32" s="10" t="s">
        <v>31</v>
      </c>
      <c r="B32" s="15">
        <v>-6.0288000000000001E-2</v>
      </c>
      <c r="C32" s="15">
        <v>3.3197999999999998E-2</v>
      </c>
      <c r="D32" s="15">
        <v>5.5378999999999998E-2</v>
      </c>
      <c r="E32" s="15">
        <v>8.0273999999999998E-2</v>
      </c>
      <c r="F32" s="15">
        <v>9.5363000000000003E-2</v>
      </c>
      <c r="G32" s="15">
        <v>6.3379999999999999E-3</v>
      </c>
      <c r="H32" s="15">
        <v>0.18471699999999999</v>
      </c>
      <c r="I32" s="15">
        <v>5.0929000000000002E-2</v>
      </c>
      <c r="J32" s="15">
        <v>0.14868300000000001</v>
      </c>
      <c r="K32" s="15">
        <v>0.25751499999999999</v>
      </c>
      <c r="L32" s="15">
        <v>-2.4509E-2</v>
      </c>
      <c r="M32" s="15">
        <v>-4.1035000000000002E-2</v>
      </c>
      <c r="N32" s="15">
        <v>0.121822</v>
      </c>
      <c r="O32" s="15">
        <v>0.16109699999999999</v>
      </c>
      <c r="P32" s="15">
        <v>0.18840599999999999</v>
      </c>
      <c r="Q32" s="15">
        <v>0.30452400000000002</v>
      </c>
      <c r="R32" s="15">
        <v>0.192049</v>
      </c>
      <c r="S32" s="15">
        <v>0.153587</v>
      </c>
      <c r="T32" s="15">
        <v>0.14097999999999999</v>
      </c>
      <c r="U32" s="15">
        <v>0.231132</v>
      </c>
      <c r="V32" s="15">
        <v>0.162795</v>
      </c>
      <c r="W32" s="15">
        <v>0.137153</v>
      </c>
      <c r="X32" s="15">
        <v>0.17713999999999999</v>
      </c>
      <c r="Y32" s="15">
        <v>0.216251</v>
      </c>
      <c r="Z32" s="15">
        <v>0.22969200000000001</v>
      </c>
      <c r="AA32" s="15">
        <v>0.26888499999999999</v>
      </c>
      <c r="AB32" s="15">
        <v>0.24610599999999999</v>
      </c>
      <c r="AC32" s="15">
        <v>0.353522</v>
      </c>
      <c r="AD32" s="15">
        <v>0.34881400000000001</v>
      </c>
      <c r="AE32" s="15">
        <v>0.38690200000000002</v>
      </c>
      <c r="AF32" s="15">
        <v>0.42351699999999998</v>
      </c>
      <c r="AG32" s="15">
        <v>0.436838</v>
      </c>
      <c r="AH32" s="15">
        <v>0.39206000000000002</v>
      </c>
      <c r="AI32" s="17">
        <v>0.37128951125600002</v>
      </c>
      <c r="AJ32" s="17">
        <v>0.34457842505899999</v>
      </c>
      <c r="AK32" s="17">
        <v>0.361046814085</v>
      </c>
    </row>
    <row r="33" spans="1:255" x14ac:dyDescent="0.2">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row>
    <row r="34" spans="1:255" ht="10.5" x14ac:dyDescent="0.2">
      <c r="A34" s="9" t="s">
        <v>36</v>
      </c>
      <c r="B34" s="16">
        <v>-0.34</v>
      </c>
      <c r="C34" s="16">
        <v>0.15351300000000001</v>
      </c>
      <c r="D34" s="16">
        <v>0.31630000000000003</v>
      </c>
      <c r="E34" s="16">
        <v>0.38772899999999999</v>
      </c>
      <c r="F34" s="16">
        <v>0.64414400000000005</v>
      </c>
      <c r="G34" s="16">
        <v>-0.03</v>
      </c>
      <c r="H34" s="16">
        <v>0.21</v>
      </c>
      <c r="I34" s="16">
        <v>0.26</v>
      </c>
      <c r="J34" s="16">
        <v>0.83</v>
      </c>
      <c r="K34" s="16">
        <v>1.7263599999999999</v>
      </c>
      <c r="L34" s="16">
        <v>-0.12</v>
      </c>
      <c r="M34" s="16">
        <v>-0.2</v>
      </c>
      <c r="N34" s="16">
        <v>0.68</v>
      </c>
      <c r="O34" s="16">
        <v>0.96</v>
      </c>
      <c r="P34" s="16">
        <v>1.3</v>
      </c>
      <c r="Q34" s="16">
        <v>1.69</v>
      </c>
      <c r="R34" s="16">
        <v>1.82</v>
      </c>
      <c r="S34" s="16">
        <v>1.44</v>
      </c>
      <c r="T34" s="16">
        <v>1.1499999999999999</v>
      </c>
      <c r="U34" s="16">
        <v>2.62</v>
      </c>
      <c r="V34" s="16">
        <v>1.880444</v>
      </c>
      <c r="W34" s="16">
        <v>1.51</v>
      </c>
      <c r="X34" s="16">
        <v>1.9101520000000001</v>
      </c>
      <c r="Y34" s="16">
        <v>2.572222</v>
      </c>
      <c r="Z34" s="16">
        <v>2.8226270000000002</v>
      </c>
      <c r="AA34" s="16">
        <v>3.4779620000000002</v>
      </c>
      <c r="AB34" s="16">
        <v>3.605731</v>
      </c>
      <c r="AC34" s="16">
        <v>5.5939389999999998</v>
      </c>
      <c r="AD34" s="16">
        <v>5.2373940000000001</v>
      </c>
      <c r="AE34" s="16">
        <v>5.97</v>
      </c>
      <c r="AF34" s="16">
        <v>8.26</v>
      </c>
      <c r="AG34" s="16">
        <v>9.4060469999999992</v>
      </c>
      <c r="AH34" s="16">
        <v>7.7153280000000004</v>
      </c>
      <c r="AI34" s="16">
        <v>7.1084800000000001</v>
      </c>
      <c r="AJ34" s="16">
        <v>6.6519199999999996</v>
      </c>
      <c r="AK34" s="16">
        <v>7.8661500000000002</v>
      </c>
    </row>
    <row r="35" spans="1:255" x14ac:dyDescent="0.2">
      <c r="A35" s="10" t="s">
        <v>28</v>
      </c>
      <c r="B35" s="15" t="s">
        <v>272</v>
      </c>
      <c r="C35" s="15" t="s">
        <v>272</v>
      </c>
      <c r="D35" s="15">
        <v>1.060411</v>
      </c>
      <c r="E35" s="15">
        <v>0.225826</v>
      </c>
      <c r="F35" s="15">
        <v>0.66132500000000005</v>
      </c>
      <c r="G35" s="15" t="s">
        <v>272</v>
      </c>
      <c r="H35" s="15" t="s">
        <v>272</v>
      </c>
      <c r="I35" s="15">
        <v>0.238095</v>
      </c>
      <c r="J35" s="15">
        <v>2.192307</v>
      </c>
      <c r="K35" s="15">
        <v>1.0799510000000001</v>
      </c>
      <c r="L35" s="15" t="s">
        <v>272</v>
      </c>
      <c r="M35" s="15" t="s">
        <v>272</v>
      </c>
      <c r="N35" s="15" t="s">
        <v>272</v>
      </c>
      <c r="O35" s="15">
        <v>0.41176400000000002</v>
      </c>
      <c r="P35" s="15">
        <v>0.35416599999999998</v>
      </c>
      <c r="Q35" s="15">
        <v>0.3</v>
      </c>
      <c r="R35" s="15">
        <v>7.6923000000000005E-2</v>
      </c>
      <c r="S35" s="15">
        <v>-0.20879200000000001</v>
      </c>
      <c r="T35" s="15">
        <v>-0.20138900000000001</v>
      </c>
      <c r="U35" s="15">
        <v>1.27826</v>
      </c>
      <c r="V35" s="15">
        <v>-0.28227400000000002</v>
      </c>
      <c r="W35" s="15">
        <v>-0.19699900000000001</v>
      </c>
      <c r="X35" s="15">
        <v>0.26500099999999999</v>
      </c>
      <c r="Y35" s="15">
        <v>0.346605</v>
      </c>
      <c r="Z35" s="15">
        <v>9.7349000000000005E-2</v>
      </c>
      <c r="AA35" s="15">
        <v>0.23217199999999999</v>
      </c>
      <c r="AB35" s="15">
        <v>3.6735999999999998E-2</v>
      </c>
      <c r="AC35" s="15">
        <v>0.55140199999999995</v>
      </c>
      <c r="AD35" s="15">
        <v>-6.3738000000000003E-2</v>
      </c>
      <c r="AE35" s="15">
        <v>0.139879</v>
      </c>
      <c r="AF35" s="15">
        <v>0.38358399999999998</v>
      </c>
      <c r="AG35" s="15">
        <v>0.13874600000000001</v>
      </c>
      <c r="AH35" s="15">
        <v>-0.19116</v>
      </c>
      <c r="AI35" s="17">
        <v>-0.26642587356300002</v>
      </c>
      <c r="AJ35" s="17">
        <v>-6.422751418E-2</v>
      </c>
      <c r="AK35" s="17">
        <v>0.18253827466399999</v>
      </c>
    </row>
    <row r="36" spans="1:255" x14ac:dyDescent="0.2">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row>
    <row r="37" spans="1:255" x14ac:dyDescent="0.2">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row>
    <row r="38" spans="1:255" x14ac:dyDescent="0.2">
      <c r="A38" t="s">
        <v>37</v>
      </c>
    </row>
    <row r="39" spans="1:255" x14ac:dyDescent="0.2">
      <c r="A39" t="s">
        <v>38</v>
      </c>
    </row>
    <row r="40" spans="1:255" x14ac:dyDescent="0.2">
      <c r="A40" t="s">
        <v>39</v>
      </c>
    </row>
    <row r="41" spans="1:255" x14ac:dyDescent="0.2">
      <c r="A41" t="s">
        <v>40</v>
      </c>
    </row>
    <row r="43" spans="1:255" x14ac:dyDescent="0.2">
      <c r="A43" s="6" t="s">
        <v>41</v>
      </c>
      <c r="B43" s="6"/>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31"/>
      <c r="EI43" s="31"/>
      <c r="EJ43" s="31"/>
      <c r="EK43" s="31"/>
      <c r="EL43" s="31"/>
      <c r="EM43" s="31"/>
      <c r="EN43" s="31"/>
      <c r="EO43" s="31"/>
      <c r="EP43" s="31"/>
      <c r="EQ43" s="31"/>
      <c r="ER43" s="31"/>
      <c r="ES43" s="31"/>
      <c r="ET43" s="31"/>
      <c r="EU43" s="31"/>
      <c r="EV43" s="31"/>
      <c r="EW43" s="31"/>
      <c r="EX43" s="31"/>
      <c r="EY43" s="31"/>
      <c r="EZ43" s="31"/>
      <c r="FA43" s="31"/>
      <c r="FB43" s="31"/>
      <c r="FC43" s="31"/>
      <c r="FD43" s="31"/>
      <c r="FE43" s="31"/>
      <c r="FF43" s="31"/>
      <c r="FG43" s="31"/>
      <c r="FH43" s="31"/>
      <c r="FI43" s="31"/>
      <c r="FJ43" s="31"/>
      <c r="FK43" s="31"/>
      <c r="FL43" s="31"/>
      <c r="FM43" s="31"/>
      <c r="FN43" s="31"/>
      <c r="FO43" s="31"/>
      <c r="FP43" s="31"/>
      <c r="FQ43" s="31"/>
      <c r="FR43" s="31"/>
      <c r="FS43" s="31"/>
      <c r="FT43" s="31"/>
      <c r="FU43" s="31"/>
      <c r="FV43" s="31"/>
      <c r="FW43" s="31"/>
      <c r="FX43" s="31"/>
      <c r="FY43" s="31"/>
      <c r="FZ43" s="31"/>
      <c r="GA43" s="31"/>
      <c r="GB43" s="31"/>
      <c r="GC43" s="31"/>
      <c r="GD43" s="31"/>
      <c r="GE43" s="31"/>
      <c r="GF43" s="31"/>
      <c r="GG43" s="31"/>
      <c r="GH43" s="31"/>
      <c r="GI43" s="31"/>
      <c r="GJ43" s="31"/>
      <c r="GK43" s="31"/>
      <c r="GL43" s="31"/>
      <c r="GM43" s="31"/>
      <c r="GN43" s="31"/>
      <c r="GO43" s="31"/>
      <c r="GP43" s="31"/>
      <c r="GQ43" s="31"/>
      <c r="GR43" s="31"/>
      <c r="GS43" s="31"/>
      <c r="GT43" s="31"/>
      <c r="GU43" s="31"/>
      <c r="GV43" s="31"/>
      <c r="GW43" s="31"/>
      <c r="GX43" s="31"/>
      <c r="GY43" s="31"/>
      <c r="GZ43" s="31"/>
      <c r="HA43" s="31"/>
      <c r="HB43" s="31"/>
      <c r="HC43" s="31"/>
      <c r="HD43" s="31"/>
      <c r="HE43" s="31"/>
      <c r="HF43" s="31"/>
      <c r="HG43" s="31"/>
      <c r="HH43" s="31"/>
      <c r="HI43" s="31"/>
      <c r="HJ43" s="31"/>
      <c r="HK43" s="31"/>
      <c r="HL43" s="31"/>
      <c r="HM43" s="31"/>
      <c r="HN43" s="31"/>
      <c r="HO43" s="31"/>
      <c r="HP43" s="31"/>
      <c r="HQ43" s="31"/>
      <c r="HR43" s="31"/>
      <c r="HS43" s="31"/>
      <c r="HT43" s="31"/>
      <c r="HU43" s="31"/>
      <c r="HV43" s="31"/>
      <c r="HW43" s="31"/>
      <c r="HX43" s="31"/>
      <c r="HY43" s="31"/>
      <c r="HZ43" s="31"/>
      <c r="IA43" s="31"/>
      <c r="IB43" s="31"/>
      <c r="IC43" s="31"/>
      <c r="ID43" s="31"/>
      <c r="IE43" s="31"/>
      <c r="IF43" s="31"/>
      <c r="IG43" s="31"/>
      <c r="IH43" s="31"/>
      <c r="II43" s="31"/>
      <c r="IJ43" s="31"/>
      <c r="IK43" s="31"/>
      <c r="IL43" s="31"/>
      <c r="IM43" s="31"/>
      <c r="IN43" s="31"/>
      <c r="IO43" s="31"/>
      <c r="IP43" s="31"/>
      <c r="IQ43" s="31"/>
      <c r="IR43" s="31"/>
      <c r="IS43" s="31"/>
      <c r="IT43" s="31"/>
      <c r="IU43" s="31"/>
    </row>
    <row r="44" spans="1:255" x14ac:dyDescent="0.2">
      <c r="A44" s="8" t="s">
        <v>25</v>
      </c>
      <c r="B44" s="13" t="s">
        <v>26</v>
      </c>
    </row>
    <row r="45" spans="1:255" x14ac:dyDescent="0.2">
      <c r="A45" s="4" t="s">
        <v>42</v>
      </c>
      <c r="B45" s="19">
        <v>167.42</v>
      </c>
    </row>
    <row r="46" spans="1:255" x14ac:dyDescent="0.2">
      <c r="A46" s="4" t="s">
        <v>43</v>
      </c>
      <c r="B46" s="20">
        <v>908.20409299999994</v>
      </c>
    </row>
    <row r="47" spans="1:255" x14ac:dyDescent="0.2">
      <c r="A47" s="4"/>
      <c r="B47" s="4"/>
    </row>
    <row r="48" spans="1:255" ht="10.5" x14ac:dyDescent="0.2">
      <c r="A48" s="9" t="s">
        <v>44</v>
      </c>
      <c r="B48" s="14">
        <v>152051.52924999999</v>
      </c>
    </row>
    <row r="49" spans="1:2" x14ac:dyDescent="0.2">
      <c r="A49" s="4" t="s">
        <v>45</v>
      </c>
      <c r="B49" s="20">
        <v>8948</v>
      </c>
    </row>
    <row r="50" spans="1:2" x14ac:dyDescent="0.2">
      <c r="A50" s="4" t="s">
        <v>46</v>
      </c>
      <c r="B50" s="20">
        <v>11222</v>
      </c>
    </row>
    <row r="51" spans="1:2" x14ac:dyDescent="0.2">
      <c r="A51" s="4" t="s">
        <v>47</v>
      </c>
      <c r="B51" s="20" t="s">
        <v>30</v>
      </c>
    </row>
    <row r="52" spans="1:2" x14ac:dyDescent="0.2">
      <c r="A52" s="4" t="s">
        <v>48</v>
      </c>
      <c r="B52" s="20" t="s">
        <v>30</v>
      </c>
    </row>
    <row r="53" spans="1:2" x14ac:dyDescent="0.2">
      <c r="A53" s="4" t="s">
        <v>49</v>
      </c>
      <c r="B53" s="20" t="s">
        <v>30</v>
      </c>
    </row>
    <row r="54" spans="1:2" ht="10.5" x14ac:dyDescent="0.2">
      <c r="A54" s="9" t="s">
        <v>50</v>
      </c>
      <c r="B54" s="14">
        <v>154325.52924999999</v>
      </c>
    </row>
    <row r="55" spans="1:2" x14ac:dyDescent="0.2">
      <c r="A55" s="4"/>
      <c r="B55" s="4"/>
    </row>
    <row r="56" spans="1:2" x14ac:dyDescent="0.2">
      <c r="A56" s="4" t="s">
        <v>51</v>
      </c>
      <c r="B56" s="20">
        <v>16631</v>
      </c>
    </row>
    <row r="57" spans="1:2" x14ac:dyDescent="0.2">
      <c r="A57" s="4" t="s">
        <v>47</v>
      </c>
      <c r="B57" s="20" t="s">
        <v>30</v>
      </c>
    </row>
    <row r="58" spans="1:2" x14ac:dyDescent="0.2">
      <c r="A58" s="4" t="s">
        <v>48</v>
      </c>
      <c r="B58" s="20" t="s">
        <v>30</v>
      </c>
    </row>
    <row r="59" spans="1:2" x14ac:dyDescent="0.2">
      <c r="A59" s="4" t="s">
        <v>46</v>
      </c>
      <c r="B59" s="20">
        <v>11222</v>
      </c>
    </row>
    <row r="60" spans="1:2" ht="10.5" x14ac:dyDescent="0.2">
      <c r="A60" s="9" t="s">
        <v>52</v>
      </c>
      <c r="B60" s="14">
        <v>27853</v>
      </c>
    </row>
    <row r="61" spans="1:2" x14ac:dyDescent="0.2">
      <c r="A61" s="4"/>
      <c r="B61" s="4"/>
    </row>
    <row r="62" spans="1:2" ht="60" x14ac:dyDescent="0.2">
      <c r="A62" s="11" t="s">
        <v>53</v>
      </c>
      <c r="B62" s="11"/>
    </row>
    <row r="64" spans="1:2" ht="200" customHeight="1" x14ac:dyDescent="0.2">
      <c r="A64" s="21"/>
    </row>
    <row r="66" spans="1:255" x14ac:dyDescent="0.2">
      <c r="A66" t="s">
        <v>54</v>
      </c>
    </row>
    <row r="67" spans="1:255" x14ac:dyDescent="0.2">
      <c r="A67" t="s">
        <v>55</v>
      </c>
    </row>
    <row r="68" spans="1:255" x14ac:dyDescent="0.2">
      <c r="A68" t="s">
        <v>56</v>
      </c>
    </row>
    <row r="69" spans="1:255" x14ac:dyDescent="0.2">
      <c r="A69" t="s">
        <v>57</v>
      </c>
    </row>
    <row r="71" spans="1:255" x14ac:dyDescent="0.2">
      <c r="A71" s="6" t="s">
        <v>58</v>
      </c>
      <c r="B71" s="6"/>
      <c r="C71" s="6"/>
      <c r="D71" s="6"/>
      <c r="E71" s="6"/>
      <c r="F71" s="6"/>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c r="BZ71" s="31"/>
      <c r="CA71" s="31"/>
      <c r="CB71" s="31"/>
      <c r="CC71" s="31"/>
      <c r="CD71" s="31"/>
      <c r="CE71" s="31"/>
      <c r="CF71" s="31"/>
      <c r="CG71" s="31"/>
      <c r="CH71" s="31"/>
      <c r="CI71" s="31"/>
      <c r="CJ71" s="31"/>
      <c r="CK71" s="31"/>
      <c r="CL71" s="31"/>
      <c r="CM71" s="31"/>
      <c r="CN71" s="31"/>
      <c r="CO71" s="31"/>
      <c r="CP71" s="31"/>
      <c r="CQ71" s="31"/>
      <c r="CR71" s="31"/>
      <c r="CS71" s="31"/>
      <c r="CT71" s="31"/>
      <c r="CU71" s="31"/>
      <c r="CV71" s="31"/>
      <c r="CW71" s="31"/>
      <c r="CX71" s="31"/>
      <c r="CY71" s="31"/>
      <c r="CZ71" s="31"/>
      <c r="DA71" s="31"/>
      <c r="DB71" s="31"/>
      <c r="DC71" s="31"/>
      <c r="DD71" s="31"/>
      <c r="DE71" s="31"/>
      <c r="DF71" s="31"/>
      <c r="DG71" s="31"/>
      <c r="DH71" s="31"/>
      <c r="DI71" s="31"/>
      <c r="DJ71" s="31"/>
      <c r="DK71" s="31"/>
      <c r="DL71" s="31"/>
      <c r="DM71" s="31"/>
      <c r="DN71" s="31"/>
      <c r="DO71" s="31"/>
      <c r="DP71" s="31"/>
      <c r="DQ71" s="31"/>
      <c r="DR71" s="31"/>
      <c r="DS71" s="31"/>
      <c r="DT71" s="31"/>
      <c r="DU71" s="31"/>
      <c r="DV71" s="31"/>
      <c r="DW71" s="31"/>
      <c r="DX71" s="31"/>
      <c r="DY71" s="31"/>
      <c r="DZ71" s="31"/>
      <c r="EA71" s="31"/>
      <c r="EB71" s="31"/>
      <c r="EC71" s="31"/>
      <c r="ED71" s="31"/>
      <c r="EE71" s="31"/>
      <c r="EF71" s="31"/>
      <c r="EG71" s="31"/>
      <c r="EH71" s="31"/>
      <c r="EI71" s="31"/>
      <c r="EJ71" s="31"/>
      <c r="EK71" s="31"/>
      <c r="EL71" s="31"/>
      <c r="EM71" s="31"/>
      <c r="EN71" s="31"/>
      <c r="EO71" s="31"/>
      <c r="EP71" s="31"/>
      <c r="EQ71" s="31"/>
      <c r="ER71" s="31"/>
      <c r="ES71" s="31"/>
      <c r="ET71" s="31"/>
      <c r="EU71" s="31"/>
      <c r="EV71" s="31"/>
      <c r="EW71" s="31"/>
      <c r="EX71" s="31"/>
      <c r="EY71" s="31"/>
      <c r="EZ71" s="31"/>
      <c r="FA71" s="31"/>
      <c r="FB71" s="31"/>
      <c r="FC71" s="31"/>
      <c r="FD71" s="31"/>
      <c r="FE71" s="31"/>
      <c r="FF71" s="31"/>
      <c r="FG71" s="31"/>
      <c r="FH71" s="31"/>
      <c r="FI71" s="31"/>
      <c r="FJ71" s="31"/>
      <c r="FK71" s="31"/>
      <c r="FL71" s="31"/>
      <c r="FM71" s="31"/>
      <c r="FN71" s="31"/>
      <c r="FO71" s="31"/>
      <c r="FP71" s="31"/>
      <c r="FQ71" s="31"/>
      <c r="FR71" s="31"/>
      <c r="FS71" s="31"/>
      <c r="FT71" s="31"/>
      <c r="FU71" s="31"/>
      <c r="FV71" s="31"/>
      <c r="FW71" s="31"/>
      <c r="FX71" s="31"/>
      <c r="FY71" s="31"/>
      <c r="FZ71" s="31"/>
      <c r="GA71" s="31"/>
      <c r="GB71" s="31"/>
      <c r="GC71" s="31"/>
      <c r="GD71" s="31"/>
      <c r="GE71" s="31"/>
      <c r="GF71" s="31"/>
      <c r="GG71" s="31"/>
      <c r="GH71" s="31"/>
      <c r="GI71" s="31"/>
      <c r="GJ71" s="31"/>
      <c r="GK71" s="31"/>
      <c r="GL71" s="31"/>
      <c r="GM71" s="31"/>
      <c r="GN71" s="31"/>
      <c r="GO71" s="31"/>
      <c r="GP71" s="31"/>
      <c r="GQ71" s="31"/>
      <c r="GR71" s="31"/>
      <c r="GS71" s="31"/>
      <c r="GT71" s="31"/>
      <c r="GU71" s="31"/>
      <c r="GV71" s="31"/>
      <c r="GW71" s="31"/>
      <c r="GX71" s="31"/>
      <c r="GY71" s="31"/>
      <c r="GZ71" s="31"/>
      <c r="HA71" s="31"/>
      <c r="HB71" s="31"/>
      <c r="HC71" s="31"/>
      <c r="HD71" s="31"/>
      <c r="HE71" s="31"/>
      <c r="HF71" s="31"/>
      <c r="HG71" s="31"/>
      <c r="HH71" s="31"/>
      <c r="HI71" s="31"/>
      <c r="HJ71" s="31"/>
      <c r="HK71" s="31"/>
      <c r="HL71" s="31"/>
      <c r="HM71" s="31"/>
      <c r="HN71" s="31"/>
      <c r="HO71" s="31"/>
      <c r="HP71" s="31"/>
      <c r="HQ71" s="31"/>
      <c r="HR71" s="31"/>
      <c r="HS71" s="31"/>
      <c r="HT71" s="31"/>
      <c r="HU71" s="31"/>
      <c r="HV71" s="31"/>
      <c r="HW71" s="31"/>
      <c r="HX71" s="31"/>
      <c r="HY71" s="31"/>
      <c r="HZ71" s="31"/>
      <c r="IA71" s="31"/>
      <c r="IB71" s="31"/>
      <c r="IC71" s="31"/>
      <c r="ID71" s="31"/>
      <c r="IE71" s="31"/>
      <c r="IF71" s="31"/>
      <c r="IG71" s="31"/>
      <c r="IH71" s="31"/>
      <c r="II71" s="31"/>
      <c r="IJ71" s="31"/>
      <c r="IK71" s="31"/>
      <c r="IL71" s="31"/>
      <c r="IM71" s="31"/>
      <c r="IN71" s="31"/>
      <c r="IO71" s="31"/>
      <c r="IP71" s="31"/>
      <c r="IQ71" s="31"/>
      <c r="IR71" s="31"/>
      <c r="IS71" s="31"/>
      <c r="IT71" s="31"/>
      <c r="IU71" s="31"/>
    </row>
    <row r="72" spans="1:255" ht="31.5" x14ac:dyDescent="0.25">
      <c r="A72" s="7" t="s">
        <v>16</v>
      </c>
      <c r="B72" s="12" t="s">
        <v>20</v>
      </c>
      <c r="C72" s="12" t="s">
        <v>59</v>
      </c>
      <c r="D72" s="12" t="s">
        <v>60</v>
      </c>
      <c r="E72" s="12" t="s">
        <v>23</v>
      </c>
      <c r="F72" s="12" t="s">
        <v>24</v>
      </c>
    </row>
    <row r="73" spans="1:255" ht="10.5" x14ac:dyDescent="0.2">
      <c r="A73" s="9" t="s">
        <v>61</v>
      </c>
      <c r="B73" s="22">
        <v>7.5962909999999999</v>
      </c>
      <c r="C73" s="22">
        <v>8.5206230000000005</v>
      </c>
      <c r="D73" s="23">
        <v>8.7865433704600004</v>
      </c>
      <c r="E73" s="23">
        <v>8.6945309679030007</v>
      </c>
      <c r="F73" s="23">
        <v>7.7099276069659997</v>
      </c>
    </row>
    <row r="74" spans="1:255" x14ac:dyDescent="0.2">
      <c r="A74" s="4"/>
      <c r="B74" s="4"/>
      <c r="C74" s="4"/>
      <c r="D74" s="4"/>
      <c r="E74" s="4"/>
      <c r="F74" s="4"/>
    </row>
    <row r="75" spans="1:255" ht="10.5" x14ac:dyDescent="0.2">
      <c r="A75" s="9" t="s">
        <v>62</v>
      </c>
      <c r="B75" s="22">
        <v>13.665546000000001</v>
      </c>
      <c r="C75" s="22">
        <v>17.218066</v>
      </c>
      <c r="D75" s="23">
        <v>17.94433069354</v>
      </c>
      <c r="E75" s="23">
        <v>17.862263618339998</v>
      </c>
      <c r="F75" s="23">
        <v>14.539149945189999</v>
      </c>
    </row>
    <row r="76" spans="1:255" x14ac:dyDescent="0.2">
      <c r="A76" s="4"/>
      <c r="B76" s="4"/>
      <c r="C76" s="4"/>
      <c r="D76" s="4"/>
      <c r="E76" s="4"/>
      <c r="F76" s="4"/>
    </row>
    <row r="77" spans="1:255" ht="10.5" x14ac:dyDescent="0.2">
      <c r="A77" s="9" t="s">
        <v>63</v>
      </c>
      <c r="B77" s="22">
        <v>15.070681</v>
      </c>
      <c r="C77" s="22">
        <v>19.918111</v>
      </c>
      <c r="D77" s="23">
        <v>20.924404585287999</v>
      </c>
      <c r="E77" s="23">
        <v>22.166863566018002</v>
      </c>
      <c r="F77" s="23">
        <v>18.4272011262</v>
      </c>
    </row>
    <row r="78" spans="1:255" x14ac:dyDescent="0.2">
      <c r="A78" s="4"/>
      <c r="B78" s="4"/>
      <c r="C78" s="4"/>
      <c r="D78" s="4"/>
      <c r="E78" s="4"/>
      <c r="F78" s="4"/>
    </row>
    <row r="79" spans="1:255" ht="10.5" x14ac:dyDescent="0.2">
      <c r="A79" s="9" t="s">
        <v>64</v>
      </c>
      <c r="B79" s="22">
        <v>17.799188000000001</v>
      </c>
      <c r="C79" s="22">
        <v>21.699660000000002</v>
      </c>
      <c r="D79" s="23">
        <v>23.552151796164999</v>
      </c>
      <c r="E79" s="23">
        <v>25.168673104907999</v>
      </c>
      <c r="F79" s="23">
        <v>21.283601253472</v>
      </c>
    </row>
    <row r="80" spans="1:255" x14ac:dyDescent="0.2">
      <c r="A80" s="4"/>
      <c r="B80" s="4"/>
      <c r="C80" s="4"/>
      <c r="D80" s="4"/>
      <c r="E80" s="4"/>
      <c r="F80" s="4"/>
    </row>
    <row r="81" spans="1:6" ht="10.5" x14ac:dyDescent="0.2">
      <c r="A81" s="9" t="s">
        <v>65</v>
      </c>
      <c r="B81" s="22">
        <v>10.405606000000001</v>
      </c>
      <c r="C81" s="22">
        <v>9.1406019999999994</v>
      </c>
      <c r="D81" s="23">
        <v>9.1743521456319996</v>
      </c>
      <c r="E81" s="23">
        <v>8.6090665163770002</v>
      </c>
      <c r="F81" s="23">
        <v>7.3930052155529999</v>
      </c>
    </row>
    <row r="82" spans="1:6" x14ac:dyDescent="0.2">
      <c r="A82" s="4"/>
      <c r="B82" s="4"/>
      <c r="C82" s="4"/>
      <c r="D82" s="4"/>
      <c r="E82" s="4"/>
      <c r="F82" s="4"/>
    </row>
    <row r="83" spans="1:6" ht="10.5" x14ac:dyDescent="0.2">
      <c r="A83" s="9" t="s">
        <v>66</v>
      </c>
      <c r="B83" s="22">
        <v>15.07329</v>
      </c>
      <c r="C83" s="22">
        <v>12.531313000000001</v>
      </c>
      <c r="D83" s="24" t="s">
        <v>30</v>
      </c>
      <c r="E83" s="24" t="s">
        <v>30</v>
      </c>
      <c r="F83" s="24" t="s">
        <v>30</v>
      </c>
    </row>
    <row r="84" spans="1:6" x14ac:dyDescent="0.2">
      <c r="A84" s="4"/>
      <c r="B84" s="4"/>
      <c r="C84" s="4"/>
      <c r="D84" s="4"/>
      <c r="E84" s="4"/>
      <c r="F84" s="4"/>
    </row>
    <row r="85" spans="1:6" x14ac:dyDescent="0.2">
      <c r="A85" s="11"/>
      <c r="B85" s="11"/>
      <c r="C85" s="11"/>
      <c r="D85" s="11"/>
      <c r="E85" s="11"/>
      <c r="F85" s="11"/>
    </row>
    <row r="86" spans="1:6" x14ac:dyDescent="0.2">
      <c r="A86" s="25" t="s">
        <v>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Valuation main</vt:lpstr>
      <vt:lpstr>FCFF</vt:lpstr>
      <vt:lpstr>WACC</vt:lpstr>
      <vt:lpstr>IS_more</vt:lpstr>
      <vt:lpstr>BS_More</vt:lpstr>
      <vt:lpstr>CF_More</vt:lpstr>
      <vt:lpstr>Key Stats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2024-01-10T22:45:32Z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