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8.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filterPrivacy="1"/>
  <xr:revisionPtr revIDLastSave="328" documentId="8_{6245B186-7BC2-4325-BC09-ED14631442E5}" xr6:coauthVersionLast="47" xr6:coauthVersionMax="47" xr10:uidLastSave="{09E3A2EB-D2CB-41C5-B612-AD683693B47B}"/>
  <bookViews>
    <workbookView xWindow="-110" yWindow="-110" windowWidth="25820" windowHeight="14020" tabRatio="624" firstSheet="2" activeTab="11" xr2:uid="{00000000-000D-0000-FFFF-FFFF00000000}"/>
  </bookViews>
  <sheets>
    <sheet name="Ratios" sheetId="9" r:id="rId1"/>
    <sheet name="Industry Specific" sheetId="11" r:id="rId2"/>
    <sheet name="Segments" sheetId="13" r:id="rId3"/>
    <sheet name="Key Stats" sheetId="1" r:id="rId4"/>
    <sheet name="Balance Sheet" sheetId="3" r:id="rId5"/>
    <sheet name="Income Statement" sheetId="2" r:id="rId6"/>
    <sheet name="Cash Flow" sheetId="4" r:id="rId7"/>
    <sheet name="ISP" sheetId="21" r:id="rId8"/>
    <sheet name="BSP" sheetId="14" r:id="rId9"/>
    <sheet name="OWC" sheetId="16" r:id="rId10"/>
    <sheet name="DCF" sheetId="26" r:id="rId11"/>
    <sheet name="Monte Carlo" sheetId="27" r:id="rId12"/>
    <sheet name="DA" sheetId="17" r:id="rId13"/>
    <sheet name="WACC" sheetId="19" r:id="rId14"/>
    <sheet name="Scratch" sheetId="23" r:id="rId15"/>
  </sheets>
  <externalReferences>
    <externalReference r:id="rId16"/>
  </externalReferences>
  <definedNames>
    <definedName name="_xlchart.v1.0" hidden="1">'Monte Carlo'!$G$92:$G$505</definedName>
    <definedName name="_xlchart.v1.1" hidden="1">'Monte Carlo'!$G$92:$G$505</definedName>
    <definedName name="_xlchart.v1.2" hidden="1">'Monte Carlo'!$G$92:$G$505</definedName>
    <definedName name="_xlchart.v1.3" hidden="1">'Monte Carlo'!$F$5:$F$505</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45415.6293518519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_xlnm.Print_Titles" localSheetId="4">'Balance Sheet'!$1:$3</definedName>
    <definedName name="_xlnm.Print_Titles" localSheetId="6">'Cash Flow'!$1:$3</definedName>
    <definedName name="_xlnm.Print_Titles" localSheetId="5">'Income Statement'!$1:$3</definedName>
    <definedName name="_xlnm.Print_Titles" localSheetId="1">'Industry Specific'!$1:$3</definedName>
    <definedName name="_xlnm.Print_Titles" localSheetId="3">'Key Stats'!$1:$3</definedName>
    <definedName name="_xlnm.Print_Titles" localSheetId="0">Ratios!$1:$3</definedName>
    <definedName name="_xlnm.Print_Titles" localSheetId="2">Segments!$1:$3</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7" l="1"/>
  <c r="E494" i="27" s="1"/>
  <c r="F494" i="27" s="1"/>
  <c r="B6" i="27"/>
  <c r="B7" i="27" s="1"/>
  <c r="B8" i="27" s="1"/>
  <c r="B9" i="27" s="1"/>
  <c r="B10" i="27" s="1"/>
  <c r="B11" i="27" s="1"/>
  <c r="B12" i="27" s="1"/>
  <c r="B13" i="27" s="1"/>
  <c r="B14" i="27" s="1"/>
  <c r="B15" i="27" s="1"/>
  <c r="B16" i="27" s="1"/>
  <c r="B17" i="27" s="1"/>
  <c r="B18" i="27" s="1"/>
  <c r="B19" i="27" s="1"/>
  <c r="B20" i="27" s="1"/>
  <c r="B21" i="27" s="1"/>
  <c r="B22" i="27" s="1"/>
  <c r="B23" i="27" s="1"/>
  <c r="B24" i="27" s="1"/>
  <c r="B25" i="27" s="1"/>
  <c r="B26" i="27" s="1"/>
  <c r="B27" i="27" s="1"/>
  <c r="B28" i="27" s="1"/>
  <c r="B29" i="27" s="1"/>
  <c r="B30" i="27" s="1"/>
  <c r="B31" i="27" s="1"/>
  <c r="B32" i="27" s="1"/>
  <c r="B33" i="27" s="1"/>
  <c r="B34" i="27" s="1"/>
  <c r="B35" i="27" s="1"/>
  <c r="B36" i="27" s="1"/>
  <c r="B37" i="27" s="1"/>
  <c r="B38" i="27" s="1"/>
  <c r="B39" i="27" s="1"/>
  <c r="B40" i="27" s="1"/>
  <c r="B41" i="27" s="1"/>
  <c r="B42" i="27" s="1"/>
  <c r="B43" i="27" s="1"/>
  <c r="B44" i="27" s="1"/>
  <c r="B45" i="27" s="1"/>
  <c r="B46" i="27" s="1"/>
  <c r="B47" i="27" s="1"/>
  <c r="B48" i="27" s="1"/>
  <c r="B49" i="27" s="1"/>
  <c r="B50" i="27" s="1"/>
  <c r="B51" i="27" s="1"/>
  <c r="B52" i="27" s="1"/>
  <c r="B53" i="27" s="1"/>
  <c r="B54" i="27" s="1"/>
  <c r="B55" i="27" s="1"/>
  <c r="B56" i="27" s="1"/>
  <c r="B57" i="27" s="1"/>
  <c r="B58" i="27" s="1"/>
  <c r="B59" i="27" s="1"/>
  <c r="B60" i="27" s="1"/>
  <c r="B61" i="27" s="1"/>
  <c r="B62" i="27" s="1"/>
  <c r="B63" i="27" s="1"/>
  <c r="B64" i="27" s="1"/>
  <c r="B65" i="27" s="1"/>
  <c r="B66" i="27" s="1"/>
  <c r="B67" i="27" s="1"/>
  <c r="B68" i="27" s="1"/>
  <c r="B69" i="27" s="1"/>
  <c r="B70" i="27" s="1"/>
  <c r="B71" i="27" s="1"/>
  <c r="B72" i="27" s="1"/>
  <c r="B73" i="27" s="1"/>
  <c r="B74" i="27" s="1"/>
  <c r="B75" i="27" s="1"/>
  <c r="B76" i="27" s="1"/>
  <c r="B77" i="27" s="1"/>
  <c r="B78" i="27" s="1"/>
  <c r="B79" i="27" s="1"/>
  <c r="B80" i="27" s="1"/>
  <c r="B81" i="27" s="1"/>
  <c r="B82" i="27" s="1"/>
  <c r="B83" i="27" s="1"/>
  <c r="B84" i="27" s="1"/>
  <c r="B85" i="27" s="1"/>
  <c r="B86" i="27" s="1"/>
  <c r="B87" i="27" s="1"/>
  <c r="B88" i="27" s="1"/>
  <c r="B89" i="27" s="1"/>
  <c r="B90" i="27" s="1"/>
  <c r="B91" i="27" s="1"/>
  <c r="B92" i="27" s="1"/>
  <c r="B93" i="27" s="1"/>
  <c r="B94" i="27" s="1"/>
  <c r="B95" i="27" s="1"/>
  <c r="B96" i="27" s="1"/>
  <c r="B97" i="27" s="1"/>
  <c r="B98" i="27" s="1"/>
  <c r="B99" i="27" s="1"/>
  <c r="B100" i="27" s="1"/>
  <c r="B101" i="27" s="1"/>
  <c r="B102" i="27" s="1"/>
  <c r="B103" i="27" s="1"/>
  <c r="B104" i="27" s="1"/>
  <c r="B105" i="27" s="1"/>
  <c r="B106" i="27" s="1"/>
  <c r="B107" i="27" s="1"/>
  <c r="B108" i="27" s="1"/>
  <c r="B109" i="27" s="1"/>
  <c r="B110" i="27" s="1"/>
  <c r="B111" i="27" s="1"/>
  <c r="B112" i="27" s="1"/>
  <c r="B113" i="27" s="1"/>
  <c r="B114" i="27" s="1"/>
  <c r="B115" i="27" s="1"/>
  <c r="B116" i="27" s="1"/>
  <c r="B117" i="27" s="1"/>
  <c r="B118" i="27" s="1"/>
  <c r="B119" i="27" s="1"/>
  <c r="B120" i="27" s="1"/>
  <c r="B121" i="27" s="1"/>
  <c r="B122" i="27" s="1"/>
  <c r="B123" i="27" s="1"/>
  <c r="B124" i="27" s="1"/>
  <c r="B125" i="27" s="1"/>
  <c r="B126" i="27" s="1"/>
  <c r="B127" i="27" s="1"/>
  <c r="B128" i="27" s="1"/>
  <c r="B129" i="27" s="1"/>
  <c r="B130" i="27" s="1"/>
  <c r="B131" i="27" s="1"/>
  <c r="B132" i="27" s="1"/>
  <c r="B133" i="27" s="1"/>
  <c r="B134" i="27" s="1"/>
  <c r="B135" i="27" s="1"/>
  <c r="B136" i="27" s="1"/>
  <c r="B137" i="27" s="1"/>
  <c r="B138" i="27" s="1"/>
  <c r="B139" i="27" s="1"/>
  <c r="B140" i="27" s="1"/>
  <c r="B141" i="27" s="1"/>
  <c r="B142" i="27" s="1"/>
  <c r="B143" i="27" s="1"/>
  <c r="B144" i="27" s="1"/>
  <c r="B145" i="27" s="1"/>
  <c r="B146" i="27" s="1"/>
  <c r="B147" i="27" s="1"/>
  <c r="B148" i="27" s="1"/>
  <c r="B149" i="27" s="1"/>
  <c r="B150" i="27" s="1"/>
  <c r="B151" i="27" s="1"/>
  <c r="B152" i="27" s="1"/>
  <c r="B153" i="27" s="1"/>
  <c r="B154" i="27" s="1"/>
  <c r="B155" i="27" s="1"/>
  <c r="B156" i="27" s="1"/>
  <c r="B157" i="27" s="1"/>
  <c r="B158" i="27" s="1"/>
  <c r="B159" i="27" s="1"/>
  <c r="B160" i="27" s="1"/>
  <c r="B161" i="27" s="1"/>
  <c r="B162" i="27" s="1"/>
  <c r="B163" i="27" s="1"/>
  <c r="B164" i="27" s="1"/>
  <c r="B165" i="27" s="1"/>
  <c r="B166" i="27" s="1"/>
  <c r="B167" i="27" s="1"/>
  <c r="B168" i="27" s="1"/>
  <c r="B169" i="27" s="1"/>
  <c r="B170" i="27" s="1"/>
  <c r="B171" i="27" s="1"/>
  <c r="B172" i="27" s="1"/>
  <c r="B173" i="27" s="1"/>
  <c r="B174" i="27" s="1"/>
  <c r="B175" i="27" s="1"/>
  <c r="B176" i="27" s="1"/>
  <c r="B177" i="27" s="1"/>
  <c r="B178" i="27" s="1"/>
  <c r="B179" i="27" s="1"/>
  <c r="B180" i="27" s="1"/>
  <c r="B181" i="27" s="1"/>
  <c r="B182" i="27" s="1"/>
  <c r="B183" i="27" s="1"/>
  <c r="B184" i="27" s="1"/>
  <c r="B185" i="27" s="1"/>
  <c r="B186" i="27" s="1"/>
  <c r="B187" i="27" s="1"/>
  <c r="B188" i="27" s="1"/>
  <c r="B189" i="27" s="1"/>
  <c r="B190" i="27" s="1"/>
  <c r="B191" i="27" s="1"/>
  <c r="B192" i="27" s="1"/>
  <c r="B193" i="27" s="1"/>
  <c r="B194" i="27" s="1"/>
  <c r="B195" i="27" s="1"/>
  <c r="B196" i="27" s="1"/>
  <c r="B197" i="27" s="1"/>
  <c r="B198" i="27" s="1"/>
  <c r="B199" i="27" s="1"/>
  <c r="B200" i="27" s="1"/>
  <c r="B201" i="27" s="1"/>
  <c r="B202" i="27" s="1"/>
  <c r="B203" i="27" s="1"/>
  <c r="B204" i="27" s="1"/>
  <c r="B205" i="27" s="1"/>
  <c r="B206" i="27" s="1"/>
  <c r="B207" i="27" s="1"/>
  <c r="B208" i="27" s="1"/>
  <c r="B209" i="27" s="1"/>
  <c r="B210" i="27" s="1"/>
  <c r="B211" i="27" s="1"/>
  <c r="B212" i="27" s="1"/>
  <c r="B213" i="27" s="1"/>
  <c r="B214" i="27" s="1"/>
  <c r="B215" i="27" s="1"/>
  <c r="B216" i="27" s="1"/>
  <c r="B217" i="27" s="1"/>
  <c r="B218" i="27" s="1"/>
  <c r="B219" i="27" s="1"/>
  <c r="B220" i="27" s="1"/>
  <c r="B221" i="27" s="1"/>
  <c r="B222" i="27" s="1"/>
  <c r="B223" i="27" s="1"/>
  <c r="B224" i="27" s="1"/>
  <c r="B225" i="27" s="1"/>
  <c r="B226" i="27" s="1"/>
  <c r="B227" i="27" s="1"/>
  <c r="B228" i="27" s="1"/>
  <c r="B229" i="27" s="1"/>
  <c r="B230" i="27" s="1"/>
  <c r="B231" i="27" s="1"/>
  <c r="B232" i="27" s="1"/>
  <c r="B233" i="27" s="1"/>
  <c r="B234" i="27" s="1"/>
  <c r="B235" i="27" s="1"/>
  <c r="B236" i="27" s="1"/>
  <c r="B237" i="27" s="1"/>
  <c r="B238" i="27" s="1"/>
  <c r="B239" i="27" s="1"/>
  <c r="B240" i="27" s="1"/>
  <c r="B241" i="27" s="1"/>
  <c r="B242" i="27" s="1"/>
  <c r="B243" i="27" s="1"/>
  <c r="B244" i="27" s="1"/>
  <c r="B245" i="27" s="1"/>
  <c r="B246" i="27" s="1"/>
  <c r="B247" i="27" s="1"/>
  <c r="B248" i="27" s="1"/>
  <c r="B249" i="27" s="1"/>
  <c r="B250" i="27" s="1"/>
  <c r="B251" i="27" s="1"/>
  <c r="B252" i="27" s="1"/>
  <c r="B253" i="27" s="1"/>
  <c r="B254" i="27" s="1"/>
  <c r="B255" i="27" s="1"/>
  <c r="B256" i="27" s="1"/>
  <c r="B257" i="27" s="1"/>
  <c r="B258" i="27" s="1"/>
  <c r="B259" i="27" s="1"/>
  <c r="B260" i="27" s="1"/>
  <c r="B261" i="27" s="1"/>
  <c r="B262" i="27" s="1"/>
  <c r="B263" i="27" s="1"/>
  <c r="B264" i="27" s="1"/>
  <c r="B265" i="27" s="1"/>
  <c r="B266" i="27" s="1"/>
  <c r="B267" i="27" s="1"/>
  <c r="B268" i="27" s="1"/>
  <c r="B269" i="27" s="1"/>
  <c r="B270" i="27" s="1"/>
  <c r="B271" i="27" s="1"/>
  <c r="B272" i="27" s="1"/>
  <c r="B273" i="27" s="1"/>
  <c r="B274" i="27" s="1"/>
  <c r="B275" i="27" s="1"/>
  <c r="B276" i="27" s="1"/>
  <c r="B277" i="27" s="1"/>
  <c r="B278" i="27" s="1"/>
  <c r="B279" i="27" s="1"/>
  <c r="B280" i="27" s="1"/>
  <c r="B281" i="27" s="1"/>
  <c r="B282" i="27" s="1"/>
  <c r="B283" i="27" s="1"/>
  <c r="B284" i="27" s="1"/>
  <c r="B285" i="27" s="1"/>
  <c r="B286" i="27" s="1"/>
  <c r="B287" i="27" s="1"/>
  <c r="B288" i="27" s="1"/>
  <c r="B289" i="27" s="1"/>
  <c r="B290" i="27" s="1"/>
  <c r="B291" i="27" s="1"/>
  <c r="B292" i="27" s="1"/>
  <c r="B293" i="27" s="1"/>
  <c r="B294" i="27" s="1"/>
  <c r="B295" i="27" s="1"/>
  <c r="B296" i="27" s="1"/>
  <c r="B297" i="27" s="1"/>
  <c r="B298" i="27" s="1"/>
  <c r="B299" i="27" s="1"/>
  <c r="B300" i="27" s="1"/>
  <c r="B301" i="27" s="1"/>
  <c r="B302" i="27" s="1"/>
  <c r="B303" i="27" s="1"/>
  <c r="B304" i="27" s="1"/>
  <c r="B305" i="27" s="1"/>
  <c r="B306" i="27" s="1"/>
  <c r="B307" i="27" s="1"/>
  <c r="B308" i="27" s="1"/>
  <c r="B309" i="27" s="1"/>
  <c r="B310" i="27" s="1"/>
  <c r="B311" i="27" s="1"/>
  <c r="B312" i="27" s="1"/>
  <c r="B313" i="27" s="1"/>
  <c r="B314" i="27" s="1"/>
  <c r="B315" i="27" s="1"/>
  <c r="B316" i="27" s="1"/>
  <c r="B317" i="27" s="1"/>
  <c r="B318" i="27" s="1"/>
  <c r="B319" i="27" s="1"/>
  <c r="B320" i="27" s="1"/>
  <c r="B321" i="27" s="1"/>
  <c r="B322" i="27" s="1"/>
  <c r="B323" i="27" s="1"/>
  <c r="B324" i="27" s="1"/>
  <c r="B325" i="27" s="1"/>
  <c r="B326" i="27" s="1"/>
  <c r="B327" i="27" s="1"/>
  <c r="B328" i="27" s="1"/>
  <c r="B329" i="27" s="1"/>
  <c r="B330" i="27" s="1"/>
  <c r="B331" i="27" s="1"/>
  <c r="B332" i="27" s="1"/>
  <c r="B333" i="27" s="1"/>
  <c r="B334" i="27" s="1"/>
  <c r="B335" i="27" s="1"/>
  <c r="B336" i="27" s="1"/>
  <c r="B337" i="27" s="1"/>
  <c r="B338" i="27" s="1"/>
  <c r="B339" i="27" s="1"/>
  <c r="B340" i="27" s="1"/>
  <c r="B341" i="27" s="1"/>
  <c r="B342" i="27" s="1"/>
  <c r="B343" i="27" s="1"/>
  <c r="B344" i="27" s="1"/>
  <c r="B345" i="27" s="1"/>
  <c r="B346" i="27" s="1"/>
  <c r="B347" i="27" s="1"/>
  <c r="B348" i="27" s="1"/>
  <c r="B349" i="27" s="1"/>
  <c r="B350" i="27" s="1"/>
  <c r="B351" i="27" s="1"/>
  <c r="B352" i="27" s="1"/>
  <c r="B353" i="27" s="1"/>
  <c r="B354" i="27" s="1"/>
  <c r="B355" i="27" s="1"/>
  <c r="B356" i="27" s="1"/>
  <c r="B357" i="27" s="1"/>
  <c r="B358" i="27" s="1"/>
  <c r="B359" i="27" s="1"/>
  <c r="B360" i="27" s="1"/>
  <c r="B361" i="27" s="1"/>
  <c r="B362" i="27" s="1"/>
  <c r="B363" i="27" s="1"/>
  <c r="B364" i="27" s="1"/>
  <c r="B365" i="27" s="1"/>
  <c r="B366" i="27" s="1"/>
  <c r="B367" i="27" s="1"/>
  <c r="B368" i="27" s="1"/>
  <c r="B369" i="27" s="1"/>
  <c r="B370" i="27" s="1"/>
  <c r="B371" i="27" s="1"/>
  <c r="B372" i="27" s="1"/>
  <c r="B373" i="27" s="1"/>
  <c r="B374" i="27" s="1"/>
  <c r="B375" i="27" s="1"/>
  <c r="B376" i="27" s="1"/>
  <c r="B377" i="27" s="1"/>
  <c r="B378" i="27" s="1"/>
  <c r="B379" i="27" s="1"/>
  <c r="B380" i="27" s="1"/>
  <c r="B381" i="27" s="1"/>
  <c r="B382" i="27" s="1"/>
  <c r="B383" i="27" s="1"/>
  <c r="B384" i="27" s="1"/>
  <c r="B385" i="27" s="1"/>
  <c r="B386" i="27" s="1"/>
  <c r="B387" i="27" s="1"/>
  <c r="B388" i="27" s="1"/>
  <c r="B389" i="27" s="1"/>
  <c r="B390" i="27" s="1"/>
  <c r="B391" i="27" s="1"/>
  <c r="B392" i="27" s="1"/>
  <c r="B393" i="27" s="1"/>
  <c r="B394" i="27" s="1"/>
  <c r="B395" i="27" s="1"/>
  <c r="B396" i="27" s="1"/>
  <c r="B397" i="27" s="1"/>
  <c r="B398" i="27" s="1"/>
  <c r="B399" i="27" s="1"/>
  <c r="B400" i="27" s="1"/>
  <c r="B401" i="27" s="1"/>
  <c r="B402" i="27" s="1"/>
  <c r="B403" i="27" s="1"/>
  <c r="B404" i="27" s="1"/>
  <c r="B405" i="27" s="1"/>
  <c r="B406" i="27" s="1"/>
  <c r="B407" i="27" s="1"/>
  <c r="B408" i="27" s="1"/>
  <c r="B409" i="27" s="1"/>
  <c r="B410" i="27" s="1"/>
  <c r="B411" i="27" s="1"/>
  <c r="B412" i="27" s="1"/>
  <c r="B413" i="27" s="1"/>
  <c r="B414" i="27" s="1"/>
  <c r="B415" i="27" s="1"/>
  <c r="B416" i="27" s="1"/>
  <c r="B417" i="27" s="1"/>
  <c r="B418" i="27" s="1"/>
  <c r="B419" i="27" s="1"/>
  <c r="B420" i="27" s="1"/>
  <c r="B421" i="27" s="1"/>
  <c r="B422" i="27" s="1"/>
  <c r="B423" i="27" s="1"/>
  <c r="B424" i="27" s="1"/>
  <c r="B425" i="27" s="1"/>
  <c r="B426" i="27" s="1"/>
  <c r="B427" i="27" s="1"/>
  <c r="B428" i="27" s="1"/>
  <c r="B429" i="27" s="1"/>
  <c r="B430" i="27" s="1"/>
  <c r="B431" i="27" s="1"/>
  <c r="B432" i="27" s="1"/>
  <c r="B433" i="27" s="1"/>
  <c r="B434" i="27" s="1"/>
  <c r="B435" i="27" s="1"/>
  <c r="B436" i="27" s="1"/>
  <c r="B437" i="27" s="1"/>
  <c r="B438" i="27" s="1"/>
  <c r="B439" i="27" s="1"/>
  <c r="B440" i="27" s="1"/>
  <c r="B441" i="27" s="1"/>
  <c r="B442" i="27" s="1"/>
  <c r="B443" i="27" s="1"/>
  <c r="B444" i="27" s="1"/>
  <c r="B445" i="27" s="1"/>
  <c r="B446" i="27" s="1"/>
  <c r="B447" i="27" s="1"/>
  <c r="B448" i="27" s="1"/>
  <c r="B449" i="27" s="1"/>
  <c r="B450" i="27" s="1"/>
  <c r="B451" i="27" s="1"/>
  <c r="B452" i="27" s="1"/>
  <c r="B453" i="27" s="1"/>
  <c r="B454" i="27" s="1"/>
  <c r="B455" i="27" s="1"/>
  <c r="B456" i="27" s="1"/>
  <c r="B457" i="27" s="1"/>
  <c r="B458" i="27" s="1"/>
  <c r="B459" i="27" s="1"/>
  <c r="B460" i="27" s="1"/>
  <c r="B461" i="27" s="1"/>
  <c r="B462" i="27" s="1"/>
  <c r="B463" i="27" s="1"/>
  <c r="B464" i="27" s="1"/>
  <c r="B465" i="27" s="1"/>
  <c r="B466" i="27" s="1"/>
  <c r="B467" i="27" s="1"/>
  <c r="B468" i="27" s="1"/>
  <c r="B469" i="27" s="1"/>
  <c r="B470" i="27" s="1"/>
  <c r="B471" i="27" s="1"/>
  <c r="B472" i="27" s="1"/>
  <c r="B473" i="27" s="1"/>
  <c r="B474" i="27" s="1"/>
  <c r="B475" i="27" s="1"/>
  <c r="B476" i="27" s="1"/>
  <c r="B477" i="27" s="1"/>
  <c r="B478" i="27" s="1"/>
  <c r="B479" i="27" s="1"/>
  <c r="B480" i="27" s="1"/>
  <c r="B481" i="27" s="1"/>
  <c r="B482" i="27" s="1"/>
  <c r="B483" i="27" s="1"/>
  <c r="B484" i="27" s="1"/>
  <c r="B485" i="27" s="1"/>
  <c r="B486" i="27" s="1"/>
  <c r="B487" i="27" s="1"/>
  <c r="B488" i="27" s="1"/>
  <c r="B489" i="27" s="1"/>
  <c r="B490" i="27" s="1"/>
  <c r="B491" i="27" s="1"/>
  <c r="B492" i="27" s="1"/>
  <c r="B493" i="27" s="1"/>
  <c r="B494" i="27" s="1"/>
  <c r="B495" i="27" s="1"/>
  <c r="B496" i="27" s="1"/>
  <c r="B497" i="27" s="1"/>
  <c r="B498" i="27" s="1"/>
  <c r="B499" i="27" s="1"/>
  <c r="B500" i="27" s="1"/>
  <c r="B501" i="27" s="1"/>
  <c r="B502" i="27" s="1"/>
  <c r="B503" i="27" s="1"/>
  <c r="B504" i="27" s="1"/>
  <c r="B505" i="27" s="1"/>
  <c r="D12" i="26"/>
  <c r="G54" i="26" s="1"/>
  <c r="D13" i="26"/>
  <c r="D11" i="26"/>
  <c r="D10" i="26"/>
  <c r="D8" i="26"/>
  <c r="D6" i="26"/>
  <c r="E35" i="27" l="1"/>
  <c r="F35" i="27" s="1"/>
  <c r="E67" i="27"/>
  <c r="F67" i="27" s="1"/>
  <c r="E99" i="27"/>
  <c r="F99" i="27" s="1"/>
  <c r="E131" i="27"/>
  <c r="F131" i="27" s="1"/>
  <c r="E163" i="27"/>
  <c r="F163" i="27" s="1"/>
  <c r="E250" i="27"/>
  <c r="F250" i="27" s="1"/>
  <c r="E378" i="27"/>
  <c r="F378" i="27" s="1"/>
  <c r="E11" i="27"/>
  <c r="F11" i="27" s="1"/>
  <c r="E43" i="27"/>
  <c r="F43" i="27" s="1"/>
  <c r="E75" i="27"/>
  <c r="F75" i="27" s="1"/>
  <c r="E107" i="27"/>
  <c r="F107" i="27" s="1"/>
  <c r="E139" i="27"/>
  <c r="F139" i="27" s="1"/>
  <c r="E176" i="27"/>
  <c r="F176" i="27" s="1"/>
  <c r="E282" i="27"/>
  <c r="F282" i="27" s="1"/>
  <c r="E410" i="27"/>
  <c r="F410" i="27" s="1"/>
  <c r="E19" i="27"/>
  <c r="F19" i="27" s="1"/>
  <c r="E51" i="27"/>
  <c r="F51" i="27" s="1"/>
  <c r="E83" i="27"/>
  <c r="F83" i="27" s="1"/>
  <c r="E115" i="27"/>
  <c r="F115" i="27" s="1"/>
  <c r="E147" i="27"/>
  <c r="F147" i="27" s="1"/>
  <c r="E192" i="27"/>
  <c r="F192" i="27" s="1"/>
  <c r="E314" i="27"/>
  <c r="F314" i="27" s="1"/>
  <c r="E442" i="27"/>
  <c r="F442" i="27" s="1"/>
  <c r="E27" i="27"/>
  <c r="F27" i="27" s="1"/>
  <c r="E59" i="27"/>
  <c r="F59" i="27" s="1"/>
  <c r="E91" i="27"/>
  <c r="F91" i="27" s="1"/>
  <c r="E123" i="27"/>
  <c r="F123" i="27" s="1"/>
  <c r="E155" i="27"/>
  <c r="F155" i="27" s="1"/>
  <c r="E218" i="27"/>
  <c r="F218" i="27" s="1"/>
  <c r="E346" i="27"/>
  <c r="F346" i="27" s="1"/>
  <c r="E474" i="27"/>
  <c r="F474" i="27" s="1"/>
  <c r="E20" i="27"/>
  <c r="F20" i="27" s="1"/>
  <c r="E28" i="27"/>
  <c r="F28" i="27" s="1"/>
  <c r="E52" i="27"/>
  <c r="F52" i="27" s="1"/>
  <c r="E60" i="27"/>
  <c r="F60" i="27" s="1"/>
  <c r="E76" i="27"/>
  <c r="F76" i="27" s="1"/>
  <c r="E92" i="27"/>
  <c r="F92" i="27" s="1"/>
  <c r="E108" i="27"/>
  <c r="F108" i="27" s="1"/>
  <c r="E124" i="27"/>
  <c r="F124" i="27" s="1"/>
  <c r="E140" i="27"/>
  <c r="F140" i="27" s="1"/>
  <c r="E156" i="27"/>
  <c r="F156" i="27" s="1"/>
  <c r="E178" i="27"/>
  <c r="F178" i="27" s="1"/>
  <c r="E194" i="27"/>
  <c r="F194" i="27" s="1"/>
  <c r="E254" i="27"/>
  <c r="F254" i="27" s="1"/>
  <c r="E318" i="27"/>
  <c r="F318" i="27" s="1"/>
  <c r="E350" i="27"/>
  <c r="F350" i="27" s="1"/>
  <c r="E414" i="27"/>
  <c r="F414" i="27" s="1"/>
  <c r="E446" i="27"/>
  <c r="F446" i="27" s="1"/>
  <c r="E478" i="27"/>
  <c r="F478" i="27" s="1"/>
  <c r="E7" i="27"/>
  <c r="F7" i="27" s="1"/>
  <c r="E15" i="27"/>
  <c r="F15" i="27" s="1"/>
  <c r="E23" i="27"/>
  <c r="F23" i="27" s="1"/>
  <c r="E31" i="27"/>
  <c r="F31" i="27" s="1"/>
  <c r="E39" i="27"/>
  <c r="F39" i="27" s="1"/>
  <c r="E47" i="27"/>
  <c r="F47" i="27" s="1"/>
  <c r="E55" i="27"/>
  <c r="F55" i="27" s="1"/>
  <c r="E63" i="27"/>
  <c r="F63" i="27" s="1"/>
  <c r="E71" i="27"/>
  <c r="F71" i="27" s="1"/>
  <c r="E79" i="27"/>
  <c r="F79" i="27" s="1"/>
  <c r="E87" i="27"/>
  <c r="F87" i="27" s="1"/>
  <c r="E95" i="27"/>
  <c r="F95" i="27" s="1"/>
  <c r="E103" i="27"/>
  <c r="F103" i="27" s="1"/>
  <c r="E111" i="27"/>
  <c r="F111" i="27" s="1"/>
  <c r="E119" i="27"/>
  <c r="F119" i="27" s="1"/>
  <c r="E127" i="27"/>
  <c r="F127" i="27" s="1"/>
  <c r="E135" i="27"/>
  <c r="F135" i="27" s="1"/>
  <c r="E143" i="27"/>
  <c r="F143" i="27" s="1"/>
  <c r="E151" i="27"/>
  <c r="F151" i="27" s="1"/>
  <c r="E159" i="27"/>
  <c r="F159" i="27" s="1"/>
  <c r="E168" i="27"/>
  <c r="F168" i="27" s="1"/>
  <c r="E184" i="27"/>
  <c r="F184" i="27" s="1"/>
  <c r="E202" i="27"/>
  <c r="F202" i="27" s="1"/>
  <c r="E234" i="27"/>
  <c r="F234" i="27" s="1"/>
  <c r="E266" i="27"/>
  <c r="F266" i="27" s="1"/>
  <c r="E298" i="27"/>
  <c r="F298" i="27" s="1"/>
  <c r="E330" i="27"/>
  <c r="F330" i="27" s="1"/>
  <c r="E362" i="27"/>
  <c r="F362" i="27" s="1"/>
  <c r="E394" i="27"/>
  <c r="F394" i="27" s="1"/>
  <c r="E426" i="27"/>
  <c r="F426" i="27" s="1"/>
  <c r="E458" i="27"/>
  <c r="F458" i="27" s="1"/>
  <c r="E490" i="27"/>
  <c r="F490" i="27" s="1"/>
  <c r="E12" i="27"/>
  <c r="F12" i="27" s="1"/>
  <c r="E36" i="27"/>
  <c r="F36" i="27" s="1"/>
  <c r="E44" i="27"/>
  <c r="F44" i="27" s="1"/>
  <c r="E68" i="27"/>
  <c r="F68" i="27" s="1"/>
  <c r="E84" i="27"/>
  <c r="F84" i="27" s="1"/>
  <c r="E100" i="27"/>
  <c r="F100" i="27" s="1"/>
  <c r="E116" i="27"/>
  <c r="F116" i="27" s="1"/>
  <c r="E132" i="27"/>
  <c r="F132" i="27" s="1"/>
  <c r="E148" i="27"/>
  <c r="F148" i="27" s="1"/>
  <c r="E164" i="27"/>
  <c r="F164" i="27" s="1"/>
  <c r="E222" i="27"/>
  <c r="F222" i="27" s="1"/>
  <c r="E286" i="27"/>
  <c r="F286" i="27" s="1"/>
  <c r="E382" i="27"/>
  <c r="F382" i="27" s="1"/>
  <c r="E8" i="27"/>
  <c r="F8" i="27" s="1"/>
  <c r="E16" i="27"/>
  <c r="F16" i="27" s="1"/>
  <c r="E24" i="27"/>
  <c r="F24" i="27" s="1"/>
  <c r="E32" i="27"/>
  <c r="F32" i="27" s="1"/>
  <c r="E40" i="27"/>
  <c r="F40" i="27" s="1"/>
  <c r="E48" i="27"/>
  <c r="F48" i="27" s="1"/>
  <c r="E56" i="27"/>
  <c r="F56" i="27" s="1"/>
  <c r="E64" i="27"/>
  <c r="F64" i="27" s="1"/>
  <c r="E72" i="27"/>
  <c r="F72" i="27" s="1"/>
  <c r="E80" i="27"/>
  <c r="F80" i="27" s="1"/>
  <c r="E88" i="27"/>
  <c r="F88" i="27" s="1"/>
  <c r="E96" i="27"/>
  <c r="F96" i="27" s="1"/>
  <c r="E104" i="27"/>
  <c r="F104" i="27" s="1"/>
  <c r="E112" i="27"/>
  <c r="F112" i="27" s="1"/>
  <c r="E120" i="27"/>
  <c r="F120" i="27" s="1"/>
  <c r="E128" i="27"/>
  <c r="F128" i="27" s="1"/>
  <c r="E136" i="27"/>
  <c r="F136" i="27" s="1"/>
  <c r="E144" i="27"/>
  <c r="F144" i="27" s="1"/>
  <c r="E152" i="27"/>
  <c r="F152" i="27" s="1"/>
  <c r="E160" i="27"/>
  <c r="F160" i="27" s="1"/>
  <c r="E170" i="27"/>
  <c r="F170" i="27" s="1"/>
  <c r="E186" i="27"/>
  <c r="F186" i="27" s="1"/>
  <c r="E206" i="27"/>
  <c r="F206" i="27" s="1"/>
  <c r="E238" i="27"/>
  <c r="F238" i="27" s="1"/>
  <c r="E270" i="27"/>
  <c r="F270" i="27" s="1"/>
  <c r="E302" i="27"/>
  <c r="F302" i="27" s="1"/>
  <c r="E334" i="27"/>
  <c r="F334" i="27" s="1"/>
  <c r="E366" i="27"/>
  <c r="F366" i="27" s="1"/>
  <c r="E398" i="27"/>
  <c r="F398" i="27" s="1"/>
  <c r="E430" i="27"/>
  <c r="F430" i="27" s="1"/>
  <c r="E462" i="27"/>
  <c r="F462" i="27" s="1"/>
  <c r="E505" i="27"/>
  <c r="F505" i="27" s="1"/>
  <c r="E501" i="27"/>
  <c r="F501" i="27" s="1"/>
  <c r="E497" i="27"/>
  <c r="F497" i="27" s="1"/>
  <c r="E493" i="27"/>
  <c r="F493" i="27" s="1"/>
  <c r="E489" i="27"/>
  <c r="F489" i="27" s="1"/>
  <c r="E485" i="27"/>
  <c r="F485" i="27" s="1"/>
  <c r="E481" i="27"/>
  <c r="F481" i="27" s="1"/>
  <c r="E477" i="27"/>
  <c r="F477" i="27" s="1"/>
  <c r="E473" i="27"/>
  <c r="F473" i="27" s="1"/>
  <c r="E469" i="27"/>
  <c r="F469" i="27" s="1"/>
  <c r="E465" i="27"/>
  <c r="F465" i="27" s="1"/>
  <c r="E461" i="27"/>
  <c r="F461" i="27" s="1"/>
  <c r="E457" i="27"/>
  <c r="F457" i="27" s="1"/>
  <c r="E453" i="27"/>
  <c r="F453" i="27" s="1"/>
  <c r="E449" i="27"/>
  <c r="F449" i="27" s="1"/>
  <c r="E445" i="27"/>
  <c r="F445" i="27" s="1"/>
  <c r="E441" i="27"/>
  <c r="F441" i="27" s="1"/>
  <c r="E437" i="27"/>
  <c r="F437" i="27" s="1"/>
  <c r="E433" i="27"/>
  <c r="F433" i="27" s="1"/>
  <c r="E429" i="27"/>
  <c r="F429" i="27" s="1"/>
  <c r="E425" i="27"/>
  <c r="F425" i="27" s="1"/>
  <c r="E421" i="27"/>
  <c r="F421" i="27" s="1"/>
  <c r="E417" i="27"/>
  <c r="F417" i="27" s="1"/>
  <c r="E413" i="27"/>
  <c r="F413" i="27" s="1"/>
  <c r="E409" i="27"/>
  <c r="F409" i="27" s="1"/>
  <c r="E405" i="27"/>
  <c r="F405" i="27" s="1"/>
  <c r="E401" i="27"/>
  <c r="F401" i="27" s="1"/>
  <c r="E397" i="27"/>
  <c r="F397" i="27" s="1"/>
  <c r="E393" i="27"/>
  <c r="F393" i="27" s="1"/>
  <c r="E389" i="27"/>
  <c r="F389" i="27" s="1"/>
  <c r="E385" i="27"/>
  <c r="F385" i="27" s="1"/>
  <c r="E381" i="27"/>
  <c r="F381" i="27" s="1"/>
  <c r="E377" i="27"/>
  <c r="F377" i="27" s="1"/>
  <c r="E373" i="27"/>
  <c r="F373" i="27" s="1"/>
  <c r="E369" i="27"/>
  <c r="F369" i="27" s="1"/>
  <c r="E365" i="27"/>
  <c r="F365" i="27" s="1"/>
  <c r="E361" i="27"/>
  <c r="F361" i="27" s="1"/>
  <c r="E357" i="27"/>
  <c r="F357" i="27" s="1"/>
  <c r="E353" i="27"/>
  <c r="F353" i="27" s="1"/>
  <c r="E349" i="27"/>
  <c r="F349" i="27" s="1"/>
  <c r="E345" i="27"/>
  <c r="F345" i="27" s="1"/>
  <c r="E341" i="27"/>
  <c r="F341" i="27" s="1"/>
  <c r="E337" i="27"/>
  <c r="F337" i="27" s="1"/>
  <c r="E333" i="27"/>
  <c r="F333" i="27" s="1"/>
  <c r="E329" i="27"/>
  <c r="F329" i="27" s="1"/>
  <c r="E325" i="27"/>
  <c r="F325" i="27" s="1"/>
  <c r="E321" i="27"/>
  <c r="F321" i="27" s="1"/>
  <c r="E317" i="27"/>
  <c r="F317" i="27" s="1"/>
  <c r="E313" i="27"/>
  <c r="F313" i="27" s="1"/>
  <c r="E309" i="27"/>
  <c r="F309" i="27" s="1"/>
  <c r="E305" i="27"/>
  <c r="F305" i="27" s="1"/>
  <c r="E301" i="27"/>
  <c r="F301" i="27" s="1"/>
  <c r="E297" i="27"/>
  <c r="F297" i="27" s="1"/>
  <c r="E293" i="27"/>
  <c r="F293" i="27" s="1"/>
  <c r="E289" i="27"/>
  <c r="F289" i="27" s="1"/>
  <c r="E285" i="27"/>
  <c r="F285" i="27" s="1"/>
  <c r="E281" i="27"/>
  <c r="F281" i="27" s="1"/>
  <c r="E277" i="27"/>
  <c r="F277" i="27" s="1"/>
  <c r="E273" i="27"/>
  <c r="F273" i="27" s="1"/>
  <c r="E269" i="27"/>
  <c r="F269" i="27" s="1"/>
  <c r="E265" i="27"/>
  <c r="F265" i="27" s="1"/>
  <c r="E261" i="27"/>
  <c r="F261" i="27" s="1"/>
  <c r="E257" i="27"/>
  <c r="F257" i="27" s="1"/>
  <c r="E253" i="27"/>
  <c r="F253" i="27" s="1"/>
  <c r="E249" i="27"/>
  <c r="F249" i="27" s="1"/>
  <c r="E245" i="27"/>
  <c r="F245" i="27" s="1"/>
  <c r="E241" i="27"/>
  <c r="F241" i="27" s="1"/>
  <c r="E237" i="27"/>
  <c r="F237" i="27" s="1"/>
  <c r="E233" i="27"/>
  <c r="F233" i="27" s="1"/>
  <c r="E229" i="27"/>
  <c r="F229" i="27" s="1"/>
  <c r="E225" i="27"/>
  <c r="F225" i="27" s="1"/>
  <c r="E221" i="27"/>
  <c r="F221" i="27" s="1"/>
  <c r="E217" i="27"/>
  <c r="F217" i="27" s="1"/>
  <c r="E213" i="27"/>
  <c r="F213" i="27" s="1"/>
  <c r="E209" i="27"/>
  <c r="F209" i="27" s="1"/>
  <c r="E205" i="27"/>
  <c r="F205" i="27" s="1"/>
  <c r="E201" i="27"/>
  <c r="F201" i="27" s="1"/>
  <c r="E197" i="27"/>
  <c r="F197" i="27" s="1"/>
  <c r="E193" i="27"/>
  <c r="F193" i="27" s="1"/>
  <c r="E189" i="27"/>
  <c r="F189" i="27" s="1"/>
  <c r="E185" i="27"/>
  <c r="F185" i="27" s="1"/>
  <c r="E181" i="27"/>
  <c r="F181" i="27" s="1"/>
  <c r="E177" i="27"/>
  <c r="F177" i="27" s="1"/>
  <c r="E173" i="27"/>
  <c r="F173" i="27" s="1"/>
  <c r="E169" i="27"/>
  <c r="F169" i="27" s="1"/>
  <c r="E504" i="27"/>
  <c r="F504" i="27" s="1"/>
  <c r="E500" i="27"/>
  <c r="F500" i="27" s="1"/>
  <c r="E496" i="27"/>
  <c r="F496" i="27" s="1"/>
  <c r="E492" i="27"/>
  <c r="F492" i="27" s="1"/>
  <c r="E488" i="27"/>
  <c r="F488" i="27" s="1"/>
  <c r="E484" i="27"/>
  <c r="F484" i="27" s="1"/>
  <c r="E480" i="27"/>
  <c r="F480" i="27" s="1"/>
  <c r="E476" i="27"/>
  <c r="F476" i="27" s="1"/>
  <c r="E472" i="27"/>
  <c r="F472" i="27" s="1"/>
  <c r="E468" i="27"/>
  <c r="F468" i="27" s="1"/>
  <c r="E464" i="27"/>
  <c r="F464" i="27" s="1"/>
  <c r="E460" i="27"/>
  <c r="F460" i="27" s="1"/>
  <c r="E456" i="27"/>
  <c r="F456" i="27" s="1"/>
  <c r="E452" i="27"/>
  <c r="F452" i="27" s="1"/>
  <c r="E448" i="27"/>
  <c r="F448" i="27" s="1"/>
  <c r="E444" i="27"/>
  <c r="F444" i="27" s="1"/>
  <c r="E440" i="27"/>
  <c r="F440" i="27" s="1"/>
  <c r="E436" i="27"/>
  <c r="F436" i="27" s="1"/>
  <c r="E432" i="27"/>
  <c r="F432" i="27" s="1"/>
  <c r="E428" i="27"/>
  <c r="F428" i="27" s="1"/>
  <c r="E424" i="27"/>
  <c r="F424" i="27" s="1"/>
  <c r="E420" i="27"/>
  <c r="F420" i="27" s="1"/>
  <c r="E416" i="27"/>
  <c r="F416" i="27" s="1"/>
  <c r="E412" i="27"/>
  <c r="F412" i="27" s="1"/>
  <c r="E408" i="27"/>
  <c r="F408" i="27" s="1"/>
  <c r="E404" i="27"/>
  <c r="F404" i="27" s="1"/>
  <c r="E400" i="27"/>
  <c r="F400" i="27" s="1"/>
  <c r="E396" i="27"/>
  <c r="F396" i="27" s="1"/>
  <c r="E392" i="27"/>
  <c r="F392" i="27" s="1"/>
  <c r="E388" i="27"/>
  <c r="F388" i="27" s="1"/>
  <c r="E384" i="27"/>
  <c r="F384" i="27" s="1"/>
  <c r="E380" i="27"/>
  <c r="F380" i="27" s="1"/>
  <c r="E376" i="27"/>
  <c r="F376" i="27" s="1"/>
  <c r="E372" i="27"/>
  <c r="F372" i="27" s="1"/>
  <c r="E368" i="27"/>
  <c r="F368" i="27" s="1"/>
  <c r="E364" i="27"/>
  <c r="F364" i="27" s="1"/>
  <c r="E360" i="27"/>
  <c r="F360" i="27" s="1"/>
  <c r="E356" i="27"/>
  <c r="F356" i="27" s="1"/>
  <c r="E352" i="27"/>
  <c r="F352" i="27" s="1"/>
  <c r="E348" i="27"/>
  <c r="F348" i="27" s="1"/>
  <c r="E344" i="27"/>
  <c r="F344" i="27" s="1"/>
  <c r="E340" i="27"/>
  <c r="F340" i="27" s="1"/>
  <c r="E336" i="27"/>
  <c r="F336" i="27" s="1"/>
  <c r="E332" i="27"/>
  <c r="F332" i="27" s="1"/>
  <c r="E328" i="27"/>
  <c r="F328" i="27" s="1"/>
  <c r="E324" i="27"/>
  <c r="F324" i="27" s="1"/>
  <c r="E320" i="27"/>
  <c r="F320" i="27" s="1"/>
  <c r="E316" i="27"/>
  <c r="F316" i="27" s="1"/>
  <c r="E312" i="27"/>
  <c r="F312" i="27" s="1"/>
  <c r="E308" i="27"/>
  <c r="F308" i="27" s="1"/>
  <c r="E304" i="27"/>
  <c r="F304" i="27" s="1"/>
  <c r="E300" i="27"/>
  <c r="F300" i="27" s="1"/>
  <c r="E296" i="27"/>
  <c r="F296" i="27" s="1"/>
  <c r="E292" i="27"/>
  <c r="F292" i="27" s="1"/>
  <c r="E288" i="27"/>
  <c r="F288" i="27" s="1"/>
  <c r="E284" i="27"/>
  <c r="F284" i="27" s="1"/>
  <c r="E280" i="27"/>
  <c r="F280" i="27" s="1"/>
  <c r="E276" i="27"/>
  <c r="F276" i="27" s="1"/>
  <c r="E272" i="27"/>
  <c r="F272" i="27" s="1"/>
  <c r="E268" i="27"/>
  <c r="F268" i="27" s="1"/>
  <c r="E264" i="27"/>
  <c r="F264" i="27" s="1"/>
  <c r="E260" i="27"/>
  <c r="F260" i="27" s="1"/>
  <c r="E256" i="27"/>
  <c r="F256" i="27" s="1"/>
  <c r="E252" i="27"/>
  <c r="F252" i="27" s="1"/>
  <c r="E248" i="27"/>
  <c r="F248" i="27" s="1"/>
  <c r="E244" i="27"/>
  <c r="F244" i="27" s="1"/>
  <c r="E240" i="27"/>
  <c r="F240" i="27" s="1"/>
  <c r="E236" i="27"/>
  <c r="F236" i="27" s="1"/>
  <c r="E232" i="27"/>
  <c r="F232" i="27" s="1"/>
  <c r="E228" i="27"/>
  <c r="F228" i="27" s="1"/>
  <c r="E224" i="27"/>
  <c r="F224" i="27" s="1"/>
  <c r="E220" i="27"/>
  <c r="F220" i="27" s="1"/>
  <c r="E216" i="27"/>
  <c r="F216" i="27" s="1"/>
  <c r="E212" i="27"/>
  <c r="F212" i="27" s="1"/>
  <c r="E208" i="27"/>
  <c r="F208" i="27" s="1"/>
  <c r="E204" i="27"/>
  <c r="F204" i="27" s="1"/>
  <c r="E200" i="27"/>
  <c r="F200" i="27" s="1"/>
  <c r="E503" i="27"/>
  <c r="F503" i="27" s="1"/>
  <c r="E499" i="27"/>
  <c r="F499" i="27" s="1"/>
  <c r="E495" i="27"/>
  <c r="F495" i="27" s="1"/>
  <c r="E491" i="27"/>
  <c r="F491" i="27" s="1"/>
  <c r="E487" i="27"/>
  <c r="F487" i="27" s="1"/>
  <c r="E483" i="27"/>
  <c r="F483" i="27" s="1"/>
  <c r="E479" i="27"/>
  <c r="F479" i="27" s="1"/>
  <c r="E475" i="27"/>
  <c r="F475" i="27" s="1"/>
  <c r="E471" i="27"/>
  <c r="F471" i="27" s="1"/>
  <c r="E467" i="27"/>
  <c r="F467" i="27" s="1"/>
  <c r="E463" i="27"/>
  <c r="F463" i="27" s="1"/>
  <c r="E459" i="27"/>
  <c r="F459" i="27" s="1"/>
  <c r="E455" i="27"/>
  <c r="F455" i="27" s="1"/>
  <c r="E451" i="27"/>
  <c r="F451" i="27" s="1"/>
  <c r="E447" i="27"/>
  <c r="F447" i="27" s="1"/>
  <c r="E443" i="27"/>
  <c r="F443" i="27" s="1"/>
  <c r="E439" i="27"/>
  <c r="F439" i="27" s="1"/>
  <c r="E435" i="27"/>
  <c r="F435" i="27" s="1"/>
  <c r="E431" i="27"/>
  <c r="F431" i="27" s="1"/>
  <c r="E427" i="27"/>
  <c r="F427" i="27" s="1"/>
  <c r="E423" i="27"/>
  <c r="F423" i="27" s="1"/>
  <c r="E419" i="27"/>
  <c r="F419" i="27" s="1"/>
  <c r="E415" i="27"/>
  <c r="F415" i="27" s="1"/>
  <c r="E411" i="27"/>
  <c r="F411" i="27" s="1"/>
  <c r="E407" i="27"/>
  <c r="F407" i="27" s="1"/>
  <c r="E403" i="27"/>
  <c r="F403" i="27" s="1"/>
  <c r="E399" i="27"/>
  <c r="F399" i="27" s="1"/>
  <c r="E395" i="27"/>
  <c r="F395" i="27" s="1"/>
  <c r="E391" i="27"/>
  <c r="F391" i="27" s="1"/>
  <c r="E387" i="27"/>
  <c r="F387" i="27" s="1"/>
  <c r="E383" i="27"/>
  <c r="F383" i="27" s="1"/>
  <c r="E379" i="27"/>
  <c r="F379" i="27" s="1"/>
  <c r="E375" i="27"/>
  <c r="F375" i="27" s="1"/>
  <c r="E371" i="27"/>
  <c r="F371" i="27" s="1"/>
  <c r="E367" i="27"/>
  <c r="F367" i="27" s="1"/>
  <c r="E363" i="27"/>
  <c r="F363" i="27" s="1"/>
  <c r="E359" i="27"/>
  <c r="F359" i="27" s="1"/>
  <c r="E355" i="27"/>
  <c r="F355" i="27" s="1"/>
  <c r="E351" i="27"/>
  <c r="F351" i="27" s="1"/>
  <c r="E347" i="27"/>
  <c r="F347" i="27" s="1"/>
  <c r="E343" i="27"/>
  <c r="F343" i="27" s="1"/>
  <c r="E339" i="27"/>
  <c r="F339" i="27" s="1"/>
  <c r="E335" i="27"/>
  <c r="F335" i="27" s="1"/>
  <c r="E331" i="27"/>
  <c r="F331" i="27" s="1"/>
  <c r="E327" i="27"/>
  <c r="F327" i="27" s="1"/>
  <c r="E323" i="27"/>
  <c r="F323" i="27" s="1"/>
  <c r="E319" i="27"/>
  <c r="F319" i="27" s="1"/>
  <c r="E315" i="27"/>
  <c r="F315" i="27" s="1"/>
  <c r="E311" i="27"/>
  <c r="F311" i="27" s="1"/>
  <c r="E307" i="27"/>
  <c r="F307" i="27" s="1"/>
  <c r="E303" i="27"/>
  <c r="F303" i="27" s="1"/>
  <c r="E299" i="27"/>
  <c r="F299" i="27" s="1"/>
  <c r="E295" i="27"/>
  <c r="F295" i="27" s="1"/>
  <c r="E291" i="27"/>
  <c r="F291" i="27" s="1"/>
  <c r="E287" i="27"/>
  <c r="F287" i="27" s="1"/>
  <c r="E283" i="27"/>
  <c r="F283" i="27" s="1"/>
  <c r="E279" i="27"/>
  <c r="F279" i="27" s="1"/>
  <c r="E275" i="27"/>
  <c r="F275" i="27" s="1"/>
  <c r="E271" i="27"/>
  <c r="F271" i="27" s="1"/>
  <c r="E267" i="27"/>
  <c r="F267" i="27" s="1"/>
  <c r="E263" i="27"/>
  <c r="F263" i="27" s="1"/>
  <c r="E259" i="27"/>
  <c r="F259" i="27" s="1"/>
  <c r="E255" i="27"/>
  <c r="F255" i="27" s="1"/>
  <c r="E251" i="27"/>
  <c r="F251" i="27" s="1"/>
  <c r="E247" i="27"/>
  <c r="F247" i="27" s="1"/>
  <c r="E243" i="27"/>
  <c r="F243" i="27" s="1"/>
  <c r="E239" i="27"/>
  <c r="F239" i="27" s="1"/>
  <c r="E235" i="27"/>
  <c r="F235" i="27" s="1"/>
  <c r="E231" i="27"/>
  <c r="F231" i="27" s="1"/>
  <c r="E227" i="27"/>
  <c r="F227" i="27" s="1"/>
  <c r="E223" i="27"/>
  <c r="F223" i="27" s="1"/>
  <c r="E219" i="27"/>
  <c r="F219" i="27" s="1"/>
  <c r="E215" i="27"/>
  <c r="F215" i="27" s="1"/>
  <c r="E211" i="27"/>
  <c r="F211" i="27" s="1"/>
  <c r="E207" i="27"/>
  <c r="F207" i="27" s="1"/>
  <c r="E203" i="27"/>
  <c r="F203" i="27" s="1"/>
  <c r="E199" i="27"/>
  <c r="F199" i="27" s="1"/>
  <c r="E195" i="27"/>
  <c r="F195" i="27" s="1"/>
  <c r="E191" i="27"/>
  <c r="F191" i="27" s="1"/>
  <c r="E187" i="27"/>
  <c r="F187" i="27" s="1"/>
  <c r="E183" i="27"/>
  <c r="F183" i="27" s="1"/>
  <c r="E179" i="27"/>
  <c r="F179" i="27" s="1"/>
  <c r="E175" i="27"/>
  <c r="F175" i="27" s="1"/>
  <c r="E171" i="27"/>
  <c r="F171" i="27" s="1"/>
  <c r="E167" i="27"/>
  <c r="F167" i="27" s="1"/>
  <c r="E9" i="27"/>
  <c r="F9" i="27" s="1"/>
  <c r="E13" i="27"/>
  <c r="F13" i="27" s="1"/>
  <c r="E17" i="27"/>
  <c r="F17" i="27" s="1"/>
  <c r="E21" i="27"/>
  <c r="F21" i="27" s="1"/>
  <c r="E25" i="27"/>
  <c r="F25" i="27" s="1"/>
  <c r="E29" i="27"/>
  <c r="F29" i="27" s="1"/>
  <c r="E33" i="27"/>
  <c r="F33" i="27" s="1"/>
  <c r="E37" i="27"/>
  <c r="F37" i="27" s="1"/>
  <c r="E41" i="27"/>
  <c r="F41" i="27" s="1"/>
  <c r="E45" i="27"/>
  <c r="F45" i="27" s="1"/>
  <c r="E49" i="27"/>
  <c r="F49" i="27" s="1"/>
  <c r="E53" i="27"/>
  <c r="F53" i="27" s="1"/>
  <c r="E57" i="27"/>
  <c r="F57" i="27" s="1"/>
  <c r="E61" i="27"/>
  <c r="F61" i="27" s="1"/>
  <c r="E65" i="27"/>
  <c r="F65" i="27" s="1"/>
  <c r="E69" i="27"/>
  <c r="F69" i="27" s="1"/>
  <c r="E73" i="27"/>
  <c r="F73" i="27" s="1"/>
  <c r="E77" i="27"/>
  <c r="F77" i="27" s="1"/>
  <c r="E81" i="27"/>
  <c r="F81" i="27" s="1"/>
  <c r="E85" i="27"/>
  <c r="F85" i="27" s="1"/>
  <c r="E89" i="27"/>
  <c r="F89" i="27" s="1"/>
  <c r="E93" i="27"/>
  <c r="F93" i="27" s="1"/>
  <c r="E97" i="27"/>
  <c r="F97" i="27" s="1"/>
  <c r="E101" i="27"/>
  <c r="F101" i="27" s="1"/>
  <c r="E105" i="27"/>
  <c r="F105" i="27" s="1"/>
  <c r="E109" i="27"/>
  <c r="F109" i="27" s="1"/>
  <c r="E113" i="27"/>
  <c r="F113" i="27" s="1"/>
  <c r="E117" i="27"/>
  <c r="F117" i="27" s="1"/>
  <c r="E121" i="27"/>
  <c r="F121" i="27" s="1"/>
  <c r="E125" i="27"/>
  <c r="F125" i="27" s="1"/>
  <c r="E129" i="27"/>
  <c r="F129" i="27" s="1"/>
  <c r="E133" i="27"/>
  <c r="F133" i="27" s="1"/>
  <c r="E137" i="27"/>
  <c r="F137" i="27" s="1"/>
  <c r="E141" i="27"/>
  <c r="F141" i="27" s="1"/>
  <c r="E145" i="27"/>
  <c r="F145" i="27" s="1"/>
  <c r="E149" i="27"/>
  <c r="F149" i="27" s="1"/>
  <c r="E153" i="27"/>
  <c r="F153" i="27" s="1"/>
  <c r="E157" i="27"/>
  <c r="F157" i="27" s="1"/>
  <c r="E161" i="27"/>
  <c r="F161" i="27" s="1"/>
  <c r="E165" i="27"/>
  <c r="F165" i="27" s="1"/>
  <c r="E172" i="27"/>
  <c r="F172" i="27" s="1"/>
  <c r="E180" i="27"/>
  <c r="F180" i="27" s="1"/>
  <c r="E188" i="27"/>
  <c r="F188" i="27" s="1"/>
  <c r="E196" i="27"/>
  <c r="F196" i="27" s="1"/>
  <c r="E210" i="27"/>
  <c r="F210" i="27" s="1"/>
  <c r="E226" i="27"/>
  <c r="F226" i="27" s="1"/>
  <c r="E242" i="27"/>
  <c r="F242" i="27" s="1"/>
  <c r="E258" i="27"/>
  <c r="F258" i="27" s="1"/>
  <c r="E274" i="27"/>
  <c r="F274" i="27" s="1"/>
  <c r="E290" i="27"/>
  <c r="F290" i="27" s="1"/>
  <c r="E306" i="27"/>
  <c r="F306" i="27" s="1"/>
  <c r="E322" i="27"/>
  <c r="F322" i="27" s="1"/>
  <c r="E338" i="27"/>
  <c r="F338" i="27" s="1"/>
  <c r="E354" i="27"/>
  <c r="F354" i="27" s="1"/>
  <c r="E370" i="27"/>
  <c r="F370" i="27" s="1"/>
  <c r="E386" i="27"/>
  <c r="F386" i="27" s="1"/>
  <c r="E402" i="27"/>
  <c r="F402" i="27" s="1"/>
  <c r="E418" i="27"/>
  <c r="F418" i="27" s="1"/>
  <c r="E434" i="27"/>
  <c r="F434" i="27" s="1"/>
  <c r="E450" i="27"/>
  <c r="F450" i="27" s="1"/>
  <c r="E466" i="27"/>
  <c r="F466" i="27" s="1"/>
  <c r="E482" i="27"/>
  <c r="F482" i="27" s="1"/>
  <c r="E498" i="27"/>
  <c r="F498" i="27" s="1"/>
  <c r="E6" i="27"/>
  <c r="F6" i="27" s="1"/>
  <c r="E10" i="27"/>
  <c r="F10" i="27" s="1"/>
  <c r="E14" i="27"/>
  <c r="F14" i="27" s="1"/>
  <c r="E18" i="27"/>
  <c r="F18" i="27" s="1"/>
  <c r="E22" i="27"/>
  <c r="F22" i="27" s="1"/>
  <c r="E26" i="27"/>
  <c r="F26" i="27" s="1"/>
  <c r="E30" i="27"/>
  <c r="F30" i="27" s="1"/>
  <c r="E34" i="27"/>
  <c r="F34" i="27" s="1"/>
  <c r="E38" i="27"/>
  <c r="F38" i="27" s="1"/>
  <c r="E42" i="27"/>
  <c r="F42" i="27" s="1"/>
  <c r="E46" i="27"/>
  <c r="F46" i="27" s="1"/>
  <c r="E50" i="27"/>
  <c r="F50" i="27" s="1"/>
  <c r="E54" i="27"/>
  <c r="F54" i="27" s="1"/>
  <c r="E58" i="27"/>
  <c r="F58" i="27" s="1"/>
  <c r="E62" i="27"/>
  <c r="F62" i="27" s="1"/>
  <c r="E66" i="27"/>
  <c r="F66" i="27" s="1"/>
  <c r="E70" i="27"/>
  <c r="F70" i="27" s="1"/>
  <c r="E74" i="27"/>
  <c r="F74" i="27" s="1"/>
  <c r="E78" i="27"/>
  <c r="F78" i="27" s="1"/>
  <c r="E82" i="27"/>
  <c r="F82" i="27" s="1"/>
  <c r="E86" i="27"/>
  <c r="F86" i="27" s="1"/>
  <c r="E90" i="27"/>
  <c r="F90" i="27" s="1"/>
  <c r="E94" i="27"/>
  <c r="F94" i="27" s="1"/>
  <c r="E98" i="27"/>
  <c r="F98" i="27" s="1"/>
  <c r="E102" i="27"/>
  <c r="F102" i="27" s="1"/>
  <c r="E106" i="27"/>
  <c r="F106" i="27" s="1"/>
  <c r="E110" i="27"/>
  <c r="F110" i="27" s="1"/>
  <c r="E114" i="27"/>
  <c r="F114" i="27" s="1"/>
  <c r="E118" i="27"/>
  <c r="F118" i="27" s="1"/>
  <c r="E122" i="27"/>
  <c r="F122" i="27" s="1"/>
  <c r="E126" i="27"/>
  <c r="F126" i="27" s="1"/>
  <c r="E130" i="27"/>
  <c r="F130" i="27" s="1"/>
  <c r="E134" i="27"/>
  <c r="F134" i="27" s="1"/>
  <c r="E138" i="27"/>
  <c r="F138" i="27" s="1"/>
  <c r="E142" i="27"/>
  <c r="F142" i="27" s="1"/>
  <c r="E146" i="27"/>
  <c r="F146" i="27" s="1"/>
  <c r="E150" i="27"/>
  <c r="F150" i="27" s="1"/>
  <c r="E154" i="27"/>
  <c r="F154" i="27" s="1"/>
  <c r="E158" i="27"/>
  <c r="F158" i="27" s="1"/>
  <c r="E162" i="27"/>
  <c r="F162" i="27" s="1"/>
  <c r="E166" i="27"/>
  <c r="F166" i="27" s="1"/>
  <c r="E174" i="27"/>
  <c r="F174" i="27" s="1"/>
  <c r="E182" i="27"/>
  <c r="F182" i="27" s="1"/>
  <c r="E190" i="27"/>
  <c r="F190" i="27" s="1"/>
  <c r="E198" i="27"/>
  <c r="F198" i="27" s="1"/>
  <c r="E214" i="27"/>
  <c r="F214" i="27" s="1"/>
  <c r="E230" i="27"/>
  <c r="F230" i="27" s="1"/>
  <c r="E246" i="27"/>
  <c r="F246" i="27" s="1"/>
  <c r="E262" i="27"/>
  <c r="F262" i="27" s="1"/>
  <c r="E278" i="27"/>
  <c r="F278" i="27" s="1"/>
  <c r="E294" i="27"/>
  <c r="F294" i="27" s="1"/>
  <c r="E310" i="27"/>
  <c r="F310" i="27" s="1"/>
  <c r="E326" i="27"/>
  <c r="F326" i="27" s="1"/>
  <c r="E342" i="27"/>
  <c r="F342" i="27" s="1"/>
  <c r="E358" i="27"/>
  <c r="F358" i="27" s="1"/>
  <c r="E374" i="27"/>
  <c r="F374" i="27" s="1"/>
  <c r="E390" i="27"/>
  <c r="F390" i="27" s="1"/>
  <c r="E406" i="27"/>
  <c r="F406" i="27" s="1"/>
  <c r="E422" i="27"/>
  <c r="F422" i="27" s="1"/>
  <c r="E438" i="27"/>
  <c r="F438" i="27" s="1"/>
  <c r="E454" i="27"/>
  <c r="F454" i="27" s="1"/>
  <c r="E470" i="27"/>
  <c r="F470" i="27" s="1"/>
  <c r="E486" i="27"/>
  <c r="F486" i="27" s="1"/>
  <c r="E502" i="27"/>
  <c r="F502" i="27" s="1"/>
  <c r="N54" i="26"/>
  <c r="K54" i="26"/>
  <c r="J54" i="26"/>
  <c r="O54" i="26"/>
  <c r="M54" i="26"/>
  <c r="I54" i="26"/>
  <c r="P54" i="26"/>
  <c r="L54" i="26"/>
  <c r="H54" i="26"/>
  <c r="L19" i="26"/>
  <c r="K19" i="26"/>
  <c r="C16" i="19"/>
  <c r="C2" i="19"/>
  <c r="M19" i="26"/>
  <c r="N19" i="26"/>
  <c r="O19" i="26"/>
  <c r="P19" i="26"/>
  <c r="N40" i="17"/>
  <c r="O40" i="17"/>
  <c r="P40" i="17"/>
  <c r="O14" i="14"/>
  <c r="P14" i="14"/>
  <c r="Q14" i="14" s="1"/>
  <c r="O15" i="14"/>
  <c r="P15" i="14"/>
  <c r="Q15" i="14"/>
  <c r="O16" i="14"/>
  <c r="P16" i="14"/>
  <c r="Q16" i="14"/>
  <c r="O20" i="14"/>
  <c r="P20" i="14"/>
  <c r="Q20" i="14" s="1"/>
  <c r="O26" i="14"/>
  <c r="P26" i="14"/>
  <c r="Q26" i="14"/>
  <c r="O27" i="14"/>
  <c r="P27" i="14"/>
  <c r="Q27" i="14"/>
  <c r="O30" i="14"/>
  <c r="P30" i="14"/>
  <c r="Q30" i="14"/>
  <c r="O31" i="14"/>
  <c r="P31" i="14"/>
  <c r="Q31" i="14"/>
  <c r="O32" i="14"/>
  <c r="P32" i="14" s="1"/>
  <c r="O35" i="14"/>
  <c r="P35" i="14"/>
  <c r="Q35" i="14"/>
  <c r="O36" i="14"/>
  <c r="P36" i="14"/>
  <c r="Q36" i="14"/>
  <c r="O38" i="14"/>
  <c r="P38" i="14"/>
  <c r="Q38" i="14" s="1"/>
  <c r="O39" i="14"/>
  <c r="P39" i="14"/>
  <c r="Q39" i="14"/>
  <c r="O41" i="14"/>
  <c r="P41" i="14" s="1"/>
  <c r="O4" i="21"/>
  <c r="P4" i="21" s="1"/>
  <c r="Q4" i="21" s="1"/>
  <c r="O10" i="21"/>
  <c r="P10" i="21"/>
  <c r="Q10" i="21"/>
  <c r="O16" i="21"/>
  <c r="P16" i="21"/>
  <c r="Q16" i="21"/>
  <c r="O19" i="21"/>
  <c r="P19" i="21" s="1"/>
  <c r="Q19" i="21" s="1"/>
  <c r="O26" i="21"/>
  <c r="P26" i="21"/>
  <c r="Q26" i="21"/>
  <c r="O32" i="21"/>
  <c r="P32" i="21"/>
  <c r="Q32" i="21"/>
  <c r="O37" i="21"/>
  <c r="P37" i="21"/>
  <c r="Q37" i="21"/>
  <c r="O47" i="21"/>
  <c r="P47" i="21" s="1"/>
  <c r="Q47" i="21" s="1"/>
  <c r="O48" i="21"/>
  <c r="P48" i="21" s="1"/>
  <c r="Q48" i="21" s="1"/>
  <c r="O4" i="16"/>
  <c r="P4" i="16" s="1"/>
  <c r="Q4" i="16" s="1"/>
  <c r="O7" i="16"/>
  <c r="P7" i="16"/>
  <c r="O9" i="16"/>
  <c r="O11" i="16"/>
  <c r="P11" i="16"/>
  <c r="O15" i="16"/>
  <c r="O17" i="16"/>
  <c r="P17" i="16"/>
  <c r="Q17" i="16"/>
  <c r="O19" i="16"/>
  <c r="L40" i="17"/>
  <c r="M40" i="17"/>
  <c r="M4" i="16"/>
  <c r="N4" i="16" s="1"/>
  <c r="M7" i="16"/>
  <c r="N7" i="16" s="1"/>
  <c r="M9" i="16"/>
  <c r="N9" i="16" s="1"/>
  <c r="M11" i="16"/>
  <c r="N11" i="16" s="1"/>
  <c r="M15" i="16"/>
  <c r="N15" i="16"/>
  <c r="M17" i="16"/>
  <c r="N17" i="16"/>
  <c r="M19" i="16"/>
  <c r="N19" i="16"/>
  <c r="M14" i="14"/>
  <c r="N14" i="14" s="1"/>
  <c r="M15" i="14"/>
  <c r="N15" i="14"/>
  <c r="M16" i="14"/>
  <c r="N16" i="14" s="1"/>
  <c r="M20" i="14"/>
  <c r="N20" i="14" s="1"/>
  <c r="M26" i="14"/>
  <c r="N26" i="14"/>
  <c r="M27" i="14"/>
  <c r="N27" i="14" s="1"/>
  <c r="M30" i="14"/>
  <c r="N30" i="14"/>
  <c r="M31" i="14"/>
  <c r="N31" i="14" s="1"/>
  <c r="M32" i="14"/>
  <c r="N32" i="14"/>
  <c r="M35" i="14"/>
  <c r="N35" i="14"/>
  <c r="M36" i="14"/>
  <c r="N36" i="14" s="1"/>
  <c r="M38" i="14"/>
  <c r="N38" i="14" s="1"/>
  <c r="M39" i="14"/>
  <c r="N39" i="14"/>
  <c r="M41" i="14"/>
  <c r="N41" i="14"/>
  <c r="M4" i="21"/>
  <c r="N4" i="21" s="1"/>
  <c r="M10" i="21"/>
  <c r="N10" i="21"/>
  <c r="M16" i="21"/>
  <c r="N16" i="21"/>
  <c r="M19" i="21"/>
  <c r="N19" i="21"/>
  <c r="M26" i="21"/>
  <c r="N26" i="21"/>
  <c r="M32" i="21"/>
  <c r="N32" i="21"/>
  <c r="M37" i="21"/>
  <c r="N37" i="21"/>
  <c r="M47" i="21"/>
  <c r="N47" i="21" s="1"/>
  <c r="M48" i="21"/>
  <c r="N48" i="21"/>
  <c r="L17" i="26"/>
  <c r="M17" i="26" s="1"/>
  <c r="N17" i="26" s="1"/>
  <c r="O17" i="26" s="1"/>
  <c r="P17" i="26" s="1"/>
  <c r="H6" i="21"/>
  <c r="E23" i="26"/>
  <c r="F23" i="26"/>
  <c r="D23" i="26"/>
  <c r="D9" i="26"/>
  <c r="E10" i="21"/>
  <c r="F10" i="21"/>
  <c r="G10" i="21"/>
  <c r="D10" i="21"/>
  <c r="E9" i="21"/>
  <c r="F9" i="21"/>
  <c r="G9" i="21"/>
  <c r="D9" i="21"/>
  <c r="F8" i="21"/>
  <c r="G8" i="21"/>
  <c r="E8" i="21"/>
  <c r="H10" i="17"/>
  <c r="I32" i="21"/>
  <c r="J32" i="21"/>
  <c r="K32" i="21"/>
  <c r="L32" i="21"/>
  <c r="H32" i="21"/>
  <c r="I26" i="21"/>
  <c r="J26" i="21"/>
  <c r="K26" i="21"/>
  <c r="L26" i="21"/>
  <c r="H26" i="21"/>
  <c r="I16" i="21"/>
  <c r="J16" i="21"/>
  <c r="K16" i="21"/>
  <c r="L16" i="21"/>
  <c r="H16" i="21"/>
  <c r="L10" i="21"/>
  <c r="K10" i="21"/>
  <c r="J10" i="21"/>
  <c r="I10" i="21"/>
  <c r="H10" i="21"/>
  <c r="H17" i="26"/>
  <c r="I17" i="26" s="1"/>
  <c r="J17" i="26" s="1"/>
  <c r="K17" i="26" s="1"/>
  <c r="E27" i="26"/>
  <c r="F27" i="26"/>
  <c r="D27" i="26"/>
  <c r="E26" i="26"/>
  <c r="F26" i="26"/>
  <c r="D26" i="26"/>
  <c r="Q41" i="14" l="1"/>
  <c r="Q32" i="14"/>
  <c r="P9" i="16"/>
  <c r="P19" i="16"/>
  <c r="P15" i="16"/>
  <c r="Q11" i="16"/>
  <c r="Q7" i="16"/>
  <c r="D14" i="16"/>
  <c r="D15" i="16" s="1"/>
  <c r="D10" i="16"/>
  <c r="D47" i="21"/>
  <c r="D36" i="21"/>
  <c r="D37" i="21" s="1"/>
  <c r="D31" i="21"/>
  <c r="D27" i="21"/>
  <c r="D25" i="21"/>
  <c r="D26" i="21" s="1"/>
  <c r="D23" i="21"/>
  <c r="D19" i="21"/>
  <c r="D14" i="21"/>
  <c r="D13" i="21"/>
  <c r="D7" i="21"/>
  <c r="D5" i="21"/>
  <c r="E4" i="16"/>
  <c r="F4" i="16" s="1"/>
  <c r="G4" i="16" s="1"/>
  <c r="H4" i="16" s="1"/>
  <c r="I4" i="16" s="1"/>
  <c r="J4" i="16" s="1"/>
  <c r="K4" i="16" s="1"/>
  <c r="L4" i="16" s="1"/>
  <c r="D39" i="14"/>
  <c r="D38" i="14"/>
  <c r="D37" i="14"/>
  <c r="D36" i="14"/>
  <c r="D35" i="14"/>
  <c r="D32" i="14"/>
  <c r="D31" i="14"/>
  <c r="D30" i="14"/>
  <c r="D29" i="14"/>
  <c r="D27" i="14"/>
  <c r="D26" i="14"/>
  <c r="D25" i="14"/>
  <c r="D18" i="16" s="1"/>
  <c r="D24" i="14"/>
  <c r="D23" i="14"/>
  <c r="D22" i="14"/>
  <c r="D16" i="16" s="1"/>
  <c r="D21" i="14"/>
  <c r="D16" i="14"/>
  <c r="D15" i="14"/>
  <c r="D14" i="14"/>
  <c r="D13" i="14"/>
  <c r="D11" i="14"/>
  <c r="D10" i="14"/>
  <c r="D12" i="14" s="1"/>
  <c r="D17" i="14" s="1"/>
  <c r="D9" i="14"/>
  <c r="D6" i="16" s="1"/>
  <c r="D8" i="14"/>
  <c r="D5" i="23"/>
  <c r="E5" i="23" s="1"/>
  <c r="F5" i="23" s="1"/>
  <c r="G5" i="23"/>
  <c r="H5" i="23" s="1"/>
  <c r="C6" i="23"/>
  <c r="D6" i="23"/>
  <c r="E6" i="23"/>
  <c r="F6" i="23"/>
  <c r="G6" i="23"/>
  <c r="H6" i="23"/>
  <c r="C7" i="23"/>
  <c r="B8" i="23"/>
  <c r="C8" i="23"/>
  <c r="D8" i="23"/>
  <c r="B9" i="23"/>
  <c r="C9" i="23"/>
  <c r="D9" i="23"/>
  <c r="B10" i="23"/>
  <c r="C10" i="23"/>
  <c r="D10" i="23"/>
  <c r="F10" i="23"/>
  <c r="B11" i="23"/>
  <c r="C11" i="23"/>
  <c r="D11" i="23"/>
  <c r="E11" i="23"/>
  <c r="I11" i="23" s="1"/>
  <c r="F11" i="23"/>
  <c r="G11" i="23"/>
  <c r="B12" i="23"/>
  <c r="B13" i="23" s="1"/>
  <c r="B14" i="23" s="1"/>
  <c r="B15" i="23" s="1"/>
  <c r="B16" i="23" s="1"/>
  <c r="B17" i="23" s="1"/>
  <c r="B18" i="23" s="1"/>
  <c r="B19" i="23" s="1"/>
  <c r="B20" i="23" s="1"/>
  <c r="B21" i="23" s="1"/>
  <c r="B22" i="23" s="1"/>
  <c r="C12" i="23"/>
  <c r="D12" i="23"/>
  <c r="F12" i="23"/>
  <c r="G12" i="23"/>
  <c r="H12" i="23"/>
  <c r="C13" i="23"/>
  <c r="D13" i="23"/>
  <c r="F13" i="23"/>
  <c r="G13" i="23"/>
  <c r="H13" i="23"/>
  <c r="C14" i="23"/>
  <c r="D14" i="23"/>
  <c r="F14" i="23"/>
  <c r="G14" i="23"/>
  <c r="H14" i="23"/>
  <c r="C15" i="23"/>
  <c r="D15" i="23"/>
  <c r="F15" i="23"/>
  <c r="G15" i="23"/>
  <c r="H15" i="23"/>
  <c r="C16" i="23"/>
  <c r="D16" i="23"/>
  <c r="F16" i="23"/>
  <c r="G16" i="23"/>
  <c r="H16" i="23"/>
  <c r="D17" i="23"/>
  <c r="F17" i="23"/>
  <c r="G17" i="23"/>
  <c r="G24" i="23" s="1"/>
  <c r="H17" i="23"/>
  <c r="E18" i="23"/>
  <c r="F18" i="23"/>
  <c r="G18" i="23"/>
  <c r="H18" i="23"/>
  <c r="I18" i="23"/>
  <c r="F19" i="23"/>
  <c r="G19" i="23"/>
  <c r="I19" i="23" s="1"/>
  <c r="H19" i="23"/>
  <c r="G20" i="23"/>
  <c r="I20" i="23" s="1"/>
  <c r="H20" i="23"/>
  <c r="H21" i="23"/>
  <c r="I21" i="23"/>
  <c r="I23" i="23"/>
  <c r="H24" i="23"/>
  <c r="F30" i="23"/>
  <c r="G30" i="23"/>
  <c r="H30" i="23"/>
  <c r="H32" i="23" s="1"/>
  <c r="F31" i="23"/>
  <c r="G31" i="23"/>
  <c r="H31" i="23"/>
  <c r="F32" i="23"/>
  <c r="F33" i="23" s="1"/>
  <c r="G32" i="23"/>
  <c r="G33" i="23" s="1"/>
  <c r="H33" i="23"/>
  <c r="F38" i="23"/>
  <c r="G38" i="23"/>
  <c r="H38" i="23"/>
  <c r="H40" i="23" s="1"/>
  <c r="H41" i="23" s="1"/>
  <c r="F39" i="23"/>
  <c r="G39" i="23"/>
  <c r="H39" i="23"/>
  <c r="F40" i="23"/>
  <c r="F41" i="23" s="1"/>
  <c r="G40" i="23"/>
  <c r="G41" i="23" s="1"/>
  <c r="F43" i="23"/>
  <c r="G43" i="23"/>
  <c r="H43" i="23"/>
  <c r="H45" i="23" s="1"/>
  <c r="F44" i="23"/>
  <c r="F45" i="23" s="1"/>
  <c r="F47" i="23" s="1"/>
  <c r="G44" i="23"/>
  <c r="H44" i="23"/>
  <c r="G45" i="23"/>
  <c r="G47" i="23" s="1"/>
  <c r="F46" i="23"/>
  <c r="G46" i="23"/>
  <c r="H46" i="23"/>
  <c r="F50" i="23"/>
  <c r="G50" i="23"/>
  <c r="H50" i="23"/>
  <c r="F57" i="23"/>
  <c r="G57" i="23"/>
  <c r="G59" i="23" s="1"/>
  <c r="H57" i="23"/>
  <c r="H59" i="23" s="1"/>
  <c r="F59" i="23"/>
  <c r="C12" i="19"/>
  <c r="C22" i="19"/>
  <c r="A2" i="17"/>
  <c r="E4" i="17"/>
  <c r="F4" i="17" s="1"/>
  <c r="G4" i="17" s="1"/>
  <c r="I10" i="17"/>
  <c r="J10" i="17" s="1"/>
  <c r="K10" i="17" s="1"/>
  <c r="L10" i="17" s="1"/>
  <c r="M10" i="17" s="1"/>
  <c r="N10" i="17" s="1"/>
  <c r="O10" i="17" s="1"/>
  <c r="P10" i="17" s="1"/>
  <c r="G40" i="17"/>
  <c r="H40" i="17"/>
  <c r="I40" i="17"/>
  <c r="J40" i="17"/>
  <c r="K40" i="17"/>
  <c r="E22" i="26"/>
  <c r="F22" i="26" s="1"/>
  <c r="A2" i="16"/>
  <c r="F4" i="21"/>
  <c r="G4" i="21" s="1"/>
  <c r="H4" i="21" s="1"/>
  <c r="I4" i="21" s="1"/>
  <c r="J4" i="21" s="1"/>
  <c r="K4" i="21" s="1"/>
  <c r="L4" i="21" s="1"/>
  <c r="E5" i="21"/>
  <c r="F5" i="21"/>
  <c r="G5" i="21"/>
  <c r="H5" i="21" s="1"/>
  <c r="E7" i="21"/>
  <c r="F7" i="21"/>
  <c r="G7" i="21"/>
  <c r="E13" i="21"/>
  <c r="F13" i="21"/>
  <c r="G13" i="21"/>
  <c r="E14" i="21"/>
  <c r="F14" i="21"/>
  <c r="G14" i="21"/>
  <c r="E19" i="21"/>
  <c r="H19" i="21" s="1"/>
  <c r="I19" i="21" s="1"/>
  <c r="J19" i="21" s="1"/>
  <c r="K19" i="21" s="1"/>
  <c r="L19" i="21" s="1"/>
  <c r="F19" i="21"/>
  <c r="G19" i="21"/>
  <c r="E23" i="21"/>
  <c r="F23" i="21"/>
  <c r="G23" i="21"/>
  <c r="E25" i="21"/>
  <c r="E26" i="21" s="1"/>
  <c r="F25" i="21"/>
  <c r="F26" i="21" s="1"/>
  <c r="G25" i="21"/>
  <c r="G26" i="21" s="1"/>
  <c r="E27" i="21"/>
  <c r="F27" i="21"/>
  <c r="G27" i="21"/>
  <c r="E31" i="21"/>
  <c r="F31" i="21"/>
  <c r="G31" i="21"/>
  <c r="E36" i="21"/>
  <c r="E37" i="21" s="1"/>
  <c r="F36" i="21"/>
  <c r="F37" i="21" s="1"/>
  <c r="G36" i="21"/>
  <c r="G37" i="21" s="1"/>
  <c r="H37" i="21"/>
  <c r="I37" i="21"/>
  <c r="J37" i="21"/>
  <c r="K37" i="21"/>
  <c r="L37" i="21"/>
  <c r="E47" i="21"/>
  <c r="F47" i="21"/>
  <c r="G47" i="21"/>
  <c r="H47" i="21"/>
  <c r="I47" i="21" s="1"/>
  <c r="J47" i="21" s="1"/>
  <c r="K47" i="21" s="1"/>
  <c r="L47" i="21" s="1"/>
  <c r="E56" i="21"/>
  <c r="E57" i="21" s="1"/>
  <c r="E58" i="21" s="1"/>
  <c r="E59" i="21" s="1"/>
  <c r="A2" i="14"/>
  <c r="E8" i="14"/>
  <c r="D37" i="26" s="1"/>
  <c r="F8" i="14"/>
  <c r="E37" i="26" s="1"/>
  <c r="G8" i="14"/>
  <c r="E9" i="14"/>
  <c r="E6" i="16" s="1"/>
  <c r="F9" i="14"/>
  <c r="F6" i="16" s="1"/>
  <c r="G9" i="14"/>
  <c r="G6" i="16" s="1"/>
  <c r="E10" i="14"/>
  <c r="E8" i="16" s="1"/>
  <c r="E9" i="16" s="1"/>
  <c r="F10" i="14"/>
  <c r="F8" i="16" s="1"/>
  <c r="F9" i="16" s="1"/>
  <c r="G10" i="14"/>
  <c r="G8" i="16" s="1"/>
  <c r="G9" i="16" s="1"/>
  <c r="E11" i="14"/>
  <c r="E10" i="16" s="1"/>
  <c r="F11" i="14"/>
  <c r="F10" i="16" s="1"/>
  <c r="G11" i="14"/>
  <c r="G10" i="16" s="1"/>
  <c r="E13" i="14"/>
  <c r="F13" i="14"/>
  <c r="G13" i="14"/>
  <c r="F5" i="17" s="1"/>
  <c r="E14" i="14"/>
  <c r="F14" i="14"/>
  <c r="G14" i="14"/>
  <c r="H14" i="14" s="1"/>
  <c r="I14" i="14" s="1"/>
  <c r="J14" i="14" s="1"/>
  <c r="K14" i="14" s="1"/>
  <c r="L14" i="14" s="1"/>
  <c r="E15" i="14"/>
  <c r="F15" i="14"/>
  <c r="G15" i="14"/>
  <c r="H15" i="14" s="1"/>
  <c r="I15" i="14" s="1"/>
  <c r="J15" i="14" s="1"/>
  <c r="K15" i="14" s="1"/>
  <c r="L15" i="14" s="1"/>
  <c r="E16" i="14"/>
  <c r="F16" i="14"/>
  <c r="G16" i="14"/>
  <c r="H16" i="14" s="1"/>
  <c r="I16" i="14" s="1"/>
  <c r="J16" i="14" s="1"/>
  <c r="K16" i="14" s="1"/>
  <c r="L16" i="14" s="1"/>
  <c r="H20" i="14"/>
  <c r="I20" i="14" s="1"/>
  <c r="E21" i="14"/>
  <c r="E14" i="16" s="1"/>
  <c r="F21" i="14"/>
  <c r="F14" i="16" s="1"/>
  <c r="G21" i="14"/>
  <c r="G14" i="16" s="1"/>
  <c r="E22" i="14"/>
  <c r="E16" i="16" s="1"/>
  <c r="F22" i="14"/>
  <c r="F16" i="16" s="1"/>
  <c r="G22" i="14"/>
  <c r="G16" i="16" s="1"/>
  <c r="E23" i="14"/>
  <c r="F23" i="14"/>
  <c r="G23" i="14"/>
  <c r="E24" i="14"/>
  <c r="F24" i="14"/>
  <c r="G24" i="14"/>
  <c r="G28" i="14" s="1"/>
  <c r="G33" i="14" s="1"/>
  <c r="E25" i="14"/>
  <c r="E18" i="16" s="1"/>
  <c r="F25" i="14"/>
  <c r="F18" i="16" s="1"/>
  <c r="G25" i="14"/>
  <c r="G18" i="16" s="1"/>
  <c r="E26" i="14"/>
  <c r="F26" i="14"/>
  <c r="G26" i="14"/>
  <c r="E27" i="14"/>
  <c r="F27" i="14"/>
  <c r="G27" i="14"/>
  <c r="I27" i="14"/>
  <c r="J27" i="14" s="1"/>
  <c r="K27" i="14" s="1"/>
  <c r="L27" i="14" s="1"/>
  <c r="E29" i="14"/>
  <c r="F29" i="14"/>
  <c r="G29" i="14"/>
  <c r="H29" i="14" s="1"/>
  <c r="E30" i="14"/>
  <c r="F30" i="14"/>
  <c r="G30" i="14"/>
  <c r="H30" i="14" s="1"/>
  <c r="I30" i="14" s="1"/>
  <c r="J30" i="14" s="1"/>
  <c r="K30" i="14" s="1"/>
  <c r="L30" i="14" s="1"/>
  <c r="E31" i="14"/>
  <c r="F31" i="14"/>
  <c r="G31" i="14"/>
  <c r="E32" i="14"/>
  <c r="F32" i="14"/>
  <c r="G32" i="14"/>
  <c r="E35" i="14"/>
  <c r="E40" i="14" s="1"/>
  <c r="D35" i="26" s="1"/>
  <c r="F35" i="14"/>
  <c r="G35" i="14"/>
  <c r="H35" i="14" s="1"/>
  <c r="E36" i="14"/>
  <c r="F36" i="14"/>
  <c r="G36" i="14"/>
  <c r="H36" i="14" s="1"/>
  <c r="I36" i="14" s="1"/>
  <c r="J36" i="14" s="1"/>
  <c r="K36" i="14" s="1"/>
  <c r="L36" i="14" s="1"/>
  <c r="E37" i="14"/>
  <c r="F37" i="14"/>
  <c r="G37" i="14"/>
  <c r="E38" i="14"/>
  <c r="F38" i="14"/>
  <c r="G38" i="14"/>
  <c r="H38" i="14" s="1"/>
  <c r="I38" i="14" s="1"/>
  <c r="J38" i="14" s="1"/>
  <c r="K38" i="14" s="1"/>
  <c r="L38" i="14" s="1"/>
  <c r="E39" i="14"/>
  <c r="F39" i="14"/>
  <c r="G39" i="14"/>
  <c r="H39" i="14" s="1"/>
  <c r="I39" i="14" s="1"/>
  <c r="J39" i="14" s="1"/>
  <c r="K39" i="14" s="1"/>
  <c r="L39" i="14" s="1"/>
  <c r="H41" i="14"/>
  <c r="I41" i="14" s="1"/>
  <c r="J41" i="14" s="1"/>
  <c r="K41" i="14" s="1"/>
  <c r="G22" i="26" l="1"/>
  <c r="F52" i="26"/>
  <c r="O32" i="17"/>
  <c r="P32" i="17"/>
  <c r="N32" i="17"/>
  <c r="Q19" i="16"/>
  <c r="Q15" i="16"/>
  <c r="Q9" i="16"/>
  <c r="M12" i="17"/>
  <c r="L32" i="17"/>
  <c r="M32" i="17"/>
  <c r="L12" i="17"/>
  <c r="G23" i="26"/>
  <c r="G26" i="26"/>
  <c r="H9" i="21"/>
  <c r="G15" i="16"/>
  <c r="F15" i="16"/>
  <c r="E15" i="16"/>
  <c r="F6" i="21"/>
  <c r="H31" i="14"/>
  <c r="D40" i="14"/>
  <c r="H15" i="16"/>
  <c r="H23" i="14"/>
  <c r="G36" i="26" s="1"/>
  <c r="F12" i="14"/>
  <c r="F17" i="14" s="1"/>
  <c r="D28" i="14"/>
  <c r="D33" i="14" s="1"/>
  <c r="D42" i="14" s="1"/>
  <c r="I29" i="14"/>
  <c r="F40" i="14"/>
  <c r="E35" i="26" s="1"/>
  <c r="D7" i="16"/>
  <c r="D8" i="16"/>
  <c r="D9" i="16" s="1"/>
  <c r="H25" i="21"/>
  <c r="H28" i="21" s="1"/>
  <c r="H15" i="21"/>
  <c r="G60" i="23"/>
  <c r="G61" i="23" s="1"/>
  <c r="F15" i="21"/>
  <c r="F16" i="21" s="1"/>
  <c r="F60" i="23"/>
  <c r="F61" i="23" s="1"/>
  <c r="E15" i="21"/>
  <c r="E16" i="21" s="1"/>
  <c r="H60" i="23"/>
  <c r="H61" i="23" s="1"/>
  <c r="G15" i="21"/>
  <c r="G16" i="21" s="1"/>
  <c r="D15" i="21"/>
  <c r="D16" i="21" s="1"/>
  <c r="F51" i="23"/>
  <c r="H51" i="23"/>
  <c r="F28" i="21"/>
  <c r="G28" i="21"/>
  <c r="E19" i="16"/>
  <c r="E11" i="21"/>
  <c r="E12" i="21" s="1"/>
  <c r="D28" i="21"/>
  <c r="D11" i="16"/>
  <c r="E28" i="21"/>
  <c r="E7" i="16"/>
  <c r="F11" i="21"/>
  <c r="F12" i="21" s="1"/>
  <c r="D11" i="21"/>
  <c r="D17" i="21" s="1"/>
  <c r="D20" i="16"/>
  <c r="D12" i="16"/>
  <c r="D19" i="16"/>
  <c r="F7" i="16"/>
  <c r="I26" i="14"/>
  <c r="H32" i="14"/>
  <c r="C9" i="19"/>
  <c r="H26" i="14"/>
  <c r="E12" i="14"/>
  <c r="E17" i="14" s="1"/>
  <c r="E20" i="16"/>
  <c r="G40" i="14"/>
  <c r="F35" i="26" s="1"/>
  <c r="E28" i="14"/>
  <c r="E33" i="14" s="1"/>
  <c r="E42" i="14" s="1"/>
  <c r="G12" i="14"/>
  <c r="G17" i="14" s="1"/>
  <c r="I35" i="14"/>
  <c r="C10" i="19"/>
  <c r="H48" i="21"/>
  <c r="I48" i="21" s="1"/>
  <c r="J48" i="21" s="1"/>
  <c r="K48" i="21" s="1"/>
  <c r="L48" i="21" s="1"/>
  <c r="J20" i="14"/>
  <c r="F20" i="16"/>
  <c r="F19" i="16"/>
  <c r="L41" i="14"/>
  <c r="I8" i="23"/>
  <c r="D24" i="23"/>
  <c r="F28" i="14"/>
  <c r="F33" i="14" s="1"/>
  <c r="F42" i="14" s="1"/>
  <c r="F44" i="14" s="1"/>
  <c r="F36" i="26"/>
  <c r="D67" i="26" s="1"/>
  <c r="G12" i="17"/>
  <c r="K12" i="17"/>
  <c r="G32" i="17"/>
  <c r="K32" i="17"/>
  <c r="H12" i="17"/>
  <c r="H32" i="17"/>
  <c r="I12" i="17"/>
  <c r="I32" i="17"/>
  <c r="J32" i="17"/>
  <c r="J12" i="17"/>
  <c r="G12" i="16"/>
  <c r="G7" i="16"/>
  <c r="F37" i="26"/>
  <c r="D68" i="26" s="1"/>
  <c r="C11" i="19"/>
  <c r="H4" i="17"/>
  <c r="C33" i="17"/>
  <c r="C13" i="17"/>
  <c r="C26" i="17"/>
  <c r="I31" i="14"/>
  <c r="E36" i="26"/>
  <c r="E38" i="26" s="1"/>
  <c r="E39" i="26" s="1"/>
  <c r="F12" i="16"/>
  <c r="G42" i="14"/>
  <c r="G20" i="16"/>
  <c r="D36" i="26"/>
  <c r="D38" i="26" s="1"/>
  <c r="D39" i="26" s="1"/>
  <c r="E12" i="16"/>
  <c r="G11" i="21"/>
  <c r="G6" i="21"/>
  <c r="G19" i="16"/>
  <c r="G51" i="23"/>
  <c r="F24" i="23"/>
  <c r="H47" i="23"/>
  <c r="I7" i="23"/>
  <c r="C24" i="23"/>
  <c r="E9" i="23"/>
  <c r="E10" i="23"/>
  <c r="I10" i="23" s="1"/>
  <c r="E17" i="23"/>
  <c r="I17" i="23" s="1"/>
  <c r="E12" i="23"/>
  <c r="I12" i="23" s="1"/>
  <c r="E13" i="23"/>
  <c r="I13" i="23" s="1"/>
  <c r="E14" i="23"/>
  <c r="I14" i="23" s="1"/>
  <c r="E15" i="23"/>
  <c r="I15" i="23" s="1"/>
  <c r="E16" i="23"/>
  <c r="I16" i="23" s="1"/>
  <c r="H22" i="26" l="1"/>
  <c r="G52" i="26"/>
  <c r="I23" i="14"/>
  <c r="H36" i="26" s="1"/>
  <c r="I25" i="21"/>
  <c r="I28" i="21" s="1"/>
  <c r="D17" i="16"/>
  <c r="G44" i="14"/>
  <c r="J26" i="14"/>
  <c r="J32" i="14"/>
  <c r="I32" i="14"/>
  <c r="J29" i="14"/>
  <c r="D12" i="21"/>
  <c r="E17" i="21"/>
  <c r="E18" i="21" s="1"/>
  <c r="F17" i="21"/>
  <c r="F20" i="21" s="1"/>
  <c r="E24" i="26" s="1"/>
  <c r="G11" i="16"/>
  <c r="E11" i="16"/>
  <c r="E17" i="16"/>
  <c r="D21" i="16"/>
  <c r="H9" i="16"/>
  <c r="I9" i="16" s="1"/>
  <c r="E21" i="16"/>
  <c r="F21" i="16"/>
  <c r="D18" i="21"/>
  <c r="D20" i="21"/>
  <c r="H19" i="16"/>
  <c r="I19" i="16" s="1"/>
  <c r="G17" i="16"/>
  <c r="H7" i="16"/>
  <c r="F11" i="16"/>
  <c r="C14" i="19"/>
  <c r="C15" i="19" s="1"/>
  <c r="C17" i="19" s="1"/>
  <c r="C25" i="19" s="1"/>
  <c r="F17" i="16"/>
  <c r="K26" i="14"/>
  <c r="L26" i="14" s="1"/>
  <c r="F38" i="26"/>
  <c r="F39" i="26" s="1"/>
  <c r="C27" i="17"/>
  <c r="I4" i="17"/>
  <c r="C14" i="17"/>
  <c r="C34" i="17"/>
  <c r="G12" i="21"/>
  <c r="G17" i="21"/>
  <c r="J35" i="14"/>
  <c r="G21" i="16"/>
  <c r="K20" i="14"/>
  <c r="E24" i="23"/>
  <c r="I9" i="23"/>
  <c r="J31" i="14"/>
  <c r="K31" i="14" s="1"/>
  <c r="I22" i="26" l="1"/>
  <c r="H52" i="26"/>
  <c r="J23" i="14"/>
  <c r="I36" i="26" s="1"/>
  <c r="K29" i="14"/>
  <c r="K23" i="14" s="1"/>
  <c r="J36" i="26" s="1"/>
  <c r="I7" i="16"/>
  <c r="H6" i="16"/>
  <c r="K32" i="14"/>
  <c r="L32" i="14" s="1"/>
  <c r="L29" i="14"/>
  <c r="J25" i="21"/>
  <c r="J28" i="21" s="1"/>
  <c r="F18" i="21"/>
  <c r="E20" i="21"/>
  <c r="D24" i="26" s="1"/>
  <c r="H11" i="16"/>
  <c r="I11" i="16" s="1"/>
  <c r="H17" i="16"/>
  <c r="E22" i="16"/>
  <c r="D28" i="26" s="1"/>
  <c r="D29" i="26" s="1"/>
  <c r="D33" i="26" s="1"/>
  <c r="F22" i="16"/>
  <c r="G22" i="16"/>
  <c r="F28" i="26" s="1"/>
  <c r="F29" i="26" s="1"/>
  <c r="F33" i="26" s="1"/>
  <c r="F40" i="26" s="1"/>
  <c r="D29" i="21"/>
  <c r="D21" i="21"/>
  <c r="E29" i="21"/>
  <c r="L31" i="14"/>
  <c r="L20" i="14"/>
  <c r="C35" i="17"/>
  <c r="C28" i="17"/>
  <c r="J4" i="17"/>
  <c r="C15" i="17"/>
  <c r="J19" i="16"/>
  <c r="E25" i="26"/>
  <c r="F21" i="21"/>
  <c r="F29" i="21"/>
  <c r="G20" i="21"/>
  <c r="F24" i="26" s="1"/>
  <c r="G18" i="21"/>
  <c r="K35" i="14"/>
  <c r="J7" i="16"/>
  <c r="J9" i="16"/>
  <c r="J22" i="26" l="1"/>
  <c r="I52" i="26"/>
  <c r="L25" i="21"/>
  <c r="L28" i="21" s="1"/>
  <c r="M29" i="14"/>
  <c r="K25" i="21"/>
  <c r="K28" i="21" s="1"/>
  <c r="I17" i="16"/>
  <c r="J17" i="16" s="1"/>
  <c r="H16" i="16"/>
  <c r="L23" i="14"/>
  <c r="K36" i="26" s="1"/>
  <c r="E21" i="21"/>
  <c r="D25" i="26"/>
  <c r="F23" i="16"/>
  <c r="E28" i="26"/>
  <c r="E29" i="26" s="1"/>
  <c r="E33" i="26" s="1"/>
  <c r="E40" i="26" s="1"/>
  <c r="H9" i="14"/>
  <c r="I15" i="16"/>
  <c r="J15" i="16" s="1"/>
  <c r="K15" i="16" s="1"/>
  <c r="E23" i="16"/>
  <c r="G23" i="16"/>
  <c r="D33" i="21"/>
  <c r="D38" i="21" s="1"/>
  <c r="D30" i="21"/>
  <c r="D32" i="21"/>
  <c r="E30" i="21"/>
  <c r="E32" i="21"/>
  <c r="E33" i="21"/>
  <c r="E38" i="21" s="1"/>
  <c r="K9" i="16"/>
  <c r="K7" i="16"/>
  <c r="J11" i="16"/>
  <c r="F30" i="21"/>
  <c r="F33" i="21"/>
  <c r="F38" i="21" s="1"/>
  <c r="F32" i="21"/>
  <c r="K19" i="16"/>
  <c r="C16" i="17"/>
  <c r="C36" i="17"/>
  <c r="C29" i="17"/>
  <c r="K4" i="17"/>
  <c r="L4" i="17" s="1"/>
  <c r="M4" i="17" s="1"/>
  <c r="N4" i="17" s="1"/>
  <c r="O4" i="17" s="1"/>
  <c r="P4" i="17" s="1"/>
  <c r="F25" i="26"/>
  <c r="G21" i="21"/>
  <c r="G29" i="21"/>
  <c r="K17" i="16"/>
  <c r="L35" i="14"/>
  <c r="K22" i="26" l="1"/>
  <c r="J52" i="26"/>
  <c r="N29" i="14"/>
  <c r="M25" i="21"/>
  <c r="M28" i="21" s="1"/>
  <c r="M23" i="14"/>
  <c r="L36" i="26" s="1"/>
  <c r="D30" i="26"/>
  <c r="F30" i="26"/>
  <c r="E30" i="26"/>
  <c r="D41" i="21"/>
  <c r="D42" i="21"/>
  <c r="E42" i="21"/>
  <c r="E41" i="21"/>
  <c r="F41" i="21"/>
  <c r="F42" i="21"/>
  <c r="H22" i="14"/>
  <c r="C17" i="17"/>
  <c r="C37" i="17"/>
  <c r="C30" i="17"/>
  <c r="L19" i="16"/>
  <c r="L7" i="16"/>
  <c r="K11" i="16"/>
  <c r="L15" i="16"/>
  <c r="L17" i="16"/>
  <c r="G33" i="21"/>
  <c r="G38" i="21" s="1"/>
  <c r="G30" i="21"/>
  <c r="G32" i="21"/>
  <c r="L9" i="16"/>
  <c r="L22" i="26" l="1"/>
  <c r="K52" i="26"/>
  <c r="O29" i="14"/>
  <c r="N25" i="21"/>
  <c r="N28" i="21" s="1"/>
  <c r="N23" i="14"/>
  <c r="M36" i="26" s="1"/>
  <c r="D40" i="26"/>
  <c r="D45" i="21"/>
  <c r="D44" i="21"/>
  <c r="E44" i="21"/>
  <c r="E45" i="21"/>
  <c r="F44" i="21"/>
  <c r="F45" i="21"/>
  <c r="G41" i="21"/>
  <c r="G42" i="21"/>
  <c r="L11" i="16"/>
  <c r="M22" i="26" l="1"/>
  <c r="L52" i="26"/>
  <c r="O25" i="21"/>
  <c r="O28" i="21" s="1"/>
  <c r="O23" i="14"/>
  <c r="N36" i="26" s="1"/>
  <c r="P29" i="14"/>
  <c r="G44" i="21"/>
  <c r="G45" i="21"/>
  <c r="M52" i="26" l="1"/>
  <c r="N22" i="26"/>
  <c r="P23" i="14"/>
  <c r="O36" i="26" s="1"/>
  <c r="Q29" i="14"/>
  <c r="P25" i="21"/>
  <c r="P28" i="21" s="1"/>
  <c r="O22" i="26" l="1"/>
  <c r="N52" i="26"/>
  <c r="Q23" i="14"/>
  <c r="P36" i="26" s="1"/>
  <c r="Q25" i="21"/>
  <c r="Q28" i="21" s="1"/>
  <c r="P22" i="26" l="1"/>
  <c r="P52" i="26" s="1"/>
  <c r="O52" i="26"/>
  <c r="H10" i="16" l="1"/>
  <c r="H11" i="14" l="1"/>
  <c r="G6" i="17"/>
  <c r="P33" i="17" l="1"/>
  <c r="N33" i="17"/>
  <c r="O33" i="17"/>
  <c r="M33" i="17"/>
  <c r="L13" i="17"/>
  <c r="M13" i="17"/>
  <c r="L33" i="17"/>
  <c r="J33" i="17"/>
  <c r="H13" i="17"/>
  <c r="I33" i="17"/>
  <c r="H33" i="17"/>
  <c r="I13" i="17"/>
  <c r="G13" i="17"/>
  <c r="G23" i="17" s="1"/>
  <c r="K33" i="17"/>
  <c r="J13" i="17"/>
  <c r="K13" i="17"/>
  <c r="G33" i="17"/>
  <c r="G38" i="17" s="1"/>
  <c r="H13" i="14" l="1"/>
  <c r="H8" i="21"/>
  <c r="H7" i="21" s="1"/>
  <c r="H14" i="21"/>
  <c r="H13" i="21" s="1"/>
  <c r="G27" i="26"/>
  <c r="G39" i="17"/>
  <c r="G41" i="17" s="1"/>
  <c r="H14" i="16" l="1"/>
  <c r="H21" i="14" s="1"/>
  <c r="H8" i="16"/>
  <c r="H11" i="21"/>
  <c r="H12" i="21" s="1"/>
  <c r="H10" i="14" l="1"/>
  <c r="H12" i="16"/>
  <c r="H17" i="21"/>
  <c r="H18" i="21" l="1"/>
  <c r="H20" i="21"/>
  <c r="H29" i="21" l="1"/>
  <c r="G24" i="26"/>
  <c r="G25" i="26"/>
  <c r="H21" i="21"/>
  <c r="H30" i="21" l="1"/>
  <c r="H31" i="21"/>
  <c r="H18" i="16" l="1"/>
  <c r="H33" i="21"/>
  <c r="H38" i="21" l="1"/>
  <c r="H25" i="14"/>
  <c r="H28" i="14" s="1"/>
  <c r="H33" i="14" s="1"/>
  <c r="H20" i="16"/>
  <c r="H21" i="16" s="1"/>
  <c r="H22" i="16" s="1"/>
  <c r="G28" i="26" l="1"/>
  <c r="G29" i="26" s="1"/>
  <c r="G33" i="26" s="1"/>
  <c r="H23" i="16"/>
  <c r="H8" i="14"/>
  <c r="H37" i="14"/>
  <c r="H40" i="14" s="1"/>
  <c r="H40" i="21"/>
  <c r="H42" i="21" s="1"/>
  <c r="G35" i="26" l="1"/>
  <c r="H42" i="14"/>
  <c r="H12" i="14"/>
  <c r="H17" i="14" s="1"/>
  <c r="G37" i="26"/>
  <c r="H45" i="21"/>
  <c r="H44" i="21"/>
  <c r="G30" i="26"/>
  <c r="G31" i="26" l="1"/>
  <c r="G53" i="26"/>
  <c r="G55" i="26" s="1"/>
  <c r="H44" i="14"/>
  <c r="G38" i="26"/>
  <c r="G39" i="26" l="1"/>
  <c r="G40" i="26" s="1"/>
  <c r="H18" i="26" l="1"/>
  <c r="I6" i="21" s="1"/>
  <c r="I5" i="21" s="1"/>
  <c r="H26" i="26" l="1"/>
  <c r="H6" i="17" s="1"/>
  <c r="I6" i="16"/>
  <c r="I9" i="14" s="1"/>
  <c r="H23" i="26"/>
  <c r="I15" i="21"/>
  <c r="I9" i="21"/>
  <c r="N34" i="17" l="1"/>
  <c r="N14" i="17"/>
  <c r="O34" i="17"/>
  <c r="P34" i="17"/>
  <c r="H14" i="17"/>
  <c r="H23" i="17" s="1"/>
  <c r="M14" i="17"/>
  <c r="L34" i="17"/>
  <c r="L14" i="17"/>
  <c r="M34" i="17"/>
  <c r="H34" i="17"/>
  <c r="H38" i="17" s="1"/>
  <c r="I34" i="17"/>
  <c r="J14" i="17"/>
  <c r="K34" i="17"/>
  <c r="J34" i="17"/>
  <c r="K14" i="17"/>
  <c r="I14" i="17"/>
  <c r="I16" i="16"/>
  <c r="I22" i="14" s="1"/>
  <c r="I10" i="16"/>
  <c r="I11" i="14" s="1"/>
  <c r="I13" i="14" l="1"/>
  <c r="I14" i="21"/>
  <c r="I13" i="21" s="1"/>
  <c r="H27" i="26"/>
  <c r="H39" i="17"/>
  <c r="H41" i="17" s="1"/>
  <c r="I8" i="21"/>
  <c r="I7" i="21" s="1"/>
  <c r="I8" i="16" l="1"/>
  <c r="I14" i="16"/>
  <c r="I21" i="14" s="1"/>
  <c r="I11" i="21"/>
  <c r="I12" i="21" l="1"/>
  <c r="I17" i="21"/>
  <c r="I10" i="14"/>
  <c r="I12" i="16"/>
  <c r="I18" i="21" l="1"/>
  <c r="I20" i="21"/>
  <c r="H25" i="26" l="1"/>
  <c r="I21" i="21"/>
  <c r="I29" i="21"/>
  <c r="H24" i="26"/>
  <c r="I30" i="21" l="1"/>
  <c r="I31" i="21"/>
  <c r="I18" i="16" s="1"/>
  <c r="I33" i="21" l="1"/>
  <c r="I38" i="21" s="1"/>
  <c r="I20" i="16"/>
  <c r="I21" i="16" s="1"/>
  <c r="I22" i="16" s="1"/>
  <c r="I8" i="14" s="1"/>
  <c r="I25" i="14"/>
  <c r="I28" i="14" s="1"/>
  <c r="I33" i="14" s="1"/>
  <c r="I40" i="21" l="1"/>
  <c r="I42" i="21" s="1"/>
  <c r="I37" i="14"/>
  <c r="I40" i="14" s="1"/>
  <c r="H37" i="26"/>
  <c r="I12" i="14"/>
  <c r="I17" i="14" s="1"/>
  <c r="H28" i="26"/>
  <c r="H29" i="26" s="1"/>
  <c r="I23" i="16"/>
  <c r="I42" i="14" l="1"/>
  <c r="I44" i="14" s="1"/>
  <c r="H35" i="26"/>
  <c r="H38" i="26" s="1"/>
  <c r="H39" i="26" s="1"/>
  <c r="H33" i="26"/>
  <c r="H30" i="26"/>
  <c r="I45" i="21"/>
  <c r="I44" i="21"/>
  <c r="H31" i="26" l="1"/>
  <c r="H53" i="26"/>
  <c r="H55" i="26" s="1"/>
  <c r="H40" i="26"/>
  <c r="I18" i="26" s="1"/>
  <c r="J6" i="21" s="1"/>
  <c r="J5" i="21" s="1"/>
  <c r="J6" i="16" s="1"/>
  <c r="J9" i="14" s="1"/>
  <c r="J9" i="21" l="1"/>
  <c r="I26" i="26"/>
  <c r="I6" i="17" s="1"/>
  <c r="N35" i="17" s="1"/>
  <c r="J15" i="21"/>
  <c r="J10" i="16" s="1"/>
  <c r="J11" i="14" s="1"/>
  <c r="I23" i="26"/>
  <c r="J16" i="16" l="1"/>
  <c r="J22" i="14" s="1"/>
  <c r="M35" i="17"/>
  <c r="J35" i="17"/>
  <c r="O15" i="17"/>
  <c r="I15" i="17"/>
  <c r="I23" i="17" s="1"/>
  <c r="J8" i="21" s="1"/>
  <c r="J7" i="21" s="1"/>
  <c r="J15" i="17"/>
  <c r="K35" i="17"/>
  <c r="L15" i="17"/>
  <c r="O35" i="17"/>
  <c r="L35" i="17"/>
  <c r="K15" i="17"/>
  <c r="N15" i="17"/>
  <c r="I35" i="17"/>
  <c r="I38" i="17" s="1"/>
  <c r="M15" i="17"/>
  <c r="P35" i="17"/>
  <c r="I39" i="17" l="1"/>
  <c r="I41" i="17" s="1"/>
  <c r="J13" i="14"/>
  <c r="J14" i="21"/>
  <c r="J13" i="21" s="1"/>
  <c r="I27" i="26"/>
  <c r="J8" i="16"/>
  <c r="J11" i="21"/>
  <c r="J14" i="16"/>
  <c r="J21" i="14" s="1"/>
  <c r="J17" i="21" l="1"/>
  <c r="J12" i="21"/>
  <c r="J12" i="16"/>
  <c r="J10" i="14"/>
  <c r="J18" i="21" l="1"/>
  <c r="J20" i="21"/>
  <c r="I24" i="26" l="1"/>
  <c r="J21" i="21"/>
  <c r="I25" i="26"/>
  <c r="J29" i="21"/>
  <c r="J31" i="21" l="1"/>
  <c r="J18" i="16" s="1"/>
  <c r="J30" i="21"/>
  <c r="J20" i="16" l="1"/>
  <c r="J21" i="16" s="1"/>
  <c r="J22" i="16" s="1"/>
  <c r="J25" i="14"/>
  <c r="J28" i="14" s="1"/>
  <c r="J33" i="14" s="1"/>
  <c r="J33" i="21"/>
  <c r="I28" i="26" l="1"/>
  <c r="I29" i="26" s="1"/>
  <c r="J23" i="16"/>
  <c r="J38" i="21"/>
  <c r="J8" i="14"/>
  <c r="I33" i="26" l="1"/>
  <c r="I30" i="26"/>
  <c r="J12" i="14"/>
  <c r="J17" i="14" s="1"/>
  <c r="I37" i="26"/>
  <c r="J37" i="14"/>
  <c r="J40" i="14" s="1"/>
  <c r="J40" i="21"/>
  <c r="J42" i="21" s="1"/>
  <c r="I31" i="26" l="1"/>
  <c r="I53" i="26"/>
  <c r="I55" i="26" s="1"/>
  <c r="J45" i="21"/>
  <c r="J44" i="21"/>
  <c r="J42" i="14"/>
  <c r="J44" i="14" s="1"/>
  <c r="I35" i="26"/>
  <c r="I38" i="26" s="1"/>
  <c r="I39" i="26" s="1"/>
  <c r="I40" i="26" s="1"/>
  <c r="J18" i="26" s="1"/>
  <c r="K6" i="21" s="1"/>
  <c r="K5" i="21" s="1"/>
  <c r="K15" i="21" l="1"/>
  <c r="K10" i="16" s="1"/>
  <c r="K11" i="14" s="1"/>
  <c r="K6" i="16"/>
  <c r="K9" i="14" s="1"/>
  <c r="K9" i="21"/>
  <c r="J26" i="26"/>
  <c r="J6" i="17" s="1"/>
  <c r="J23" i="26"/>
  <c r="K16" i="16" l="1"/>
  <c r="K22" i="14" s="1"/>
  <c r="N16" i="17"/>
  <c r="O36" i="17"/>
  <c r="O16" i="17"/>
  <c r="P36" i="17"/>
  <c r="P16" i="17"/>
  <c r="N36" i="17"/>
  <c r="J36" i="17"/>
  <c r="J38" i="17" s="1"/>
  <c r="M16" i="17"/>
  <c r="L36" i="17"/>
  <c r="M36" i="17"/>
  <c r="L16" i="17"/>
  <c r="K16" i="17"/>
  <c r="K36" i="17"/>
  <c r="J16" i="17"/>
  <c r="J23" i="17" s="1"/>
  <c r="J39" i="17" l="1"/>
  <c r="J41" i="17" s="1"/>
  <c r="K14" i="21"/>
  <c r="K13" i="21" s="1"/>
  <c r="K13" i="14" l="1"/>
  <c r="K8" i="21"/>
  <c r="K7" i="21" s="1"/>
  <c r="K11" i="21" s="1"/>
  <c r="K17" i="21" s="1"/>
  <c r="J27" i="26"/>
  <c r="K12" i="21" l="1"/>
  <c r="K8" i="16"/>
  <c r="K10" i="14" s="1"/>
  <c r="K14" i="16"/>
  <c r="K21" i="14" s="1"/>
  <c r="K20" i="21"/>
  <c r="K18" i="21"/>
  <c r="K12" i="16" l="1"/>
  <c r="J25" i="26"/>
  <c r="K21" i="21"/>
  <c r="J24" i="26"/>
  <c r="K29" i="21"/>
  <c r="K30" i="21" l="1"/>
  <c r="K31" i="21"/>
  <c r="K18" i="16" s="1"/>
  <c r="K20" i="16" l="1"/>
  <c r="K21" i="16" s="1"/>
  <c r="K22" i="16" s="1"/>
  <c r="K25" i="14"/>
  <c r="K28" i="14" s="1"/>
  <c r="K33" i="14" s="1"/>
  <c r="K33" i="21"/>
  <c r="K38" i="21" l="1"/>
  <c r="K8" i="14"/>
  <c r="K23" i="16"/>
  <c r="J28" i="26"/>
  <c r="J29" i="26" s="1"/>
  <c r="J33" i="26" l="1"/>
  <c r="J30" i="26"/>
  <c r="K12" i="14"/>
  <c r="K17" i="14" s="1"/>
  <c r="J37" i="26"/>
  <c r="K37" i="14"/>
  <c r="K40" i="14" s="1"/>
  <c r="K40" i="21"/>
  <c r="K42" i="21" s="1"/>
  <c r="J31" i="26" l="1"/>
  <c r="J53" i="26"/>
  <c r="J55" i="26" s="1"/>
  <c r="K45" i="21"/>
  <c r="K44" i="21"/>
  <c r="K42" i="14"/>
  <c r="K44" i="14" s="1"/>
  <c r="J35" i="26"/>
  <c r="J38" i="26" s="1"/>
  <c r="J39" i="26" s="1"/>
  <c r="J40" i="26" l="1"/>
  <c r="K18" i="26" l="1"/>
  <c r="L6" i="21" s="1"/>
  <c r="L5" i="21" s="1"/>
  <c r="L9" i="21" l="1"/>
  <c r="K23" i="26"/>
  <c r="L6" i="16"/>
  <c r="L9" i="14" s="1"/>
  <c r="K26" i="26"/>
  <c r="K6" i="17" s="1"/>
  <c r="L15" i="21"/>
  <c r="L10" i="16" s="1"/>
  <c r="L11" i="14" s="1"/>
  <c r="O17" i="17" l="1"/>
  <c r="P37" i="17"/>
  <c r="P38" i="17" s="1"/>
  <c r="P17" i="17"/>
  <c r="N37" i="17"/>
  <c r="N38" i="17" s="1"/>
  <c r="N17" i="17"/>
  <c r="O37" i="17"/>
  <c r="O38" i="17" s="1"/>
  <c r="K37" i="17"/>
  <c r="K38" i="17" s="1"/>
  <c r="M37" i="17"/>
  <c r="M38" i="17" s="1"/>
  <c r="L17" i="17"/>
  <c r="M17" i="17"/>
  <c r="L37" i="17"/>
  <c r="L38" i="17" s="1"/>
  <c r="L16" i="16"/>
  <c r="L22" i="14" s="1"/>
  <c r="K17" i="17"/>
  <c r="K23" i="17" s="1"/>
  <c r="K39" i="17" l="1"/>
  <c r="K41" i="17" s="1"/>
  <c r="L13" i="14"/>
  <c r="L14" i="21"/>
  <c r="L13" i="21" s="1"/>
  <c r="L8" i="21" l="1"/>
  <c r="L7" i="21" s="1"/>
  <c r="L8" i="16" s="1"/>
  <c r="L12" i="16" s="1"/>
  <c r="K27" i="26"/>
  <c r="L14" i="16" l="1"/>
  <c r="L21" i="14" s="1"/>
  <c r="L11" i="21"/>
  <c r="L10" i="14"/>
  <c r="L17" i="21" l="1"/>
  <c r="L12" i="21"/>
  <c r="L18" i="21" l="1"/>
  <c r="L20" i="21"/>
  <c r="L21" i="21" l="1"/>
  <c r="L29" i="21"/>
  <c r="K25" i="26"/>
  <c r="K24" i="26"/>
  <c r="L31" i="21" l="1"/>
  <c r="L30" i="21"/>
  <c r="L18" i="16" l="1"/>
  <c r="L33" i="21"/>
  <c r="L38" i="21" l="1"/>
  <c r="L20" i="16"/>
  <c r="L21" i="16" s="1"/>
  <c r="L22" i="16" s="1"/>
  <c r="L25" i="14"/>
  <c r="L28" i="14" s="1"/>
  <c r="L33" i="14" s="1"/>
  <c r="K28" i="26" l="1"/>
  <c r="K29" i="26" s="1"/>
  <c r="L23" i="16"/>
  <c r="L8" i="14"/>
  <c r="L37" i="14"/>
  <c r="L40" i="14" s="1"/>
  <c r="L40" i="21"/>
  <c r="L42" i="21" s="1"/>
  <c r="L42" i="14" l="1"/>
  <c r="K35" i="26"/>
  <c r="L12" i="14"/>
  <c r="L17" i="14" s="1"/>
  <c r="K37" i="26"/>
  <c r="L45" i="21"/>
  <c r="L44" i="21"/>
  <c r="K33" i="26"/>
  <c r="K30" i="26"/>
  <c r="K31" i="26" l="1"/>
  <c r="K53" i="26"/>
  <c r="K55" i="26" s="1"/>
  <c r="L44" i="14"/>
  <c r="K38" i="26"/>
  <c r="K39" i="26" s="1"/>
  <c r="K40" i="26" s="1"/>
  <c r="L18" i="26" s="1"/>
  <c r="M6" i="21" s="1"/>
  <c r="M5" i="21" s="1"/>
  <c r="M6" i="16" l="1"/>
  <c r="M9" i="14" s="1"/>
  <c r="L23" i="26"/>
  <c r="M9" i="21"/>
  <c r="M15" i="21"/>
  <c r="L26" i="26"/>
  <c r="L6" i="17" s="1"/>
  <c r="M16" i="16" l="1"/>
  <c r="M22" i="14" s="1"/>
  <c r="M10" i="16"/>
  <c r="M11" i="14" s="1"/>
  <c r="P18" i="17"/>
  <c r="L18" i="17"/>
  <c r="L23" i="17" s="1"/>
  <c r="N18" i="17"/>
  <c r="M18" i="17"/>
  <c r="O18" i="17"/>
  <c r="M13" i="14" l="1"/>
  <c r="M8" i="21"/>
  <c r="M7" i="21" s="1"/>
  <c r="M14" i="21"/>
  <c r="M13" i="21" s="1"/>
  <c r="L27" i="26"/>
  <c r="L39" i="17"/>
  <c r="L41" i="17" s="1"/>
  <c r="M11" i="21" l="1"/>
  <c r="M14" i="16"/>
  <c r="M21" i="14" s="1"/>
  <c r="M8" i="16"/>
  <c r="M12" i="16" l="1"/>
  <c r="M10" i="14"/>
  <c r="M12" i="21"/>
  <c r="M17" i="21"/>
  <c r="M18" i="21" l="1"/>
  <c r="M20" i="21"/>
  <c r="M29" i="21" l="1"/>
  <c r="M21" i="21"/>
  <c r="L24" i="26"/>
  <c r="L25" i="26"/>
  <c r="M30" i="21" l="1"/>
  <c r="M31" i="21"/>
  <c r="M18" i="16" s="1"/>
  <c r="M33" i="21" l="1"/>
  <c r="M38" i="21" s="1"/>
  <c r="M25" i="14"/>
  <c r="M28" i="14" s="1"/>
  <c r="M33" i="14" s="1"/>
  <c r="M20" i="16"/>
  <c r="M21" i="16" s="1"/>
  <c r="M22" i="16" s="1"/>
  <c r="M8" i="14" l="1"/>
  <c r="L37" i="26" s="1"/>
  <c r="M37" i="14"/>
  <c r="M40" i="14" s="1"/>
  <c r="M40" i="21"/>
  <c r="M42" i="21" s="1"/>
  <c r="M23" i="16"/>
  <c r="L28" i="26"/>
  <c r="L29" i="26" s="1"/>
  <c r="M12" i="14" l="1"/>
  <c r="M17" i="14" s="1"/>
  <c r="M44" i="21"/>
  <c r="M45" i="21"/>
  <c r="L35" i="26"/>
  <c r="L38" i="26" s="1"/>
  <c r="L39" i="26" s="1"/>
  <c r="M42" i="14"/>
  <c r="L30" i="26"/>
  <c r="L33" i="26"/>
  <c r="M44" i="14" l="1"/>
  <c r="L31" i="26"/>
  <c r="L53" i="26"/>
  <c r="L55" i="26" s="1"/>
  <c r="L40" i="26"/>
  <c r="M18" i="26" s="1"/>
  <c r="N6" i="21" s="1"/>
  <c r="N5" i="21" s="1"/>
  <c r="M26" i="26" s="1"/>
  <c r="M6" i="17" s="1"/>
  <c r="N6" i="16" l="1"/>
  <c r="N9" i="14" s="1"/>
  <c r="N15" i="21"/>
  <c r="N10" i="16" s="1"/>
  <c r="N11" i="14" s="1"/>
  <c r="M23" i="26"/>
  <c r="N9" i="21"/>
  <c r="O19" i="17"/>
  <c r="M19" i="17"/>
  <c r="M23" i="17" s="1"/>
  <c r="P19" i="17"/>
  <c r="N19" i="17"/>
  <c r="N16" i="16" l="1"/>
  <c r="N22" i="14" s="1"/>
  <c r="N13" i="14"/>
  <c r="M39" i="17"/>
  <c r="M41" i="17" s="1"/>
  <c r="N8" i="21"/>
  <c r="N7" i="21" s="1"/>
  <c r="M27" i="26"/>
  <c r="N14" i="21"/>
  <c r="N13" i="21" s="1"/>
  <c r="N11" i="21" l="1"/>
  <c r="N8" i="16"/>
  <c r="N14" i="16"/>
  <c r="N21" i="14" s="1"/>
  <c r="N10" i="14" l="1"/>
  <c r="N12" i="16"/>
  <c r="N12" i="21"/>
  <c r="N17" i="21"/>
  <c r="N18" i="21" l="1"/>
  <c r="N20" i="21"/>
  <c r="M24" i="26" l="1"/>
  <c r="N21" i="21"/>
  <c r="N29" i="21"/>
  <c r="M25" i="26"/>
  <c r="N31" i="21" l="1"/>
  <c r="N18" i="16" s="1"/>
  <c r="N30" i="21"/>
  <c r="N33" i="21" l="1"/>
  <c r="N38" i="21" s="1"/>
  <c r="N25" i="14"/>
  <c r="N28" i="14" s="1"/>
  <c r="N33" i="14" s="1"/>
  <c r="N20" i="16"/>
  <c r="N21" i="16" s="1"/>
  <c r="N22" i="16" s="1"/>
  <c r="N40" i="21" l="1"/>
  <c r="N42" i="21" s="1"/>
  <c r="N37" i="14"/>
  <c r="N40" i="14" s="1"/>
  <c r="N23" i="16"/>
  <c r="N8" i="14"/>
  <c r="M28" i="26"/>
  <c r="M29" i="26" s="1"/>
  <c r="N42" i="14" l="1"/>
  <c r="M35" i="26"/>
  <c r="N45" i="21"/>
  <c r="N44" i="21"/>
  <c r="M33" i="26"/>
  <c r="M30" i="26"/>
  <c r="N12" i="14"/>
  <c r="N17" i="14" s="1"/>
  <c r="M37" i="26"/>
  <c r="M31" i="26" l="1"/>
  <c r="M53" i="26"/>
  <c r="M55" i="26" s="1"/>
  <c r="M38" i="26"/>
  <c r="M39" i="26" s="1"/>
  <c r="M40" i="26" s="1"/>
  <c r="N18" i="26" s="1"/>
  <c r="O6" i="21" s="1"/>
  <c r="O5" i="21" s="1"/>
  <c r="N23" i="26" s="1"/>
  <c r="N44" i="14"/>
  <c r="N26" i="26" l="1"/>
  <c r="N6" i="17" s="1"/>
  <c r="P20" i="17" s="1"/>
  <c r="O15" i="21"/>
  <c r="O16" i="16" s="1"/>
  <c r="O22" i="14" s="1"/>
  <c r="O9" i="21"/>
  <c r="O6" i="16"/>
  <c r="O9" i="14" s="1"/>
  <c r="O20" i="17" l="1"/>
  <c r="N20" i="17"/>
  <c r="N23" i="17" s="1"/>
  <c r="O13" i="14" s="1"/>
  <c r="O10" i="16"/>
  <c r="O11" i="14" s="1"/>
  <c r="O8" i="21" l="1"/>
  <c r="O7" i="21" s="1"/>
  <c r="O11" i="21" s="1"/>
  <c r="O14" i="21"/>
  <c r="O13" i="21" s="1"/>
  <c r="N27" i="26"/>
  <c r="N39" i="17"/>
  <c r="N41" i="17" s="1"/>
  <c r="O8" i="16" l="1"/>
  <c r="O10" i="14" s="1"/>
  <c r="O14" i="16"/>
  <c r="O21" i="14" s="1"/>
  <c r="O12" i="21"/>
  <c r="O17" i="21"/>
  <c r="O12" i="16" l="1"/>
  <c r="O18" i="21"/>
  <c r="O20" i="21"/>
  <c r="O21" i="21" l="1"/>
  <c r="N24" i="26"/>
  <c r="O29" i="21"/>
  <c r="N25" i="26"/>
  <c r="O31" i="21" l="1"/>
  <c r="O18" i="16" s="1"/>
  <c r="O30" i="21"/>
  <c r="O33" i="21" l="1"/>
  <c r="O38" i="21" s="1"/>
  <c r="O40" i="21" s="1"/>
  <c r="O42" i="21" s="1"/>
  <c r="O20" i="16"/>
  <c r="O21" i="16" s="1"/>
  <c r="O22" i="16" s="1"/>
  <c r="O25" i="14"/>
  <c r="O28" i="14" s="1"/>
  <c r="O33" i="14" s="1"/>
  <c r="O37" i="14" l="1"/>
  <c r="O40" i="14" s="1"/>
  <c r="N35" i="26" s="1"/>
  <c r="O8" i="14"/>
  <c r="N28" i="26"/>
  <c r="N29" i="26" s="1"/>
  <c r="O23" i="16"/>
  <c r="O44" i="21"/>
  <c r="O45" i="21"/>
  <c r="O42" i="14" l="1"/>
  <c r="N30" i="26"/>
  <c r="N33" i="26"/>
  <c r="N37" i="26"/>
  <c r="N38" i="26" s="1"/>
  <c r="N39" i="26" s="1"/>
  <c r="O12" i="14"/>
  <c r="O17" i="14" s="1"/>
  <c r="O44" i="14" l="1"/>
  <c r="N31" i="26"/>
  <c r="N53" i="26"/>
  <c r="N55" i="26" s="1"/>
  <c r="N40" i="26"/>
  <c r="O18" i="26" s="1"/>
  <c r="P6" i="21" s="1"/>
  <c r="P5" i="21" s="1"/>
  <c r="P9" i="21" s="1"/>
  <c r="P6" i="16" l="1"/>
  <c r="P9" i="14" s="1"/>
  <c r="O26" i="26"/>
  <c r="O6" i="17" s="1"/>
  <c r="P21" i="17" s="1"/>
  <c r="P15" i="21"/>
  <c r="P16" i="16" s="1"/>
  <c r="P22" i="14" s="1"/>
  <c r="O23" i="26"/>
  <c r="O21" i="17" l="1"/>
  <c r="O23" i="17" s="1"/>
  <c r="P13" i="14" s="1"/>
  <c r="P10" i="16"/>
  <c r="P11" i="14" s="1"/>
  <c r="P14" i="21" l="1"/>
  <c r="P13" i="21" s="1"/>
  <c r="O39" i="17"/>
  <c r="O41" i="17" s="1"/>
  <c r="O27" i="26"/>
  <c r="P8" i="21"/>
  <c r="P7" i="21" s="1"/>
  <c r="P14" i="16" s="1"/>
  <c r="P21" i="14" s="1"/>
  <c r="P11" i="21" l="1"/>
  <c r="P12" i="21" s="1"/>
  <c r="P8" i="16"/>
  <c r="P10" i="14" s="1"/>
  <c r="P12" i="16" l="1"/>
  <c r="P17" i="21"/>
  <c r="P18" i="21" l="1"/>
  <c r="P20" i="21"/>
  <c r="O25" i="26" l="1"/>
  <c r="P29" i="21"/>
  <c r="P21" i="21"/>
  <c r="O24" i="26"/>
  <c r="P30" i="21" l="1"/>
  <c r="P31" i="21"/>
  <c r="P18" i="16" s="1"/>
  <c r="P20" i="16" l="1"/>
  <c r="P21" i="16" s="1"/>
  <c r="P22" i="16" s="1"/>
  <c r="P25" i="14"/>
  <c r="P28" i="14" s="1"/>
  <c r="P33" i="14" s="1"/>
  <c r="P33" i="21"/>
  <c r="O28" i="26" l="1"/>
  <c r="O29" i="26" s="1"/>
  <c r="P23" i="16"/>
  <c r="P38" i="21"/>
  <c r="P8" i="14"/>
  <c r="O37" i="26" l="1"/>
  <c r="P12" i="14"/>
  <c r="P17" i="14" s="1"/>
  <c r="P40" i="21"/>
  <c r="P42" i="21" s="1"/>
  <c r="P37" i="14"/>
  <c r="P40" i="14" s="1"/>
  <c r="O33" i="26"/>
  <c r="O30" i="26"/>
  <c r="O31" i="26" l="1"/>
  <c r="O53" i="26"/>
  <c r="O55" i="26" s="1"/>
  <c r="P42" i="14"/>
  <c r="P44" i="14" s="1"/>
  <c r="O35" i="26"/>
  <c r="O38" i="26" s="1"/>
  <c r="O39" i="26" s="1"/>
  <c r="O40" i="26" s="1"/>
  <c r="P18" i="26" s="1"/>
  <c r="Q6" i="21" s="1"/>
  <c r="Q5" i="21" s="1"/>
  <c r="P44" i="21"/>
  <c r="P45" i="21"/>
  <c r="P23" i="26" l="1"/>
  <c r="P26" i="26"/>
  <c r="P6" i="17" s="1"/>
  <c r="P22" i="17" s="1"/>
  <c r="P23" i="17" s="1"/>
  <c r="Q9" i="21"/>
  <c r="Q15" i="21"/>
  <c r="Q6" i="16"/>
  <c r="Q9" i="14" s="1"/>
  <c r="Q16" i="16" l="1"/>
  <c r="Q22" i="14" s="1"/>
  <c r="Q10" i="16"/>
  <c r="Q11" i="14" s="1"/>
  <c r="Q13" i="14"/>
  <c r="Q14" i="21"/>
  <c r="Q13" i="21" s="1"/>
  <c r="Q8" i="21"/>
  <c r="Q7" i="21" s="1"/>
  <c r="P39" i="17"/>
  <c r="P41" i="17" s="1"/>
  <c r="P27" i="26"/>
  <c r="Q14" i="16" l="1"/>
  <c r="Q21" i="14" s="1"/>
  <c r="Q11" i="21"/>
  <c r="Q8" i="16"/>
  <c r="Q10" i="14" l="1"/>
  <c r="Q12" i="16"/>
  <c r="Q12" i="21"/>
  <c r="Q17" i="21"/>
  <c r="Q18" i="21" l="1"/>
  <c r="Q20" i="21"/>
  <c r="P25" i="26" l="1"/>
  <c r="Q29" i="21"/>
  <c r="P24" i="26"/>
  <c r="Q21" i="21"/>
  <c r="Q30" i="21" l="1"/>
  <c r="Q31" i="21"/>
  <c r="Q18" i="16" s="1"/>
  <c r="Q33" i="21" l="1"/>
  <c r="Q38" i="21" s="1"/>
  <c r="Q20" i="16"/>
  <c r="Q21" i="16" s="1"/>
  <c r="Q22" i="16" s="1"/>
  <c r="Q25" i="14"/>
  <c r="Q28" i="14" s="1"/>
  <c r="Q33" i="14" s="1"/>
  <c r="Q23" i="16" l="1"/>
  <c r="P28" i="26"/>
  <c r="P29" i="26" s="1"/>
  <c r="Q8" i="14"/>
  <c r="Q40" i="21"/>
  <c r="Q42" i="21" s="1"/>
  <c r="Q37" i="14"/>
  <c r="Q40" i="14" s="1"/>
  <c r="P37" i="26" l="1"/>
  <c r="Q12" i="14"/>
  <c r="Q17" i="14" s="1"/>
  <c r="Q42" i="14"/>
  <c r="P35" i="26"/>
  <c r="Q45" i="21"/>
  <c r="Q44" i="21"/>
  <c r="P30" i="26"/>
  <c r="P33" i="26"/>
  <c r="P31" i="26" l="1"/>
  <c r="D5" i="27" s="1"/>
  <c r="E5" i="27" s="1"/>
  <c r="P53" i="26"/>
  <c r="P38" i="26"/>
  <c r="P39" i="26" s="1"/>
  <c r="P40" i="26" s="1"/>
  <c r="Q44" i="14"/>
  <c r="D60" i="26" l="1"/>
  <c r="D61" i="26" s="1"/>
  <c r="D62" i="26" s="1"/>
  <c r="P55" i="26"/>
  <c r="F56" i="26" s="1"/>
  <c r="D63" i="26" l="1"/>
  <c r="D69" i="26" s="1"/>
  <c r="D70" i="26" s="1"/>
  <c r="C5" i="27" s="1"/>
  <c r="F5" i="27" s="1"/>
  <c r="J7" i="27" l="1"/>
  <c r="J8" i="27"/>
  <c r="J5" i="27"/>
  <c r="J6" i="27"/>
  <c r="D6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tc={24B5BE52-96AD-42A4-A30C-CF7ADD110C45}</author>
    <author>tc={40F6E773-1F1F-4331-BAF8-7BDB500C7C0C}</author>
    <author>tc={5123E04A-6BD5-4C5A-AC66-AB5F92F67E06}</author>
    <author>tc={26FB89C8-4987-4E8E-84F7-39148BA4A190}</author>
    <author>tc={9E968AF7-5A50-4684-85A0-0013BAF3F03F}</author>
  </authors>
  <commentList>
    <comment ref="L6" authorId="0" shapeId="0" xr:uid="{24B5BE52-96AD-42A4-A30C-CF7ADD110C45}">
      <text>
        <t>[Threaded comment]
Your version of Excel allows you to read this threaded comment; however, any edits to it will get removed if the file is opened in a newer version of Excel. Learn more: https://go.microsoft.com/fwlink/?linkid=870924
Comment:
    U.S. GDP long term growth is 3%. We want to keep terminal growth rate of FCFF below or equal to this. Let us see how a revenue growth of 3.5% translates into FCFF growth rate.</t>
      </text>
    </comment>
    <comment ref="H16" authorId="1" shapeId="0" xr:uid="{40F6E773-1F1F-4331-BAF8-7BDB500C7C0C}">
      <text>
        <t>[Threaded comment]
Your version of Excel allows you to read this threaded comment; however, any edits to it will get removed if the file is opened in a newer version of Excel. Learn more: https://go.microsoft.com/fwlink/?linkid=870924
Comment:
    This was the typical SG&amp;A margin in the prepandemic era during which Crocs was spending a lot of ads ot ramp up sales. I think they will do the same to ramp up sales of HeyDude.</t>
      </text>
    </comment>
    <comment ref="H19" authorId="2" shapeId="0" xr:uid="{5123E04A-6BD5-4C5A-AC66-AB5F92F67E06}">
      <text>
        <t>[Threaded comment]
Your version of Excel allows you to read this threaded comment; however, any edits to it will get removed if the file is opened in a newer version of Excel. Learn more: https://go.microsoft.com/fwlink/?linkid=870924
Comment:
    What do we do about this?</t>
      </text>
    </comment>
    <comment ref="H25" authorId="3" shapeId="0" xr:uid="{26FB89C8-4987-4E8E-84F7-39148BA4A190}">
      <text>
        <t>[Threaded comment]
Your version of Excel allows you to read this threaded comment; however, any edits to it will get removed if the file is opened in a newer version of Excel. Learn more: https://go.microsoft.com/fwlink/?linkid=870924
Comment:
    All of these need to be carefully calculated</t>
      </text>
    </comment>
    <comment ref="H32" authorId="4" shapeId="0" xr:uid="{9E968AF7-5A50-4684-85A0-0013BAF3F03F}">
      <text>
        <t>[Threaded comment]
Your version of Excel allows you to read this threaded comment; however, any edits to it will get removed if the file is opened in a newer version of Excel. Learn more: https://go.microsoft.com/fwlink/?linkid=870924
Comment:
    This is a dummy input. Last 15 years Crocs tax percentage is all over the place. Can't say anything from it. Prof. Damodaran has guidance for effective tax rates for every industry. Use that instead?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tc={6C800A2E-7911-4578-A234-25E88A692902}</author>
  </authors>
  <commentList>
    <comment ref="G9" authorId="0" shapeId="0" xr:uid="{6C800A2E-7911-4578-A234-25E88A692902}">
      <text>
        <t>[Threaded comment]
Your version of Excel allows you to read this threaded comment; however, any edits to it will get removed if the file is opened in a newer version of Excel. Learn more: https://go.microsoft.com/fwlink/?linkid=870924
Comment:
    10K: 2-10 y typical depreciation period</t>
      </text>
    </comment>
  </commentList>
</comments>
</file>

<file path=xl/sharedStrings.xml><?xml version="1.0" encoding="utf-8"?>
<sst xmlns="http://schemas.openxmlformats.org/spreadsheetml/2006/main" count="1633" uniqueCount="664">
  <si>
    <t>Crocs, Inc. (NasdaqGS:CROX)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</si>
  <si>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</si>
  <si>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</si>
  <si>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</si>
  <si>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</si>
  <si>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</si>
  <si>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</si>
  <si>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</si>
  <si>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</si>
  <si>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</si>
  <si>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</si>
  <si>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</si>
  <si>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</si>
  <si>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</si>
  <si>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</si>
  <si>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</si>
  <si>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</si>
  <si>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Dec-31-2019A</t>
  </si>
  <si>
    <t>12 months
Dec-31-2020A</t>
  </si>
  <si>
    <t>12 months
Dec-31-2021A</t>
  </si>
  <si>
    <t>12 months
Dec-31-2022A</t>
  </si>
  <si>
    <t>12 months
Dec-31-2023A</t>
  </si>
  <si>
    <t>12 months†
Dec-31-2024E</t>
  </si>
  <si>
    <t>12 months
Dec-31-2025E</t>
  </si>
  <si>
    <t>12 months
Dec-31-2026E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</si>
  <si>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</si>
  <si>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</si>
  <si>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</si>
  <si>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</si>
  <si>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</si>
  <si>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</si>
  <si>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</si>
  <si>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</si>
  <si>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</si>
  <si>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</si>
  <si>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</si>
  <si>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</si>
  <si>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</si>
  <si>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</si>
  <si>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</si>
  <si>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</si>
  <si>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</si>
  <si>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</si>
  <si>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</si>
  <si>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</si>
  <si>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</si>
  <si>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</si>
  <si>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Latest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</si>
  <si>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</si>
  <si>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</si>
  <si>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</si>
  <si>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</si>
  <si>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</si>
  <si>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</si>
  <si>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</si>
  <si>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</si>
  <si>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</si>
  <si>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</si>
  <si>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</si>
  <si>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</si>
  <si>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</si>
  <si>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</si>
  <si>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</si>
  <si>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</si>
  <si>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</si>
  <si>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12 months
Dec-31-2024E</t>
  </si>
  <si>
    <t>TEV/Total Revenue</t>
  </si>
  <si>
    <t>TEV/EBITDA</t>
  </si>
  <si>
    <t>TEV/EBIT</t>
  </si>
  <si>
    <t>P/Diluted EPS Before Extra</t>
  </si>
  <si>
    <t>P/BV</t>
  </si>
  <si>
    <t>Price/Tang BV</t>
  </si>
  <si>
    <t xml:space="preserve">
               </t>
  </si>
  <si>
    <t>Crocs, Inc. (NasdaqGS:CROX)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</si>
  <si>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</si>
  <si>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</si>
  <si>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</si>
  <si>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</si>
  <si>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</si>
  <si>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</si>
  <si>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</si>
  <si>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</si>
  <si>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</si>
  <si>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</si>
  <si>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</si>
  <si>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</si>
  <si>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</si>
  <si>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</si>
  <si>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</si>
  <si>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</si>
  <si>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Reclassified
12 months
Dec-31-2018</t>
  </si>
  <si>
    <t>Reclassified
12 months
Dec-31-2019</t>
  </si>
  <si>
    <t>Reclassified
12 months
Dec-31-2020</t>
  </si>
  <si>
    <t>Reclassified
12 months
Dec-31-2021</t>
  </si>
  <si>
    <t>Reclassified
12 months
Dec-31-2022</t>
  </si>
  <si>
    <t>12 months
Dec-31-2023</t>
  </si>
  <si>
    <t>Revenue</t>
  </si>
  <si>
    <t>Other Revenue</t>
  </si>
  <si>
    <t xml:space="preserve">  Total Revenue</t>
  </si>
  <si>
    <t>Cost Of Goods Sold</t>
  </si>
  <si>
    <t xml:space="preserve">  Gross Profit</t>
  </si>
  <si>
    <t>Selling General &amp; Admin Exp.</t>
  </si>
  <si>
    <t>R &amp; D Exp.</t>
  </si>
  <si>
    <t>Depreciation &amp; Amort.</t>
  </si>
  <si>
    <t>Amort. of Goodwill and Intangibles</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</si>
  <si>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</si>
  <si>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</si>
  <si>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</si>
  <si>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</si>
  <si>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</si>
  <si>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</si>
  <si>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</si>
  <si>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</si>
  <si>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</si>
  <si>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Restructuring Charges</t>
  </si>
  <si>
    <t>Merger &amp; Related Restruct. Charges</t>
  </si>
  <si>
    <t>Impairment of Goodwill</t>
  </si>
  <si>
    <t>Gain (Loss) On Sale Of Assets</t>
  </si>
  <si>
    <t>Asset Writedown</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</si>
  <si>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</si>
  <si>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</si>
  <si>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</si>
  <si>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</si>
  <si>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</si>
  <si>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</si>
  <si>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</si>
  <si>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</si>
  <si>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</si>
  <si>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</si>
  <si>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</si>
  <si>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</si>
  <si>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</si>
  <si>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</si>
  <si>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</si>
  <si>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</si>
  <si>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</si>
  <si>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</si>
  <si>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</si>
  <si>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</si>
  <si>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</si>
  <si>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</si>
  <si>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NA</t>
  </si>
  <si>
    <t>Payout Ratio %</t>
  </si>
  <si>
    <t>Supplemental Items</t>
  </si>
  <si>
    <t>EBITA</t>
  </si>
  <si>
    <t>EBITDAR</t>
  </si>
  <si>
    <t>Effective Tax Rate %</t>
  </si>
  <si>
    <t>Current Domestic Taxes</t>
  </si>
  <si>
    <t>Current Foreign Taxes</t>
  </si>
  <si>
    <t>Total Current Taxes</t>
  </si>
  <si>
    <t>Deferred Domestic Taxes</t>
  </si>
  <si>
    <t>Deferred Foreign Taxes</t>
  </si>
  <si>
    <t>Total Deferred Taxes</t>
  </si>
  <si>
    <t>Normalized Net Income</t>
  </si>
  <si>
    <t>Filing Date</t>
  </si>
  <si>
    <t>Restatement Type</t>
  </si>
  <si>
    <t>RC</t>
  </si>
  <si>
    <t>O</t>
  </si>
  <si>
    <t>Calculation Type</t>
  </si>
  <si>
    <t>REP</t>
  </si>
  <si>
    <t>Supplemental Operating Expense Items</t>
  </si>
  <si>
    <t>Marketing Exp.</t>
  </si>
  <si>
    <t>Selling and Marketing Exp.</t>
  </si>
  <si>
    <t>R&amp;D Exp.</t>
  </si>
  <si>
    <t>Net Rental Exp.</t>
  </si>
  <si>
    <t>Imputed Oper. Lease Interest Exp.</t>
  </si>
  <si>
    <t>Imputed Oper. Lease Depreciation</t>
  </si>
  <si>
    <t>Stock-Based Comp., COGS</t>
  </si>
  <si>
    <t>Stock-Based Comp., SG&amp;A Exp.</t>
  </si>
  <si>
    <t>Stock-Based Comp., Unallocated</t>
  </si>
  <si>
    <t xml:space="preserve">  Stock-Based Comp., Total</t>
  </si>
  <si>
    <t>Note: For multiple class companies, per share items are primary class equivalent, and for foreign companies listed as primary ADRs, per share items are ADR-equivalent.</t>
  </si>
  <si>
    <t>Crocs, Inc. (NasdaqGS:CROX)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</si>
  <si>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</si>
  <si>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</si>
  <si>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</si>
  <si>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</si>
  <si>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</si>
  <si>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</si>
  <si>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</si>
  <si>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</si>
  <si>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</si>
  <si>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</si>
  <si>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</si>
  <si>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</si>
  <si>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ASSETS</t>
  </si>
  <si>
    <t>Cash And Equivalents</t>
  </si>
  <si>
    <t xml:space="preserve">  Total Cash &amp; ST Investments</t>
  </si>
  <si>
    <t>Accounts Receivable</t>
  </si>
  <si>
    <t>Other Receivables</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</si>
  <si>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</si>
  <si>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</si>
  <si>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</si>
  <si>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</si>
  <si>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</si>
  <si>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</si>
  <si>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</si>
  <si>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</si>
  <si>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</si>
  <si>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Goodwill</t>
  </si>
  <si>
    <t>Other Intangibles</t>
  </si>
  <si>
    <t>Deferred Tax Assets, LT</t>
  </si>
  <si>
    <t>Other Long-Term Assets</t>
  </si>
  <si>
    <t>Total Assets</t>
  </si>
  <si>
    <t>LIABILITIES</t>
  </si>
  <si>
    <t>Accounts Payable</t>
  </si>
  <si>
    <t>Accrued Exp.</t>
  </si>
  <si>
    <t>Curr. Port. of LT Debt</t>
  </si>
  <si>
    <t>Curr. Port. of Leases</t>
  </si>
  <si>
    <t>Curr. Income Taxes Payable</t>
  </si>
  <si>
    <t>Unearned Revenue, Current</t>
  </si>
  <si>
    <t>Other Current Liabilities</t>
  </si>
  <si>
    <t xml:space="preserve">  Total Current Liabilities</t>
  </si>
  <si>
    <t>Long-Term Debt</t>
  </si>
  <si>
    <t>Long-Term Leases</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</si>
  <si>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</si>
  <si>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</si>
  <si>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</si>
  <si>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</si>
  <si>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</si>
  <si>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</si>
  <si>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</si>
  <si>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</si>
  <si>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</si>
  <si>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</si>
  <si>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</si>
  <si>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</si>
  <si>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</si>
  <si>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</si>
  <si>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</si>
  <si>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</si>
  <si>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</si>
  <si>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</si>
  <si>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</si>
  <si>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Inventory Method</t>
  </si>
  <si>
    <t>FIFO</t>
  </si>
  <si>
    <t>Finished Goods Inventory</t>
  </si>
  <si>
    <t>Machinery</t>
  </si>
  <si>
    <t>Construction in Progress</t>
  </si>
  <si>
    <t>Leasehold Improvements</t>
  </si>
  <si>
    <t>Full Time Employees</t>
  </si>
  <si>
    <t>Accum. Allowance for Doubtful Accts</t>
  </si>
  <si>
    <t>NC</t>
  </si>
  <si>
    <t>RUP</t>
  </si>
  <si>
    <t>Note: For multiple class companies, total share counts are primary class equivalent, and for foreign companies listed as primary ADRs, total share counts are ADR-equivalent.</t>
  </si>
  <si>
    <t>Crocs, Inc. (NasdaqGS:CROX) &gt; Financials &gt; Cash Flow</t>
  </si>
  <si>
    <t>In Millions of the reported currency, except per share items.</t>
  </si>
  <si>
    <t>Template:</t>
  </si>
  <si>
    <t>Restatement:</t>
  </si>
  <si>
    <t>Period Type:</t>
  </si>
  <si>
    <t>Order:</t>
  </si>
  <si>
    <t>Currency:</t>
  </si>
  <si>
    <t>Conversion:</t>
  </si>
  <si>
    <t>Units:</t>
  </si>
  <si>
    <t>Decimals:</t>
  </si>
  <si>
    <t>Source:</t>
  </si>
  <si>
    <t>Cash Flow</t>
  </si>
  <si>
    <t>12 months
Dec-31-2018</t>
  </si>
  <si>
    <t>12 months
Dec-31-2019</t>
  </si>
  <si>
    <t>12 months
Dec-31-2020</t>
  </si>
  <si>
    <t>12 months
Dec-31-2021</t>
  </si>
  <si>
    <t>12 months
Dec-31-2022</t>
  </si>
  <si>
    <t>Depreciation &amp; Amort., Total</t>
  </si>
  <si>
    <t>(Gain) Loss From Sale Of Assets</t>
  </si>
  <si>
    <t>Asset Writedown &amp; Restructuring Costs</t>
  </si>
  <si>
    <t>Stock-Based Compensation</t>
  </si>
  <si>
    <t>Provision &amp; Write-off of Bad debts</t>
  </si>
  <si>
    <t>Other Operating Activities</t>
  </si>
  <si>
    <t>Change in Acc. Receivable</t>
  </si>
  <si>
    <t>Change In Inventories</t>
  </si>
  <si>
    <t>Change in Acc. Payable</t>
  </si>
  <si>
    <t>Change in Inc. Taxes</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</si>
  <si>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</si>
  <si>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</si>
  <si>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</si>
  <si>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</si>
  <si>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</si>
  <si>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</si>
  <si>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</si>
  <si>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</si>
  <si>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</si>
  <si>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</si>
  <si>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</si>
  <si>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</si>
  <si>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</si>
  <si>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</si>
  <si>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</si>
  <si>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</si>
  <si>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Repurchase of Common Stock</t>
  </si>
  <si>
    <t>Repurchase of Preferred Stock</t>
  </si>
  <si>
    <t>Pref.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</si>
  <si>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</si>
  <si>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</si>
  <si>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</si>
  <si>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</si>
  <si>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</si>
  <si>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</si>
  <si>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</si>
  <si>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</si>
  <si>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</si>
  <si>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</si>
  <si>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</si>
  <si>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</si>
  <si>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Crocs, Inc. (NasdaqGS:CROX) &gt; Financials &gt; Ratios</t>
  </si>
  <si>
    <t>Restatement:</t>
  </si>
  <si>
    <t>Period Type:</t>
  </si>
  <si>
    <t>Order:</t>
  </si>
  <si>
    <t>Decimals:</t>
  </si>
  <si>
    <t>Source:</t>
  </si>
  <si>
    <t>Ratios</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</si>
  <si>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</si>
  <si>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</si>
  <si>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</si>
  <si>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</si>
  <si>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</si>
  <si>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</si>
  <si>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</si>
  <si>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</si>
  <si>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</si>
  <si>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</si>
  <si>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</si>
  <si>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</si>
  <si>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</si>
  <si>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</si>
  <si>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</si>
  <si>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</si>
  <si>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</si>
  <si>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</si>
  <si>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</si>
  <si>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</si>
  <si>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</si>
  <si>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</si>
  <si>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</si>
  <si>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</si>
  <si>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</si>
  <si>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</si>
  <si>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</si>
  <si>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</si>
  <si>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</si>
  <si>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</si>
  <si>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</si>
  <si>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</si>
  <si>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</si>
  <si>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</si>
  <si>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</si>
  <si>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</si>
  <si>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</si>
  <si>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</si>
  <si>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</si>
  <si>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</si>
  <si>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</si>
  <si>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</si>
  <si>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</si>
  <si>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</si>
  <si>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</si>
  <si>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</si>
  <si>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</si>
  <si>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</si>
  <si>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</si>
  <si>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</si>
  <si>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</si>
  <si>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</si>
  <si>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</si>
  <si>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</si>
  <si>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</si>
  <si>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</si>
  <si>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</si>
  <si>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</si>
  <si>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</si>
  <si>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</si>
  <si>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</si>
  <si>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</si>
  <si>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</si>
  <si>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Crocs, Inc. (NasdaqGS:CROX) &gt; Financials &gt; Industry Specific</t>
  </si>
  <si>
    <t>In Millions of the reported currency, except per share items.</t>
  </si>
  <si>
    <t>Restatement:</t>
  </si>
  <si>
    <t>Period Type:</t>
  </si>
  <si>
    <t>Currency:</t>
  </si>
  <si>
    <t>Conversion:</t>
  </si>
  <si>
    <t>Order:</t>
  </si>
  <si>
    <t>Units:</t>
  </si>
  <si>
    <t>Decimals:</t>
  </si>
  <si>
    <t>Source:</t>
  </si>
  <si>
    <t>Industry Specific</t>
  </si>
  <si>
    <t>Retail Specific Data</t>
  </si>
  <si>
    <t>Stores at Beginning</t>
  </si>
  <si>
    <t>Stores Opened</t>
  </si>
  <si>
    <t>Stores Closed</t>
  </si>
  <si>
    <t>Total Stores</t>
  </si>
  <si>
    <t xml:space="preserve">Total Same Store Sales Growth </t>
  </si>
  <si>
    <t>Gross Margin</t>
  </si>
  <si>
    <t>Operating Margin</t>
  </si>
  <si>
    <t>Retail Revenues</t>
  </si>
  <si>
    <t>Wholesale Revenues</t>
  </si>
  <si>
    <t>Online Revenues</t>
  </si>
  <si>
    <t>Owned / Operated Store Data</t>
  </si>
  <si>
    <t>Total Owned/Operated Stores</t>
  </si>
  <si>
    <t>Affiliated Stores Data</t>
  </si>
  <si>
    <t>Total Affiliated and Other Stores</t>
  </si>
  <si>
    <t>Crocs, Inc. (NasdaqGS:CROX) &gt; Financials &gt; Segments</t>
  </si>
  <si>
    <t>In Millions of the reported currency.</t>
  </si>
  <si>
    <t>View By:</t>
  </si>
  <si>
    <t>Line Items</t>
  </si>
  <si>
    <t>Restatement:</t>
  </si>
  <si>
    <t>Period Type:</t>
  </si>
  <si>
    <t>Order:</t>
  </si>
  <si>
    <t>Currency:</t>
  </si>
  <si>
    <t>Conversion:</t>
  </si>
  <si>
    <t>Units:</t>
  </si>
  <si>
    <t>Decimals:</t>
  </si>
  <si>
    <t>Business Segments</t>
  </si>
  <si>
    <t>Revenues</t>
  </si>
  <si>
    <t>Crocs Brand</t>
  </si>
  <si>
    <t>Heydude Brand</t>
  </si>
  <si>
    <t>Crocs Brand - North America</t>
  </si>
  <si>
    <t>Crocs Brand - Asia Pacific</t>
  </si>
  <si>
    <t>Crocs Brand - EMEALA</t>
  </si>
  <si>
    <t>Crocs Brand - Corporate</t>
  </si>
  <si>
    <t>Americas</t>
  </si>
  <si>
    <t>Asia Pacific (Incl. Japan)</t>
  </si>
  <si>
    <t>Europe, Middle East, and Africa (EMEA)</t>
  </si>
  <si>
    <t>Other Businesses</t>
  </si>
  <si>
    <t xml:space="preserve">  Total Revenues</t>
  </si>
  <si>
    <t>Operating Profit Before Tax</t>
  </si>
  <si>
    <t>Unallocated Enterprise Corporate</t>
  </si>
  <si>
    <t>Unallocated Corporate and Other</t>
  </si>
  <si>
    <t xml:space="preserve">  Total Operating Profit Before Tax</t>
  </si>
  <si>
    <t>Depreciation &amp; Amortization</t>
  </si>
  <si>
    <t xml:space="preserve">  Total Depreciation &amp; Amortization</t>
  </si>
  <si>
    <t>Geographic Segments</t>
  </si>
  <si>
    <t>United States</t>
  </si>
  <si>
    <t>International</t>
  </si>
  <si>
    <t>Assets</t>
  </si>
  <si>
    <t>Netherlands</t>
  </si>
  <si>
    <t>Other International</t>
  </si>
  <si>
    <t>Consolidated Balance Sheets</t>
  </si>
  <si>
    <t>Actuals</t>
  </si>
  <si>
    <t>Estimates</t>
  </si>
  <si>
    <t>Current assets:</t>
  </si>
  <si>
    <t>Cash and cash equivalents</t>
  </si>
  <si>
    <t>Receivables, net</t>
  </si>
  <si>
    <t>Inventories</t>
  </si>
  <si>
    <t>Prepaid expenses and other</t>
  </si>
  <si>
    <t>Total current assets</t>
  </si>
  <si>
    <t>Property, plant and equipment, net</t>
  </si>
  <si>
    <t>Total assets</t>
  </si>
  <si>
    <t>Liabilities</t>
  </si>
  <si>
    <t>Current liabilities:</t>
  </si>
  <si>
    <t>Short-term borrowings</t>
  </si>
  <si>
    <t>Accounts payable</t>
  </si>
  <si>
    <t>Accrued liabilities</t>
  </si>
  <si>
    <t>Current Portion of Leases</t>
  </si>
  <si>
    <t>Current liabilities of discontinued operations</t>
  </si>
  <si>
    <t>Total current liabilities</t>
  </si>
  <si>
    <t>Long-term debt</t>
  </si>
  <si>
    <t>Long-term leases</t>
  </si>
  <si>
    <t>Deferred income taxes and other</t>
  </si>
  <si>
    <t>Uneared Revenue, Non-current</t>
  </si>
  <si>
    <t>Total liabilities</t>
  </si>
  <si>
    <t xml:space="preserve">Shareholders' equity </t>
  </si>
  <si>
    <t>Retained earnings</t>
  </si>
  <si>
    <t>Accumulated other comprehensive income (loss)</t>
  </si>
  <si>
    <t>Total shareholders' equity</t>
  </si>
  <si>
    <t>Noncontrolling interest</t>
  </si>
  <si>
    <t>Total liabilities &amp; equity</t>
  </si>
  <si>
    <t>SUPPLEMENTAL DATA:</t>
  </si>
  <si>
    <t>Balance? (Y/N)</t>
  </si>
  <si>
    <t>N</t>
  </si>
  <si>
    <t>Consolidated Income Statements</t>
  </si>
  <si>
    <t>(in US$ millions except per share amounts)</t>
  </si>
  <si>
    <t>Period Ending January 31</t>
  </si>
  <si>
    <t>Y/Y revenue growth (%)</t>
  </si>
  <si>
    <t>Cost of goods sold</t>
  </si>
  <si>
    <t>Gross profit</t>
  </si>
  <si>
    <t>Gross profit margin (%)</t>
  </si>
  <si>
    <t>EBITDA margin (%)</t>
  </si>
  <si>
    <t>Depreciation and amortization</t>
  </si>
  <si>
    <t>EBIT margin (%)</t>
  </si>
  <si>
    <t>Other Income (Loss)</t>
  </si>
  <si>
    <t>Interest</t>
  </si>
  <si>
    <t>Interest expense (Debt)</t>
  </si>
  <si>
    <t>Interest income</t>
  </si>
  <si>
    <t>Net interest expense</t>
  </si>
  <si>
    <t>EBT</t>
  </si>
  <si>
    <t>EBT margin (%)</t>
  </si>
  <si>
    <t>Income tax expense</t>
  </si>
  <si>
    <t>Tax rate (%)</t>
  </si>
  <si>
    <t>Net Income (Adjusted)</t>
  </si>
  <si>
    <t>Non-recurring events</t>
  </si>
  <si>
    <t>Discontinued operations</t>
  </si>
  <si>
    <t>Other</t>
  </si>
  <si>
    <t>Total non-recurring events</t>
  </si>
  <si>
    <t>Net Income (After non-recurring events)</t>
  </si>
  <si>
    <t>Distributions</t>
  </si>
  <si>
    <t>Income attributable to non-controlling interests</t>
  </si>
  <si>
    <t>Non-controlling interests % of Net Income</t>
  </si>
  <si>
    <t>Net Income (as Reported)</t>
  </si>
  <si>
    <t>Earnings per share (EPS)</t>
  </si>
  <si>
    <t>Diluted</t>
  </si>
  <si>
    <t xml:space="preserve">Average common shares outstanding </t>
  </si>
  <si>
    <t>Shares repurchased</t>
  </si>
  <si>
    <t>Diluted Shares</t>
  </si>
  <si>
    <t>Number of basic shares outstanding</t>
  </si>
  <si>
    <t>Number of outstanding options (in the money)</t>
  </si>
  <si>
    <t>Average option strike price</t>
  </si>
  <si>
    <t>Total option proceeds</t>
  </si>
  <si>
    <t>Treasury stock method shares repurchased</t>
  </si>
  <si>
    <t>Additional shares outstanding</t>
  </si>
  <si>
    <t>Total diluted shares outstanding</t>
  </si>
  <si>
    <t>Depreciation</t>
  </si>
  <si>
    <t>Property, plant &amp; equipment (beg. of year)</t>
  </si>
  <si>
    <t>Capital expenditures (beg. of year)</t>
  </si>
  <si>
    <t>Book (GAAP) depreciation</t>
  </si>
  <si>
    <t>Useful Life</t>
  </si>
  <si>
    <t>PP&amp;E Years</t>
  </si>
  <si>
    <t>CAPEX Years</t>
  </si>
  <si>
    <t>Existing PP&amp;E</t>
  </si>
  <si>
    <t>Total book depreciation</t>
  </si>
  <si>
    <t>Accelerated depreciation (%)</t>
  </si>
  <si>
    <t>Accelerated depreciation</t>
  </si>
  <si>
    <t>Total tax depreciation</t>
  </si>
  <si>
    <t>Difference in depreciation</t>
  </si>
  <si>
    <t>Deferred taxes</t>
  </si>
  <si>
    <t>Operating Working Capital Schedule (OWC)</t>
  </si>
  <si>
    <t>Current assets</t>
  </si>
  <si>
    <t>Days receivable</t>
  </si>
  <si>
    <t>Inventory turnover days</t>
  </si>
  <si>
    <t>Days prepaid</t>
  </si>
  <si>
    <t>Current liabilities</t>
  </si>
  <si>
    <t>Days payable</t>
  </si>
  <si>
    <t>Accrued taxes</t>
  </si>
  <si>
    <t>Days Payable</t>
  </si>
  <si>
    <t>Total operating working capital</t>
  </si>
  <si>
    <t>Change in total operating working capital</t>
  </si>
  <si>
    <t>Match? (Y/N)</t>
  </si>
  <si>
    <t>Receivables</t>
  </si>
  <si>
    <t>Prepaid expenses</t>
  </si>
  <si>
    <t>On Dec 31</t>
  </si>
  <si>
    <t>Intangible assets</t>
  </si>
  <si>
    <t>Deferred tax assets</t>
  </si>
  <si>
    <t>Other LT assets</t>
  </si>
  <si>
    <t>Current income taxes payable</t>
  </si>
  <si>
    <t>Current port of LT debt</t>
  </si>
  <si>
    <t>Treasury stock</t>
  </si>
  <si>
    <t>Additional paid-in capital</t>
  </si>
  <si>
    <t>Common stock</t>
  </si>
  <si>
    <t>Period Ending Dec 31</t>
  </si>
  <si>
    <t xml:space="preserve">               </t>
  </si>
  <si>
    <t xml:space="preserve">              </t>
  </si>
  <si>
    <t>ERP</t>
  </si>
  <si>
    <t>Industry unlevered beta corrected for cash</t>
  </si>
  <si>
    <t>Market value of Crocs Debt</t>
  </si>
  <si>
    <t>Market value of Crocs Equity</t>
  </si>
  <si>
    <t>Cash</t>
  </si>
  <si>
    <t>Tax rate</t>
  </si>
  <si>
    <t>Crox equity beta</t>
  </si>
  <si>
    <t>Cost of equity</t>
  </si>
  <si>
    <t>Risk free rate</t>
  </si>
  <si>
    <t xml:space="preserve"> (Shoe) [Ref: https://www.stern.nyu.edu/~adamodar/pc/datasets/indname.xls]</t>
  </si>
  <si>
    <t>[Ref: https://pages.stern.nyu.edu/~adamodar/</t>
  </si>
  <si>
    <t>Cost of Debt</t>
  </si>
  <si>
    <t>Credit rating</t>
  </si>
  <si>
    <t>BB</t>
  </si>
  <si>
    <t>[Ref: https://www.capitaliq.com/CIQDotNet/CreditRatings/SandPCreditRatings.aspx?CompanyId=13639284]</t>
  </si>
  <si>
    <t>Credit spread</t>
  </si>
  <si>
    <t>[https://pages.stern.nyu.edu/~adamodar/pc/ratings.xls]</t>
  </si>
  <si>
    <t>Cost of debt</t>
  </si>
  <si>
    <t>Cost of Capital</t>
  </si>
  <si>
    <t>WACC</t>
  </si>
  <si>
    <t>(as of 4/27)</t>
  </si>
  <si>
    <t>SG&amp;A</t>
  </si>
  <si>
    <t>Marketing expenses</t>
  </si>
  <si>
    <t>All dollars figures are in millions</t>
  </si>
  <si>
    <t>R&amp;D</t>
  </si>
  <si>
    <t>Acquisition related costs</t>
  </si>
  <si>
    <t>Total</t>
  </si>
  <si>
    <t>SG&amp;A (as reported)</t>
  </si>
  <si>
    <t>Everything else expense</t>
  </si>
  <si>
    <t>COGS</t>
  </si>
  <si>
    <t>Depreciation from cash flow stmt</t>
  </si>
  <si>
    <t>Amortization from IS</t>
  </si>
  <si>
    <t>Depreciation from IS</t>
  </si>
  <si>
    <t>Total IS D&amp;A</t>
  </si>
  <si>
    <t>CF Amortization of intangibles</t>
  </si>
  <si>
    <t>Everything else Amortization</t>
  </si>
  <si>
    <t>Reported COGS</t>
  </si>
  <si>
    <t>CapEx</t>
  </si>
  <si>
    <t>Dep years</t>
  </si>
  <si>
    <t>Sum</t>
  </si>
  <si>
    <t>COGS (%)</t>
  </si>
  <si>
    <t>SG&amp;A (%)</t>
  </si>
  <si>
    <t>Amortization</t>
  </si>
  <si>
    <t>Amortization from cash flow stmt</t>
  </si>
  <si>
    <t>Non Depreciation COGS</t>
  </si>
  <si>
    <t>Depreciation in COGS</t>
  </si>
  <si>
    <t>CapEx as a % of Revenue</t>
  </si>
  <si>
    <t>Non Dep COGS as a % of Revenue</t>
  </si>
  <si>
    <t>Depreciation in SG&amp;A</t>
  </si>
  <si>
    <t>Non Depreciation SG&amp;A</t>
  </si>
  <si>
    <t>Non Dep SG&amp;A as a % of revenue</t>
  </si>
  <si>
    <t>Non Dep SG&amp;A as a % of Revenue</t>
  </si>
  <si>
    <t>Marginal tax rate</t>
  </si>
  <si>
    <t>NPV</t>
  </si>
  <si>
    <t>Share value</t>
  </si>
  <si>
    <t>EBIT*(1-tax)</t>
  </si>
  <si>
    <t>Change in NWC</t>
  </si>
  <si>
    <t>Reinvestments</t>
  </si>
  <si>
    <t>Debt+Lease</t>
  </si>
  <si>
    <t>Equity</t>
  </si>
  <si>
    <t>Invested capital</t>
  </si>
  <si>
    <t>Debt repayment rate</t>
  </si>
  <si>
    <t>Growth phase value</t>
  </si>
  <si>
    <t>FCFF</t>
  </si>
  <si>
    <t>Fixed Assumptions</t>
  </si>
  <si>
    <t>Assumption varying over the year</t>
  </si>
  <si>
    <t>Implied interest rate</t>
  </si>
  <si>
    <t>Interest rate</t>
  </si>
  <si>
    <t>Marginal Tax rate</t>
  </si>
  <si>
    <t>Effective Tax rate</t>
  </si>
  <si>
    <t>SG&amp;A part of CapEx</t>
  </si>
  <si>
    <t>COGS part of CapEx</t>
  </si>
  <si>
    <t>Acual FCFF growth</t>
  </si>
  <si>
    <t>Indicative revenue growth</t>
  </si>
  <si>
    <t>Non Dep COGS as a % or Revenue</t>
  </si>
  <si>
    <t>Criteria</t>
  </si>
  <si>
    <t>Cash &gt; Current Cash</t>
  </si>
  <si>
    <t>ROIC &gt; WACC</t>
  </si>
  <si>
    <t>In Steady State…</t>
  </si>
  <si>
    <t>Capex = Depreciation</t>
  </si>
  <si>
    <t>margins should keep increasing</t>
  </si>
  <si>
    <t>Revenue reinvestment rate</t>
  </si>
  <si>
    <t>Invested capital turnover</t>
  </si>
  <si>
    <t>Expected Revenue growth</t>
  </si>
  <si>
    <t>2029 CAPEX</t>
  </si>
  <si>
    <t>2030 CAPEX</t>
  </si>
  <si>
    <t>2031 CAPEX</t>
  </si>
  <si>
    <t>2032 CAPEX</t>
  </si>
  <si>
    <t>2033 CAPEX</t>
  </si>
  <si>
    <t>NPV of growth phase</t>
  </si>
  <si>
    <t>Size premium</t>
  </si>
  <si>
    <t>Cost of equity (Small firm)</t>
  </si>
  <si>
    <t>Discount factor</t>
  </si>
  <si>
    <t>Present values of FCFF</t>
  </si>
  <si>
    <t>Terminal phase</t>
  </si>
  <si>
    <t>Terminal WACC</t>
  </si>
  <si>
    <t>Residual value</t>
  </si>
  <si>
    <t>PV of residual value</t>
  </si>
  <si>
    <t>Value of operating assets</t>
  </si>
  <si>
    <t>Terminal value contribution</t>
  </si>
  <si>
    <t>Equity value</t>
  </si>
  <si>
    <t>Debt and other liabilities</t>
  </si>
  <si>
    <t>FCFF terminal growth rate cannot be higher than global GDP growth</t>
  </si>
  <si>
    <t>Growth phase WACC</t>
  </si>
  <si>
    <t>Trials</t>
  </si>
  <si>
    <t>Share price distribution</t>
  </si>
  <si>
    <t>mean</t>
  </si>
  <si>
    <t>standard deviation</t>
  </si>
  <si>
    <t>Max</t>
  </si>
  <si>
    <t>Min</t>
  </si>
  <si>
    <t>Terminal FCFF growth rate</t>
  </si>
  <si>
    <t>Growth rate upper bound</t>
  </si>
  <si>
    <t>Growth inside bound?</t>
  </si>
  <si>
    <t>Passed values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</si>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</sst>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7" formatCode="&quot;$&quot;#,##0.00_);\(&quot;$&quot;#,##0.00\)"/>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mmm\-dd\-yyyy"/>
    <numFmt numFmtId="172" formatCode="_(* #,##0_);_(* \(#,##0\)_)\ ;_(* 0_)"/>
    <numFmt numFmtId="173" formatCode="#,##0.0_);[Red]\(#,##0.0\)"/>
    <numFmt numFmtId="174" formatCode="General\A"/>
    <numFmt numFmtId="175" formatCode="General\E"/>
    <numFmt numFmtId="176" formatCode="#,##0.0_);\(#,##0.0\)"/>
    <numFmt numFmtId="177" formatCode="#,##0.0"/>
    <numFmt numFmtId="178" formatCode="#,##0.0000_);[Red]\(#,##0.0000\)"/>
    <numFmt numFmtId="179" formatCode="0.0%"/>
    <numFmt numFmtId="180" formatCode="0.0%_);\(0.0%\)"/>
    <numFmt numFmtId="181" formatCode="[$-409]d\-mmm\-yy;@"/>
    <numFmt numFmtId="182" formatCode="#,##0.0;[Red]#,##0.0"/>
    <numFmt numFmtId="183" formatCode="0.0"/>
    <numFmt numFmtId="184" formatCode="&quot;$&quot;#,##0.00"/>
  </numFmts>
  <fonts count="44" x14ac:knownFonts="1">
    <font>
      <sz val="10"/>
      <name val="Arial"/>
    </font>
    <font>
      <sz val="8"/>
      <name val="Arial"/>
      <family val="2"/>
    </font>
    <font>
      <b/>
      <sz val="13"/>
      <color indexed="8"/>
      <name val="Verdana"/>
      <family val="2"/>
    </font>
    <font>
      <b/>
      <sz val="12"/>
      <color indexed="8"/>
      <name val="Verdana"/>
      <family val="2"/>
    </font>
    <font>
      <b/>
      <sz val="10"/>
      <color indexed="9"/>
      <name val="Arial"/>
      <family val="2"/>
    </font>
    <font>
      <b/>
      <u val="singleAccounting"/>
      <sz val="8"/>
      <color indexed="8"/>
      <name val="Verdana"/>
      <family val="2"/>
    </font>
    <font>
      <b/>
      <sz val="8"/>
      <color indexed="9"/>
      <name val="Verdana"/>
      <family val="2"/>
    </font>
    <font>
      <b/>
      <u val="singleAccounting"/>
      <sz val="8"/>
      <color indexed="8"/>
      <name val="Arial"/>
      <family val="2"/>
    </font>
    <font>
      <sz val="8"/>
      <color indexed="8"/>
      <name val="Arial"/>
      <family val="2"/>
    </font>
    <font>
      <vertAlign val="superscript"/>
      <sz val="8"/>
      <color indexed="8"/>
      <name val="Arial"/>
      <family val="2"/>
    </font>
    <font>
      <vertAlign val="subscript"/>
      <sz val="8"/>
      <color indexed="8"/>
      <name val="Arial"/>
      <family val="2"/>
    </font>
    <font>
      <b/>
      <sz val="8"/>
      <color indexed="8"/>
      <name val="Arial"/>
      <family val="2"/>
    </font>
    <font>
      <i/>
      <sz val="8"/>
      <color indexed="8"/>
      <name val="Arial"/>
      <family val="2"/>
    </font>
    <font>
      <sz val="1"/>
      <color indexed="9"/>
      <name val="Symbol"/>
      <family val="1"/>
      <charset val="2"/>
    </font>
    <font>
      <sz val="10"/>
      <color indexed="8"/>
      <name val="Arial"/>
      <family val="2"/>
    </font>
    <font>
      <b/>
      <sz val="8"/>
      <color indexed="8"/>
      <name val="Verdana"/>
      <family val="2"/>
    </font>
    <font>
      <i/>
      <sz val="8"/>
      <name val="Arial"/>
      <family val="2"/>
    </font>
    <font>
      <b/>
      <sz val="8"/>
      <name val="Arial"/>
      <family val="2"/>
    </font>
    <font>
      <b/>
      <i/>
      <sz val="8"/>
      <color indexed="8"/>
      <name val="Arial"/>
      <family val="2"/>
    </font>
    <font>
      <b/>
      <u val="double"/>
      <sz val="8"/>
      <color indexed="8"/>
      <name val="Arial"/>
      <family val="2"/>
    </font>
    <font>
      <b/>
      <u/>
      <sz val="8"/>
      <color indexed="8"/>
      <name val="Arial"/>
      <family val="2"/>
    </font>
    <font>
      <b/>
      <sz val="9"/>
      <name val="Arial"/>
      <family val="2"/>
    </font>
    <font>
      <sz val="9"/>
      <name val="Arial"/>
      <family val="2"/>
    </font>
    <font>
      <sz val="9"/>
      <color indexed="12"/>
      <name val="Arial"/>
      <family val="2"/>
    </font>
    <font>
      <i/>
      <sz val="9"/>
      <name val="Arial"/>
      <family val="2"/>
    </font>
    <font>
      <i/>
      <sz val="9"/>
      <color indexed="12"/>
      <name val="Arial"/>
      <family val="2"/>
    </font>
    <font>
      <sz val="10"/>
      <name val="Arial"/>
      <family val="2"/>
    </font>
    <font>
      <b/>
      <sz val="10"/>
      <name val="Arial"/>
      <family val="2"/>
    </font>
    <font>
      <sz val="10"/>
      <color indexed="12"/>
      <name val="Arial"/>
      <family val="2"/>
    </font>
    <font>
      <sz val="10"/>
      <color indexed="8"/>
      <name val="Arial"/>
      <family val="2"/>
    </font>
    <font>
      <b/>
      <sz val="9"/>
      <color indexed="12"/>
      <name val="Arial"/>
      <family val="2"/>
    </font>
    <font>
      <b/>
      <sz val="9"/>
      <color indexed="10"/>
      <name val="Arial"/>
      <family val="2"/>
    </font>
    <font>
      <b/>
      <sz val="9"/>
      <color indexed="8"/>
      <name val="Arial"/>
      <family val="2"/>
    </font>
    <font>
      <sz val="9"/>
      <color indexed="17"/>
      <name val="Arial"/>
      <family val="2"/>
    </font>
    <font>
      <sz val="8"/>
      <name val="Arial"/>
      <family val="2"/>
    </font>
    <font>
      <sz val="9"/>
      <color theme="1"/>
      <name val="Arial"/>
      <family val="2"/>
    </font>
    <font>
      <sz val="8"/>
      <color theme="0"/>
      <name val="Arial"/>
      <family val="2"/>
    </font>
    <font>
      <sz val="9"/>
      <color theme="0"/>
      <name val="Arial"/>
      <family val="2"/>
    </font>
    <font>
      <sz val="8"/>
      <color theme="3" tint="0.249977111117893"/>
      <name val="Arial"/>
      <family val="2"/>
    </font>
    <font>
      <sz val="10"/>
      <name val="Arial"/>
      <family val="2"/>
    </font>
    <font>
      <sz val="9"/>
      <color theme="3" tint="0.249977111117893"/>
      <name val="Arial"/>
      <family val="2"/>
    </font>
    <font>
      <b/>
      <sz val="8"/>
      <name val="Arial"/>
      <family val="2"/>
    </font>
    <font>
      <i/>
      <sz val="8"/>
      <name val="Arial"/>
      <family val="2"/>
    </font>
    <font>
      <i/>
      <sz val="9"/>
      <color theme="3" tint="0.249977111117893"/>
      <name val="Arial"/>
      <family val="2"/>
    </font>
  </fonts>
  <fills count="12">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indexed="22"/>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3" tint="0.249977111117893"/>
        <bgColor indexed="64"/>
      </patternFill>
    </fill>
  </fills>
  <borders count="14">
    <border>
      <left/>
      <right/>
      <top/>
      <bottom/>
      <diagonal/>
    </border>
    <border>
      <left/>
      <right/>
      <top style="thin">
        <color indexed="8"/>
      </top>
      <bottom/>
      <diagonal/>
    </border>
    <border>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double">
        <color indexed="64"/>
      </bottom>
      <diagonal/>
    </border>
  </borders>
  <cellStyleXfs count="18">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xf numFmtId="9" fontId="39" fillId="0" borderId="0" applyFont="0" applyFill="0" applyBorder="0" applyAlignment="0" applyProtection="0"/>
    <xf numFmtId="0" fontId="26" fillId="0" borderId="0"/>
  </cellStyleXfs>
  <cellXfs count="257">
    <xf numFmtId="0" fontId="1" fillId="0" borderId="0" xfId="0" applyFont="1"/>
    <xf numFmtId="0" fontId="2" fillId="0" borderId="0" xfId="0" applyFont="1"/>
    <xf numFmtId="0" fontId="16" fillId="0" borderId="0" xfId="0" applyFont="1" applyAlignment="1">
      <alignment wrapText="1"/>
    </xf>
    <xf numFmtId="0" fontId="17" fillId="0" borderId="0" xfId="0" applyFont="1"/>
    <xf numFmtId="0" fontId="8" fillId="0" borderId="0" xfId="0" applyFont="1" applyAlignment="1">
      <alignment horizontal="left" vertical="top"/>
    </xf>
    <xf numFmtId="49" fontId="1" fillId="0" borderId="0" xfId="0" applyNumberFormat="1" applyFont="1"/>
    <xf numFmtId="0" fontId="6" fillId="5" borderId="0" xfId="0" applyFont="1" applyFill="1"/>
    <xf numFmtId="0" fontId="11" fillId="2" borderId="0" xfId="0" applyFont="1" applyFill="1" applyAlignment="1">
      <alignment wrapText="1"/>
    </xf>
    <xf numFmtId="0" fontId="18" fillId="2"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1" fillId="0" borderId="0" xfId="0" applyFont="1" applyAlignment="1">
      <alignment vertical="top" wrapText="1"/>
    </xf>
    <xf numFmtId="0" fontId="11" fillId="2" borderId="0" xfId="0" applyFont="1" applyFill="1" applyAlignment="1">
      <alignment horizontal="right" wrapText="1"/>
    </xf>
    <xf numFmtId="0" fontId="18" fillId="2"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Font="1" applyAlignment="1">
      <alignment horizontal="center" vertical="center"/>
    </xf>
    <xf numFmtId="0" fontId="8" fillId="0" borderId="0" xfId="0" applyFont="1" applyAlignment="1">
      <alignment horizontal="left" vertical="center"/>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1" fontId="11" fillId="2"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8" fillId="0" borderId="0" xfId="0" applyFont="1" applyAlignment="1">
      <alignment horizontal="center" vertical="center" wrapText="1"/>
    </xf>
    <xf numFmtId="0" fontId="13" fillId="0" borderId="0" xfId="4" applyAlignment="1"/>
    <xf numFmtId="0" fontId="21" fillId="6" borderId="2" xfId="0" applyFont="1" applyFill="1" applyBorder="1"/>
    <xf numFmtId="0" fontId="22" fillId="6" borderId="2" xfId="0" applyFont="1" applyFill="1" applyBorder="1"/>
    <xf numFmtId="173" fontId="21" fillId="6" borderId="2" xfId="0" applyNumberFormat="1" applyFont="1" applyFill="1" applyBorder="1"/>
    <xf numFmtId="0" fontId="22" fillId="0" borderId="0" xfId="0" applyFont="1"/>
    <xf numFmtId="0" fontId="22" fillId="6" borderId="0" xfId="0" applyFont="1" applyFill="1"/>
    <xf numFmtId="0" fontId="22" fillId="6" borderId="0" xfId="0" quotePrefix="1" applyFont="1" applyFill="1"/>
    <xf numFmtId="173" fontId="21" fillId="6" borderId="3" xfId="0" applyNumberFormat="1" applyFont="1" applyFill="1" applyBorder="1" applyAlignment="1">
      <alignment horizontal="centerContinuous"/>
    </xf>
    <xf numFmtId="173" fontId="21" fillId="6" borderId="4" xfId="0" applyNumberFormat="1" applyFont="1" applyFill="1" applyBorder="1" applyAlignment="1">
      <alignment horizontal="centerContinuous"/>
    </xf>
    <xf numFmtId="173" fontId="21" fillId="6" borderId="5" xfId="0" applyNumberFormat="1" applyFont="1" applyFill="1" applyBorder="1" applyAlignment="1">
      <alignment horizontal="centerContinuous"/>
    </xf>
    <xf numFmtId="0" fontId="22" fillId="6" borderId="3" xfId="0" applyFont="1" applyFill="1" applyBorder="1" applyAlignment="1">
      <alignment horizontal="centerContinuous"/>
    </xf>
    <xf numFmtId="0" fontId="21" fillId="6" borderId="3" xfId="0" applyFont="1" applyFill="1" applyBorder="1" applyAlignment="1">
      <alignment horizontal="centerContinuous"/>
    </xf>
    <xf numFmtId="0" fontId="0" fillId="0" borderId="0" xfId="0"/>
    <xf numFmtId="173" fontId="21" fillId="6" borderId="0" xfId="0" applyNumberFormat="1" applyFont="1" applyFill="1" applyAlignment="1">
      <alignment horizontal="centerContinuous"/>
    </xf>
    <xf numFmtId="0" fontId="21" fillId="6" borderId="0" xfId="0" applyFont="1" applyFill="1" applyAlignment="1">
      <alignment horizontal="centerContinuous"/>
    </xf>
    <xf numFmtId="0" fontId="21" fillId="6" borderId="3" xfId="0" applyFont="1" applyFill="1" applyBorder="1"/>
    <xf numFmtId="0" fontId="22" fillId="6" borderId="3" xfId="0" applyFont="1" applyFill="1" applyBorder="1"/>
    <xf numFmtId="0" fontId="21" fillId="6" borderId="3" xfId="0" applyFont="1" applyFill="1" applyBorder="1" applyAlignment="1">
      <alignment wrapText="1"/>
    </xf>
    <xf numFmtId="174" fontId="21" fillId="6" borderId="3" xfId="0" applyNumberFormat="1" applyFont="1" applyFill="1" applyBorder="1" applyAlignment="1">
      <alignment horizontal="right" wrapText="1"/>
    </xf>
    <xf numFmtId="175" fontId="21" fillId="6" borderId="3" xfId="0" applyNumberFormat="1" applyFont="1" applyFill="1" applyBorder="1" applyAlignment="1">
      <alignment horizontal="right" wrapText="1"/>
    </xf>
    <xf numFmtId="0" fontId="21" fillId="7" borderId="2" xfId="0" applyFont="1" applyFill="1" applyBorder="1"/>
    <xf numFmtId="176" fontId="21" fillId="7" borderId="0" xfId="0" applyNumberFormat="1" applyFont="1" applyFill="1" applyAlignment="1">
      <alignment horizontal="right"/>
    </xf>
    <xf numFmtId="0" fontId="22" fillId="7" borderId="0" xfId="0" applyFont="1" applyFill="1"/>
    <xf numFmtId="0" fontId="21" fillId="7" borderId="0" xfId="0" applyFont="1" applyFill="1"/>
    <xf numFmtId="176" fontId="22" fillId="7" borderId="0" xfId="0" applyNumberFormat="1" applyFont="1" applyFill="1" applyAlignment="1">
      <alignment horizontal="right"/>
    </xf>
    <xf numFmtId="176" fontId="23" fillId="7" borderId="0" xfId="0" applyNumberFormat="1" applyFont="1" applyFill="1" applyAlignment="1">
      <alignment horizontal="right"/>
    </xf>
    <xf numFmtId="176" fontId="23" fillId="7" borderId="3" xfId="0" applyNumberFormat="1" applyFont="1" applyFill="1" applyBorder="1" applyAlignment="1">
      <alignment horizontal="right"/>
    </xf>
    <xf numFmtId="176" fontId="22" fillId="7" borderId="3" xfId="0" applyNumberFormat="1" applyFont="1" applyFill="1" applyBorder="1" applyAlignment="1">
      <alignment horizontal="right"/>
    </xf>
    <xf numFmtId="176" fontId="21" fillId="7" borderId="0" xfId="0" applyNumberFormat="1" applyFont="1" applyFill="1"/>
    <xf numFmtId="0" fontId="24" fillId="7" borderId="0" xfId="0" applyFont="1" applyFill="1"/>
    <xf numFmtId="177" fontId="23" fillId="7" borderId="0" xfId="0" applyNumberFormat="1" applyFont="1" applyFill="1" applyAlignment="1">
      <alignment horizontal="right"/>
    </xf>
    <xf numFmtId="176" fontId="21" fillId="7" borderId="6" xfId="0" applyNumberFormat="1" applyFont="1" applyFill="1" applyBorder="1" applyAlignment="1">
      <alignment horizontal="right"/>
    </xf>
    <xf numFmtId="176" fontId="21" fillId="7" borderId="7" xfId="0" applyNumberFormat="1" applyFont="1" applyFill="1" applyBorder="1" applyAlignment="1">
      <alignment horizontal="right"/>
    </xf>
    <xf numFmtId="0" fontId="22" fillId="7" borderId="3" xfId="0" applyFont="1" applyFill="1" applyBorder="1"/>
    <xf numFmtId="0" fontId="21" fillId="7" borderId="3" xfId="0" applyFont="1" applyFill="1" applyBorder="1"/>
    <xf numFmtId="173" fontId="21" fillId="7" borderId="3" xfId="0" applyNumberFormat="1" applyFont="1" applyFill="1" applyBorder="1" applyAlignment="1">
      <alignment horizontal="center"/>
    </xf>
    <xf numFmtId="178" fontId="22" fillId="0" borderId="0" xfId="0" applyNumberFormat="1" applyFont="1"/>
    <xf numFmtId="173" fontId="22" fillId="0" borderId="0" xfId="0" applyNumberFormat="1" applyFont="1"/>
    <xf numFmtId="173" fontId="22" fillId="6" borderId="2" xfId="0" applyNumberFormat="1" applyFont="1" applyFill="1" applyBorder="1"/>
    <xf numFmtId="173" fontId="22" fillId="6" borderId="0" xfId="0" applyNumberFormat="1" applyFont="1" applyFill="1"/>
    <xf numFmtId="173" fontId="22" fillId="6" borderId="3" xfId="0" applyNumberFormat="1" applyFont="1" applyFill="1" applyBorder="1"/>
    <xf numFmtId="0" fontId="22" fillId="6" borderId="3" xfId="0" applyFont="1" applyFill="1" applyBorder="1" applyAlignment="1">
      <alignment wrapText="1"/>
    </xf>
    <xf numFmtId="173" fontId="22" fillId="7" borderId="0" xfId="0" applyNumberFormat="1" applyFont="1" applyFill="1"/>
    <xf numFmtId="0" fontId="22" fillId="7" borderId="0" xfId="0" applyFont="1" applyFill="1" applyAlignment="1">
      <alignment wrapText="1"/>
    </xf>
    <xf numFmtId="176" fontId="21" fillId="7" borderId="0" xfId="0" applyNumberFormat="1" applyFont="1" applyFill="1" applyAlignment="1">
      <alignment horizontal="right" wrapText="1"/>
    </xf>
    <xf numFmtId="173" fontId="23" fillId="7" borderId="0" xfId="0" applyNumberFormat="1" applyFont="1" applyFill="1" applyAlignment="1">
      <alignment horizontal="right" wrapText="1"/>
    </xf>
    <xf numFmtId="0" fontId="24" fillId="7" borderId="0" xfId="0" applyFont="1" applyFill="1" applyAlignment="1">
      <alignment wrapText="1"/>
    </xf>
    <xf numFmtId="179" fontId="24" fillId="7" borderId="0" xfId="0" applyNumberFormat="1" applyFont="1" applyFill="1" applyAlignment="1">
      <alignment wrapText="1"/>
    </xf>
    <xf numFmtId="9" fontId="24" fillId="7" borderId="0" xfId="0" applyNumberFormat="1" applyFont="1" applyFill="1" applyAlignment="1">
      <alignment wrapText="1"/>
    </xf>
    <xf numFmtId="173" fontId="22" fillId="7" borderId="0" xfId="0" applyNumberFormat="1" applyFont="1" applyFill="1" applyAlignment="1">
      <alignment horizontal="right" wrapText="1"/>
    </xf>
    <xf numFmtId="179" fontId="24" fillId="7" borderId="3" xfId="0" applyNumberFormat="1" applyFont="1" applyFill="1" applyBorder="1" applyAlignment="1">
      <alignment wrapText="1"/>
    </xf>
    <xf numFmtId="173" fontId="21" fillId="7" borderId="0" xfId="0" applyNumberFormat="1" applyFont="1" applyFill="1" applyAlignment="1">
      <alignment horizontal="right" wrapText="1"/>
    </xf>
    <xf numFmtId="173" fontId="22" fillId="7" borderId="0" xfId="0" applyNumberFormat="1" applyFont="1" applyFill="1" applyAlignment="1">
      <alignment wrapText="1"/>
    </xf>
    <xf numFmtId="173" fontId="35" fillId="7" borderId="0" xfId="0" applyNumberFormat="1" applyFont="1" applyFill="1" applyAlignment="1">
      <alignment horizontal="right" wrapText="1"/>
    </xf>
    <xf numFmtId="173" fontId="23" fillId="7" borderId="3" xfId="0" applyNumberFormat="1" applyFont="1" applyFill="1" applyBorder="1" applyAlignment="1">
      <alignment horizontal="right" wrapText="1"/>
    </xf>
    <xf numFmtId="173" fontId="22" fillId="7" borderId="3" xfId="0" applyNumberFormat="1" applyFont="1" applyFill="1" applyBorder="1" applyAlignment="1">
      <alignment horizontal="right" wrapText="1"/>
    </xf>
    <xf numFmtId="176" fontId="23" fillId="7" borderId="3" xfId="0" applyNumberFormat="1" applyFont="1" applyFill="1" applyBorder="1" applyAlignment="1">
      <alignment horizontal="right" wrapText="1"/>
    </xf>
    <xf numFmtId="179" fontId="25" fillId="7" borderId="3" xfId="0" applyNumberFormat="1" applyFont="1" applyFill="1" applyBorder="1" applyAlignment="1">
      <alignment wrapText="1"/>
    </xf>
    <xf numFmtId="173" fontId="21" fillId="7" borderId="6" xfId="0" applyNumberFormat="1" applyFont="1" applyFill="1" applyBorder="1" applyAlignment="1">
      <alignment horizontal="right" wrapText="1"/>
    </xf>
    <xf numFmtId="173" fontId="21" fillId="7" borderId="7" xfId="0" applyNumberFormat="1" applyFont="1" applyFill="1" applyBorder="1" applyAlignment="1">
      <alignment horizontal="right" wrapText="1"/>
    </xf>
    <xf numFmtId="180" fontId="22" fillId="7" borderId="0" xfId="0" applyNumberFormat="1" applyFont="1" applyFill="1"/>
    <xf numFmtId="40" fontId="22" fillId="7" borderId="0" xfId="0" applyNumberFormat="1" applyFont="1" applyFill="1" applyAlignment="1">
      <alignment horizontal="right" wrapText="1"/>
    </xf>
    <xf numFmtId="0" fontId="21" fillId="7" borderId="0" xfId="0" applyFont="1" applyFill="1" applyAlignment="1">
      <alignment horizontal="right" wrapText="1"/>
    </xf>
    <xf numFmtId="38" fontId="23" fillId="7" borderId="0" xfId="0" applyNumberFormat="1" applyFont="1" applyFill="1" applyAlignment="1">
      <alignment horizontal="right" wrapText="1"/>
    </xf>
    <xf numFmtId="38" fontId="22" fillId="7" borderId="0" xfId="0" applyNumberFormat="1" applyFont="1" applyFill="1" applyAlignment="1">
      <alignment horizontal="right" wrapText="1"/>
    </xf>
    <xf numFmtId="38" fontId="23" fillId="7" borderId="3" xfId="0" applyNumberFormat="1" applyFont="1" applyFill="1" applyBorder="1" applyAlignment="1">
      <alignment horizontal="right" wrapText="1"/>
    </xf>
    <xf numFmtId="38" fontId="22" fillId="7" borderId="3" xfId="0" applyNumberFormat="1" applyFont="1" applyFill="1" applyBorder="1" applyAlignment="1">
      <alignment horizontal="right" wrapText="1"/>
    </xf>
    <xf numFmtId="0" fontId="22" fillId="7" borderId="6" xfId="0" applyFont="1" applyFill="1" applyBorder="1"/>
    <xf numFmtId="38" fontId="23" fillId="7" borderId="6" xfId="0" applyNumberFormat="1" applyFont="1" applyFill="1" applyBorder="1" applyAlignment="1">
      <alignment horizontal="right" wrapText="1"/>
    </xf>
    <xf numFmtId="179" fontId="22" fillId="0" borderId="0" xfId="0" applyNumberFormat="1" applyFont="1"/>
    <xf numFmtId="38" fontId="22" fillId="0" borderId="0" xfId="0" applyNumberFormat="1" applyFont="1"/>
    <xf numFmtId="0" fontId="26" fillId="7" borderId="0" xfId="0" applyFont="1" applyFill="1"/>
    <xf numFmtId="7" fontId="26" fillId="7" borderId="0" xfId="0" applyNumberFormat="1" applyFont="1" applyFill="1" applyAlignment="1">
      <alignment horizontal="right"/>
    </xf>
    <xf numFmtId="0" fontId="27" fillId="7" borderId="0" xfId="0" applyFont="1" applyFill="1"/>
    <xf numFmtId="37" fontId="28" fillId="7" borderId="0" xfId="0" applyNumberFormat="1" applyFont="1" applyFill="1"/>
    <xf numFmtId="0" fontId="26" fillId="7" borderId="0" xfId="0" quotePrefix="1" applyFont="1" applyFill="1"/>
    <xf numFmtId="7" fontId="28" fillId="7" borderId="0" xfId="0" applyNumberFormat="1" applyFont="1" applyFill="1" applyAlignment="1">
      <alignment horizontal="right"/>
    </xf>
    <xf numFmtId="37" fontId="29" fillId="7" borderId="0" xfId="0" applyNumberFormat="1" applyFont="1" applyFill="1"/>
    <xf numFmtId="0" fontId="26" fillId="7" borderId="3" xfId="0" applyFont="1" applyFill="1" applyBorder="1"/>
    <xf numFmtId="0" fontId="27" fillId="7" borderId="3" xfId="0" applyFont="1" applyFill="1" applyBorder="1"/>
    <xf numFmtId="37" fontId="26" fillId="7" borderId="3" xfId="0" applyNumberFormat="1" applyFont="1" applyFill="1" applyBorder="1"/>
    <xf numFmtId="0" fontId="27" fillId="7" borderId="8" xfId="0" applyFont="1" applyFill="1" applyBorder="1"/>
    <xf numFmtId="37" fontId="27" fillId="7" borderId="9" xfId="0" applyNumberFormat="1" applyFont="1" applyFill="1" applyBorder="1"/>
    <xf numFmtId="181" fontId="21" fillId="6" borderId="3" xfId="0" applyNumberFormat="1" applyFont="1" applyFill="1" applyBorder="1" applyAlignment="1">
      <alignment horizontal="right" wrapText="1"/>
    </xf>
    <xf numFmtId="177" fontId="30" fillId="7" borderId="0" xfId="0" applyNumberFormat="1" applyFont="1" applyFill="1"/>
    <xf numFmtId="177" fontId="31" fillId="7" borderId="0" xfId="0" applyNumberFormat="1" applyFont="1" applyFill="1"/>
    <xf numFmtId="177" fontId="21" fillId="7" borderId="0" xfId="0" applyNumberFormat="1" applyFont="1" applyFill="1"/>
    <xf numFmtId="4" fontId="21" fillId="7" borderId="0" xfId="0" applyNumberFormat="1" applyFont="1" applyFill="1"/>
    <xf numFmtId="4" fontId="21" fillId="7" borderId="0" xfId="0" applyNumberFormat="1" applyFont="1" applyFill="1" applyAlignment="1">
      <alignment horizontal="right"/>
    </xf>
    <xf numFmtId="3" fontId="30" fillId="7" borderId="0" xfId="0" applyNumberFormat="1" applyFont="1" applyFill="1"/>
    <xf numFmtId="0" fontId="22" fillId="7" borderId="0" xfId="0" applyFont="1" applyFill="1" applyAlignment="1">
      <alignment horizontal="left"/>
    </xf>
    <xf numFmtId="182" fontId="22" fillId="7" borderId="0" xfId="0" applyNumberFormat="1" applyFont="1" applyFill="1"/>
    <xf numFmtId="177" fontId="22" fillId="7" borderId="0" xfId="0" applyNumberFormat="1" applyFont="1" applyFill="1" applyAlignment="1">
      <alignment horizontal="right"/>
    </xf>
    <xf numFmtId="177" fontId="21" fillId="7" borderId="0" xfId="0" applyNumberFormat="1" applyFont="1" applyFill="1" applyAlignment="1">
      <alignment horizontal="right"/>
    </xf>
    <xf numFmtId="9" fontId="30" fillId="7" borderId="0" xfId="0" applyNumberFormat="1" applyFont="1" applyFill="1"/>
    <xf numFmtId="10" fontId="30" fillId="7" borderId="0" xfId="0" applyNumberFormat="1" applyFont="1" applyFill="1"/>
    <xf numFmtId="176" fontId="22" fillId="7" borderId="0" xfId="0" applyNumberFormat="1" applyFont="1" applyFill="1"/>
    <xf numFmtId="9" fontId="24" fillId="7" borderId="0" xfId="0" applyNumberFormat="1" applyFont="1" applyFill="1" applyAlignment="1">
      <alignment horizontal="right"/>
    </xf>
    <xf numFmtId="176" fontId="21" fillId="7" borderId="3" xfId="0" applyNumberFormat="1" applyFont="1" applyFill="1" applyBorder="1" applyAlignment="1">
      <alignment horizontal="right"/>
    </xf>
    <xf numFmtId="176" fontId="22" fillId="0" borderId="0" xfId="0" applyNumberFormat="1" applyFont="1" applyAlignment="1">
      <alignment horizontal="right"/>
    </xf>
    <xf numFmtId="177" fontId="23" fillId="7" borderId="0" xfId="0" applyNumberFormat="1" applyFont="1" applyFill="1"/>
    <xf numFmtId="177" fontId="22" fillId="7" borderId="0" xfId="0" applyNumberFormat="1" applyFont="1" applyFill="1"/>
    <xf numFmtId="0" fontId="24" fillId="7" borderId="0" xfId="0" applyFont="1" applyFill="1" applyAlignment="1">
      <alignment horizontal="left"/>
    </xf>
    <xf numFmtId="183" fontId="24" fillId="7" borderId="0" xfId="0" applyNumberFormat="1" applyFont="1" applyFill="1"/>
    <xf numFmtId="183" fontId="25" fillId="7" borderId="0" xfId="0" applyNumberFormat="1" applyFont="1" applyFill="1"/>
    <xf numFmtId="0" fontId="24" fillId="0" borderId="0" xfId="0" applyFont="1"/>
    <xf numFmtId="183" fontId="23" fillId="7" borderId="0" xfId="0" applyNumberFormat="1" applyFont="1" applyFill="1"/>
    <xf numFmtId="0" fontId="0" fillId="7" borderId="0" xfId="0" applyFill="1"/>
    <xf numFmtId="183" fontId="25" fillId="7" borderId="3" xfId="0" applyNumberFormat="1" applyFont="1" applyFill="1" applyBorder="1"/>
    <xf numFmtId="0" fontId="21" fillId="7" borderId="0" xfId="0" applyFont="1" applyFill="1" applyAlignment="1">
      <alignment horizontal="left"/>
    </xf>
    <xf numFmtId="0" fontId="24" fillId="7" borderId="0" xfId="0" applyFont="1" applyFill="1" applyAlignment="1">
      <alignment horizontal="left" indent="1"/>
    </xf>
    <xf numFmtId="177" fontId="32" fillId="7" borderId="0" xfId="0" applyNumberFormat="1" applyFont="1" applyFill="1" applyAlignment="1">
      <alignment horizontal="right"/>
    </xf>
    <xf numFmtId="0" fontId="22" fillId="7" borderId="0" xfId="0" applyFont="1" applyFill="1" applyAlignment="1">
      <alignment horizontal="center"/>
    </xf>
    <xf numFmtId="182" fontId="33" fillId="7" borderId="0" xfId="0" applyNumberFormat="1" applyFont="1" applyFill="1"/>
    <xf numFmtId="177" fontId="21" fillId="7" borderId="6" xfId="0" applyNumberFormat="1" applyFont="1" applyFill="1" applyBorder="1" applyAlignment="1">
      <alignment horizontal="right"/>
    </xf>
    <xf numFmtId="0" fontId="21" fillId="7" borderId="0" xfId="0" applyFont="1" applyFill="1" applyAlignment="1">
      <alignment horizontal="center"/>
    </xf>
    <xf numFmtId="0" fontId="21" fillId="0" borderId="0" xfId="0" applyFont="1"/>
    <xf numFmtId="0" fontId="22" fillId="0" borderId="0" xfId="0" applyFont="1" applyAlignment="1">
      <alignment horizontal="center"/>
    </xf>
    <xf numFmtId="177" fontId="22" fillId="0" borderId="0" xfId="0" applyNumberFormat="1" applyFont="1" applyAlignment="1">
      <alignment horizontal="right"/>
    </xf>
    <xf numFmtId="177" fontId="23" fillId="0" borderId="0" xfId="0" applyNumberFormat="1" applyFont="1" applyAlignment="1">
      <alignment horizontal="right"/>
    </xf>
    <xf numFmtId="4" fontId="22" fillId="0" borderId="0" xfId="0" applyNumberFormat="1" applyFont="1" applyAlignment="1">
      <alignment horizontal="right"/>
    </xf>
    <xf numFmtId="176" fontId="21" fillId="0" borderId="0" xfId="0" applyNumberFormat="1" applyFont="1" applyAlignment="1">
      <alignment horizontal="right"/>
    </xf>
    <xf numFmtId="4" fontId="21" fillId="0" borderId="0" xfId="0" applyNumberFormat="1" applyFont="1"/>
    <xf numFmtId="4" fontId="21" fillId="0" borderId="0" xfId="0" applyNumberFormat="1" applyFont="1" applyAlignment="1">
      <alignment horizontal="right"/>
    </xf>
    <xf numFmtId="9" fontId="30" fillId="0" borderId="0" xfId="0" applyNumberFormat="1" applyFont="1"/>
    <xf numFmtId="177" fontId="22" fillId="0" borderId="0" xfId="0" applyNumberFormat="1" applyFont="1"/>
    <xf numFmtId="177" fontId="21" fillId="0" borderId="0" xfId="0" applyNumberFormat="1" applyFont="1" applyAlignment="1">
      <alignment horizontal="right"/>
    </xf>
    <xf numFmtId="176" fontId="22" fillId="0" borderId="0" xfId="0" applyNumberFormat="1" applyFont="1"/>
    <xf numFmtId="9" fontId="24" fillId="0" borderId="0" xfId="0" applyNumberFormat="1" applyFont="1" applyAlignment="1">
      <alignment horizontal="right"/>
    </xf>
    <xf numFmtId="173" fontId="21" fillId="0" borderId="0" xfId="0" applyNumberFormat="1" applyFont="1" applyAlignment="1">
      <alignment horizontal="center"/>
    </xf>
    <xf numFmtId="176" fontId="23" fillId="7" borderId="10" xfId="0" applyNumberFormat="1" applyFont="1" applyFill="1" applyBorder="1" applyAlignment="1">
      <alignment horizontal="right"/>
    </xf>
    <xf numFmtId="176" fontId="22" fillId="7" borderId="10" xfId="0" applyNumberFormat="1" applyFont="1" applyFill="1" applyBorder="1" applyAlignment="1">
      <alignment horizontal="right"/>
    </xf>
    <xf numFmtId="2" fontId="22" fillId="7" borderId="0" xfId="0" applyNumberFormat="1" applyFont="1" applyFill="1" applyAlignment="1">
      <alignment wrapText="1"/>
    </xf>
    <xf numFmtId="183" fontId="22" fillId="7" borderId="0" xfId="0" applyNumberFormat="1" applyFont="1" applyFill="1"/>
    <xf numFmtId="176" fontId="22" fillId="7" borderId="6" xfId="0" applyNumberFormat="1" applyFont="1" applyFill="1" applyBorder="1" applyAlignment="1">
      <alignment horizontal="right" wrapText="1"/>
    </xf>
    <xf numFmtId="0" fontId="34" fillId="0" borderId="0" xfId="0" applyFont="1"/>
    <xf numFmtId="10" fontId="1" fillId="0" borderId="0" xfId="0" applyNumberFormat="1" applyFont="1"/>
    <xf numFmtId="2" fontId="1" fillId="0" borderId="0" xfId="0" applyNumberFormat="1" applyFont="1"/>
    <xf numFmtId="0" fontId="1" fillId="9" borderId="0" xfId="0" applyFont="1" applyFill="1"/>
    <xf numFmtId="0" fontId="36" fillId="9" borderId="0" xfId="0" applyFont="1" applyFill="1"/>
    <xf numFmtId="0" fontId="37" fillId="9" borderId="0" xfId="0" applyFont="1" applyFill="1"/>
    <xf numFmtId="10" fontId="38" fillId="0" borderId="0" xfId="0" applyNumberFormat="1" applyFont="1"/>
    <xf numFmtId="0" fontId="38" fillId="0" borderId="0" xfId="0" applyFont="1"/>
    <xf numFmtId="184" fontId="38" fillId="0" borderId="0" xfId="0" applyNumberFormat="1" applyFont="1"/>
    <xf numFmtId="0" fontId="41" fillId="0" borderId="0" xfId="0" applyFont="1"/>
    <xf numFmtId="0" fontId="42" fillId="0" borderId="0" xfId="0" applyFont="1"/>
    <xf numFmtId="0" fontId="1" fillId="0" borderId="3" xfId="0" applyFont="1" applyBorder="1"/>
    <xf numFmtId="0" fontId="34" fillId="0" borderId="3" xfId="0" applyFont="1" applyBorder="1"/>
    <xf numFmtId="0" fontId="42" fillId="0" borderId="3" xfId="0" applyFont="1" applyBorder="1"/>
    <xf numFmtId="9" fontId="1" fillId="0" borderId="0" xfId="16" applyFont="1"/>
    <xf numFmtId="9" fontId="1" fillId="0" borderId="0" xfId="0" applyNumberFormat="1" applyFont="1"/>
    <xf numFmtId="2" fontId="1" fillId="0" borderId="3" xfId="0" applyNumberFormat="1" applyFont="1" applyBorder="1"/>
    <xf numFmtId="0" fontId="16" fillId="0" borderId="0" xfId="0" applyFont="1"/>
    <xf numFmtId="2" fontId="22" fillId="0" borderId="0" xfId="0" applyNumberFormat="1" applyFont="1"/>
    <xf numFmtId="179" fontId="43" fillId="7" borderId="0" xfId="0" applyNumberFormat="1" applyFont="1" applyFill="1" applyAlignment="1">
      <alignment wrapText="1"/>
    </xf>
    <xf numFmtId="179" fontId="43" fillId="7" borderId="3" xfId="0" applyNumberFormat="1" applyFont="1" applyFill="1" applyBorder="1" applyAlignment="1">
      <alignment horizontal="right" wrapText="1"/>
    </xf>
    <xf numFmtId="2" fontId="40" fillId="0" borderId="0" xfId="0" applyNumberFormat="1" applyFont="1"/>
    <xf numFmtId="9" fontId="38" fillId="0" borderId="0" xfId="0" applyNumberFormat="1" applyFont="1"/>
    <xf numFmtId="0" fontId="16" fillId="10" borderId="0" xfId="0" applyFont="1" applyFill="1"/>
    <xf numFmtId="2" fontId="1" fillId="10" borderId="0" xfId="0" applyNumberFormat="1" applyFont="1" applyFill="1"/>
    <xf numFmtId="0" fontId="1" fillId="10" borderId="0" xfId="0" applyFont="1" applyFill="1"/>
    <xf numFmtId="2" fontId="1" fillId="10" borderId="3" xfId="0" applyNumberFormat="1" applyFont="1" applyFill="1" applyBorder="1"/>
    <xf numFmtId="9" fontId="1" fillId="10" borderId="0" xfId="16" applyFont="1" applyFill="1"/>
    <xf numFmtId="2" fontId="8" fillId="10" borderId="0" xfId="0" applyNumberFormat="1" applyFont="1" applyFill="1" applyAlignment="1">
      <alignment horizontal="right" vertical="top" wrapText="1"/>
    </xf>
    <xf numFmtId="0" fontId="36" fillId="11" borderId="0" xfId="0" applyFont="1" applyFill="1"/>
    <xf numFmtId="0" fontId="26" fillId="8" borderId="8" xfId="0" applyFont="1" applyFill="1" applyBorder="1" applyAlignment="1">
      <alignment horizontal="center" vertical="center" wrapText="1"/>
    </xf>
    <xf numFmtId="0" fontId="0" fillId="0" borderId="6" xfId="0" applyBorder="1"/>
    <xf numFmtId="0" fontId="0" fillId="0" borderId="9" xfId="0" applyBorder="1"/>
    <xf numFmtId="0" fontId="22" fillId="6" borderId="3" xfId="0" quotePrefix="1" applyFont="1" applyFill="1" applyBorder="1"/>
    <xf numFmtId="2" fontId="38" fillId="0" borderId="0" xfId="0" applyNumberFormat="1" applyFont="1"/>
    <xf numFmtId="0" fontId="21" fillId="6" borderId="11" xfId="0" applyFont="1" applyFill="1" applyBorder="1" applyAlignment="1">
      <alignment horizontal="centerContinuous"/>
    </xf>
    <xf numFmtId="174" fontId="21" fillId="6" borderId="4" xfId="0" applyNumberFormat="1" applyFont="1" applyFill="1" applyBorder="1" applyAlignment="1">
      <alignment horizontal="right" wrapText="1"/>
    </xf>
    <xf numFmtId="176" fontId="21" fillId="7" borderId="12" xfId="0" applyNumberFormat="1" applyFont="1" applyFill="1" applyBorder="1" applyAlignment="1">
      <alignment horizontal="right" wrapText="1"/>
    </xf>
    <xf numFmtId="179" fontId="24" fillId="7" borderId="12" xfId="0" applyNumberFormat="1" applyFont="1" applyFill="1" applyBorder="1" applyAlignment="1">
      <alignment wrapText="1"/>
    </xf>
    <xf numFmtId="2" fontId="22" fillId="7" borderId="12" xfId="0" applyNumberFormat="1" applyFont="1" applyFill="1" applyBorder="1" applyAlignment="1">
      <alignment wrapText="1"/>
    </xf>
    <xf numFmtId="173" fontId="21" fillId="7" borderId="12" xfId="0" applyNumberFormat="1" applyFont="1" applyFill="1" applyBorder="1" applyAlignment="1">
      <alignment horizontal="right" wrapText="1"/>
    </xf>
    <xf numFmtId="173" fontId="35" fillId="7" borderId="12" xfId="0" applyNumberFormat="1" applyFont="1" applyFill="1" applyBorder="1" applyAlignment="1">
      <alignment horizontal="right" wrapText="1"/>
    </xf>
    <xf numFmtId="173" fontId="22" fillId="0" borderId="12" xfId="0" applyNumberFormat="1" applyFont="1" applyBorder="1"/>
    <xf numFmtId="179" fontId="24" fillId="7" borderId="4" xfId="0" applyNumberFormat="1" applyFont="1" applyFill="1" applyBorder="1" applyAlignment="1">
      <alignment wrapText="1"/>
    </xf>
    <xf numFmtId="173" fontId="22" fillId="7" borderId="12" xfId="0" applyNumberFormat="1" applyFont="1" applyFill="1" applyBorder="1" applyAlignment="1">
      <alignment horizontal="right" wrapText="1"/>
    </xf>
    <xf numFmtId="173" fontId="23" fillId="7" borderId="4" xfId="0" applyNumberFormat="1" applyFont="1" applyFill="1" applyBorder="1" applyAlignment="1">
      <alignment horizontal="right" wrapText="1"/>
    </xf>
    <xf numFmtId="9" fontId="24" fillId="7" borderId="12" xfId="0" applyNumberFormat="1" applyFont="1" applyFill="1" applyBorder="1" applyAlignment="1">
      <alignment wrapText="1"/>
    </xf>
    <xf numFmtId="173" fontId="23" fillId="7" borderId="12" xfId="0" applyNumberFormat="1" applyFont="1" applyFill="1" applyBorder="1" applyAlignment="1">
      <alignment horizontal="right" wrapText="1"/>
    </xf>
    <xf numFmtId="176" fontId="22" fillId="7" borderId="9" xfId="0" applyNumberFormat="1" applyFont="1" applyFill="1" applyBorder="1" applyAlignment="1">
      <alignment horizontal="right" wrapText="1"/>
    </xf>
    <xf numFmtId="173" fontId="22" fillId="7" borderId="12" xfId="0" applyNumberFormat="1" applyFont="1" applyFill="1" applyBorder="1" applyAlignment="1">
      <alignment wrapText="1"/>
    </xf>
    <xf numFmtId="173" fontId="21" fillId="7" borderId="9" xfId="0" applyNumberFormat="1" applyFont="1" applyFill="1" applyBorder="1" applyAlignment="1">
      <alignment horizontal="right" wrapText="1"/>
    </xf>
    <xf numFmtId="173" fontId="21" fillId="7" borderId="13" xfId="0" applyNumberFormat="1" applyFont="1" applyFill="1" applyBorder="1" applyAlignment="1">
      <alignment horizontal="right" wrapText="1"/>
    </xf>
    <xf numFmtId="180" fontId="22" fillId="7" borderId="12" xfId="0" applyNumberFormat="1" applyFont="1" applyFill="1" applyBorder="1"/>
    <xf numFmtId="40" fontId="22" fillId="7" borderId="12" xfId="0" applyNumberFormat="1" applyFont="1" applyFill="1" applyBorder="1" applyAlignment="1">
      <alignment horizontal="right" wrapText="1"/>
    </xf>
    <xf numFmtId="0" fontId="21" fillId="7" borderId="12" xfId="0" applyFont="1" applyFill="1" applyBorder="1" applyAlignment="1">
      <alignment horizontal="right" wrapText="1"/>
    </xf>
    <xf numFmtId="38" fontId="23" fillId="7" borderId="12" xfId="0" applyNumberFormat="1" applyFont="1" applyFill="1" applyBorder="1" applyAlignment="1">
      <alignment horizontal="right" wrapText="1"/>
    </xf>
    <xf numFmtId="38" fontId="23" fillId="7" borderId="4" xfId="0" applyNumberFormat="1" applyFont="1" applyFill="1" applyBorder="1" applyAlignment="1">
      <alignment horizontal="right" wrapText="1"/>
    </xf>
    <xf numFmtId="38" fontId="23" fillId="7" borderId="9" xfId="0" applyNumberFormat="1" applyFont="1" applyFill="1" applyBorder="1" applyAlignment="1">
      <alignment horizontal="right" wrapText="1"/>
    </xf>
    <xf numFmtId="2" fontId="1" fillId="10" borderId="0" xfId="0" applyNumberFormat="1" applyFont="1" applyFill="1" applyBorder="1"/>
    <xf numFmtId="9" fontId="22" fillId="7" borderId="0" xfId="16" applyFont="1" applyFill="1" applyAlignment="1">
      <alignment wrapText="1"/>
    </xf>
    <xf numFmtId="9" fontId="43" fillId="7" borderId="0" xfId="16" applyFont="1" applyFill="1" applyAlignment="1">
      <alignment wrapText="1"/>
    </xf>
    <xf numFmtId="9" fontId="38" fillId="0" borderId="0" xfId="16" applyFont="1"/>
    <xf numFmtId="9" fontId="23" fillId="7" borderId="0" xfId="16" applyFont="1" applyFill="1" applyAlignment="1">
      <alignment horizontal="right" wrapText="1"/>
    </xf>
    <xf numFmtId="177" fontId="30" fillId="7" borderId="12" xfId="0" applyNumberFormat="1" applyFont="1" applyFill="1" applyBorder="1"/>
    <xf numFmtId="177" fontId="23" fillId="7" borderId="12" xfId="0" applyNumberFormat="1" applyFont="1" applyFill="1" applyBorder="1"/>
    <xf numFmtId="183" fontId="24" fillId="7" borderId="12" xfId="0" applyNumberFormat="1" applyFont="1" applyFill="1" applyBorder="1"/>
    <xf numFmtId="183" fontId="23" fillId="7" borderId="12" xfId="0" applyNumberFormat="1" applyFont="1" applyFill="1" applyBorder="1"/>
    <xf numFmtId="177" fontId="23" fillId="7" borderId="12" xfId="0" applyNumberFormat="1" applyFont="1" applyFill="1" applyBorder="1" applyAlignment="1">
      <alignment horizontal="right"/>
    </xf>
    <xf numFmtId="183" fontId="25" fillId="7" borderId="4" xfId="0" applyNumberFormat="1" applyFont="1" applyFill="1" applyBorder="1"/>
    <xf numFmtId="177" fontId="32" fillId="7" borderId="12" xfId="0" applyNumberFormat="1" applyFont="1" applyFill="1" applyBorder="1" applyAlignment="1">
      <alignment horizontal="right"/>
    </xf>
    <xf numFmtId="176" fontId="33" fillId="7" borderId="12" xfId="0" applyNumberFormat="1" applyFont="1" applyFill="1" applyBorder="1"/>
    <xf numFmtId="183" fontId="22" fillId="7" borderId="12" xfId="0" applyNumberFormat="1" applyFont="1" applyFill="1" applyBorder="1"/>
    <xf numFmtId="177" fontId="21" fillId="7" borderId="9" xfId="0" applyNumberFormat="1" applyFont="1" applyFill="1" applyBorder="1" applyAlignment="1">
      <alignment horizontal="right"/>
    </xf>
    <xf numFmtId="176" fontId="21" fillId="7" borderId="12" xfId="0" applyNumberFormat="1" applyFont="1" applyFill="1" applyBorder="1" applyAlignment="1">
      <alignment horizontal="right"/>
    </xf>
    <xf numFmtId="176" fontId="22" fillId="7" borderId="12" xfId="0" applyNumberFormat="1" applyFont="1" applyFill="1" applyBorder="1" applyAlignment="1">
      <alignment horizontal="right"/>
    </xf>
    <xf numFmtId="173" fontId="21" fillId="7" borderId="4" xfId="0" applyNumberFormat="1" applyFont="1" applyFill="1" applyBorder="1" applyAlignment="1">
      <alignment horizontal="center"/>
    </xf>
    <xf numFmtId="0" fontId="16" fillId="10" borderId="12" xfId="0" applyFont="1" applyFill="1" applyBorder="1"/>
    <xf numFmtId="2" fontId="1" fillId="10" borderId="12" xfId="0" applyNumberFormat="1" applyFont="1" applyFill="1" applyBorder="1"/>
    <xf numFmtId="2" fontId="1" fillId="10" borderId="4" xfId="0" applyNumberFormat="1" applyFont="1" applyFill="1" applyBorder="1"/>
    <xf numFmtId="9" fontId="1" fillId="10" borderId="12" xfId="16" applyFont="1" applyFill="1" applyBorder="1"/>
    <xf numFmtId="0" fontId="1" fillId="10" borderId="12" xfId="0" applyFont="1" applyFill="1" applyBorder="1"/>
    <xf numFmtId="2" fontId="8" fillId="10" borderId="12" xfId="0" applyNumberFormat="1" applyFont="1" applyFill="1" applyBorder="1" applyAlignment="1">
      <alignment horizontal="right" vertical="top" wrapText="1"/>
    </xf>
    <xf numFmtId="10" fontId="1" fillId="0" borderId="0" xfId="16" applyNumberFormat="1" applyFont="1"/>
    <xf numFmtId="179" fontId="1" fillId="10" borderId="0" xfId="16" applyNumberFormat="1" applyFont="1" applyFill="1"/>
    <xf numFmtId="0" fontId="36" fillId="11" borderId="0" xfId="0" applyFont="1" applyFill="1" applyAlignment="1">
      <alignment horizontal="center"/>
    </xf>
  </cellXfs>
  <cellStyles count="21">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NewColumnHeaderNormal" xfId="5" xr:uid="{00000000-0005-0000-0000-000007000000}"/>
    <cellStyle name="NewSectionHeaderNormal" xfId="6" xr:uid="{00000000-0005-0000-0000-000008000000}"/>
    <cellStyle name="NewTitleNormal" xfId="7" xr:uid="{00000000-0005-0000-0000-000009000000}"/>
    <cellStyle name="Normal" xfId="0" builtinId="0"/>
    <cellStyle name="Normal 2" xfId="17" xr:uid="{49E8F10E-0A7E-4AD1-92DF-A1C78A6991EE}"/>
    <cellStyle name="Percent" xfId="16" builtinId="5"/>
    <cellStyle name="SectionHeaderNormal" xfId="8" xr:uid="{00000000-0005-0000-0000-00000B000000}"/>
    <cellStyle name="SubScript" xfId="9" xr:uid="{00000000-0005-0000-0000-00000C000000}"/>
    <cellStyle name="SuperScript" xfId="10" xr:uid="{00000000-0005-0000-0000-00000D000000}"/>
    <cellStyle name="TextBold" xfId="11" xr:uid="{00000000-0005-0000-0000-00000E000000}"/>
    <cellStyle name="TextItalic" xfId="12" xr:uid="{00000000-0005-0000-0000-00000F000000}"/>
    <cellStyle name="TextNormal" xfId="13" xr:uid="{00000000-0005-0000-0000-000010000000}"/>
    <cellStyle name="TitleNormal" xfId="14" xr:uid="{00000000-0005-0000-0000-000011000000}"/>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Share value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Share value</a:t>
          </a:r>
        </a:p>
      </cx:txPr>
    </cx:title>
    <cx:plotArea>
      <cx:plotAreaRegion>
        <cx:series layoutId="clusteredColumn" uniqueId="{12F31558-3C64-4E64-83DA-E04612BF1439}">
          <cx:dataId val="0"/>
          <cx:layoutPr>
            <cx:binning intervalClosed="r">
              <cx:binSize val="10"/>
            </cx:binning>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17427" name="Picture 2">
          <a:extLst>
            <a:ext uri="{FF2B5EF4-FFF2-40B4-BE49-F238E27FC236}">
              <a16:creationId xmlns:a16="http://schemas.microsoft.com/office/drawing/2014/main" id="{6FD7EEE1-F7DE-98AD-E615-8C199EA774E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21523" name="Picture 2">
          <a:extLst>
            <a:ext uri="{FF2B5EF4-FFF2-40B4-BE49-F238E27FC236}">
              <a16:creationId xmlns:a16="http://schemas.microsoft.com/office/drawing/2014/main" id="{25B14479-0842-182B-2D16-82A75E5900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25619" name="Picture 2">
          <a:extLst>
            <a:ext uri="{FF2B5EF4-FFF2-40B4-BE49-F238E27FC236}">
              <a16:creationId xmlns:a16="http://schemas.microsoft.com/office/drawing/2014/main" id="{BD097950-4161-CF30-14F3-D463FA4B140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1061" name="Picture 2">
          <a:extLst>
            <a:ext uri="{FF2B5EF4-FFF2-40B4-BE49-F238E27FC236}">
              <a16:creationId xmlns:a16="http://schemas.microsoft.com/office/drawing/2014/main" id="{F41E4674-B043-21F2-E059-6066CC8B6A6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15240</xdr:colOff>
      <xdr:row>67</xdr:row>
      <xdr:rowOff>0</xdr:rowOff>
    </xdr:from>
    <xdr:to>
      <xdr:col>3</xdr:col>
      <xdr:colOff>708660</xdr:colOff>
      <xdr:row>67</xdr:row>
      <xdr:rowOff>2278380</xdr:rowOff>
    </xdr:to>
    <xdr:pic>
      <xdr:nvPicPr>
        <xdr:cNvPr id="1062" name="Picture 3">
          <a:extLst>
            <a:ext uri="{FF2B5EF4-FFF2-40B4-BE49-F238E27FC236}">
              <a16:creationId xmlns:a16="http://schemas.microsoft.com/office/drawing/2014/main" id="{788B0821-8134-DC92-0F9A-C5C66C2002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240" y="9532620"/>
          <a:ext cx="5859780" cy="22783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5139" name="Picture 2">
          <a:extLst>
            <a:ext uri="{FF2B5EF4-FFF2-40B4-BE49-F238E27FC236}">
              <a16:creationId xmlns:a16="http://schemas.microsoft.com/office/drawing/2014/main" id="{7A9B534F-4487-4739-7E3E-AB40012340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3091" name="Picture 2">
          <a:extLst>
            <a:ext uri="{FF2B5EF4-FFF2-40B4-BE49-F238E27FC236}">
              <a16:creationId xmlns:a16="http://schemas.microsoft.com/office/drawing/2014/main" id="{73B54B98-2754-26D5-29D0-AD1993AD8DD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1127760</xdr:colOff>
      <xdr:row>2</xdr:row>
      <xdr:rowOff>106680</xdr:rowOff>
    </xdr:to>
    <xdr:pic>
      <xdr:nvPicPr>
        <xdr:cNvPr id="7187" name="Picture 2">
          <a:extLst>
            <a:ext uri="{FF2B5EF4-FFF2-40B4-BE49-F238E27FC236}">
              <a16:creationId xmlns:a16="http://schemas.microsoft.com/office/drawing/2014/main" id="{2778CBBE-9093-2DE4-895B-F4FEF11F33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27760"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10</xdr:row>
      <xdr:rowOff>0</xdr:rowOff>
    </xdr:from>
    <xdr:to>
      <xdr:col>14</xdr:col>
      <xdr:colOff>310931</xdr:colOff>
      <xdr:row>31</xdr:row>
      <xdr:rowOff>76200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9F36F705-521B-4D9D-8D10-A4612B4FFBE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389414" y="12700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fordhamit-my.sharepoint.com/personal/sthoguluachandraseka_fordham_edu/Documents/Finance/Principles%20of%20Modern%20Finance/Project/1%20%20%20%20%20%20%20%20%20%20Geely_Valuation_Analysis.xlsx" TargetMode="External"/><Relationship Id="rId1" Type="http://schemas.openxmlformats.org/officeDocument/2006/relationships/externalLinkPath" Target="1%20%20%20%20%20%20%20%20%20%20Geely_Valuation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 Statement"/>
      <sheetName val="Cash Flow Statement"/>
      <sheetName val="Balance Sheet"/>
      <sheetName val="Depreciation"/>
      <sheetName val="Operating Working Capital"/>
      <sheetName val="DCF Analysis"/>
    </sheetNames>
    <sheetDataSet>
      <sheetData sheetId="0">
        <row r="32">
          <cell r="G32">
            <v>0.15</v>
          </cell>
          <cell r="H32">
            <v>0.15</v>
          </cell>
          <cell r="I32">
            <v>0.15</v>
          </cell>
          <cell r="J32">
            <v>0.15</v>
          </cell>
          <cell r="K32">
            <v>0.15</v>
          </cell>
        </row>
      </sheetData>
      <sheetData sheetId="1">
        <row r="2">
          <cell r="A2" t="str">
            <v>(in US$ millions)</v>
          </cell>
        </row>
        <row r="18">
          <cell r="D18">
            <v>-89.899999999999864</v>
          </cell>
          <cell r="E18">
            <v>284</v>
          </cell>
          <cell r="F18">
            <v>279.89999999999998</v>
          </cell>
          <cell r="G18">
            <v>372.6803085599995</v>
          </cell>
          <cell r="H18">
            <v>158.35166788319998</v>
          </cell>
          <cell r="I18">
            <v>184.40771505307077</v>
          </cell>
          <cell r="J18">
            <v>212.5079382992551</v>
          </cell>
          <cell r="K18">
            <v>242.25904966114877</v>
          </cell>
        </row>
        <row r="28">
          <cell r="G28">
            <v>0</v>
          </cell>
          <cell r="H28">
            <v>0</v>
          </cell>
          <cell r="I28">
            <v>0</v>
          </cell>
          <cell r="J28">
            <v>0</v>
          </cell>
          <cell r="K28">
            <v>0</v>
          </cell>
        </row>
      </sheetData>
      <sheetData sheetId="2"/>
      <sheetData sheetId="3"/>
      <sheetData sheetId="4"/>
      <sheetData sheetId="5"/>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wrap="none" lIns="18288" tIns="0" rIns="0" bIns="0" upright="1">
        <a:spAutoFit/>
      </a:bodyPr>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6" dT="2024-04-27T18:14:24.98" personId="{00000000-0000-0000-0000-000000000000}" id="{24B5BE52-96AD-42A4-A30C-CF7ADD110C45}">
    <text>U.S. GDP long term growth is 3%. We want to keep terminal growth rate of FCFF below or equal to this. Let us see how a revenue growth of 3.5% translates into FCFF growth rate.</text>
  </threadedComment>
  <threadedComment ref="H16" dT="2024-04-27T18:31:25.36" personId="{00000000-0000-0000-0000-000000000000}" id="{40F6E773-1F1F-4331-BAF8-7BDB500C7C0C}">
    <text>This was the typical SG&amp;A margin in the prepandemic era during which Crocs was spending a lot of ads ot ramp up sales. I think they will do the same to ramp up sales of HeyDude.</text>
  </threadedComment>
  <threadedComment ref="H19" dT="2024-04-28T04:56:54.43" personId="{00000000-0000-0000-0000-000000000000}" id="{5123E04A-6BD5-4C5A-AC66-AB5F92F67E06}">
    <text>What do we do about this?</text>
  </threadedComment>
  <threadedComment ref="H25" dT="2024-04-28T04:57:19.53" personId="{00000000-0000-0000-0000-000000000000}" id="{26FB89C8-4987-4E8E-84F7-39148BA4A190}">
    <text>All of these need to be carefully calculated</text>
  </threadedComment>
  <threadedComment ref="H32" dT="2024-04-27T18:35:46.16" personId="{00000000-0000-0000-0000-000000000000}" id="{9E968AF7-5A50-4684-85A0-0013BAF3F03F}">
    <text>This is a dummy input. Last 15 years Crocs tax percentage is all over the place. Can't say anything from it. Prof. Damodaran has guidance for effective tax rates for every industry. Use that instead?</text>
  </threadedComment>
</ThreadedComments>
</file>

<file path=xl/threadedComments/threadedComment2.xml><?xml version="1.0" encoding="utf-8"?>
<ThreadedComments xmlns="http://schemas.microsoft.com/office/spreadsheetml/2018/threadedcomments" xmlns:x="http://schemas.openxmlformats.org/spreadsheetml/2006/main">
  <threadedComment ref="G9" dT="2024-04-27T19:32:39.74" personId="{00000000-0000-0000-0000-000000000000}" id="{6C800A2E-7911-4578-A234-25E88A692902}">
    <text>10K: 2-10 y typical depreciation period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sheetPr>
  <dimension ref="A1:IU161"/>
  <sheetViews>
    <sheetView topLeftCell="A4" zoomScale="130" zoomScaleNormal="130" workbookViewId="0">
      <selection activeCell="B23" sqref="B23"/>
    </sheetView>
  </sheetViews>
  <sheetFormatPr defaultRowHeight="10" x14ac:dyDescent="0.2"/>
  <cols>
    <col min="1" max="1" width="45.81640625" customWidth="1"/>
    <col min="2" max="7" width="14.81640625" customWidth="1"/>
  </cols>
  <sheetData>
    <row r="1" spans="1:255" x14ac:dyDescent="0.2">
      <c r="A1" s="172" t="s">
        <v>547</v>
      </c>
    </row>
    <row r="5" spans="1:255" ht="17" x14ac:dyDescent="0.35">
      <c r="A5" s="1" t="s">
        <v>303</v>
      </c>
    </row>
    <row r="7" spans="1:255" ht="10.5" x14ac:dyDescent="0.25">
      <c r="A7" s="4"/>
      <c r="B7" s="3" t="s">
        <v>304</v>
      </c>
      <c r="C7" t="s">
        <v>78</v>
      </c>
      <c r="D7" s="4" t="s">
        <v>4</v>
      </c>
      <c r="E7" s="3" t="s">
        <v>305</v>
      </c>
      <c r="F7" t="s">
        <v>80</v>
      </c>
    </row>
    <row r="8" spans="1:255" ht="10.5" x14ac:dyDescent="0.25">
      <c r="A8" s="4"/>
      <c r="B8" s="3" t="s">
        <v>306</v>
      </c>
      <c r="C8" t="s">
        <v>8</v>
      </c>
      <c r="D8" s="4" t="s">
        <v>4</v>
      </c>
      <c r="E8" s="3" t="s">
        <v>307</v>
      </c>
      <c r="F8" s="5" t="s">
        <v>12</v>
      </c>
    </row>
    <row r="9" spans="1:255" ht="10.5" x14ac:dyDescent="0.25">
      <c r="A9" s="4"/>
      <c r="B9" s="3" t="s">
        <v>308</v>
      </c>
      <c r="C9" t="s">
        <v>88</v>
      </c>
      <c r="D9" s="4" t="s">
        <v>4</v>
      </c>
      <c r="E9" s="26"/>
      <c r="F9" s="26"/>
    </row>
    <row r="12" spans="1:255" x14ac:dyDescent="0.2">
      <c r="A12" s="6" t="s">
        <v>309</v>
      </c>
      <c r="B12" s="6"/>
      <c r="C12" s="6"/>
      <c r="D12" s="6"/>
      <c r="E12" s="6"/>
      <c r="F12" s="6"/>
      <c r="G12" s="6"/>
      <c r="H12" s="37"/>
      <c r="I12" s="37"/>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row>
    <row r="13" spans="1:255" ht="21" x14ac:dyDescent="0.25">
      <c r="A13" s="7" t="s">
        <v>16</v>
      </c>
      <c r="B13" s="12" t="s">
        <v>257</v>
      </c>
      <c r="C13" s="12" t="s">
        <v>258</v>
      </c>
      <c r="D13" s="12" t="s">
        <v>259</v>
      </c>
      <c r="E13" s="12" t="s">
        <v>260</v>
      </c>
      <c r="F13" s="12" t="s">
        <v>261</v>
      </c>
      <c r="G13" s="12" t="s">
        <v>95</v>
      </c>
    </row>
    <row r="14" spans="1:255" ht="10.5" x14ac:dyDescent="0.2">
      <c r="A14" s="9" t="s">
        <v>310</v>
      </c>
      <c r="B14" s="4"/>
      <c r="C14" s="4"/>
      <c r="D14" s="4"/>
      <c r="E14" s="4"/>
      <c r="F14" s="4"/>
      <c r="G14" s="4"/>
    </row>
    <row r="15" spans="1:255" x14ac:dyDescent="0.2">
      <c r="A15" s="4" t="s">
        <v>311</v>
      </c>
      <c r="B15" s="30">
        <v>9.1766E-2</v>
      </c>
      <c r="C15" s="30">
        <v>0.133018</v>
      </c>
      <c r="D15" s="30">
        <v>0.158584</v>
      </c>
      <c r="E15" s="30">
        <v>0.32039099999999998</v>
      </c>
      <c r="F15" s="30">
        <v>0.18265700000000001</v>
      </c>
      <c r="G15" s="30">
        <v>0.14291899999999999</v>
      </c>
    </row>
    <row r="16" spans="1:255" x14ac:dyDescent="0.2">
      <c r="A16" s="4" t="s">
        <v>312</v>
      </c>
      <c r="B16" s="30">
        <v>0.14535699999999999</v>
      </c>
      <c r="C16" s="30">
        <v>0.20183000000000001</v>
      </c>
      <c r="D16" s="30">
        <v>0.24759500000000001</v>
      </c>
      <c r="E16" s="30">
        <v>0.51984799999999998</v>
      </c>
      <c r="F16" s="30">
        <v>0.25156400000000001</v>
      </c>
      <c r="G16" s="30">
        <v>0.19044900000000001</v>
      </c>
    </row>
    <row r="17" spans="1:7" x14ac:dyDescent="0.2">
      <c r="A17" s="4" t="s">
        <v>313</v>
      </c>
      <c r="B17" s="30">
        <v>0.19450899999999999</v>
      </c>
      <c r="C17" s="30">
        <v>0.84685600000000005</v>
      </c>
      <c r="D17" s="30">
        <v>1.4808650000000001</v>
      </c>
      <c r="E17" s="30">
        <v>4.7630990000000004</v>
      </c>
      <c r="F17" s="30">
        <v>1.298438</v>
      </c>
      <c r="G17" s="30">
        <v>0.69772599999999996</v>
      </c>
    </row>
    <row r="18" spans="1:7" x14ac:dyDescent="0.2">
      <c r="A18" s="4" t="s">
        <v>314</v>
      </c>
      <c r="B18" s="30">
        <v>-0.41178700000000001</v>
      </c>
      <c r="C18" s="30">
        <v>0.84685600000000005</v>
      </c>
      <c r="D18" s="30">
        <v>1.4808650000000001</v>
      </c>
      <c r="E18" s="30">
        <v>4.7630990000000004</v>
      </c>
      <c r="F18" s="30">
        <v>1.298438</v>
      </c>
      <c r="G18" s="30">
        <v>0.69772599999999996</v>
      </c>
    </row>
    <row r="19" spans="1:7" x14ac:dyDescent="0.2">
      <c r="A19" s="4"/>
      <c r="B19" s="4"/>
      <c r="C19" s="4"/>
      <c r="D19" s="4"/>
      <c r="E19" s="4"/>
      <c r="F19" s="4"/>
      <c r="G19" s="4"/>
    </row>
    <row r="20" spans="1:7" ht="10.5" x14ac:dyDescent="0.2">
      <c r="A20" s="9" t="s">
        <v>315</v>
      </c>
      <c r="B20" s="4"/>
      <c r="C20" s="4"/>
      <c r="D20" s="4"/>
      <c r="E20" s="4"/>
      <c r="F20" s="4"/>
      <c r="G20" s="4"/>
    </row>
    <row r="21" spans="1:7" x14ac:dyDescent="0.2">
      <c r="A21" s="4" t="s">
        <v>316</v>
      </c>
      <c r="B21" s="30">
        <v>0.51475000000000004</v>
      </c>
      <c r="C21" s="30">
        <v>0.50142900000000001</v>
      </c>
      <c r="D21" s="30">
        <v>0.541107</v>
      </c>
      <c r="E21" s="30">
        <v>0.61390599999999995</v>
      </c>
      <c r="F21" s="30">
        <v>0.52328799999999998</v>
      </c>
      <c r="G21" s="30">
        <v>0.55775200000000003</v>
      </c>
    </row>
    <row r="22" spans="1:7" x14ac:dyDescent="0.2">
      <c r="A22" s="4" t="s">
        <v>317</v>
      </c>
      <c r="B22" s="30">
        <v>0.41148200000000001</v>
      </c>
      <c r="C22" s="30">
        <v>0.37188100000000002</v>
      </c>
      <c r="D22" s="30">
        <v>0.35684199999999999</v>
      </c>
      <c r="E22" s="30">
        <v>0.30971199999999999</v>
      </c>
      <c r="F22" s="30">
        <v>0.26718999999999998</v>
      </c>
      <c r="G22" s="30">
        <v>0.28566999999999998</v>
      </c>
    </row>
    <row r="23" spans="1:7" x14ac:dyDescent="0.2">
      <c r="A23" s="4" t="s">
        <v>318</v>
      </c>
      <c r="B23" s="30">
        <v>9.5190999999999998E-2</v>
      </c>
      <c r="C23" s="30">
        <v>0.12411</v>
      </c>
      <c r="D23" s="30">
        <v>0.18996099999999999</v>
      </c>
      <c r="E23" s="30">
        <v>0.30895400000000001</v>
      </c>
      <c r="F23" s="30">
        <v>0.25958799999999999</v>
      </c>
      <c r="G23" s="30">
        <v>0.27760600000000002</v>
      </c>
    </row>
    <row r="24" spans="1:7" x14ac:dyDescent="0.2">
      <c r="A24" s="4" t="s">
        <v>319</v>
      </c>
      <c r="B24" s="30">
        <v>8.3611000000000005E-2</v>
      </c>
      <c r="C24" s="30">
        <v>0.11688999999999999</v>
      </c>
      <c r="D24" s="30">
        <v>0.181422</v>
      </c>
      <c r="E24" s="30">
        <v>0.30249500000000001</v>
      </c>
      <c r="F24" s="30">
        <v>0.25406299999999998</v>
      </c>
      <c r="G24" s="30">
        <v>0.26961000000000002</v>
      </c>
    </row>
    <row r="25" spans="1:7" x14ac:dyDescent="0.2">
      <c r="A25" s="4" t="s">
        <v>320</v>
      </c>
      <c r="B25" s="30">
        <v>6.8311999999999998E-2</v>
      </c>
      <c r="C25" s="30">
        <v>0.104435</v>
      </c>
      <c r="D25" s="30">
        <v>0.17003399999999999</v>
      </c>
      <c r="E25" s="30">
        <v>0.29513200000000001</v>
      </c>
      <c r="F25" s="30">
        <v>0.248553</v>
      </c>
      <c r="G25" s="30">
        <v>0.263901</v>
      </c>
    </row>
    <row r="26" spans="1:7" x14ac:dyDescent="0.2">
      <c r="A26" s="4" t="s">
        <v>321</v>
      </c>
      <c r="B26" s="30">
        <v>4.6348E-2</v>
      </c>
      <c r="C26" s="30">
        <v>9.7104999999999997E-2</v>
      </c>
      <c r="D26" s="30">
        <v>0.22573699999999999</v>
      </c>
      <c r="E26" s="30">
        <v>0.313689</v>
      </c>
      <c r="F26" s="30">
        <v>0.151944</v>
      </c>
      <c r="G26" s="30">
        <v>0.20002400000000001</v>
      </c>
    </row>
    <row r="27" spans="1:7" x14ac:dyDescent="0.2">
      <c r="A27" s="4" t="s">
        <v>322</v>
      </c>
      <c r="B27" s="30">
        <v>4.6348E-2</v>
      </c>
      <c r="C27" s="30">
        <v>9.7104999999999997E-2</v>
      </c>
      <c r="D27" s="30">
        <v>0.22573699999999999</v>
      </c>
      <c r="E27" s="30">
        <v>0.313689</v>
      </c>
      <c r="F27" s="30">
        <v>0.151944</v>
      </c>
      <c r="G27" s="30">
        <v>0.20002400000000001</v>
      </c>
    </row>
    <row r="28" spans="1:7" x14ac:dyDescent="0.2">
      <c r="A28" s="4" t="s">
        <v>323</v>
      </c>
      <c r="B28" s="30">
        <v>-6.3604999999999995E-2</v>
      </c>
      <c r="C28" s="30">
        <v>9.7104999999999997E-2</v>
      </c>
      <c r="D28" s="30">
        <v>0.22573699999999999</v>
      </c>
      <c r="E28" s="30">
        <v>0.313689</v>
      </c>
      <c r="F28" s="30">
        <v>0.151944</v>
      </c>
      <c r="G28" s="30">
        <v>0.20002400000000001</v>
      </c>
    </row>
    <row r="29" spans="1:7" x14ac:dyDescent="0.2">
      <c r="A29" s="4" t="s">
        <v>324</v>
      </c>
      <c r="B29" s="30">
        <v>4.1557999999999998E-2</v>
      </c>
      <c r="C29" s="30">
        <v>6.0499999999999998E-2</v>
      </c>
      <c r="D29" s="30">
        <v>0.102975</v>
      </c>
      <c r="E29" s="30">
        <v>0.17926600000000001</v>
      </c>
      <c r="F29" s="30">
        <v>0.130662</v>
      </c>
      <c r="G29" s="30">
        <v>0.13961999999999999</v>
      </c>
    </row>
    <row r="30" spans="1:7" x14ac:dyDescent="0.2">
      <c r="A30" s="4" t="s">
        <v>325</v>
      </c>
      <c r="B30" s="30">
        <v>9.2230000000000006E-2</v>
      </c>
      <c r="C30" s="30">
        <v>3.3255E-2</v>
      </c>
      <c r="D30" s="30">
        <v>0.101729</v>
      </c>
      <c r="E30" s="30">
        <v>0.186666</v>
      </c>
      <c r="F30" s="30">
        <v>7.5011999999999995E-2</v>
      </c>
      <c r="G30" s="30">
        <v>0.163192</v>
      </c>
    </row>
    <row r="31" spans="1:7" x14ac:dyDescent="0.2">
      <c r="A31" s="4" t="s">
        <v>326</v>
      </c>
      <c r="B31" s="30">
        <v>9.2777999999999999E-2</v>
      </c>
      <c r="C31" s="30">
        <v>3.7641000000000001E-2</v>
      </c>
      <c r="D31" s="30">
        <v>0.104769</v>
      </c>
      <c r="E31" s="30">
        <v>0.19251499999999999</v>
      </c>
      <c r="F31" s="30">
        <v>9.8948999999999995E-2</v>
      </c>
      <c r="G31" s="30">
        <v>0.18864300000000001</v>
      </c>
    </row>
    <row r="32" spans="1:7" x14ac:dyDescent="0.2">
      <c r="A32" s="4"/>
      <c r="B32" s="4"/>
      <c r="C32" s="4"/>
      <c r="D32" s="4"/>
      <c r="E32" s="4"/>
      <c r="F32" s="4"/>
      <c r="G32" s="4"/>
    </row>
    <row r="33" spans="1:7" ht="10.5" x14ac:dyDescent="0.2">
      <c r="A33" s="9" t="s">
        <v>327</v>
      </c>
      <c r="B33" s="4"/>
      <c r="C33" s="4"/>
      <c r="D33" s="4"/>
      <c r="E33" s="4"/>
      <c r="F33" s="4"/>
      <c r="G33" s="4"/>
    </row>
    <row r="34" spans="1:7" x14ac:dyDescent="0.2">
      <c r="A34" s="4" t="s">
        <v>328</v>
      </c>
      <c r="B34" s="23">
        <v>2.1493359999999999</v>
      </c>
      <c r="C34" s="23">
        <v>2.037906</v>
      </c>
      <c r="D34" s="23">
        <v>1.4922550000000001</v>
      </c>
      <c r="E34" s="23">
        <v>1.7369349999999999</v>
      </c>
      <c r="F34" s="23">
        <v>1.17581</v>
      </c>
      <c r="G34" s="23">
        <v>0.86650000000000005</v>
      </c>
    </row>
    <row r="35" spans="1:7" x14ac:dyDescent="0.2">
      <c r="A35" s="4" t="s">
        <v>329</v>
      </c>
      <c r="B35" s="23">
        <v>38.020543000000004</v>
      </c>
      <c r="C35" s="23">
        <v>9.7726600000000001</v>
      </c>
      <c r="D35" s="23">
        <v>6.0985120000000004</v>
      </c>
      <c r="E35" s="23">
        <v>9.3650319999999994</v>
      </c>
      <c r="F35" s="23">
        <v>10.295351</v>
      </c>
      <c r="G35" s="23">
        <v>8.3665389999999995</v>
      </c>
    </row>
    <row r="36" spans="1:7" x14ac:dyDescent="0.2">
      <c r="A36" s="4" t="s">
        <v>330</v>
      </c>
      <c r="B36" s="23">
        <v>12.014739000000001</v>
      </c>
      <c r="C36" s="23">
        <v>11.957604</v>
      </c>
      <c r="D36" s="23">
        <v>10.74189</v>
      </c>
      <c r="E36" s="23">
        <v>13.916288</v>
      </c>
      <c r="F36" s="23">
        <v>14.867478</v>
      </c>
      <c r="G36" s="23">
        <v>13.178369</v>
      </c>
    </row>
    <row r="37" spans="1:7" x14ac:dyDescent="0.2">
      <c r="A37" s="4" t="s">
        <v>331</v>
      </c>
      <c r="B37" s="23">
        <v>4.144209</v>
      </c>
      <c r="C37" s="23">
        <v>4.1382640000000004</v>
      </c>
      <c r="D37" s="23">
        <v>3.6641490000000001</v>
      </c>
      <c r="E37" s="23">
        <v>4.5965090000000002</v>
      </c>
      <c r="F37" s="23">
        <v>4.9475249999999997</v>
      </c>
      <c r="G37" s="23">
        <v>4.0913529999999998</v>
      </c>
    </row>
    <row r="38" spans="1:7" x14ac:dyDescent="0.2">
      <c r="A38" s="4"/>
      <c r="B38" s="4"/>
      <c r="C38" s="4"/>
      <c r="D38" s="4"/>
      <c r="E38" s="4"/>
      <c r="F38" s="4"/>
      <c r="G38" s="4"/>
    </row>
    <row r="39" spans="1:7" ht="10.5" x14ac:dyDescent="0.2">
      <c r="A39" s="9" t="s">
        <v>332</v>
      </c>
      <c r="B39" s="4"/>
      <c r="C39" s="4"/>
      <c r="D39" s="4"/>
      <c r="E39" s="4"/>
      <c r="F39" s="4"/>
      <c r="G39" s="4"/>
    </row>
    <row r="40" spans="1:7" x14ac:dyDescent="0.2">
      <c r="A40" s="4" t="s">
        <v>333</v>
      </c>
      <c r="B40" s="23">
        <v>2.0613359999999998</v>
      </c>
      <c r="C40" s="23">
        <v>1.6537470000000001</v>
      </c>
      <c r="D40" s="23">
        <v>1.6902189999999999</v>
      </c>
      <c r="E40" s="23">
        <v>1.7168859999999999</v>
      </c>
      <c r="F40" s="23">
        <v>1.599901</v>
      </c>
      <c r="G40" s="23">
        <v>1.3041799999999999</v>
      </c>
    </row>
    <row r="41" spans="1:7" x14ac:dyDescent="0.2">
      <c r="A41" s="4" t="s">
        <v>334</v>
      </c>
      <c r="B41" s="23">
        <v>1.2560929999999999</v>
      </c>
      <c r="C41" s="23">
        <v>0.88057399999999997</v>
      </c>
      <c r="D41" s="23">
        <v>1.0231079999999999</v>
      </c>
      <c r="E41" s="23">
        <v>1.1085290000000001</v>
      </c>
      <c r="F41" s="23">
        <v>0.81215899999999996</v>
      </c>
      <c r="G41" s="23">
        <v>0.68813000000000002</v>
      </c>
    </row>
    <row r="42" spans="1:7" x14ac:dyDescent="0.2">
      <c r="A42" s="4" t="s">
        <v>335</v>
      </c>
      <c r="B42" s="23">
        <v>0.61879399999999996</v>
      </c>
      <c r="C42" s="23">
        <v>0.34972700000000001</v>
      </c>
      <c r="D42" s="23">
        <v>0.91535200000000005</v>
      </c>
      <c r="E42" s="23">
        <v>1.46085</v>
      </c>
      <c r="F42" s="23">
        <v>0.94053699999999996</v>
      </c>
      <c r="G42" s="23">
        <v>1.332449</v>
      </c>
    </row>
    <row r="43" spans="1:7" x14ac:dyDescent="0.2">
      <c r="A43" s="4" t="s">
        <v>336</v>
      </c>
      <c r="B43" s="18">
        <v>30.379314999999998</v>
      </c>
      <c r="C43" s="18">
        <v>30.52422</v>
      </c>
      <c r="D43" s="18">
        <v>34.072037999999999</v>
      </c>
      <c r="E43" s="18">
        <v>26.228169999999999</v>
      </c>
      <c r="F43" s="18">
        <v>24.549900000000001</v>
      </c>
      <c r="G43" s="18">
        <v>27.696565</v>
      </c>
    </row>
    <row r="44" spans="1:7" x14ac:dyDescent="0.2">
      <c r="A44" s="4" t="s">
        <v>337</v>
      </c>
      <c r="B44" s="18">
        <v>88.0745</v>
      </c>
      <c r="C44" s="18">
        <v>88.201155</v>
      </c>
      <c r="D44" s="18">
        <v>99.886523999999994</v>
      </c>
      <c r="E44" s="18">
        <v>79.407939999999996</v>
      </c>
      <c r="F44" s="18">
        <v>73.774164999999996</v>
      </c>
      <c r="G44" s="18">
        <v>89.212204999999997</v>
      </c>
    </row>
    <row r="45" spans="1:7" x14ac:dyDescent="0.2">
      <c r="A45" s="4" t="s">
        <v>338</v>
      </c>
      <c r="B45" s="18">
        <v>50.190420000000003</v>
      </c>
      <c r="C45" s="18">
        <v>47.755139999999997</v>
      </c>
      <c r="D45" s="18">
        <v>59.711435999999999</v>
      </c>
      <c r="E45" s="18">
        <v>53.857210000000002</v>
      </c>
      <c r="F45" s="18">
        <v>36.725935</v>
      </c>
      <c r="G45" s="18">
        <v>53.87838</v>
      </c>
    </row>
    <row r="46" spans="1:7" x14ac:dyDescent="0.2">
      <c r="A46" s="4" t="s">
        <v>339</v>
      </c>
      <c r="B46" s="18">
        <v>68.263395000000003</v>
      </c>
      <c r="C46" s="18">
        <v>70.970235000000002</v>
      </c>
      <c r="D46" s="18">
        <v>74.247125999999994</v>
      </c>
      <c r="E46" s="18">
        <v>51.7789</v>
      </c>
      <c r="F46" s="18">
        <v>61.598129999999998</v>
      </c>
      <c r="G46" s="18">
        <v>63.030389999999997</v>
      </c>
    </row>
    <row r="47" spans="1:7" x14ac:dyDescent="0.2">
      <c r="A47" s="4"/>
      <c r="B47" s="4"/>
      <c r="C47" s="4"/>
      <c r="D47" s="4"/>
      <c r="E47" s="4"/>
      <c r="F47" s="4"/>
      <c r="G47" s="4"/>
    </row>
    <row r="48" spans="1:7" ht="10.5" x14ac:dyDescent="0.2">
      <c r="A48" s="9" t="s">
        <v>340</v>
      </c>
      <c r="B48" s="4"/>
      <c r="C48" s="4"/>
      <c r="D48" s="4"/>
      <c r="E48" s="4"/>
      <c r="F48" s="4"/>
      <c r="G48" s="4"/>
    </row>
    <row r="49" spans="1:7" x14ac:dyDescent="0.2">
      <c r="A49" s="4" t="s">
        <v>341</v>
      </c>
      <c r="B49" s="30">
        <v>0.79835999999999996</v>
      </c>
      <c r="C49" s="30">
        <v>2.9849739999999998</v>
      </c>
      <c r="D49" s="30">
        <v>1.285005</v>
      </c>
      <c r="E49" s="30">
        <v>68.424868000000004</v>
      </c>
      <c r="F49" s="30">
        <v>3.1725949999999998</v>
      </c>
      <c r="G49" s="30">
        <v>1.3730850000000001</v>
      </c>
    </row>
    <row r="50" spans="1:7" x14ac:dyDescent="0.2">
      <c r="A50" s="4" t="s">
        <v>342</v>
      </c>
      <c r="B50" s="30">
        <v>0.443938</v>
      </c>
      <c r="C50" s="30">
        <v>0.74905699999999997</v>
      </c>
      <c r="D50" s="30">
        <v>0.56236399999999998</v>
      </c>
      <c r="E50" s="30">
        <v>0.985595</v>
      </c>
      <c r="F50" s="30">
        <v>0.76034100000000004</v>
      </c>
      <c r="G50" s="30">
        <v>0.57860699999999998</v>
      </c>
    </row>
    <row r="51" spans="1:7" x14ac:dyDescent="0.2">
      <c r="A51" s="4" t="s">
        <v>343</v>
      </c>
      <c r="B51" s="30">
        <v>0.79835999999999996</v>
      </c>
      <c r="C51" s="30">
        <v>2.6166399999999999</v>
      </c>
      <c r="D51" s="30">
        <v>1.1230690000000001</v>
      </c>
      <c r="E51" s="30">
        <v>65.376153000000002</v>
      </c>
      <c r="F51" s="30">
        <v>3.0725639999999999</v>
      </c>
      <c r="G51" s="30">
        <v>1.3142130000000001</v>
      </c>
    </row>
    <row r="52" spans="1:7" x14ac:dyDescent="0.2">
      <c r="A52" s="4" t="s">
        <v>344</v>
      </c>
      <c r="B52" s="30">
        <v>0.443938</v>
      </c>
      <c r="C52" s="30">
        <v>0.65662600000000004</v>
      </c>
      <c r="D52" s="30">
        <v>0.49149500000000002</v>
      </c>
      <c r="E52" s="30">
        <v>0.94168200000000002</v>
      </c>
      <c r="F52" s="30">
        <v>0.73636699999999999</v>
      </c>
      <c r="G52" s="30">
        <v>0.55379900000000004</v>
      </c>
    </row>
    <row r="53" spans="1:7" x14ac:dyDescent="0.2">
      <c r="A53" s="4" t="s">
        <v>345</v>
      </c>
      <c r="B53" s="30">
        <v>0.67944599999999999</v>
      </c>
      <c r="C53" s="30">
        <v>0.82145999999999997</v>
      </c>
      <c r="D53" s="30">
        <v>0.74021000000000003</v>
      </c>
      <c r="E53" s="30">
        <v>0.99088500000000002</v>
      </c>
      <c r="F53" s="30">
        <v>0.81830999999999998</v>
      </c>
      <c r="G53" s="30">
        <v>0.686913</v>
      </c>
    </row>
    <row r="54" spans="1:7" x14ac:dyDescent="0.2">
      <c r="A54" s="4"/>
      <c r="B54" s="4"/>
      <c r="C54" s="4"/>
      <c r="D54" s="4"/>
      <c r="E54" s="4"/>
      <c r="F54" s="4"/>
      <c r="G54" s="4"/>
    </row>
    <row r="55" spans="1:7" x14ac:dyDescent="0.2">
      <c r="A55" s="4" t="s">
        <v>346</v>
      </c>
      <c r="B55" s="23">
        <v>77.840836999999993</v>
      </c>
      <c r="C55" s="23">
        <v>14.881542</v>
      </c>
      <c r="D55" s="23">
        <v>34.953870999999999</v>
      </c>
      <c r="E55" s="23">
        <v>31.540813</v>
      </c>
      <c r="F55" s="23">
        <v>6.4895480000000001</v>
      </c>
      <c r="G55" s="23">
        <v>6.480715</v>
      </c>
    </row>
    <row r="56" spans="1:7" x14ac:dyDescent="0.2">
      <c r="A56" s="4" t="s">
        <v>347</v>
      </c>
      <c r="B56" s="23">
        <v>108.469109</v>
      </c>
      <c r="C56" s="23">
        <v>27.047128000000001</v>
      </c>
      <c r="D56" s="23">
        <v>51.238503999999999</v>
      </c>
      <c r="E56" s="23">
        <v>37.561694000000003</v>
      </c>
      <c r="F56" s="23">
        <v>7.6085940000000001</v>
      </c>
      <c r="G56" s="23">
        <v>7.6694959999999996</v>
      </c>
    </row>
    <row r="57" spans="1:7" x14ac:dyDescent="0.2">
      <c r="A57" s="4" t="s">
        <v>348</v>
      </c>
      <c r="B57" s="23">
        <v>95.925653999999994</v>
      </c>
      <c r="C57" s="23">
        <v>22.811834000000001</v>
      </c>
      <c r="D57" s="23">
        <v>45.004004000000002</v>
      </c>
      <c r="E57" s="23">
        <v>34.978611000000001</v>
      </c>
      <c r="F57" s="23">
        <v>6.8433799999999998</v>
      </c>
      <c r="G57" s="23">
        <v>6.9528910000000002</v>
      </c>
    </row>
    <row r="58" spans="1:7" x14ac:dyDescent="0.2">
      <c r="A58" s="4" t="s">
        <v>349</v>
      </c>
      <c r="B58" s="23">
        <v>1.1584350000000001</v>
      </c>
      <c r="C58" s="23">
        <v>1.6856519999999999</v>
      </c>
      <c r="D58" s="23">
        <v>1.081097</v>
      </c>
      <c r="E58" s="23">
        <v>1.185046</v>
      </c>
      <c r="F58" s="23">
        <v>2.504861</v>
      </c>
      <c r="G58" s="23">
        <v>1.6132439999999999</v>
      </c>
    </row>
    <row r="59" spans="1:7" x14ac:dyDescent="0.2">
      <c r="A59" s="4" t="s">
        <v>350</v>
      </c>
      <c r="B59" s="17" t="s">
        <v>37</v>
      </c>
      <c r="C59" s="23">
        <v>1.2221979999999999</v>
      </c>
      <c r="D59" s="23">
        <v>0.68798000000000004</v>
      </c>
      <c r="E59" s="23">
        <v>0.92284299999999997</v>
      </c>
      <c r="F59" s="23">
        <v>2.3198859999999999</v>
      </c>
      <c r="G59" s="23">
        <v>1.4926060000000001</v>
      </c>
    </row>
    <row r="60" spans="1:7" x14ac:dyDescent="0.2">
      <c r="A60" s="4" t="s">
        <v>351</v>
      </c>
      <c r="B60" s="23">
        <v>1.309914</v>
      </c>
      <c r="C60" s="23">
        <v>1.9986139999999999</v>
      </c>
      <c r="D60" s="23">
        <v>1.230863</v>
      </c>
      <c r="E60" s="23">
        <v>1.272559</v>
      </c>
      <c r="F60" s="23">
        <v>2.7849499999999998</v>
      </c>
      <c r="G60" s="23">
        <v>1.779515</v>
      </c>
    </row>
    <row r="61" spans="1:7" x14ac:dyDescent="0.2">
      <c r="A61" s="4" t="s">
        <v>352</v>
      </c>
      <c r="B61" s="17" t="s">
        <v>37</v>
      </c>
      <c r="C61" s="23">
        <v>1.449114</v>
      </c>
      <c r="D61" s="23">
        <v>0.78328799999999998</v>
      </c>
      <c r="E61" s="23">
        <v>0.99099199999999998</v>
      </c>
      <c r="F61" s="23">
        <v>2.579291</v>
      </c>
      <c r="G61" s="23">
        <v>1.6464430000000001</v>
      </c>
    </row>
    <row r="62" spans="1:7" x14ac:dyDescent="0.2">
      <c r="A62" s="4"/>
      <c r="B62" s="4"/>
      <c r="C62" s="4"/>
      <c r="D62" s="4"/>
      <c r="E62" s="4"/>
      <c r="F62" s="4"/>
      <c r="G62" s="4"/>
    </row>
    <row r="63" spans="1:7" x14ac:dyDescent="0.2">
      <c r="A63" s="4" t="s">
        <v>353</v>
      </c>
      <c r="B63" s="29">
        <v>6.0690419999999996</v>
      </c>
      <c r="C63" s="29">
        <v>4.8665149999999997</v>
      </c>
      <c r="D63" s="29">
        <v>4.7365269999999997</v>
      </c>
      <c r="E63" s="29">
        <v>7.2137479999999998</v>
      </c>
      <c r="F63" s="29">
        <v>2.883972</v>
      </c>
      <c r="G63" s="29">
        <v>3.6984240000000002</v>
      </c>
    </row>
    <row r="64" spans="1:7" x14ac:dyDescent="0.2">
      <c r="A64" s="4"/>
      <c r="B64" s="4"/>
      <c r="C64" s="4"/>
      <c r="D64" s="4"/>
      <c r="E64" s="4"/>
      <c r="F64" s="4"/>
      <c r="G64" s="4"/>
    </row>
    <row r="65" spans="1:7" ht="10.5" x14ac:dyDescent="0.2">
      <c r="A65" s="9" t="s">
        <v>354</v>
      </c>
      <c r="B65" s="4"/>
      <c r="C65" s="4"/>
      <c r="D65" s="4"/>
      <c r="E65" s="4"/>
      <c r="F65" s="4"/>
      <c r="G65" s="4"/>
    </row>
    <row r="66" spans="1:7" x14ac:dyDescent="0.2">
      <c r="A66" s="4" t="s">
        <v>98</v>
      </c>
      <c r="B66" s="30">
        <v>6.3204999999999997E-2</v>
      </c>
      <c r="C66" s="30">
        <v>0.13084599999999999</v>
      </c>
      <c r="D66" s="30">
        <v>0.126246</v>
      </c>
      <c r="E66" s="30">
        <v>0.66918999999999995</v>
      </c>
      <c r="F66" s="30">
        <v>0.53668199999999999</v>
      </c>
      <c r="G66" s="30">
        <v>0.114588</v>
      </c>
    </row>
    <row r="67" spans="1:7" x14ac:dyDescent="0.2">
      <c r="A67" s="4" t="s">
        <v>100</v>
      </c>
      <c r="B67" s="30">
        <v>8.3006999999999997E-2</v>
      </c>
      <c r="C67" s="30">
        <v>0.10158200000000001</v>
      </c>
      <c r="D67" s="30">
        <v>0.215364</v>
      </c>
      <c r="E67" s="30">
        <v>0.89375700000000002</v>
      </c>
      <c r="F67" s="30">
        <v>0.30985400000000002</v>
      </c>
      <c r="G67" s="30">
        <v>0.187997</v>
      </c>
    </row>
    <row r="68" spans="1:7" x14ac:dyDescent="0.2">
      <c r="A68" s="4" t="s">
        <v>355</v>
      </c>
      <c r="B68" s="30">
        <v>0.885131</v>
      </c>
      <c r="C68" s="30">
        <v>0.47439799999999999</v>
      </c>
      <c r="D68" s="30">
        <v>0.72381300000000004</v>
      </c>
      <c r="E68" s="30">
        <v>1.714772</v>
      </c>
      <c r="F68" s="30">
        <v>0.29114499999999999</v>
      </c>
      <c r="G68" s="30">
        <v>0.19195300000000001</v>
      </c>
    </row>
    <row r="69" spans="1:7" x14ac:dyDescent="0.2">
      <c r="A69" s="4" t="s">
        <v>356</v>
      </c>
      <c r="B69" s="30">
        <v>1.2775529999999999</v>
      </c>
      <c r="C69" s="30">
        <v>0.58095699999999995</v>
      </c>
      <c r="D69" s="30">
        <v>0.74801300000000004</v>
      </c>
      <c r="E69" s="30">
        <v>1.7831269999999999</v>
      </c>
      <c r="F69" s="30">
        <v>0.29064499999999999</v>
      </c>
      <c r="G69" s="30">
        <v>0.18279400000000001</v>
      </c>
    </row>
    <row r="70" spans="1:7" x14ac:dyDescent="0.2">
      <c r="A70" s="4" t="s">
        <v>357</v>
      </c>
      <c r="B70" s="30">
        <v>2.4068740000000002</v>
      </c>
      <c r="C70" s="30">
        <v>0.72881899999999999</v>
      </c>
      <c r="D70" s="30">
        <v>0.83367899999999995</v>
      </c>
      <c r="E70" s="30">
        <v>1.897254</v>
      </c>
      <c r="F70" s="30">
        <v>0.294157</v>
      </c>
      <c r="G70" s="30">
        <v>0.18341399999999999</v>
      </c>
    </row>
    <row r="71" spans="1:7" x14ac:dyDescent="0.2">
      <c r="A71" s="4" t="s">
        <v>122</v>
      </c>
      <c r="B71" s="30">
        <v>3.92645</v>
      </c>
      <c r="C71" s="30">
        <v>1.369232</v>
      </c>
      <c r="D71" s="30">
        <v>1.6181490000000001</v>
      </c>
      <c r="E71" s="30">
        <v>1.3195410000000001</v>
      </c>
      <c r="F71" s="30">
        <v>-0.255666</v>
      </c>
      <c r="G71" s="30">
        <v>0.46728199999999998</v>
      </c>
    </row>
    <row r="72" spans="1:7" x14ac:dyDescent="0.2">
      <c r="A72" s="4" t="s">
        <v>127</v>
      </c>
      <c r="B72" s="30">
        <v>3.92645</v>
      </c>
      <c r="C72" s="30">
        <v>1.369232</v>
      </c>
      <c r="D72" s="30">
        <v>1.6181490000000001</v>
      </c>
      <c r="E72" s="30">
        <v>1.3195410000000001</v>
      </c>
      <c r="F72" s="30">
        <v>-0.255666</v>
      </c>
      <c r="G72" s="30">
        <v>0.46728199999999998</v>
      </c>
    </row>
    <row r="73" spans="1:7" x14ac:dyDescent="0.2">
      <c r="A73" s="4" t="s">
        <v>358</v>
      </c>
      <c r="B73" s="30">
        <v>2.1985670000000002</v>
      </c>
      <c r="C73" s="30">
        <v>0.64628600000000003</v>
      </c>
      <c r="D73" s="30">
        <v>0.91694200000000003</v>
      </c>
      <c r="E73" s="30">
        <v>1.9058409999999999</v>
      </c>
      <c r="F73" s="30">
        <v>0.120049</v>
      </c>
      <c r="G73" s="30">
        <v>0.190997</v>
      </c>
    </row>
    <row r="74" spans="1:7" x14ac:dyDescent="0.2">
      <c r="A74" s="4" t="s">
        <v>359</v>
      </c>
      <c r="B74" s="30" t="s">
        <v>37</v>
      </c>
      <c r="C74" s="30" t="s">
        <v>37</v>
      </c>
      <c r="D74" s="30">
        <v>1.7469870000000001</v>
      </c>
      <c r="E74" s="30">
        <v>1.4978070000000001</v>
      </c>
      <c r="F74" s="30">
        <v>-0.235295</v>
      </c>
      <c r="G74" s="30">
        <v>0.46842699999999998</v>
      </c>
    </row>
    <row r="75" spans="1:7" x14ac:dyDescent="0.2">
      <c r="A75" s="4"/>
      <c r="B75" s="4"/>
      <c r="C75" s="4"/>
      <c r="D75" s="4"/>
      <c r="E75" s="4"/>
      <c r="F75" s="4"/>
      <c r="G75" s="4"/>
    </row>
    <row r="76" spans="1:7" x14ac:dyDescent="0.2">
      <c r="A76" s="4" t="s">
        <v>360</v>
      </c>
      <c r="B76" s="30">
        <v>0.168933</v>
      </c>
      <c r="C76" s="30">
        <v>0.108289</v>
      </c>
      <c r="D76" s="30">
        <v>0.38491999999999998</v>
      </c>
      <c r="E76" s="30">
        <v>0.21876899999999999</v>
      </c>
      <c r="F76" s="30">
        <v>0.61854900000000002</v>
      </c>
      <c r="G76" s="30">
        <v>3.4347000000000003E-2</v>
      </c>
    </row>
    <row r="77" spans="1:7" x14ac:dyDescent="0.2">
      <c r="A77" s="4" t="s">
        <v>361</v>
      </c>
      <c r="B77" s="30">
        <v>-4.4927000000000002E-2</v>
      </c>
      <c r="C77" s="30">
        <v>0.38185000000000002</v>
      </c>
      <c r="D77" s="30">
        <v>1.7978999999999998E-2</v>
      </c>
      <c r="E77" s="30">
        <v>0.21927099999999999</v>
      </c>
      <c r="F77" s="30">
        <v>1.2084619999999999</v>
      </c>
      <c r="G77" s="30">
        <v>-0.18343100000000001</v>
      </c>
    </row>
    <row r="78" spans="1:7" x14ac:dyDescent="0.2">
      <c r="A78" s="4" t="s">
        <v>362</v>
      </c>
      <c r="B78" s="30">
        <v>-0.36598000000000003</v>
      </c>
      <c r="C78" s="30">
        <v>9.3387060000000002</v>
      </c>
      <c r="D78" s="30">
        <v>-2.0663999999999998E-2</v>
      </c>
      <c r="E78" s="30">
        <v>0.19688900000000001</v>
      </c>
      <c r="F78" s="30">
        <v>0.56570200000000004</v>
      </c>
      <c r="G78" s="30">
        <v>0.24753800000000001</v>
      </c>
    </row>
    <row r="79" spans="1:7" x14ac:dyDescent="0.2">
      <c r="A79" s="4" t="s">
        <v>363</v>
      </c>
      <c r="B79" s="30">
        <v>-0.13756699999999999</v>
      </c>
      <c r="C79" s="30">
        <v>0.57560299999999998</v>
      </c>
      <c r="D79" s="30">
        <v>0.514239</v>
      </c>
      <c r="E79" s="30">
        <v>0.38109900000000002</v>
      </c>
      <c r="F79" s="30">
        <v>1.913656</v>
      </c>
      <c r="G79" s="30">
        <v>3.1551000000000003E-2</v>
      </c>
    </row>
    <row r="80" spans="1:7" x14ac:dyDescent="0.2">
      <c r="A80" s="4"/>
      <c r="B80" s="4"/>
      <c r="C80" s="4"/>
      <c r="D80" s="4"/>
      <c r="E80" s="4"/>
      <c r="F80" s="4"/>
      <c r="G80" s="4"/>
    </row>
    <row r="81" spans="1:7" x14ac:dyDescent="0.2">
      <c r="A81" s="4" t="s">
        <v>364</v>
      </c>
      <c r="B81" s="30">
        <v>-0.19370699999999999</v>
      </c>
      <c r="C81" s="30">
        <v>-0.19195400000000001</v>
      </c>
      <c r="D81" s="30">
        <v>2.0190070000000002</v>
      </c>
      <c r="E81" s="30" t="s">
        <v>37</v>
      </c>
      <c r="F81" s="30" t="s">
        <v>37</v>
      </c>
      <c r="G81" s="30" t="s">
        <v>37</v>
      </c>
    </row>
    <row r="82" spans="1:7" x14ac:dyDescent="0.2">
      <c r="A82" s="4" t="s">
        <v>365</v>
      </c>
      <c r="B82" s="30">
        <v>-0.191306</v>
      </c>
      <c r="C82" s="30">
        <v>-0.122436</v>
      </c>
      <c r="D82" s="30">
        <v>1.2033499999999999</v>
      </c>
      <c r="E82" s="30">
        <v>-0.95154799999999995</v>
      </c>
      <c r="F82" s="30">
        <v>57.083438999999998</v>
      </c>
      <c r="G82" s="30">
        <v>0.77756099999999995</v>
      </c>
    </row>
    <row r="83" spans="1:7" x14ac:dyDescent="0.2">
      <c r="A83" s="4" t="s">
        <v>273</v>
      </c>
      <c r="B83" s="30">
        <v>0.16178799999999999</v>
      </c>
      <c r="C83" s="30">
        <v>-0.21201500000000001</v>
      </c>
      <c r="D83" s="30">
        <v>1.9669620000000001</v>
      </c>
      <c r="E83" s="30">
        <v>1.1249929999999999</v>
      </c>
      <c r="F83" s="30">
        <v>6.3433000000000003E-2</v>
      </c>
      <c r="G83" s="30">
        <v>0.54266099999999995</v>
      </c>
    </row>
    <row r="84" spans="1:7" x14ac:dyDescent="0.2">
      <c r="A84" s="4" t="s">
        <v>366</v>
      </c>
      <c r="B84" s="30">
        <v>-8.6758000000000002E-2</v>
      </c>
      <c r="C84" s="30">
        <v>2.0533429999999999</v>
      </c>
      <c r="D84" s="30">
        <v>0.149196</v>
      </c>
      <c r="E84" s="30">
        <v>0.33028800000000003</v>
      </c>
      <c r="F84" s="30">
        <v>0.86333000000000004</v>
      </c>
      <c r="G84" s="30">
        <v>0.109751</v>
      </c>
    </row>
    <row r="85" spans="1:7" x14ac:dyDescent="0.2">
      <c r="A85" s="4" t="s">
        <v>367</v>
      </c>
      <c r="B85" s="30">
        <v>0.29631800000000003</v>
      </c>
      <c r="C85" s="30">
        <v>-0.59225399999999995</v>
      </c>
      <c r="D85" s="30">
        <v>2.4452500000000001</v>
      </c>
      <c r="E85" s="30">
        <v>2.0628519999999999</v>
      </c>
      <c r="F85" s="30">
        <v>-0.38248500000000002</v>
      </c>
      <c r="G85" s="30">
        <v>1.424844</v>
      </c>
    </row>
    <row r="86" spans="1:7" x14ac:dyDescent="0.2">
      <c r="A86" s="4" t="s">
        <v>368</v>
      </c>
      <c r="B86" s="30">
        <v>0.29494300000000001</v>
      </c>
      <c r="C86" s="30">
        <v>-0.54120400000000002</v>
      </c>
      <c r="D86" s="30">
        <v>2.1347649999999998</v>
      </c>
      <c r="E86" s="30">
        <v>2.067145</v>
      </c>
      <c r="F86" s="30">
        <v>-0.21016899999999999</v>
      </c>
      <c r="G86" s="30">
        <v>1.1249089999999999</v>
      </c>
    </row>
    <row r="87" spans="1:7" x14ac:dyDescent="0.2">
      <c r="A87" s="4" t="s">
        <v>369</v>
      </c>
      <c r="B87" s="17" t="s">
        <v>141</v>
      </c>
      <c r="C87" s="17" t="s">
        <v>141</v>
      </c>
      <c r="D87" s="17" t="s">
        <v>141</v>
      </c>
      <c r="E87" s="17" t="s">
        <v>141</v>
      </c>
      <c r="F87" s="17" t="s">
        <v>141</v>
      </c>
      <c r="G87" s="17" t="s">
        <v>141</v>
      </c>
    </row>
    <row r="88" spans="1:7" x14ac:dyDescent="0.2">
      <c r="A88" s="4"/>
      <c r="B88" s="4"/>
      <c r="C88" s="4"/>
      <c r="D88" s="4"/>
      <c r="E88" s="4"/>
      <c r="F88" s="4"/>
      <c r="G88" s="4"/>
    </row>
    <row r="89" spans="1:7" ht="10.5" x14ac:dyDescent="0.2">
      <c r="A89" s="9" t="s">
        <v>370</v>
      </c>
      <c r="B89" s="4"/>
      <c r="C89" s="4"/>
      <c r="D89" s="4"/>
      <c r="E89" s="4"/>
      <c r="F89" s="4"/>
      <c r="G89" s="4"/>
    </row>
    <row r="90" spans="1:7" x14ac:dyDescent="0.2">
      <c r="A90" s="4" t="s">
        <v>98</v>
      </c>
      <c r="B90" s="30">
        <v>2.4750999999999999E-2</v>
      </c>
      <c r="C90" s="30">
        <v>9.6504000000000006E-2</v>
      </c>
      <c r="D90" s="30">
        <v>0.12854399999999999</v>
      </c>
      <c r="E90" s="30">
        <v>0.37110100000000001</v>
      </c>
      <c r="F90" s="30">
        <v>0.60156600000000005</v>
      </c>
      <c r="G90" s="30">
        <v>0.308728</v>
      </c>
    </row>
    <row r="91" spans="1:7" x14ac:dyDescent="0.2">
      <c r="A91" s="4" t="s">
        <v>100</v>
      </c>
      <c r="B91" s="30">
        <v>5.8271999999999997E-2</v>
      </c>
      <c r="C91" s="30">
        <v>9.2255000000000004E-2</v>
      </c>
      <c r="D91" s="30">
        <v>0.15707599999999999</v>
      </c>
      <c r="E91" s="30">
        <v>0.51710400000000001</v>
      </c>
      <c r="F91" s="30">
        <v>0.57497500000000001</v>
      </c>
      <c r="G91" s="30">
        <v>0.24743899999999999</v>
      </c>
    </row>
    <row r="92" spans="1:7" x14ac:dyDescent="0.2">
      <c r="A92" s="4" t="s">
        <v>355</v>
      </c>
      <c r="B92" s="30">
        <v>0.81247499999999995</v>
      </c>
      <c r="C92" s="30">
        <v>0.66716399999999998</v>
      </c>
      <c r="D92" s="30">
        <v>0.59423599999999999</v>
      </c>
      <c r="E92" s="30">
        <v>1.163276</v>
      </c>
      <c r="F92" s="30">
        <v>0.87220900000000001</v>
      </c>
      <c r="G92" s="30">
        <v>0.24055799999999999</v>
      </c>
    </row>
    <row r="93" spans="1:7" x14ac:dyDescent="0.2">
      <c r="A93" s="4" t="s">
        <v>356</v>
      </c>
      <c r="B93" s="30">
        <v>1.350678</v>
      </c>
      <c r="C93" s="30">
        <v>0.89755499999999999</v>
      </c>
      <c r="D93" s="30">
        <v>0.66238799999999998</v>
      </c>
      <c r="E93" s="30">
        <v>1.205662</v>
      </c>
      <c r="F93" s="30">
        <v>0.89526499999999998</v>
      </c>
      <c r="G93" s="30">
        <v>0.235543</v>
      </c>
    </row>
    <row r="94" spans="1:7" x14ac:dyDescent="0.2">
      <c r="A94" s="4" t="s">
        <v>357</v>
      </c>
      <c r="B94" s="30" t="s">
        <v>37</v>
      </c>
      <c r="C94" s="30">
        <v>1.426906</v>
      </c>
      <c r="D94" s="30">
        <v>0.78047800000000001</v>
      </c>
      <c r="E94" s="30">
        <v>1.304915</v>
      </c>
      <c r="F94" s="30">
        <v>0.93636299999999995</v>
      </c>
      <c r="G94" s="30">
        <v>0.23754800000000001</v>
      </c>
    </row>
    <row r="95" spans="1:7" x14ac:dyDescent="0.2">
      <c r="A95" s="4" t="s">
        <v>122</v>
      </c>
      <c r="B95" s="30" t="s">
        <v>37</v>
      </c>
      <c r="C95" s="30">
        <v>2.416417</v>
      </c>
      <c r="D95" s="30">
        <v>1.490583</v>
      </c>
      <c r="E95" s="30">
        <v>1.464326</v>
      </c>
      <c r="F95" s="30">
        <v>0.313969</v>
      </c>
      <c r="G95" s="30">
        <v>4.5059000000000002E-2</v>
      </c>
    </row>
    <row r="96" spans="1:7" x14ac:dyDescent="0.2">
      <c r="A96" s="4" t="s">
        <v>127</v>
      </c>
      <c r="B96" s="30" t="s">
        <v>37</v>
      </c>
      <c r="C96" s="30">
        <v>2.416417</v>
      </c>
      <c r="D96" s="30">
        <v>1.490583</v>
      </c>
      <c r="E96" s="30">
        <v>1.464326</v>
      </c>
      <c r="F96" s="30">
        <v>0.313969</v>
      </c>
      <c r="G96" s="30">
        <v>4.5059000000000002E-2</v>
      </c>
    </row>
    <row r="97" spans="1:7" x14ac:dyDescent="0.2">
      <c r="A97" s="4" t="s">
        <v>358</v>
      </c>
      <c r="B97" s="30" t="s">
        <v>37</v>
      </c>
      <c r="C97" s="30">
        <v>1.294724</v>
      </c>
      <c r="D97" s="30">
        <v>0.77646700000000002</v>
      </c>
      <c r="E97" s="30">
        <v>1.360155</v>
      </c>
      <c r="F97" s="30">
        <v>0.80407499999999998</v>
      </c>
      <c r="G97" s="30">
        <v>0.15497900000000001</v>
      </c>
    </row>
    <row r="98" spans="1:7" x14ac:dyDescent="0.2">
      <c r="A98" s="4" t="s">
        <v>359</v>
      </c>
      <c r="B98" s="30" t="s">
        <v>37</v>
      </c>
      <c r="C98" s="30" t="s">
        <v>37</v>
      </c>
      <c r="D98" s="30" t="s">
        <v>37</v>
      </c>
      <c r="E98" s="30">
        <v>1.6194360000000001</v>
      </c>
      <c r="F98" s="30">
        <v>0.38205899999999998</v>
      </c>
      <c r="G98" s="30">
        <v>5.9676E-2</v>
      </c>
    </row>
    <row r="99" spans="1:7" x14ac:dyDescent="0.2">
      <c r="A99" s="4"/>
      <c r="B99" s="4"/>
      <c r="C99" s="4"/>
      <c r="D99" s="4"/>
      <c r="E99" s="4"/>
      <c r="F99" s="4"/>
      <c r="G99" s="4"/>
    </row>
    <row r="100" spans="1:7" x14ac:dyDescent="0.2">
      <c r="A100" s="4" t="s">
        <v>360</v>
      </c>
      <c r="B100" s="30">
        <v>0.11663800000000001</v>
      </c>
      <c r="C100" s="30">
        <v>0.138208</v>
      </c>
      <c r="D100" s="30">
        <v>0.23890800000000001</v>
      </c>
      <c r="E100" s="30">
        <v>0.29919200000000001</v>
      </c>
      <c r="F100" s="30">
        <v>0.40450599999999998</v>
      </c>
      <c r="G100" s="30">
        <v>0.29388599999999998</v>
      </c>
    </row>
    <row r="101" spans="1:7" x14ac:dyDescent="0.2">
      <c r="A101" s="4" t="s">
        <v>361</v>
      </c>
      <c r="B101" s="30">
        <v>-7.9832E-2</v>
      </c>
      <c r="C101" s="30">
        <v>0.148812</v>
      </c>
      <c r="D101" s="30">
        <v>0.18604200000000001</v>
      </c>
      <c r="E101" s="30">
        <v>0.11408799999999999</v>
      </c>
      <c r="F101" s="30">
        <v>0.64094899999999999</v>
      </c>
      <c r="G101" s="30">
        <v>0.342893</v>
      </c>
    </row>
    <row r="102" spans="1:7" x14ac:dyDescent="0.2">
      <c r="A102" s="4" t="s">
        <v>362</v>
      </c>
      <c r="B102" s="30">
        <v>-0.29023599999999999</v>
      </c>
      <c r="C102" s="30">
        <v>1.560263</v>
      </c>
      <c r="D102" s="30">
        <v>2.1819920000000002</v>
      </c>
      <c r="E102" s="30">
        <v>8.2661999999999999E-2</v>
      </c>
      <c r="F102" s="30">
        <v>0.36893100000000001</v>
      </c>
      <c r="G102" s="30">
        <v>0.397596</v>
      </c>
    </row>
    <row r="103" spans="1:7" x14ac:dyDescent="0.2">
      <c r="A103" s="4" t="s">
        <v>363</v>
      </c>
      <c r="B103" s="30">
        <v>-9.0122999999999995E-2</v>
      </c>
      <c r="C103" s="30">
        <v>0.16569900000000001</v>
      </c>
      <c r="D103" s="30">
        <v>0.54461599999999999</v>
      </c>
      <c r="E103" s="30">
        <v>0.44613799999999998</v>
      </c>
      <c r="F103" s="30">
        <v>1.006003</v>
      </c>
      <c r="G103" s="30">
        <v>0.73366200000000004</v>
      </c>
    </row>
    <row r="104" spans="1:7" x14ac:dyDescent="0.2">
      <c r="A104" s="4"/>
      <c r="B104" s="4"/>
      <c r="C104" s="4"/>
      <c r="D104" s="4"/>
      <c r="E104" s="4"/>
      <c r="F104" s="4"/>
      <c r="G104" s="4"/>
    </row>
    <row r="105" spans="1:7" x14ac:dyDescent="0.2">
      <c r="A105" s="4" t="s">
        <v>364</v>
      </c>
      <c r="B105" s="30">
        <v>-0.160639</v>
      </c>
      <c r="C105" s="30">
        <v>-0.192831</v>
      </c>
      <c r="D105" s="30">
        <v>0.56188899999999997</v>
      </c>
      <c r="E105" s="30" t="s">
        <v>37</v>
      </c>
      <c r="F105" s="30" t="s">
        <v>37</v>
      </c>
      <c r="G105" s="30" t="s">
        <v>37</v>
      </c>
    </row>
    <row r="106" spans="1:7" x14ac:dyDescent="0.2">
      <c r="A106" s="4" t="s">
        <v>365</v>
      </c>
      <c r="B106" s="30">
        <v>-0.174149</v>
      </c>
      <c r="C106" s="30">
        <v>-0.15757399999999999</v>
      </c>
      <c r="D106" s="30">
        <v>0.39053300000000002</v>
      </c>
      <c r="E106" s="30">
        <v>-0.67326200000000003</v>
      </c>
      <c r="F106" s="30">
        <v>0.67759000000000003</v>
      </c>
      <c r="G106" s="30">
        <v>9.1610490000000002</v>
      </c>
    </row>
    <row r="107" spans="1:7" x14ac:dyDescent="0.2">
      <c r="A107" s="4" t="s">
        <v>273</v>
      </c>
      <c r="B107" s="30">
        <v>0.69461200000000001</v>
      </c>
      <c r="C107" s="30">
        <v>-4.3196999999999999E-2</v>
      </c>
      <c r="D107" s="30">
        <v>0.52902700000000003</v>
      </c>
      <c r="E107" s="30">
        <v>1.510931</v>
      </c>
      <c r="F107" s="30">
        <v>0.50325900000000001</v>
      </c>
      <c r="G107" s="30">
        <v>0.28082699999999999</v>
      </c>
    </row>
    <row r="108" spans="1:7" x14ac:dyDescent="0.2">
      <c r="A108" s="4" t="s">
        <v>366</v>
      </c>
      <c r="B108" s="30">
        <v>-0.26533000000000001</v>
      </c>
      <c r="C108" s="30">
        <v>0.66986299999999999</v>
      </c>
      <c r="D108" s="30">
        <v>0.87320299999999995</v>
      </c>
      <c r="E108" s="30">
        <v>0.236431</v>
      </c>
      <c r="F108" s="30">
        <v>0.57440999999999998</v>
      </c>
      <c r="G108" s="30">
        <v>0.437996</v>
      </c>
    </row>
    <row r="109" spans="1:7" x14ac:dyDescent="0.2">
      <c r="A109" s="4" t="s">
        <v>367</v>
      </c>
      <c r="B109" s="30">
        <v>0.839256</v>
      </c>
      <c r="C109" s="30">
        <v>-0.27297199999999999</v>
      </c>
      <c r="D109" s="30">
        <v>0.18523800000000001</v>
      </c>
      <c r="E109" s="30">
        <v>2.2484289999999998</v>
      </c>
      <c r="F109" s="30">
        <v>0.37526700000000002</v>
      </c>
      <c r="G109" s="30">
        <v>0.22367400000000001</v>
      </c>
    </row>
    <row r="110" spans="1:7" x14ac:dyDescent="0.2">
      <c r="A110" s="4" t="s">
        <v>368</v>
      </c>
      <c r="B110" s="30">
        <v>0.828685</v>
      </c>
      <c r="C110" s="30">
        <v>-0.229211</v>
      </c>
      <c r="D110" s="30">
        <v>0.19925799999999999</v>
      </c>
      <c r="E110" s="30">
        <v>2.1007709999999999</v>
      </c>
      <c r="F110" s="30">
        <v>0.55644800000000005</v>
      </c>
      <c r="G110" s="30">
        <v>0.29549999999999998</v>
      </c>
    </row>
    <row r="111" spans="1:7" x14ac:dyDescent="0.2">
      <c r="A111" s="4" t="s">
        <v>369</v>
      </c>
      <c r="B111" s="17" t="s">
        <v>141</v>
      </c>
      <c r="C111" s="17" t="s">
        <v>141</v>
      </c>
      <c r="D111" s="17" t="s">
        <v>141</v>
      </c>
      <c r="E111" s="17" t="s">
        <v>141</v>
      </c>
      <c r="F111" s="17" t="s">
        <v>141</v>
      </c>
      <c r="G111" s="17" t="s">
        <v>141</v>
      </c>
    </row>
    <row r="112" spans="1:7" x14ac:dyDescent="0.2">
      <c r="A112" s="4"/>
      <c r="B112" s="4"/>
      <c r="C112" s="4"/>
      <c r="D112" s="4"/>
      <c r="E112" s="4"/>
      <c r="F112" s="4"/>
      <c r="G112" s="4"/>
    </row>
    <row r="113" spans="1:7" ht="10.5" x14ac:dyDescent="0.2">
      <c r="A113" s="9" t="s">
        <v>371</v>
      </c>
      <c r="B113" s="4"/>
      <c r="C113" s="4"/>
      <c r="D113" s="4"/>
      <c r="E113" s="4"/>
      <c r="F113" s="4"/>
      <c r="G113" s="4"/>
    </row>
    <row r="114" spans="1:7" x14ac:dyDescent="0.2">
      <c r="A114" s="4" t="s">
        <v>98</v>
      </c>
      <c r="B114" s="30">
        <v>-7.4200000000000004E-4</v>
      </c>
      <c r="C114" s="30">
        <v>5.8961E-2</v>
      </c>
      <c r="D114" s="30">
        <v>0.10632999999999999</v>
      </c>
      <c r="E114" s="30">
        <v>0.28582200000000002</v>
      </c>
      <c r="F114" s="30">
        <v>0.424211</v>
      </c>
      <c r="G114" s="30">
        <v>0.41927999999999999</v>
      </c>
    </row>
    <row r="115" spans="1:7" x14ac:dyDescent="0.2">
      <c r="A115" s="4" t="s">
        <v>100</v>
      </c>
      <c r="B115" s="30">
        <v>3.1219E-2</v>
      </c>
      <c r="C115" s="30">
        <v>7.2516999999999998E-2</v>
      </c>
      <c r="D115" s="30">
        <v>0.13184000000000001</v>
      </c>
      <c r="E115" s="30">
        <v>0.36358600000000002</v>
      </c>
      <c r="F115" s="30">
        <v>0.44461299999999998</v>
      </c>
      <c r="G115" s="30">
        <v>0.43368699999999999</v>
      </c>
    </row>
    <row r="116" spans="1:7" x14ac:dyDescent="0.2">
      <c r="A116" s="4" t="s">
        <v>355</v>
      </c>
      <c r="B116" s="30" t="s">
        <v>37</v>
      </c>
      <c r="C116" s="30">
        <v>0.69194500000000003</v>
      </c>
      <c r="D116" s="30">
        <v>0.68583700000000003</v>
      </c>
      <c r="E116" s="30">
        <v>0.90376299999999998</v>
      </c>
      <c r="F116" s="30">
        <v>0.821376</v>
      </c>
      <c r="G116" s="30">
        <v>0.61060599999999998</v>
      </c>
    </row>
    <row r="117" spans="1:7" x14ac:dyDescent="0.2">
      <c r="A117" s="4" t="s">
        <v>356</v>
      </c>
      <c r="B117" s="30" t="s">
        <v>37</v>
      </c>
      <c r="C117" s="30">
        <v>1.059534</v>
      </c>
      <c r="D117" s="30">
        <v>0.84633800000000003</v>
      </c>
      <c r="E117" s="30">
        <v>0.97393399999999997</v>
      </c>
      <c r="F117" s="30">
        <v>0.84485200000000005</v>
      </c>
      <c r="G117" s="30">
        <v>0.61963199999999996</v>
      </c>
    </row>
    <row r="118" spans="1:7" x14ac:dyDescent="0.2">
      <c r="A118" s="4" t="s">
        <v>357</v>
      </c>
      <c r="B118" s="30" t="s">
        <v>37</v>
      </c>
      <c r="C118" s="30" t="s">
        <v>37</v>
      </c>
      <c r="D118" s="30">
        <v>1.2104280000000001</v>
      </c>
      <c r="E118" s="30">
        <v>1.0942080000000001</v>
      </c>
      <c r="F118" s="30">
        <v>0.90151199999999998</v>
      </c>
      <c r="G118" s="30">
        <v>0.64324999999999999</v>
      </c>
    </row>
    <row r="119" spans="1:7" x14ac:dyDescent="0.2">
      <c r="A119" s="4" t="s">
        <v>122</v>
      </c>
      <c r="B119" s="30" t="s">
        <v>37</v>
      </c>
      <c r="C119" s="30" t="s">
        <v>37</v>
      </c>
      <c r="D119" s="30">
        <v>2.1264059999999998</v>
      </c>
      <c r="E119" s="30">
        <v>1.432212</v>
      </c>
      <c r="F119" s="30">
        <v>0.65343899999999999</v>
      </c>
      <c r="G119" s="30">
        <v>0.363205</v>
      </c>
    </row>
    <row r="120" spans="1:7" x14ac:dyDescent="0.2">
      <c r="A120" s="4" t="s">
        <v>127</v>
      </c>
      <c r="B120" s="30" t="s">
        <v>37</v>
      </c>
      <c r="C120" s="30" t="s">
        <v>37</v>
      </c>
      <c r="D120" s="30">
        <v>2.1264059999999998</v>
      </c>
      <c r="E120" s="30">
        <v>1.432212</v>
      </c>
      <c r="F120" s="30">
        <v>0.65343899999999999</v>
      </c>
      <c r="G120" s="30">
        <v>0.363205</v>
      </c>
    </row>
    <row r="121" spans="1:7" x14ac:dyDescent="0.2">
      <c r="A121" s="4" t="s">
        <v>358</v>
      </c>
      <c r="B121" s="30" t="s">
        <v>37</v>
      </c>
      <c r="C121" s="30" t="s">
        <v>37</v>
      </c>
      <c r="D121" s="30">
        <v>1.1611750000000001</v>
      </c>
      <c r="E121" s="30">
        <v>1.093127</v>
      </c>
      <c r="F121" s="30">
        <v>0.84093899999999999</v>
      </c>
      <c r="G121" s="30">
        <v>0.57086899999999996</v>
      </c>
    </row>
    <row r="122" spans="1:7" x14ac:dyDescent="0.2">
      <c r="A122" s="4" t="s">
        <v>359</v>
      </c>
      <c r="B122" s="30" t="s">
        <v>37</v>
      </c>
      <c r="C122" s="30" t="s">
        <v>37</v>
      </c>
      <c r="D122" s="30" t="s">
        <v>37</v>
      </c>
      <c r="E122" s="30" t="s">
        <v>37</v>
      </c>
      <c r="F122" s="30">
        <v>0.73768100000000003</v>
      </c>
      <c r="G122" s="30">
        <v>0.41026899999999999</v>
      </c>
    </row>
    <row r="123" spans="1:7" x14ac:dyDescent="0.2">
      <c r="A123" s="4"/>
      <c r="B123" s="4"/>
      <c r="C123" s="4"/>
      <c r="D123" s="4"/>
      <c r="E123" s="4"/>
      <c r="F123" s="4"/>
      <c r="G123" s="4"/>
    </row>
    <row r="124" spans="1:7" x14ac:dyDescent="0.2">
      <c r="A124" s="4" t="s">
        <v>360</v>
      </c>
      <c r="B124" s="30">
        <v>5.2996000000000001E-2</v>
      </c>
      <c r="C124" s="30">
        <v>0.113848</v>
      </c>
      <c r="D124" s="30">
        <v>0.21512999999999999</v>
      </c>
      <c r="E124" s="30">
        <v>0.232159</v>
      </c>
      <c r="F124" s="30">
        <v>0.397947</v>
      </c>
      <c r="G124" s="30">
        <v>0.268347</v>
      </c>
    </row>
    <row r="125" spans="1:7" x14ac:dyDescent="0.2">
      <c r="A125" s="4" t="s">
        <v>361</v>
      </c>
      <c r="B125" s="30">
        <v>-9.5425999999999997E-2</v>
      </c>
      <c r="C125" s="30">
        <v>5.3735999999999999E-2</v>
      </c>
      <c r="D125" s="30">
        <v>0.103432</v>
      </c>
      <c r="E125" s="30">
        <v>0.197017</v>
      </c>
      <c r="F125" s="30">
        <v>0.39951199999999998</v>
      </c>
      <c r="G125" s="30">
        <v>0.30035299999999998</v>
      </c>
    </row>
    <row r="126" spans="1:7" x14ac:dyDescent="0.2">
      <c r="A126" s="4" t="s">
        <v>362</v>
      </c>
      <c r="B126" s="30">
        <v>-0.225968</v>
      </c>
      <c r="C126" s="30">
        <v>0.73339699999999997</v>
      </c>
      <c r="D126" s="30">
        <v>0.85851900000000003</v>
      </c>
      <c r="E126" s="30">
        <v>1.296945</v>
      </c>
      <c r="F126" s="30">
        <v>0.22433</v>
      </c>
      <c r="G126" s="30">
        <v>0.327208</v>
      </c>
    </row>
    <row r="127" spans="1:7" x14ac:dyDescent="0.2">
      <c r="A127" s="4" t="s">
        <v>363</v>
      </c>
      <c r="B127" s="30">
        <v>-8.2960999999999993E-2</v>
      </c>
      <c r="C127" s="30">
        <v>9.2623999999999998E-2</v>
      </c>
      <c r="D127" s="30">
        <v>0.27190799999999998</v>
      </c>
      <c r="E127" s="30">
        <v>0.488066</v>
      </c>
      <c r="F127" s="30">
        <v>0.82649799999999995</v>
      </c>
      <c r="G127" s="30">
        <v>0.60713099999999998</v>
      </c>
    </row>
    <row r="128" spans="1:7" x14ac:dyDescent="0.2">
      <c r="A128" s="4"/>
      <c r="B128" s="4"/>
      <c r="C128" s="4"/>
      <c r="D128" s="4"/>
      <c r="E128" s="4"/>
      <c r="F128" s="4"/>
      <c r="G128" s="4"/>
    </row>
    <row r="129" spans="1:7" x14ac:dyDescent="0.2">
      <c r="A129" s="4" t="s">
        <v>364</v>
      </c>
      <c r="B129" s="30">
        <v>-0.13957600000000001</v>
      </c>
      <c r="C129" s="30">
        <v>-0.17121</v>
      </c>
      <c r="D129" s="30">
        <v>0.25294299999999997</v>
      </c>
      <c r="E129" s="30" t="s">
        <v>37</v>
      </c>
      <c r="F129" s="30" t="s">
        <v>37</v>
      </c>
      <c r="G129" s="30" t="s">
        <v>37</v>
      </c>
    </row>
    <row r="130" spans="1:7" x14ac:dyDescent="0.2">
      <c r="A130" s="4" t="s">
        <v>365</v>
      </c>
      <c r="B130" s="30">
        <v>-0.15140899999999999</v>
      </c>
      <c r="C130" s="30">
        <v>-0.15725900000000001</v>
      </c>
      <c r="D130" s="30">
        <v>0.160689</v>
      </c>
      <c r="E130" s="30">
        <v>-0.54582200000000003</v>
      </c>
      <c r="F130" s="30">
        <v>0.83718000000000004</v>
      </c>
      <c r="G130" s="30">
        <v>0.71027300000000004</v>
      </c>
    </row>
    <row r="131" spans="1:7" x14ac:dyDescent="0.2">
      <c r="A131" s="4" t="s">
        <v>273</v>
      </c>
      <c r="B131" s="30">
        <v>1.2748170000000001</v>
      </c>
      <c r="C131" s="30">
        <v>0.31286399999999998</v>
      </c>
      <c r="D131" s="30">
        <v>0.39525100000000002</v>
      </c>
      <c r="E131" s="30">
        <v>0.70632799999999996</v>
      </c>
      <c r="F131" s="30">
        <v>0.88564500000000002</v>
      </c>
      <c r="G131" s="30">
        <v>0.51627999999999996</v>
      </c>
    </row>
    <row r="132" spans="1:7" x14ac:dyDescent="0.2">
      <c r="A132" s="4" t="s">
        <v>366</v>
      </c>
      <c r="B132" s="30">
        <v>-0.13467999999999999</v>
      </c>
      <c r="C132" s="30">
        <v>0.18119099999999999</v>
      </c>
      <c r="D132" s="30">
        <v>0.474298</v>
      </c>
      <c r="E132" s="30">
        <v>0.67123900000000003</v>
      </c>
      <c r="F132" s="30">
        <v>0.41756599999999999</v>
      </c>
      <c r="G132" s="30">
        <v>0.40115800000000001</v>
      </c>
    </row>
    <row r="133" spans="1:7" x14ac:dyDescent="0.2">
      <c r="A133" s="4" t="s">
        <v>367</v>
      </c>
      <c r="B133" s="30">
        <v>0.38417600000000002</v>
      </c>
      <c r="C133" s="30">
        <v>0.113162</v>
      </c>
      <c r="D133" s="30">
        <v>0.221165</v>
      </c>
      <c r="E133" s="30">
        <v>0.62646900000000005</v>
      </c>
      <c r="F133" s="30">
        <v>0.86780500000000005</v>
      </c>
      <c r="G133" s="30">
        <v>0.66144499999999995</v>
      </c>
    </row>
    <row r="134" spans="1:7" x14ac:dyDescent="0.2">
      <c r="A134" s="4" t="s">
        <v>368</v>
      </c>
      <c r="B134" s="30">
        <v>0.37959399999999999</v>
      </c>
      <c r="C134" s="30">
        <v>0.153363</v>
      </c>
      <c r="D134" s="30">
        <v>0.23034099999999999</v>
      </c>
      <c r="E134" s="30">
        <v>0.64003500000000002</v>
      </c>
      <c r="F134" s="30">
        <v>0.96558299999999997</v>
      </c>
      <c r="G134" s="30">
        <v>0.72664499999999999</v>
      </c>
    </row>
    <row r="135" spans="1:7" x14ac:dyDescent="0.2">
      <c r="A135" s="4" t="s">
        <v>369</v>
      </c>
      <c r="B135" s="17" t="s">
        <v>141</v>
      </c>
      <c r="C135" s="17" t="s">
        <v>141</v>
      </c>
      <c r="D135" s="17" t="s">
        <v>141</v>
      </c>
      <c r="E135" s="17" t="s">
        <v>141</v>
      </c>
      <c r="F135" s="17" t="s">
        <v>141</v>
      </c>
      <c r="G135" s="17" t="s">
        <v>141</v>
      </c>
    </row>
    <row r="136" spans="1:7" x14ac:dyDescent="0.2">
      <c r="A136" s="4"/>
      <c r="B136" s="4"/>
      <c r="C136" s="4"/>
      <c r="D136" s="4"/>
      <c r="E136" s="4"/>
      <c r="F136" s="4"/>
      <c r="G136" s="4"/>
    </row>
    <row r="137" spans="1:7" ht="10.5" x14ac:dyDescent="0.2">
      <c r="A137" s="9" t="s">
        <v>372</v>
      </c>
      <c r="B137" s="4"/>
      <c r="C137" s="4"/>
      <c r="D137" s="4"/>
      <c r="E137" s="4"/>
      <c r="F137" s="4"/>
      <c r="G137" s="4"/>
    </row>
    <row r="138" spans="1:7" x14ac:dyDescent="0.2">
      <c r="A138" s="4" t="s">
        <v>98</v>
      </c>
      <c r="B138" s="30">
        <v>-1.8168E-2</v>
      </c>
      <c r="C138" s="30">
        <v>5.3460000000000001E-3</v>
      </c>
      <c r="D138" s="30">
        <v>4.9092999999999998E-2</v>
      </c>
      <c r="E138" s="30">
        <v>0.174237</v>
      </c>
      <c r="F138" s="30">
        <v>0.28277000000000002</v>
      </c>
      <c r="G138" s="30">
        <v>0.29493599999999998</v>
      </c>
    </row>
    <row r="139" spans="1:7" x14ac:dyDescent="0.2">
      <c r="A139" s="4" t="s">
        <v>100</v>
      </c>
      <c r="B139" s="30">
        <v>-2.1104999999999999E-2</v>
      </c>
      <c r="C139" s="30">
        <v>7.5329999999999998E-3</v>
      </c>
      <c r="D139" s="30">
        <v>7.9828999999999997E-2</v>
      </c>
      <c r="E139" s="30">
        <v>0.23210800000000001</v>
      </c>
      <c r="F139" s="30">
        <v>0.29175600000000002</v>
      </c>
      <c r="G139" s="30">
        <v>0.31588300000000002</v>
      </c>
    </row>
    <row r="140" spans="1:7" x14ac:dyDescent="0.2">
      <c r="A140" s="4" t="s">
        <v>355</v>
      </c>
      <c r="B140" s="30">
        <v>-3.1761999999999999E-2</v>
      </c>
      <c r="C140" s="30">
        <v>0.15314800000000001</v>
      </c>
      <c r="D140" s="30" t="s">
        <v>37</v>
      </c>
      <c r="E140" s="30">
        <v>0.86670899999999995</v>
      </c>
      <c r="F140" s="30">
        <v>0.75804899999999997</v>
      </c>
      <c r="G140" s="30">
        <v>0.60403799999999996</v>
      </c>
    </row>
    <row r="141" spans="1:7" x14ac:dyDescent="0.2">
      <c r="A141" s="4" t="s">
        <v>356</v>
      </c>
      <c r="B141" s="30">
        <v>-1.358E-2</v>
      </c>
      <c r="C141" s="30">
        <v>0.22714999999999999</v>
      </c>
      <c r="D141" s="30" t="s">
        <v>37</v>
      </c>
      <c r="E141" s="30">
        <v>1.1167860000000001</v>
      </c>
      <c r="F141" s="30">
        <v>0.86575599999999997</v>
      </c>
      <c r="G141" s="30">
        <v>0.63660099999999997</v>
      </c>
    </row>
    <row r="142" spans="1:7" x14ac:dyDescent="0.2">
      <c r="A142" s="4" t="s">
        <v>357</v>
      </c>
      <c r="B142" s="30">
        <v>-1.5125E-2</v>
      </c>
      <c r="C142" s="30">
        <v>0.27940799999999999</v>
      </c>
      <c r="D142" s="30" t="s">
        <v>37</v>
      </c>
      <c r="E142" s="30" t="s">
        <v>37</v>
      </c>
      <c r="F142" s="30">
        <v>1.0964309999999999</v>
      </c>
      <c r="G142" s="30">
        <v>0.696824</v>
      </c>
    </row>
    <row r="143" spans="1:7" x14ac:dyDescent="0.2">
      <c r="A143" s="4" t="s">
        <v>122</v>
      </c>
      <c r="B143" s="30">
        <v>0.370807</v>
      </c>
      <c r="C143" s="30" t="s">
        <v>37</v>
      </c>
      <c r="D143" s="30" t="s">
        <v>37</v>
      </c>
      <c r="E143" s="30" t="s">
        <v>37</v>
      </c>
      <c r="F143" s="30">
        <v>1.210351</v>
      </c>
      <c r="G143" s="30">
        <v>0.73483100000000001</v>
      </c>
    </row>
    <row r="144" spans="1:7" x14ac:dyDescent="0.2">
      <c r="A144" s="4" t="s">
        <v>127</v>
      </c>
      <c r="B144" s="30">
        <v>0.370807</v>
      </c>
      <c r="C144" s="30" t="s">
        <v>37</v>
      </c>
      <c r="D144" s="30" t="s">
        <v>37</v>
      </c>
      <c r="E144" s="30" t="s">
        <v>37</v>
      </c>
      <c r="F144" s="30">
        <v>1.210351</v>
      </c>
      <c r="G144" s="30">
        <v>0.73483100000000001</v>
      </c>
    </row>
    <row r="145" spans="1:7" x14ac:dyDescent="0.2">
      <c r="A145" s="4" t="s">
        <v>358</v>
      </c>
      <c r="B145" s="30">
        <v>-1.2585000000000001E-2</v>
      </c>
      <c r="C145" s="30">
        <v>0.28753000000000001</v>
      </c>
      <c r="D145" s="30" t="s">
        <v>37</v>
      </c>
      <c r="E145" s="30" t="s">
        <v>37</v>
      </c>
      <c r="F145" s="30">
        <v>1.0105550000000001</v>
      </c>
      <c r="G145" s="30">
        <v>0.65008699999999997</v>
      </c>
    </row>
    <row r="146" spans="1:7" x14ac:dyDescent="0.2">
      <c r="A146" s="4" t="s">
        <v>359</v>
      </c>
      <c r="B146" s="30" t="s">
        <v>37</v>
      </c>
      <c r="C146" s="30" t="s">
        <v>37</v>
      </c>
      <c r="D146" s="30" t="s">
        <v>37</v>
      </c>
      <c r="E146" s="30" t="s">
        <v>37</v>
      </c>
      <c r="F146" s="30" t="s">
        <v>37</v>
      </c>
      <c r="G146" s="30" t="s">
        <v>37</v>
      </c>
    </row>
    <row r="147" spans="1:7" x14ac:dyDescent="0.2">
      <c r="A147" s="4"/>
      <c r="B147" s="4"/>
      <c r="C147" s="4"/>
      <c r="D147" s="4"/>
      <c r="E147" s="4"/>
      <c r="F147" s="4"/>
      <c r="G147" s="4"/>
    </row>
    <row r="148" spans="1:7" x14ac:dyDescent="0.2">
      <c r="A148" s="4" t="s">
        <v>360</v>
      </c>
      <c r="B148" s="30">
        <v>-1.3335E-2</v>
      </c>
      <c r="C148" s="30">
        <v>1.3429999999999999E-2</v>
      </c>
      <c r="D148" s="30">
        <v>0.123755</v>
      </c>
      <c r="E148" s="30">
        <v>0.184581</v>
      </c>
      <c r="F148" s="30">
        <v>0.28760599999999997</v>
      </c>
      <c r="G148" s="30">
        <v>0.25648799999999999</v>
      </c>
    </row>
    <row r="149" spans="1:7" x14ac:dyDescent="0.2">
      <c r="A149" s="4" t="s">
        <v>361</v>
      </c>
      <c r="B149" s="30">
        <v>-5.1707999999999997E-2</v>
      </c>
      <c r="C149" s="30">
        <v>1.1850000000000001E-3</v>
      </c>
      <c r="D149" s="30">
        <v>8.1069999999999996E-3</v>
      </c>
      <c r="E149" s="30">
        <v>7.7475000000000002E-2</v>
      </c>
      <c r="F149" s="30">
        <v>0.29325899999999999</v>
      </c>
      <c r="G149" s="30">
        <v>0.253363</v>
      </c>
    </row>
    <row r="150" spans="1:7" x14ac:dyDescent="0.2">
      <c r="A150" s="4" t="s">
        <v>362</v>
      </c>
      <c r="B150" s="30">
        <v>-0.23890600000000001</v>
      </c>
      <c r="C150" s="30">
        <v>0.27449400000000002</v>
      </c>
      <c r="D150" s="30">
        <v>0.36249599999999998</v>
      </c>
      <c r="E150" s="30">
        <v>0.43593900000000002</v>
      </c>
      <c r="F150" s="30">
        <v>0.64457200000000003</v>
      </c>
      <c r="G150" s="30">
        <v>0.882969</v>
      </c>
    </row>
    <row r="151" spans="1:7" x14ac:dyDescent="0.2">
      <c r="A151" s="4" t="s">
        <v>363</v>
      </c>
      <c r="B151" s="30">
        <v>-0.117329</v>
      </c>
      <c r="C151" s="30">
        <v>-1.7486999999999999E-2</v>
      </c>
      <c r="D151" s="30">
        <v>0.129694</v>
      </c>
      <c r="E151" s="30">
        <v>0.22226799999999999</v>
      </c>
      <c r="F151" s="30">
        <v>0.52618100000000001</v>
      </c>
      <c r="G151" s="30">
        <v>0.58182699999999998</v>
      </c>
    </row>
    <row r="152" spans="1:7" x14ac:dyDescent="0.2">
      <c r="A152" s="4"/>
      <c r="B152" s="4"/>
      <c r="C152" s="4"/>
      <c r="D152" s="4"/>
      <c r="E152" s="4"/>
      <c r="F152" s="4"/>
      <c r="G152" s="4"/>
    </row>
    <row r="153" spans="1:7" x14ac:dyDescent="0.2">
      <c r="A153" s="4" t="s">
        <v>364</v>
      </c>
      <c r="B153" s="30">
        <v>-0.28466399999999997</v>
      </c>
      <c r="C153" s="30">
        <v>-0.25102200000000002</v>
      </c>
      <c r="D153" s="30">
        <v>9.2163999999999996E-2</v>
      </c>
      <c r="E153" s="30" t="s">
        <v>37</v>
      </c>
      <c r="F153" s="30" t="s">
        <v>37</v>
      </c>
      <c r="G153" s="30" t="s">
        <v>37</v>
      </c>
    </row>
    <row r="154" spans="1:7" x14ac:dyDescent="0.2">
      <c r="A154" s="4" t="s">
        <v>365</v>
      </c>
      <c r="B154" s="30">
        <v>-0.24793399999999999</v>
      </c>
      <c r="C154" s="30">
        <v>-0.21850700000000001</v>
      </c>
      <c r="D154" s="30">
        <v>3.3931999999999997E-2</v>
      </c>
      <c r="E154" s="30">
        <v>-0.42310599999999998</v>
      </c>
      <c r="F154" s="30">
        <v>0.344943</v>
      </c>
      <c r="G154" s="30">
        <v>0.57438800000000001</v>
      </c>
    </row>
    <row r="155" spans="1:7" x14ac:dyDescent="0.2">
      <c r="A155" s="4" t="s">
        <v>273</v>
      </c>
      <c r="B155" s="30">
        <v>6.4643999999999993E-2</v>
      </c>
      <c r="C155" s="30" t="s">
        <v>37</v>
      </c>
      <c r="D155" s="30">
        <v>0.94059099999999995</v>
      </c>
      <c r="E155" s="30">
        <v>0.70163200000000003</v>
      </c>
      <c r="F155" s="30">
        <v>0.43749100000000002</v>
      </c>
      <c r="G155" s="30">
        <v>0.521366</v>
      </c>
    </row>
    <row r="156" spans="1:7" x14ac:dyDescent="0.2">
      <c r="A156" s="4" t="s">
        <v>366</v>
      </c>
      <c r="B156" s="30">
        <v>-0.21592800000000001</v>
      </c>
      <c r="C156" s="30">
        <v>0.179951</v>
      </c>
      <c r="D156" s="30">
        <v>0.17852799999999999</v>
      </c>
      <c r="E156" s="30">
        <v>0.202985</v>
      </c>
      <c r="F156" s="30">
        <v>0.51355499999999998</v>
      </c>
      <c r="G156" s="30">
        <v>0.573716</v>
      </c>
    </row>
    <row r="157" spans="1:7" x14ac:dyDescent="0.2">
      <c r="A157" s="4" t="s">
        <v>367</v>
      </c>
      <c r="B157" s="30">
        <v>9.5243999999999995E-2</v>
      </c>
      <c r="C157" s="30" t="s">
        <v>37</v>
      </c>
      <c r="D157" s="30">
        <v>0.30087900000000001</v>
      </c>
      <c r="E157" s="30">
        <v>0.70845800000000003</v>
      </c>
      <c r="F157" s="30">
        <v>0.28061700000000001</v>
      </c>
      <c r="G157" s="30">
        <v>0.45148899999999997</v>
      </c>
    </row>
    <row r="158" spans="1:7" x14ac:dyDescent="0.2">
      <c r="A158" s="4" t="s">
        <v>368</v>
      </c>
      <c r="B158" s="30">
        <v>9.4368999999999995E-2</v>
      </c>
      <c r="C158" s="30" t="s">
        <v>37</v>
      </c>
      <c r="D158" s="30">
        <v>0.30441499999999999</v>
      </c>
      <c r="E158" s="30">
        <v>0.71304000000000001</v>
      </c>
      <c r="F158" s="30">
        <v>0.35166500000000001</v>
      </c>
      <c r="G158" s="30">
        <v>0.49240600000000001</v>
      </c>
    </row>
    <row r="159" spans="1:7" x14ac:dyDescent="0.2">
      <c r="A159" s="4" t="s">
        <v>369</v>
      </c>
      <c r="B159" s="17" t="s">
        <v>141</v>
      </c>
      <c r="C159" s="17" t="s">
        <v>141</v>
      </c>
      <c r="D159" s="17" t="s">
        <v>141</v>
      </c>
      <c r="E159" s="17" t="s">
        <v>141</v>
      </c>
      <c r="F159" s="17" t="s">
        <v>141</v>
      </c>
      <c r="G159" s="17" t="s">
        <v>141</v>
      </c>
    </row>
    <row r="160" spans="1:7" x14ac:dyDescent="0.2">
      <c r="A160" s="4"/>
      <c r="B160" s="4"/>
      <c r="C160" s="4"/>
      <c r="D160" s="4"/>
      <c r="E160" s="4"/>
      <c r="F160" s="4"/>
      <c r="G160" s="4"/>
    </row>
    <row r="161" spans="1:7" ht="60" x14ac:dyDescent="0.2">
      <c r="A161" s="36" t="s">
        <v>72</v>
      </c>
      <c r="B161" s="11"/>
      <c r="C161" s="11"/>
      <c r="D161" s="11"/>
      <c r="E161" s="11"/>
      <c r="F161" s="11"/>
      <c r="G161"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autoPageBreaks="0"/>
  </sheetPr>
  <dimension ref="A5:IU39"/>
  <sheetViews>
    <sheetView topLeftCell="A12" zoomScale="160" zoomScaleNormal="160" workbookViewId="0"/>
  </sheetViews>
  <sheetFormatPr defaultRowHeight="10" x14ac:dyDescent="0.2"/>
  <cols>
    <col min="1" max="1" width="45.81640625" customWidth="1"/>
    <col min="2" max="7" width="14.81640625" customWidth="1"/>
  </cols>
  <sheetData>
    <row r="5" spans="1:255" ht="17" x14ac:dyDescent="0.35">
      <c r="A5" s="1" t="s">
        <v>373</v>
      </c>
    </row>
    <row r="7" spans="1:255" ht="10.5" x14ac:dyDescent="0.25">
      <c r="A7" s="2" t="s">
        <v>374</v>
      </c>
      <c r="B7" s="3" t="s">
        <v>375</v>
      </c>
      <c r="C7" t="s">
        <v>78</v>
      </c>
      <c r="D7" s="4" t="s">
        <v>4</v>
      </c>
      <c r="E7" s="3" t="s">
        <v>376</v>
      </c>
      <c r="F7" t="s">
        <v>80</v>
      </c>
    </row>
    <row r="8" spans="1:255" ht="10.5" x14ac:dyDescent="0.25">
      <c r="A8" s="4"/>
      <c r="B8" s="3" t="s">
        <v>377</v>
      </c>
      <c r="C8" t="s">
        <v>83</v>
      </c>
      <c r="D8" s="4" t="s">
        <v>4</v>
      </c>
      <c r="E8" s="3" t="s">
        <v>378</v>
      </c>
      <c r="F8" t="s">
        <v>6</v>
      </c>
    </row>
    <row r="9" spans="1:255" ht="10.5" x14ac:dyDescent="0.25">
      <c r="A9" s="4"/>
      <c r="B9" s="3" t="s">
        <v>379</v>
      </c>
      <c r="C9" t="s">
        <v>8</v>
      </c>
      <c r="D9" s="4" t="s">
        <v>4</v>
      </c>
      <c r="E9" s="3" t="s">
        <v>380</v>
      </c>
      <c r="F9" t="s">
        <v>10</v>
      </c>
    </row>
    <row r="10" spans="1:255" ht="10.5" x14ac:dyDescent="0.25">
      <c r="A10" s="4"/>
      <c r="B10" s="3" t="s">
        <v>381</v>
      </c>
      <c r="C10" s="5" t="s">
        <v>12</v>
      </c>
      <c r="D10" s="4" t="s">
        <v>4</v>
      </c>
      <c r="E10" s="3" t="s">
        <v>382</v>
      </c>
      <c r="F10" t="s">
        <v>88</v>
      </c>
    </row>
    <row r="13" spans="1:255" x14ac:dyDescent="0.2">
      <c r="A13" s="6" t="s">
        <v>383</v>
      </c>
      <c r="B13" s="6"/>
      <c r="C13" s="6"/>
      <c r="D13" s="6"/>
      <c r="E13" s="6"/>
      <c r="F13" s="6"/>
      <c r="G13" s="6"/>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row>
    <row r="14" spans="1:255" ht="21" x14ac:dyDescent="0.25">
      <c r="A14" s="7" t="s">
        <v>16</v>
      </c>
      <c r="B14" s="12" t="s">
        <v>257</v>
      </c>
      <c r="C14" s="12" t="s">
        <v>258</v>
      </c>
      <c r="D14" s="12" t="s">
        <v>259</v>
      </c>
      <c r="E14" s="12" t="s">
        <v>260</v>
      </c>
      <c r="F14" s="12" t="s">
        <v>261</v>
      </c>
      <c r="G14" s="12" t="s">
        <v>95</v>
      </c>
    </row>
    <row r="15" spans="1:255" x14ac:dyDescent="0.2">
      <c r="A15" s="8" t="s">
        <v>25</v>
      </c>
      <c r="B15" s="13" t="s">
        <v>26</v>
      </c>
      <c r="C15" s="13" t="s">
        <v>26</v>
      </c>
      <c r="D15" s="13" t="s">
        <v>26</v>
      </c>
      <c r="E15" s="13" t="s">
        <v>26</v>
      </c>
      <c r="F15" s="13" t="s">
        <v>26</v>
      </c>
      <c r="G15" s="13" t="s">
        <v>26</v>
      </c>
    </row>
    <row r="16" spans="1:255" ht="10.5" x14ac:dyDescent="0.2">
      <c r="A16" s="9" t="s">
        <v>384</v>
      </c>
      <c r="B16" s="4"/>
      <c r="C16" s="4"/>
      <c r="D16" s="4"/>
      <c r="E16" s="4"/>
      <c r="F16" s="4"/>
      <c r="G16" s="4"/>
    </row>
    <row r="17" spans="1:7" x14ac:dyDescent="0.2">
      <c r="A17" s="4" t="s">
        <v>385</v>
      </c>
      <c r="B17" s="35" t="s">
        <v>30</v>
      </c>
      <c r="C17" s="35" t="s">
        <v>30</v>
      </c>
      <c r="D17" s="35" t="s">
        <v>30</v>
      </c>
      <c r="E17" s="35" t="s">
        <v>30</v>
      </c>
      <c r="F17" s="35" t="s">
        <v>30</v>
      </c>
      <c r="G17" s="35">
        <v>345</v>
      </c>
    </row>
    <row r="18" spans="1:7" x14ac:dyDescent="0.2">
      <c r="A18" s="4" t="s">
        <v>386</v>
      </c>
      <c r="B18" s="35" t="s">
        <v>30</v>
      </c>
      <c r="C18" s="35" t="s">
        <v>30</v>
      </c>
      <c r="D18" s="35" t="s">
        <v>30</v>
      </c>
      <c r="E18" s="35" t="s">
        <v>30</v>
      </c>
      <c r="F18" s="35" t="s">
        <v>30</v>
      </c>
      <c r="G18" s="35">
        <v>29</v>
      </c>
    </row>
    <row r="19" spans="1:7" x14ac:dyDescent="0.2">
      <c r="A19" s="4" t="s">
        <v>387</v>
      </c>
      <c r="B19" s="35" t="s">
        <v>30</v>
      </c>
      <c r="C19" s="35" t="s">
        <v>30</v>
      </c>
      <c r="D19" s="35" t="s">
        <v>30</v>
      </c>
      <c r="E19" s="35" t="s">
        <v>30</v>
      </c>
      <c r="F19" s="35" t="s">
        <v>30</v>
      </c>
      <c r="G19" s="35">
        <v>11</v>
      </c>
    </row>
    <row r="20" spans="1:7" x14ac:dyDescent="0.2">
      <c r="A20" s="4" t="s">
        <v>388</v>
      </c>
      <c r="B20" s="35" t="s">
        <v>30</v>
      </c>
      <c r="C20" s="35" t="s">
        <v>30</v>
      </c>
      <c r="D20" s="35" t="s">
        <v>30</v>
      </c>
      <c r="E20" s="35" t="s">
        <v>30</v>
      </c>
      <c r="F20" s="35" t="s">
        <v>30</v>
      </c>
      <c r="G20" s="35">
        <v>363</v>
      </c>
    </row>
    <row r="21" spans="1:7" x14ac:dyDescent="0.2">
      <c r="A21" s="4"/>
      <c r="B21" s="4"/>
      <c r="C21" s="4"/>
      <c r="D21" s="4"/>
      <c r="E21" s="4"/>
      <c r="F21" s="4"/>
      <c r="G21" s="4"/>
    </row>
    <row r="22" spans="1:7" x14ac:dyDescent="0.2">
      <c r="A22" s="4" t="s">
        <v>389</v>
      </c>
      <c r="B22" s="17" t="s">
        <v>30</v>
      </c>
      <c r="C22" s="17" t="s">
        <v>30</v>
      </c>
      <c r="D22" s="17" t="s">
        <v>30</v>
      </c>
      <c r="E22" s="17" t="s">
        <v>30</v>
      </c>
      <c r="F22" s="30">
        <v>0.15</v>
      </c>
      <c r="G22" s="30">
        <v>0.155</v>
      </c>
    </row>
    <row r="23" spans="1:7" x14ac:dyDescent="0.2">
      <c r="A23" s="4"/>
      <c r="B23" s="4"/>
      <c r="C23" s="4"/>
      <c r="D23" s="4"/>
      <c r="E23" s="4"/>
      <c r="F23" s="4"/>
      <c r="G23" s="4"/>
    </row>
    <row r="24" spans="1:7" x14ac:dyDescent="0.2">
      <c r="A24" s="4" t="s">
        <v>390</v>
      </c>
      <c r="B24" s="30">
        <v>0.51500000000000001</v>
      </c>
      <c r="C24" s="17" t="s">
        <v>30</v>
      </c>
      <c r="D24" s="17" t="s">
        <v>30</v>
      </c>
      <c r="E24" s="17" t="s">
        <v>30</v>
      </c>
      <c r="F24" s="30">
        <v>0.52300000000000002</v>
      </c>
      <c r="G24" s="30">
        <v>0.55800000000000005</v>
      </c>
    </row>
    <row r="25" spans="1:7" x14ac:dyDescent="0.2">
      <c r="A25" s="4" t="s">
        <v>391</v>
      </c>
      <c r="B25" s="17" t="s">
        <v>30</v>
      </c>
      <c r="C25" s="17" t="s">
        <v>30</v>
      </c>
      <c r="D25" s="17" t="s">
        <v>30</v>
      </c>
      <c r="E25" s="17" t="s">
        <v>30</v>
      </c>
      <c r="F25" s="30">
        <v>0.23899999999999999</v>
      </c>
      <c r="G25" s="30">
        <v>0.26200000000000001</v>
      </c>
    </row>
    <row r="26" spans="1:7" x14ac:dyDescent="0.2">
      <c r="A26" s="4"/>
      <c r="B26" s="4"/>
      <c r="C26" s="4"/>
      <c r="D26" s="4"/>
      <c r="E26" s="4"/>
      <c r="F26" s="4"/>
      <c r="G26" s="4"/>
    </row>
    <row r="27" spans="1:7" x14ac:dyDescent="0.2">
      <c r="A27" s="4" t="s">
        <v>392</v>
      </c>
      <c r="B27" s="18">
        <v>327.428</v>
      </c>
      <c r="C27" s="18" t="s">
        <v>30</v>
      </c>
      <c r="D27" s="18">
        <v>693.03200000000004</v>
      </c>
      <c r="E27" s="18">
        <v>1139.335</v>
      </c>
      <c r="F27" s="18">
        <v>1603.5429999999999</v>
      </c>
      <c r="G27" s="18">
        <v>1901.873</v>
      </c>
    </row>
    <row r="28" spans="1:7" x14ac:dyDescent="0.2">
      <c r="A28" s="4" t="s">
        <v>393</v>
      </c>
      <c r="B28" s="18">
        <v>578.04399999999998</v>
      </c>
      <c r="C28" s="18" t="s">
        <v>30</v>
      </c>
      <c r="D28" s="18">
        <v>692.91899999999998</v>
      </c>
      <c r="E28" s="18">
        <v>1174.0809999999999</v>
      </c>
      <c r="F28" s="18">
        <v>1951.442</v>
      </c>
      <c r="G28" s="18">
        <v>2060.4740000000002</v>
      </c>
    </row>
    <row r="29" spans="1:7" x14ac:dyDescent="0.2">
      <c r="A29" s="4" t="s">
        <v>394</v>
      </c>
      <c r="B29" s="18">
        <v>182.733</v>
      </c>
      <c r="C29" s="18" t="s">
        <v>30</v>
      </c>
      <c r="D29" s="18" t="s">
        <v>30</v>
      </c>
      <c r="E29" s="18" t="s">
        <v>30</v>
      </c>
      <c r="F29" s="18" t="s">
        <v>30</v>
      </c>
      <c r="G29" s="18" t="s">
        <v>30</v>
      </c>
    </row>
    <row r="30" spans="1:7" x14ac:dyDescent="0.2">
      <c r="A30" s="4"/>
      <c r="B30" s="4"/>
      <c r="C30" s="4"/>
      <c r="D30" s="4"/>
      <c r="E30" s="4"/>
      <c r="F30" s="4"/>
      <c r="G30" s="4"/>
    </row>
    <row r="31" spans="1:7" ht="10.5" x14ac:dyDescent="0.2">
      <c r="A31" s="9" t="s">
        <v>395</v>
      </c>
      <c r="B31" s="4"/>
      <c r="C31" s="4"/>
      <c r="D31" s="4"/>
      <c r="E31" s="4"/>
      <c r="F31" s="4"/>
      <c r="G31" s="4"/>
    </row>
    <row r="32" spans="1:7" x14ac:dyDescent="0.2">
      <c r="A32" s="4" t="s">
        <v>396</v>
      </c>
      <c r="B32" s="35" t="s">
        <v>30</v>
      </c>
      <c r="C32" s="35" t="s">
        <v>30</v>
      </c>
      <c r="D32" s="35" t="s">
        <v>30</v>
      </c>
      <c r="E32" s="35" t="s">
        <v>30</v>
      </c>
      <c r="F32" s="35" t="s">
        <v>30</v>
      </c>
      <c r="G32" s="35">
        <v>299</v>
      </c>
    </row>
    <row r="33" spans="1:7" x14ac:dyDescent="0.2">
      <c r="A33" s="4"/>
      <c r="B33" s="4"/>
      <c r="C33" s="4"/>
      <c r="D33" s="4"/>
      <c r="E33" s="4"/>
      <c r="F33" s="4"/>
      <c r="G33" s="4"/>
    </row>
    <row r="34" spans="1:7" ht="10.5" x14ac:dyDescent="0.2">
      <c r="A34" s="9" t="s">
        <v>397</v>
      </c>
      <c r="B34" s="4"/>
      <c r="C34" s="4"/>
      <c r="D34" s="4"/>
      <c r="E34" s="4"/>
      <c r="F34" s="4"/>
      <c r="G34" s="4"/>
    </row>
    <row r="35" spans="1:7" x14ac:dyDescent="0.2">
      <c r="A35" s="4" t="s">
        <v>398</v>
      </c>
      <c r="B35" s="35" t="s">
        <v>30</v>
      </c>
      <c r="C35" s="35" t="s">
        <v>30</v>
      </c>
      <c r="D35" s="35" t="s">
        <v>30</v>
      </c>
      <c r="E35" s="35" t="s">
        <v>30</v>
      </c>
      <c r="F35" s="35" t="s">
        <v>30</v>
      </c>
      <c r="G35" s="35">
        <v>64</v>
      </c>
    </row>
    <row r="36" spans="1:7" x14ac:dyDescent="0.2">
      <c r="A36" s="4"/>
      <c r="B36" s="4"/>
      <c r="C36" s="4"/>
      <c r="D36" s="4"/>
      <c r="E36" s="4"/>
      <c r="F36" s="4"/>
      <c r="G36" s="4"/>
    </row>
    <row r="37" spans="1:7" x14ac:dyDescent="0.2">
      <c r="A37" s="4"/>
      <c r="B37" s="4" t="s">
        <v>38</v>
      </c>
      <c r="C37" s="4" t="s">
        <v>38</v>
      </c>
      <c r="D37" s="4" t="s">
        <v>38</v>
      </c>
      <c r="E37" s="4" t="s">
        <v>38</v>
      </c>
      <c r="F37" s="4" t="s">
        <v>38</v>
      </c>
      <c r="G37" s="4" t="s">
        <v>38</v>
      </c>
    </row>
    <row r="38" spans="1:7" x14ac:dyDescent="0.2">
      <c r="A38" s="4" t="s">
        <v>154</v>
      </c>
      <c r="B38" s="31">
        <v>44250</v>
      </c>
      <c r="C38" s="31">
        <v>44608</v>
      </c>
      <c r="D38" s="31">
        <v>44973</v>
      </c>
      <c r="E38" s="31">
        <v>45337</v>
      </c>
      <c r="F38" s="31">
        <v>45337</v>
      </c>
      <c r="G38" s="31">
        <v>45337</v>
      </c>
    </row>
    <row r="39" spans="1:7" ht="60" x14ac:dyDescent="0.2">
      <c r="A39" s="36" t="s">
        <v>72</v>
      </c>
      <c r="B39" s="11"/>
      <c r="C39" s="11"/>
      <c r="D39" s="11"/>
      <c r="E39" s="11"/>
      <c r="F39" s="11"/>
      <c r="G39"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5:IU81"/>
  <sheetViews>
    <sheetView topLeftCell="A15" workbookViewId="0">
      <selection activeCell="A32" sqref="A32:IV32"/>
    </sheetView>
  </sheetViews>
  <sheetFormatPr defaultRowHeight="10" x14ac:dyDescent="0.2"/>
  <cols>
    <col min="1" max="1" width="45.81640625" customWidth="1"/>
    <col min="2" max="7" width="14.81640625" customWidth="1"/>
  </cols>
  <sheetData>
    <row r="5" spans="1:255" ht="17" x14ac:dyDescent="0.35">
      <c r="A5" s="1" t="s">
        <v>399</v>
      </c>
    </row>
    <row r="7" spans="1:255" ht="10.5" x14ac:dyDescent="0.25">
      <c r="A7" s="2" t="s">
        <v>400</v>
      </c>
      <c r="B7" s="3" t="s">
        <v>401</v>
      </c>
      <c r="C7" t="s">
        <v>402</v>
      </c>
      <c r="D7" s="4" t="s">
        <v>4</v>
      </c>
      <c r="E7" s="3" t="s">
        <v>403</v>
      </c>
      <c r="F7" t="s">
        <v>78</v>
      </c>
    </row>
    <row r="8" spans="1:255" ht="10.5" x14ac:dyDescent="0.25">
      <c r="A8" s="4"/>
      <c r="B8" s="3" t="s">
        <v>404</v>
      </c>
      <c r="C8" t="s">
        <v>80</v>
      </c>
      <c r="D8" s="4" t="s">
        <v>4</v>
      </c>
      <c r="E8" s="3" t="s">
        <v>405</v>
      </c>
      <c r="F8" t="s">
        <v>8</v>
      </c>
    </row>
    <row r="9" spans="1:255" ht="10.5" x14ac:dyDescent="0.25">
      <c r="A9" s="4"/>
      <c r="B9" s="3" t="s">
        <v>406</v>
      </c>
      <c r="C9" t="s">
        <v>83</v>
      </c>
      <c r="D9" s="4" t="s">
        <v>4</v>
      </c>
      <c r="E9" s="3" t="s">
        <v>407</v>
      </c>
      <c r="F9" t="s">
        <v>6</v>
      </c>
    </row>
    <row r="10" spans="1:255" ht="10.5" x14ac:dyDescent="0.25">
      <c r="A10" s="4"/>
      <c r="B10" s="3" t="s">
        <v>408</v>
      </c>
      <c r="C10" t="s">
        <v>10</v>
      </c>
      <c r="D10" s="4" t="s">
        <v>4</v>
      </c>
      <c r="E10" s="3" t="s">
        <v>409</v>
      </c>
      <c r="F10" s="5" t="s">
        <v>12</v>
      </c>
    </row>
    <row r="13" spans="1:255" x14ac:dyDescent="0.2">
      <c r="A13" s="6" t="s">
        <v>410</v>
      </c>
      <c r="B13" s="6"/>
      <c r="C13" s="6"/>
      <c r="D13" s="6"/>
      <c r="E13" s="6"/>
      <c r="F13" s="6"/>
      <c r="G13" s="6"/>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E13" s="37"/>
      <c r="GF13" s="37"/>
      <c r="GG13" s="37"/>
      <c r="GH13" s="37"/>
      <c r="GI13" s="37"/>
      <c r="GJ13" s="37"/>
      <c r="GK13" s="37"/>
      <c r="GL13" s="37"/>
      <c r="GM13" s="37"/>
      <c r="GN13" s="37"/>
      <c r="GO13" s="37"/>
      <c r="GP13" s="37"/>
      <c r="GQ13" s="37"/>
      <c r="GR13" s="37"/>
      <c r="GS13" s="37"/>
      <c r="GT13" s="37"/>
      <c r="GU13" s="37"/>
      <c r="GV13" s="37"/>
      <c r="GW13" s="37"/>
      <c r="GX13" s="37"/>
      <c r="GY13" s="37"/>
      <c r="GZ13" s="37"/>
      <c r="HA13" s="37"/>
      <c r="HB13" s="37"/>
      <c r="HC13" s="37"/>
      <c r="HD13" s="37"/>
      <c r="HE13" s="37"/>
      <c r="HF13" s="37"/>
      <c r="HG13" s="37"/>
      <c r="HH13" s="37"/>
      <c r="HI13" s="37"/>
      <c r="HJ13" s="37"/>
      <c r="HK13" s="37"/>
      <c r="HL13" s="37"/>
      <c r="HM13" s="37"/>
      <c r="HN13" s="37"/>
      <c r="HO13" s="37"/>
      <c r="HP13" s="37"/>
      <c r="HQ13" s="37"/>
      <c r="HR13" s="37"/>
      <c r="HS13" s="37"/>
      <c r="HT13" s="37"/>
      <c r="HU13" s="37"/>
      <c r="HV13" s="37"/>
      <c r="HW13" s="37"/>
      <c r="HX13" s="37"/>
      <c r="HY13" s="37"/>
      <c r="HZ13" s="37"/>
      <c r="IA13" s="37"/>
      <c r="IB13" s="37"/>
      <c r="IC13" s="37"/>
      <c r="ID13" s="37"/>
      <c r="IE13" s="37"/>
      <c r="IF13" s="37"/>
      <c r="IG13" s="37"/>
      <c r="IH13" s="37"/>
      <c r="II13" s="37"/>
      <c r="IJ13" s="37"/>
      <c r="IK13" s="37"/>
      <c r="IL13" s="37"/>
      <c r="IM13" s="37"/>
      <c r="IN13" s="37"/>
      <c r="IO13" s="37"/>
      <c r="IP13" s="37"/>
      <c r="IQ13" s="37"/>
      <c r="IR13" s="37"/>
      <c r="IS13" s="37"/>
      <c r="IT13" s="37"/>
      <c r="IU13" s="37"/>
    </row>
    <row r="14" spans="1:255" ht="31.5" x14ac:dyDescent="0.25">
      <c r="A14" s="7" t="s">
        <v>16</v>
      </c>
      <c r="B14" s="12" t="s">
        <v>90</v>
      </c>
      <c r="C14" s="12" t="s">
        <v>91</v>
      </c>
      <c r="D14" s="12" t="s">
        <v>92</v>
      </c>
      <c r="E14" s="12" t="s">
        <v>93</v>
      </c>
      <c r="F14" s="12" t="s">
        <v>94</v>
      </c>
      <c r="G14" s="12" t="s">
        <v>95</v>
      </c>
    </row>
    <row r="15" spans="1:255" x14ac:dyDescent="0.2">
      <c r="A15" s="8" t="s">
        <v>25</v>
      </c>
      <c r="B15" s="13" t="s">
        <v>26</v>
      </c>
      <c r="C15" s="13" t="s">
        <v>26</v>
      </c>
      <c r="D15" s="13" t="s">
        <v>26</v>
      </c>
      <c r="E15" s="13" t="s">
        <v>26</v>
      </c>
      <c r="F15" s="13" t="s">
        <v>26</v>
      </c>
      <c r="G15" s="13" t="s">
        <v>26</v>
      </c>
    </row>
    <row r="16" spans="1:255" ht="10.5" x14ac:dyDescent="0.2">
      <c r="A16" s="9" t="s">
        <v>411</v>
      </c>
      <c r="B16" s="4"/>
      <c r="C16" s="4"/>
      <c r="D16" s="4"/>
      <c r="E16" s="4"/>
      <c r="F16" s="4"/>
      <c r="G16" s="4"/>
    </row>
    <row r="17" spans="1:7" x14ac:dyDescent="0.2">
      <c r="A17" s="4" t="s">
        <v>412</v>
      </c>
      <c r="B17" s="18" t="s">
        <v>30</v>
      </c>
      <c r="C17" s="18" t="s">
        <v>30</v>
      </c>
      <c r="D17" s="18" t="s">
        <v>30</v>
      </c>
      <c r="E17" s="18">
        <v>2313.4160000000002</v>
      </c>
      <c r="F17" s="18">
        <v>2659.125</v>
      </c>
      <c r="G17" s="18">
        <v>3012.9540000000002</v>
      </c>
    </row>
    <row r="18" spans="1:7" x14ac:dyDescent="0.2">
      <c r="A18" s="4" t="s">
        <v>413</v>
      </c>
      <c r="B18" s="18" t="s">
        <v>30</v>
      </c>
      <c r="C18" s="18" t="s">
        <v>30</v>
      </c>
      <c r="D18" s="18" t="s">
        <v>30</v>
      </c>
      <c r="E18" s="18" t="s">
        <v>30</v>
      </c>
      <c r="F18" s="18">
        <v>895.86</v>
      </c>
      <c r="G18" s="18">
        <v>949.39300000000003</v>
      </c>
    </row>
    <row r="19" spans="1:7" x14ac:dyDescent="0.2">
      <c r="A19" s="4" t="s">
        <v>414</v>
      </c>
      <c r="B19" s="18" t="s">
        <v>30</v>
      </c>
      <c r="C19" s="18" t="s">
        <v>30</v>
      </c>
      <c r="D19" s="18">
        <v>832.54</v>
      </c>
      <c r="E19" s="18" t="s">
        <v>30</v>
      </c>
      <c r="F19" s="18" t="s">
        <v>30</v>
      </c>
      <c r="G19" s="18" t="s">
        <v>30</v>
      </c>
    </row>
    <row r="20" spans="1:7" x14ac:dyDescent="0.2">
      <c r="A20" s="4" t="s">
        <v>415</v>
      </c>
      <c r="B20" s="18" t="s">
        <v>30</v>
      </c>
      <c r="C20" s="18" t="s">
        <v>30</v>
      </c>
      <c r="D20" s="18">
        <v>278.51499999999999</v>
      </c>
      <c r="E20" s="18" t="s">
        <v>30</v>
      </c>
      <c r="F20" s="18" t="s">
        <v>30</v>
      </c>
      <c r="G20" s="18" t="s">
        <v>30</v>
      </c>
    </row>
    <row r="21" spans="1:7" x14ac:dyDescent="0.2">
      <c r="A21" s="4" t="s">
        <v>416</v>
      </c>
      <c r="B21" s="18" t="s">
        <v>30</v>
      </c>
      <c r="C21" s="18" t="s">
        <v>30</v>
      </c>
      <c r="D21" s="18">
        <v>274.733</v>
      </c>
      <c r="E21" s="18" t="s">
        <v>30</v>
      </c>
      <c r="F21" s="18" t="s">
        <v>30</v>
      </c>
      <c r="G21" s="18" t="s">
        <v>30</v>
      </c>
    </row>
    <row r="22" spans="1:7" x14ac:dyDescent="0.2">
      <c r="A22" s="4" t="s">
        <v>417</v>
      </c>
      <c r="B22" s="18" t="s">
        <v>30</v>
      </c>
      <c r="C22" s="18" t="s">
        <v>30</v>
      </c>
      <c r="D22" s="18">
        <v>0.16300000000000001</v>
      </c>
      <c r="E22" s="18" t="s">
        <v>30</v>
      </c>
      <c r="F22" s="18" t="s">
        <v>30</v>
      </c>
      <c r="G22" s="18" t="s">
        <v>30</v>
      </c>
    </row>
    <row r="23" spans="1:7" x14ac:dyDescent="0.2">
      <c r="A23" s="4" t="s">
        <v>418</v>
      </c>
      <c r="B23" s="18">
        <v>520.19200000000001</v>
      </c>
      <c r="C23" s="18">
        <v>640.51499999999999</v>
      </c>
      <c r="D23" s="18" t="s">
        <v>30</v>
      </c>
      <c r="E23" s="18" t="s">
        <v>30</v>
      </c>
      <c r="F23" s="18" t="s">
        <v>30</v>
      </c>
      <c r="G23" s="18" t="s">
        <v>30</v>
      </c>
    </row>
    <row r="24" spans="1:7" x14ac:dyDescent="0.2">
      <c r="A24" s="4" t="s">
        <v>419</v>
      </c>
      <c r="B24" s="18">
        <v>344.59800000000001</v>
      </c>
      <c r="C24" s="18">
        <v>348.072</v>
      </c>
      <c r="D24" s="18" t="s">
        <v>30</v>
      </c>
      <c r="E24" s="18" t="s">
        <v>30</v>
      </c>
      <c r="F24" s="18" t="s">
        <v>30</v>
      </c>
      <c r="G24" s="18" t="s">
        <v>30</v>
      </c>
    </row>
    <row r="25" spans="1:7" x14ac:dyDescent="0.2">
      <c r="A25" s="4" t="s">
        <v>420</v>
      </c>
      <c r="B25" s="18">
        <v>220.27</v>
      </c>
      <c r="C25" s="18">
        <v>241.94800000000001</v>
      </c>
      <c r="D25" s="18" t="s">
        <v>30</v>
      </c>
      <c r="E25" s="18" t="s">
        <v>30</v>
      </c>
      <c r="F25" s="18" t="s">
        <v>30</v>
      </c>
      <c r="G25" s="18" t="s">
        <v>30</v>
      </c>
    </row>
    <row r="26" spans="1:7" x14ac:dyDescent="0.2">
      <c r="A26" s="4" t="s">
        <v>421</v>
      </c>
      <c r="B26" s="18">
        <v>3.145</v>
      </c>
      <c r="C26" s="18">
        <v>5.8000000000000003E-2</v>
      </c>
      <c r="D26" s="18" t="s">
        <v>30</v>
      </c>
      <c r="E26" s="18" t="s">
        <v>30</v>
      </c>
      <c r="F26" s="18" t="s">
        <v>30</v>
      </c>
      <c r="G26" s="18" t="s">
        <v>30</v>
      </c>
    </row>
    <row r="27" spans="1:7" ht="10.5" x14ac:dyDescent="0.2">
      <c r="A27" s="9" t="s">
        <v>422</v>
      </c>
      <c r="B27" s="14">
        <v>1088.2049999999999</v>
      </c>
      <c r="C27" s="14">
        <v>1230.5930000000001</v>
      </c>
      <c r="D27" s="14">
        <v>1385.951</v>
      </c>
      <c r="E27" s="14">
        <v>2313.4160000000002</v>
      </c>
      <c r="F27" s="14">
        <v>3554.9850000000001</v>
      </c>
      <c r="G27" s="14">
        <v>3962.3470000000002</v>
      </c>
    </row>
    <row r="28" spans="1:7" x14ac:dyDescent="0.2">
      <c r="A28" s="4"/>
      <c r="B28" s="4"/>
      <c r="C28" s="4"/>
      <c r="D28" s="4"/>
      <c r="E28" s="4"/>
      <c r="F28" s="4"/>
      <c r="G28" s="4"/>
    </row>
    <row r="29" spans="1:7" ht="10.5" x14ac:dyDescent="0.2">
      <c r="A29" s="9" t="s">
        <v>423</v>
      </c>
      <c r="B29" s="4"/>
      <c r="C29" s="4"/>
      <c r="D29" s="4"/>
      <c r="E29" s="4"/>
      <c r="F29" s="4"/>
      <c r="G29" s="4"/>
    </row>
    <row r="30" spans="1:7" x14ac:dyDescent="0.2">
      <c r="A30" s="4" t="s">
        <v>412</v>
      </c>
      <c r="B30" s="18" t="s">
        <v>30</v>
      </c>
      <c r="C30" s="18" t="s">
        <v>30</v>
      </c>
      <c r="D30" s="18" t="s">
        <v>30</v>
      </c>
      <c r="E30" s="18">
        <v>861.39400000000001</v>
      </c>
      <c r="F30" s="18">
        <v>852.02499999999998</v>
      </c>
      <c r="G30" s="18">
        <v>1079.33</v>
      </c>
    </row>
    <row r="31" spans="1:7" x14ac:dyDescent="0.2">
      <c r="A31" s="4" t="s">
        <v>413</v>
      </c>
      <c r="B31" s="18" t="s">
        <v>30</v>
      </c>
      <c r="C31" s="18" t="s">
        <v>30</v>
      </c>
      <c r="D31" s="18" t="s">
        <v>30</v>
      </c>
      <c r="E31" s="18" t="s">
        <v>30</v>
      </c>
      <c r="F31" s="18">
        <v>211.36099999999999</v>
      </c>
      <c r="G31" s="18">
        <v>212.386</v>
      </c>
    </row>
    <row r="32" spans="1:7" x14ac:dyDescent="0.2">
      <c r="A32" s="4" t="s">
        <v>424</v>
      </c>
      <c r="B32" s="18" t="s">
        <v>30</v>
      </c>
      <c r="C32" s="18" t="s">
        <v>30</v>
      </c>
      <c r="D32" s="18">
        <v>-115.3</v>
      </c>
      <c r="E32" s="18">
        <v>-178.3</v>
      </c>
      <c r="F32" s="18">
        <v>-212.6</v>
      </c>
      <c r="G32" s="18">
        <v>-254.9</v>
      </c>
    </row>
    <row r="33" spans="1:7" x14ac:dyDescent="0.2">
      <c r="A33" s="4" t="s">
        <v>414</v>
      </c>
      <c r="B33" s="18" t="s">
        <v>30</v>
      </c>
      <c r="C33" s="18" t="s">
        <v>30</v>
      </c>
      <c r="D33" s="18">
        <v>313.91300000000001</v>
      </c>
      <c r="E33" s="18" t="s">
        <v>30</v>
      </c>
      <c r="F33" s="18" t="s">
        <v>30</v>
      </c>
      <c r="G33" s="18" t="s">
        <v>30</v>
      </c>
    </row>
    <row r="34" spans="1:7" x14ac:dyDescent="0.2">
      <c r="A34" s="4" t="s">
        <v>415</v>
      </c>
      <c r="B34" s="18" t="s">
        <v>30</v>
      </c>
      <c r="C34" s="18" t="s">
        <v>30</v>
      </c>
      <c r="D34" s="18">
        <v>32.83</v>
      </c>
      <c r="E34" s="18" t="s">
        <v>30</v>
      </c>
      <c r="F34" s="18" t="s">
        <v>30</v>
      </c>
      <c r="G34" s="18" t="s">
        <v>30</v>
      </c>
    </row>
    <row r="35" spans="1:7" x14ac:dyDescent="0.2">
      <c r="A35" s="4" t="s">
        <v>416</v>
      </c>
      <c r="B35" s="18" t="s">
        <v>30</v>
      </c>
      <c r="C35" s="18" t="s">
        <v>30</v>
      </c>
      <c r="D35" s="18">
        <v>75.513000000000005</v>
      </c>
      <c r="E35" s="18" t="s">
        <v>30</v>
      </c>
      <c r="F35" s="18" t="s">
        <v>30</v>
      </c>
      <c r="G35" s="18" t="s">
        <v>30</v>
      </c>
    </row>
    <row r="36" spans="1:7" x14ac:dyDescent="0.2">
      <c r="A36" s="4" t="s">
        <v>417</v>
      </c>
      <c r="B36" s="18" t="s">
        <v>30</v>
      </c>
      <c r="C36" s="18" t="s">
        <v>30</v>
      </c>
      <c r="D36" s="18">
        <v>-92.8</v>
      </c>
      <c r="E36" s="18" t="s">
        <v>30</v>
      </c>
      <c r="F36" s="18" t="s">
        <v>30</v>
      </c>
      <c r="G36" s="18" t="s">
        <v>30</v>
      </c>
    </row>
    <row r="37" spans="1:7" x14ac:dyDescent="0.2">
      <c r="A37" s="4" t="s">
        <v>418</v>
      </c>
      <c r="B37" s="18">
        <v>138.94</v>
      </c>
      <c r="C37" s="18">
        <v>179.19900000000001</v>
      </c>
      <c r="D37" s="18" t="s">
        <v>30</v>
      </c>
      <c r="E37" s="18" t="s">
        <v>30</v>
      </c>
      <c r="F37" s="18" t="s">
        <v>30</v>
      </c>
      <c r="G37" s="18" t="s">
        <v>30</v>
      </c>
    </row>
    <row r="38" spans="1:7" x14ac:dyDescent="0.2">
      <c r="A38" s="4" t="s">
        <v>419</v>
      </c>
      <c r="B38" s="18">
        <v>82.78</v>
      </c>
      <c r="C38" s="18">
        <v>60.723999999999997</v>
      </c>
      <c r="D38" s="18" t="s">
        <v>30</v>
      </c>
      <c r="E38" s="18" t="s">
        <v>30</v>
      </c>
      <c r="F38" s="18" t="s">
        <v>30</v>
      </c>
      <c r="G38" s="18" t="s">
        <v>30</v>
      </c>
    </row>
    <row r="39" spans="1:7" x14ac:dyDescent="0.2">
      <c r="A39" s="4" t="s">
        <v>420</v>
      </c>
      <c r="B39" s="18">
        <v>59.539000000000001</v>
      </c>
      <c r="C39" s="18">
        <v>64.771000000000001</v>
      </c>
      <c r="D39" s="18" t="s">
        <v>30</v>
      </c>
      <c r="E39" s="18" t="s">
        <v>30</v>
      </c>
      <c r="F39" s="18" t="s">
        <v>30</v>
      </c>
      <c r="G39" s="18" t="s">
        <v>30</v>
      </c>
    </row>
    <row r="40" spans="1:7" x14ac:dyDescent="0.2">
      <c r="A40" s="4" t="s">
        <v>421</v>
      </c>
      <c r="B40" s="18">
        <v>-55.6</v>
      </c>
      <c r="C40" s="18" t="s">
        <v>30</v>
      </c>
      <c r="D40" s="18" t="s">
        <v>30</v>
      </c>
      <c r="E40" s="18" t="s">
        <v>30</v>
      </c>
      <c r="F40" s="18" t="s">
        <v>30</v>
      </c>
      <c r="G40" s="18" t="s">
        <v>30</v>
      </c>
    </row>
    <row r="41" spans="1:7" x14ac:dyDescent="0.2">
      <c r="A41" s="4" t="s">
        <v>425</v>
      </c>
      <c r="B41" s="18">
        <v>-162.69999999999999</v>
      </c>
      <c r="C41" s="18">
        <v>-176</v>
      </c>
      <c r="D41" s="18" t="s">
        <v>30</v>
      </c>
      <c r="E41" s="18" t="s">
        <v>30</v>
      </c>
      <c r="F41" s="18" t="s">
        <v>30</v>
      </c>
      <c r="G41" s="18" t="s">
        <v>30</v>
      </c>
    </row>
    <row r="42" spans="1:7" ht="10.5" x14ac:dyDescent="0.2">
      <c r="A42" s="9" t="s">
        <v>426</v>
      </c>
      <c r="B42" s="14">
        <v>62.944000000000003</v>
      </c>
      <c r="C42" s="14">
        <v>128.649</v>
      </c>
      <c r="D42" s="14">
        <v>214.124</v>
      </c>
      <c r="E42" s="14">
        <v>683.06399999999996</v>
      </c>
      <c r="F42" s="14">
        <v>850.75599999999997</v>
      </c>
      <c r="G42" s="14">
        <v>1036.7829999999999</v>
      </c>
    </row>
    <row r="43" spans="1:7" x14ac:dyDescent="0.2">
      <c r="A43" s="4"/>
      <c r="B43" s="4"/>
      <c r="C43" s="4"/>
      <c r="D43" s="4"/>
      <c r="E43" s="4"/>
      <c r="F43" s="4"/>
      <c r="G43" s="4"/>
    </row>
    <row r="44" spans="1:7" ht="10.5" x14ac:dyDescent="0.2">
      <c r="A44" s="9" t="s">
        <v>427</v>
      </c>
      <c r="B44" s="4"/>
      <c r="C44" s="4"/>
      <c r="D44" s="4"/>
      <c r="E44" s="4"/>
      <c r="F44" s="4"/>
      <c r="G44" s="4"/>
    </row>
    <row r="45" spans="1:7" x14ac:dyDescent="0.2">
      <c r="A45" s="4" t="s">
        <v>412</v>
      </c>
      <c r="B45" s="18" t="s">
        <v>30</v>
      </c>
      <c r="C45" s="18" t="s">
        <v>30</v>
      </c>
      <c r="D45" s="18" t="s">
        <v>30</v>
      </c>
      <c r="E45" s="18">
        <v>16.931000000000001</v>
      </c>
      <c r="F45" s="18">
        <v>18.876999999999999</v>
      </c>
      <c r="G45" s="18">
        <v>31.95</v>
      </c>
    </row>
    <row r="46" spans="1:7" x14ac:dyDescent="0.2">
      <c r="A46" s="4" t="s">
        <v>413</v>
      </c>
      <c r="B46" s="18" t="s">
        <v>30</v>
      </c>
      <c r="C46" s="18" t="s">
        <v>30</v>
      </c>
      <c r="D46" s="18" t="s">
        <v>30</v>
      </c>
      <c r="E46" s="18" t="s">
        <v>30</v>
      </c>
      <c r="F46" s="18">
        <v>12.247999999999999</v>
      </c>
      <c r="G46" s="18">
        <v>14.2</v>
      </c>
    </row>
    <row r="47" spans="1:7" x14ac:dyDescent="0.2">
      <c r="A47" s="4" t="s">
        <v>424</v>
      </c>
      <c r="B47" s="18" t="s">
        <v>30</v>
      </c>
      <c r="C47" s="18" t="s">
        <v>30</v>
      </c>
      <c r="D47" s="18">
        <v>13.75</v>
      </c>
      <c r="E47" s="18">
        <v>15.045</v>
      </c>
      <c r="F47" s="18">
        <v>8.1039999999999992</v>
      </c>
      <c r="G47" s="18">
        <v>8.1539999999999999</v>
      </c>
    </row>
    <row r="48" spans="1:7" x14ac:dyDescent="0.2">
      <c r="A48" s="4" t="s">
        <v>414</v>
      </c>
      <c r="B48" s="18" t="s">
        <v>30</v>
      </c>
      <c r="C48" s="18" t="s">
        <v>30</v>
      </c>
      <c r="D48" s="18">
        <v>3.4529999999999998</v>
      </c>
      <c r="E48" s="18" t="s">
        <v>30</v>
      </c>
      <c r="F48" s="18" t="s">
        <v>30</v>
      </c>
      <c r="G48" s="18" t="s">
        <v>30</v>
      </c>
    </row>
    <row r="49" spans="1:255" x14ac:dyDescent="0.2">
      <c r="A49" s="4" t="s">
        <v>415</v>
      </c>
      <c r="B49" s="18" t="s">
        <v>30</v>
      </c>
      <c r="C49" s="18" t="s">
        <v>30</v>
      </c>
      <c r="D49" s="18">
        <v>1.1379999999999999</v>
      </c>
      <c r="E49" s="18" t="s">
        <v>30</v>
      </c>
      <c r="F49" s="18" t="s">
        <v>30</v>
      </c>
      <c r="G49" s="18" t="s">
        <v>30</v>
      </c>
    </row>
    <row r="50" spans="1:255" x14ac:dyDescent="0.2">
      <c r="A50" s="4" t="s">
        <v>416</v>
      </c>
      <c r="B50" s="18" t="s">
        <v>30</v>
      </c>
      <c r="C50" s="18" t="s">
        <v>30</v>
      </c>
      <c r="D50" s="18">
        <v>0.80500000000000005</v>
      </c>
      <c r="E50" s="18" t="s">
        <v>30</v>
      </c>
      <c r="F50" s="18" t="s">
        <v>30</v>
      </c>
      <c r="G50" s="18" t="s">
        <v>30</v>
      </c>
    </row>
    <row r="51" spans="1:255" x14ac:dyDescent="0.2">
      <c r="A51" s="4" t="s">
        <v>417</v>
      </c>
      <c r="B51" s="18" t="s">
        <v>30</v>
      </c>
      <c r="C51" s="18" t="s">
        <v>30</v>
      </c>
      <c r="D51" s="18">
        <v>8.4730000000000008</v>
      </c>
      <c r="E51" s="18" t="s">
        <v>30</v>
      </c>
      <c r="F51" s="18" t="s">
        <v>30</v>
      </c>
      <c r="G51" s="18" t="s">
        <v>30</v>
      </c>
    </row>
    <row r="52" spans="1:255" x14ac:dyDescent="0.2">
      <c r="A52" s="4" t="s">
        <v>418</v>
      </c>
      <c r="B52" s="18">
        <v>4.6399999999999997</v>
      </c>
      <c r="C52" s="18">
        <v>3.593</v>
      </c>
      <c r="D52" s="18" t="s">
        <v>30</v>
      </c>
      <c r="E52" s="18" t="s">
        <v>30</v>
      </c>
      <c r="F52" s="18" t="s">
        <v>30</v>
      </c>
      <c r="G52" s="18" t="s">
        <v>30</v>
      </c>
    </row>
    <row r="53" spans="1:255" x14ac:dyDescent="0.2">
      <c r="A53" s="4" t="s">
        <v>419</v>
      </c>
      <c r="B53" s="18">
        <v>2.0489999999999999</v>
      </c>
      <c r="C53" s="18">
        <v>0.96299999999999997</v>
      </c>
      <c r="D53" s="18" t="s">
        <v>30</v>
      </c>
      <c r="E53" s="18" t="s">
        <v>30</v>
      </c>
      <c r="F53" s="18" t="s">
        <v>30</v>
      </c>
      <c r="G53" s="18" t="s">
        <v>30</v>
      </c>
    </row>
    <row r="54" spans="1:255" x14ac:dyDescent="0.2">
      <c r="A54" s="4" t="s">
        <v>420</v>
      </c>
      <c r="B54" s="18">
        <v>1.252</v>
      </c>
      <c r="C54" s="18">
        <v>0.79300000000000004</v>
      </c>
      <c r="D54" s="18" t="s">
        <v>30</v>
      </c>
      <c r="E54" s="18" t="s">
        <v>30</v>
      </c>
      <c r="F54" s="18" t="s">
        <v>30</v>
      </c>
      <c r="G54" s="18" t="s">
        <v>30</v>
      </c>
    </row>
    <row r="55" spans="1:255" x14ac:dyDescent="0.2">
      <c r="A55" s="4" t="s">
        <v>421</v>
      </c>
      <c r="B55" s="18">
        <v>5.2560000000000002</v>
      </c>
      <c r="C55" s="18" t="s">
        <v>30</v>
      </c>
      <c r="D55" s="18" t="s">
        <v>30</v>
      </c>
      <c r="E55" s="18" t="s">
        <v>30</v>
      </c>
      <c r="F55" s="18" t="s">
        <v>30</v>
      </c>
      <c r="G55" s="18" t="s">
        <v>30</v>
      </c>
    </row>
    <row r="56" spans="1:255" x14ac:dyDescent="0.2">
      <c r="A56" s="4" t="s">
        <v>425</v>
      </c>
      <c r="B56" s="18">
        <v>16.053000000000001</v>
      </c>
      <c r="C56" s="18">
        <v>18.864000000000001</v>
      </c>
      <c r="D56" s="18" t="s">
        <v>30</v>
      </c>
      <c r="E56" s="18" t="s">
        <v>30</v>
      </c>
      <c r="F56" s="18" t="s">
        <v>30</v>
      </c>
      <c r="G56" s="18" t="s">
        <v>30</v>
      </c>
    </row>
    <row r="57" spans="1:255" ht="10.5" x14ac:dyDescent="0.2">
      <c r="A57" s="9" t="s">
        <v>428</v>
      </c>
      <c r="B57" s="14">
        <v>29.25</v>
      </c>
      <c r="C57" s="14">
        <v>24.213000000000001</v>
      </c>
      <c r="D57" s="14">
        <v>27.619</v>
      </c>
      <c r="E57" s="14">
        <v>31.975999999999999</v>
      </c>
      <c r="F57" s="14">
        <v>39.228999999999999</v>
      </c>
      <c r="G57" s="14">
        <v>54.304000000000002</v>
      </c>
    </row>
    <row r="58" spans="1:255" x14ac:dyDescent="0.2">
      <c r="A58" s="4"/>
      <c r="B58" s="4"/>
      <c r="C58" s="4"/>
      <c r="D58" s="4"/>
      <c r="E58" s="4"/>
      <c r="F58" s="4"/>
      <c r="G58" s="4"/>
    </row>
    <row r="59" spans="1:255" x14ac:dyDescent="0.2">
      <c r="A59" s="4"/>
      <c r="B59" s="4" t="s">
        <v>38</v>
      </c>
      <c r="C59" s="4" t="s">
        <v>38</v>
      </c>
      <c r="D59" s="4" t="s">
        <v>38</v>
      </c>
      <c r="E59" s="4" t="s">
        <v>38</v>
      </c>
      <c r="F59" s="4" t="s">
        <v>38</v>
      </c>
      <c r="G59" s="4" t="s">
        <v>38</v>
      </c>
    </row>
    <row r="60" spans="1:255" x14ac:dyDescent="0.2">
      <c r="A60" s="4" t="s">
        <v>154</v>
      </c>
      <c r="B60" s="31">
        <v>44250</v>
      </c>
      <c r="C60" s="31">
        <v>44608</v>
      </c>
      <c r="D60" s="31">
        <v>44973</v>
      </c>
      <c r="E60" s="31">
        <v>45337</v>
      </c>
      <c r="F60" s="31">
        <v>45337</v>
      </c>
      <c r="G60" s="31">
        <v>45337</v>
      </c>
    </row>
    <row r="61" spans="1:255" x14ac:dyDescent="0.2">
      <c r="A61" s="11"/>
      <c r="B61" s="11"/>
      <c r="C61" s="11"/>
      <c r="D61" s="11"/>
      <c r="E61" s="11"/>
      <c r="F61" s="11"/>
      <c r="G61" s="11"/>
    </row>
    <row r="63" spans="1:255" x14ac:dyDescent="0.2">
      <c r="A63" s="6" t="s">
        <v>429</v>
      </c>
      <c r="B63" s="6"/>
      <c r="C63" s="6"/>
      <c r="D63" s="6"/>
      <c r="E63" s="6"/>
      <c r="F63" s="6"/>
      <c r="G63" s="6"/>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c r="AO63" s="37"/>
      <c r="AP63" s="37"/>
      <c r="AQ63" s="37"/>
      <c r="AR63" s="37"/>
      <c r="AS63" s="37"/>
      <c r="AT63" s="37"/>
      <c r="AU63" s="37"/>
      <c r="AV63" s="37"/>
      <c r="AW63" s="37"/>
      <c r="AX63" s="37"/>
      <c r="AY63" s="37"/>
      <c r="AZ63" s="37"/>
      <c r="BA63" s="37"/>
      <c r="BB63" s="37"/>
      <c r="BC63" s="37"/>
      <c r="BD63" s="37"/>
      <c r="BE63" s="37"/>
      <c r="BF63" s="37"/>
      <c r="BG63" s="37"/>
      <c r="BH63" s="37"/>
      <c r="BI63" s="37"/>
      <c r="BJ63" s="37"/>
      <c r="BK63" s="37"/>
      <c r="BL63" s="37"/>
      <c r="BM63" s="37"/>
      <c r="BN63" s="37"/>
      <c r="BO63" s="37"/>
      <c r="BP63" s="37"/>
      <c r="BQ63" s="37"/>
      <c r="BR63" s="37"/>
      <c r="BS63" s="37"/>
      <c r="BT63" s="37"/>
      <c r="BU63" s="37"/>
      <c r="BV63" s="37"/>
      <c r="BW63" s="37"/>
      <c r="BX63" s="37"/>
      <c r="BY63" s="37"/>
      <c r="BZ63" s="37"/>
      <c r="CA63" s="37"/>
      <c r="CB63" s="37"/>
      <c r="CC63" s="37"/>
      <c r="CD63" s="37"/>
      <c r="CE63" s="37"/>
      <c r="CF63" s="37"/>
      <c r="CG63" s="37"/>
      <c r="CH63" s="37"/>
      <c r="CI63" s="37"/>
      <c r="CJ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E63" s="37"/>
      <c r="GF63" s="37"/>
      <c r="GG63" s="37"/>
      <c r="GH63" s="37"/>
      <c r="GI63" s="37"/>
      <c r="GJ63" s="37"/>
      <c r="GK63" s="37"/>
      <c r="GL63" s="37"/>
      <c r="GM63" s="37"/>
      <c r="GN63" s="37"/>
      <c r="GO63" s="37"/>
      <c r="GP63" s="37"/>
      <c r="GQ63" s="37"/>
      <c r="GR63" s="37"/>
      <c r="GS63" s="37"/>
      <c r="GT63" s="37"/>
      <c r="GU63" s="37"/>
      <c r="GV63" s="37"/>
      <c r="GW63" s="37"/>
      <c r="GX63" s="37"/>
      <c r="GY63" s="37"/>
      <c r="GZ63" s="37"/>
      <c r="HA63" s="37"/>
      <c r="HB63" s="37"/>
      <c r="HC63" s="37"/>
      <c r="HD63" s="37"/>
      <c r="HE63" s="37"/>
      <c r="HF63" s="37"/>
      <c r="HG63" s="37"/>
      <c r="HH63" s="37"/>
      <c r="HI63" s="37"/>
      <c r="HJ63" s="37"/>
      <c r="HK63" s="37"/>
      <c r="HL63" s="37"/>
      <c r="HM63" s="37"/>
      <c r="HN63" s="37"/>
      <c r="HO63" s="37"/>
      <c r="HP63" s="37"/>
      <c r="HQ63" s="37"/>
      <c r="HR63" s="37"/>
      <c r="HS63" s="37"/>
      <c r="HT63" s="37"/>
      <c r="HU63" s="37"/>
      <c r="HV63" s="37"/>
      <c r="HW63" s="37"/>
      <c r="HX63" s="37"/>
      <c r="HY63" s="37"/>
      <c r="HZ63" s="37"/>
      <c r="IA63" s="37"/>
      <c r="IB63" s="37"/>
      <c r="IC63" s="37"/>
      <c r="ID63" s="37"/>
      <c r="IE63" s="37"/>
      <c r="IF63" s="37"/>
      <c r="IG63" s="37"/>
      <c r="IH63" s="37"/>
      <c r="II63" s="37"/>
      <c r="IJ63" s="37"/>
      <c r="IK63" s="37"/>
      <c r="IL63" s="37"/>
      <c r="IM63" s="37"/>
      <c r="IN63" s="37"/>
      <c r="IO63" s="37"/>
      <c r="IP63" s="37"/>
      <c r="IQ63" s="37"/>
      <c r="IR63" s="37"/>
      <c r="IS63" s="37"/>
      <c r="IT63" s="37"/>
      <c r="IU63" s="37"/>
    </row>
    <row r="64" spans="1:255" ht="31.5" x14ac:dyDescent="0.25">
      <c r="A64" s="7" t="s">
        <v>16</v>
      </c>
      <c r="B64" s="12" t="s">
        <v>90</v>
      </c>
      <c r="C64" s="12" t="s">
        <v>91</v>
      </c>
      <c r="D64" s="12" t="s">
        <v>92</v>
      </c>
      <c r="E64" s="12" t="s">
        <v>93</v>
      </c>
      <c r="F64" s="12" t="s">
        <v>94</v>
      </c>
      <c r="G64" s="12" t="s">
        <v>95</v>
      </c>
    </row>
    <row r="65" spans="1:7" x14ac:dyDescent="0.2">
      <c r="A65" s="8" t="s">
        <v>25</v>
      </c>
      <c r="B65" s="13" t="s">
        <v>26</v>
      </c>
      <c r="C65" s="13" t="s">
        <v>26</v>
      </c>
      <c r="D65" s="13" t="s">
        <v>26</v>
      </c>
      <c r="E65" s="13" t="s">
        <v>26</v>
      </c>
      <c r="F65" s="13" t="s">
        <v>26</v>
      </c>
      <c r="G65" s="13" t="s">
        <v>26</v>
      </c>
    </row>
    <row r="66" spans="1:7" ht="10.5" x14ac:dyDescent="0.2">
      <c r="A66" s="9" t="s">
        <v>411</v>
      </c>
      <c r="B66" s="4"/>
      <c r="C66" s="4"/>
      <c r="D66" s="4"/>
      <c r="E66" s="4"/>
      <c r="F66" s="4"/>
      <c r="G66" s="4"/>
    </row>
    <row r="67" spans="1:7" x14ac:dyDescent="0.2">
      <c r="A67" s="4" t="s">
        <v>430</v>
      </c>
      <c r="B67" s="18">
        <v>442.54399999999998</v>
      </c>
      <c r="C67" s="18">
        <v>563.47299999999996</v>
      </c>
      <c r="D67" s="18">
        <v>802.952</v>
      </c>
      <c r="E67" s="18">
        <v>1507.482</v>
      </c>
      <c r="F67" s="18">
        <v>2438.9229999999998</v>
      </c>
      <c r="G67" s="18">
        <v>2573.663</v>
      </c>
    </row>
    <row r="68" spans="1:7" x14ac:dyDescent="0.2">
      <c r="A68" s="4" t="s">
        <v>431</v>
      </c>
      <c r="B68" s="18">
        <v>645.66099999999994</v>
      </c>
      <c r="C68" s="18">
        <v>667.12</v>
      </c>
      <c r="D68" s="18">
        <v>582.99900000000002</v>
      </c>
      <c r="E68" s="18">
        <v>805.93399999999997</v>
      </c>
      <c r="F68" s="18">
        <v>1116.0619999999999</v>
      </c>
      <c r="G68" s="18">
        <v>1388.684</v>
      </c>
    </row>
    <row r="69" spans="1:7" ht="10.5" x14ac:dyDescent="0.2">
      <c r="A69" s="9" t="s">
        <v>422</v>
      </c>
      <c r="B69" s="14">
        <v>1088.2049999999999</v>
      </c>
      <c r="C69" s="14">
        <v>1230.5930000000001</v>
      </c>
      <c r="D69" s="14">
        <v>1385.951</v>
      </c>
      <c r="E69" s="14">
        <v>2313.4160000000002</v>
      </c>
      <c r="F69" s="14">
        <v>3554.9850000000001</v>
      </c>
      <c r="G69" s="14">
        <v>3962.3470000000002</v>
      </c>
    </row>
    <row r="70" spans="1:7" x14ac:dyDescent="0.2">
      <c r="A70" s="4"/>
      <c r="B70" s="4"/>
      <c r="C70" s="4"/>
      <c r="D70" s="4"/>
      <c r="E70" s="4"/>
      <c r="F70" s="4"/>
      <c r="G70" s="4"/>
    </row>
    <row r="71" spans="1:7" ht="10.5" x14ac:dyDescent="0.2">
      <c r="A71" s="9" t="s">
        <v>432</v>
      </c>
      <c r="B71" s="4"/>
      <c r="C71" s="4"/>
      <c r="D71" s="4"/>
      <c r="E71" s="4"/>
      <c r="F71" s="4"/>
      <c r="G71" s="4"/>
    </row>
    <row r="72" spans="1:7" x14ac:dyDescent="0.2">
      <c r="A72" s="4" t="s">
        <v>430</v>
      </c>
      <c r="B72" s="18">
        <v>17.489000000000001</v>
      </c>
      <c r="C72" s="18">
        <v>41.744999999999997</v>
      </c>
      <c r="D72" s="18">
        <v>49.527000000000001</v>
      </c>
      <c r="E72" s="18">
        <v>80.613</v>
      </c>
      <c r="F72" s="18">
        <v>148.078</v>
      </c>
      <c r="G72" s="18">
        <v>200.869</v>
      </c>
    </row>
    <row r="73" spans="1:7" x14ac:dyDescent="0.2">
      <c r="A73" s="4" t="s">
        <v>431</v>
      </c>
      <c r="B73" s="18">
        <v>4.7220000000000004</v>
      </c>
      <c r="C73" s="18">
        <v>5.66</v>
      </c>
      <c r="D73" s="18">
        <v>7.94</v>
      </c>
      <c r="E73" s="18" t="s">
        <v>30</v>
      </c>
      <c r="F73" s="18" t="s">
        <v>30</v>
      </c>
      <c r="G73" s="18" t="s">
        <v>30</v>
      </c>
    </row>
    <row r="74" spans="1:7" x14ac:dyDescent="0.2">
      <c r="A74" s="4" t="s">
        <v>433</v>
      </c>
      <c r="B74" s="18" t="s">
        <v>30</v>
      </c>
      <c r="C74" s="18" t="s">
        <v>30</v>
      </c>
      <c r="D74" s="18" t="s">
        <v>30</v>
      </c>
      <c r="E74" s="18">
        <v>21.679600000000001</v>
      </c>
      <c r="F74" s="18">
        <v>27.22935</v>
      </c>
      <c r="G74" s="18">
        <v>28.597799999999999</v>
      </c>
    </row>
    <row r="75" spans="1:7" x14ac:dyDescent="0.2">
      <c r="A75" s="4" t="s">
        <v>434</v>
      </c>
      <c r="B75" s="18" t="s">
        <v>30</v>
      </c>
      <c r="C75" s="18" t="s">
        <v>30</v>
      </c>
      <c r="D75" s="18" t="s">
        <v>30</v>
      </c>
      <c r="E75" s="18">
        <v>6.1054000000000004</v>
      </c>
      <c r="F75" s="18">
        <v>6.2216500000000003</v>
      </c>
      <c r="G75" s="18">
        <v>8.8482000000000003</v>
      </c>
    </row>
    <row r="76" spans="1:7" ht="10.5" x14ac:dyDescent="0.2">
      <c r="A76" s="9" t="s">
        <v>363</v>
      </c>
      <c r="B76" s="14">
        <v>22.210999999999999</v>
      </c>
      <c r="C76" s="14">
        <v>47.405000000000001</v>
      </c>
      <c r="D76" s="14">
        <v>57.466999999999999</v>
      </c>
      <c r="E76" s="14">
        <v>108.398</v>
      </c>
      <c r="F76" s="14">
        <v>181.529</v>
      </c>
      <c r="G76" s="14">
        <v>238.315</v>
      </c>
    </row>
    <row r="77" spans="1:7" x14ac:dyDescent="0.2">
      <c r="A77" s="4"/>
      <c r="B77" s="4"/>
      <c r="C77" s="4"/>
      <c r="D77" s="4"/>
      <c r="E77" s="4"/>
      <c r="F77" s="4"/>
      <c r="G77" s="4"/>
    </row>
    <row r="78" spans="1:7" x14ac:dyDescent="0.2">
      <c r="A78" s="4"/>
      <c r="B78" s="4" t="s">
        <v>38</v>
      </c>
      <c r="C78" s="4" t="s">
        <v>38</v>
      </c>
      <c r="D78" s="4" t="s">
        <v>38</v>
      </c>
      <c r="E78" s="4" t="s">
        <v>38</v>
      </c>
      <c r="F78" s="4" t="s">
        <v>38</v>
      </c>
      <c r="G78" s="4" t="s">
        <v>38</v>
      </c>
    </row>
    <row r="79" spans="1:7" x14ac:dyDescent="0.2">
      <c r="A79" s="4" t="s">
        <v>154</v>
      </c>
      <c r="B79" s="31">
        <v>44250</v>
      </c>
      <c r="C79" s="31">
        <v>44608</v>
      </c>
      <c r="D79" s="31">
        <v>44973</v>
      </c>
      <c r="E79" s="31">
        <v>45337</v>
      </c>
      <c r="F79" s="31">
        <v>45337</v>
      </c>
      <c r="G79" s="31">
        <v>45337</v>
      </c>
    </row>
    <row r="80" spans="1:7" x14ac:dyDescent="0.2">
      <c r="A80" s="11"/>
      <c r="B80" s="11"/>
      <c r="C80" s="11"/>
      <c r="D80" s="11"/>
      <c r="E80" s="11"/>
      <c r="F80" s="11"/>
      <c r="G80" s="11"/>
    </row>
    <row r="81" spans="1:1" x14ac:dyDescent="0.2">
      <c r="A81" s="25" t="s">
        <v>72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2:IU90"/>
  <sheetViews>
    <sheetView topLeftCell="A3" zoomScale="130" zoomScaleNormal="130" workbookViewId="0">
      <selection activeCell="A11" sqref="A11"/>
    </sheetView>
  </sheetViews>
  <sheetFormatPr defaultRowHeight="10" x14ac:dyDescent="0.2"/>
  <cols>
    <col min="1" max="1" width="45.81640625" customWidth="1"/>
    <col min="2" max="9" width="14.81640625" customWidth="1"/>
  </cols>
  <sheetData>
    <row r="2" spans="1:255" x14ac:dyDescent="0.2">
      <c r="A2" s="172" t="s">
        <v>548</v>
      </c>
    </row>
    <row r="5" spans="1:255" ht="17" x14ac:dyDescent="0.35">
      <c r="A5" s="1" t="s">
        <v>0</v>
      </c>
    </row>
    <row r="7" spans="1:255" ht="10.5" x14ac:dyDescent="0.25">
      <c r="A7" s="2" t="s">
        <v>1</v>
      </c>
      <c r="B7" s="3" t="s">
        <v>2</v>
      </c>
      <c r="C7" t="s">
        <v>3</v>
      </c>
      <c r="D7" s="4" t="s">
        <v>4</v>
      </c>
      <c r="E7" s="3" t="s">
        <v>5</v>
      </c>
      <c r="F7" t="s">
        <v>6</v>
      </c>
    </row>
    <row r="8" spans="1:255" ht="10.5" x14ac:dyDescent="0.25">
      <c r="A8" s="4"/>
      <c r="B8" s="3" t="s">
        <v>7</v>
      </c>
      <c r="C8" t="s">
        <v>8</v>
      </c>
      <c r="D8" s="4" t="s">
        <v>4</v>
      </c>
      <c r="E8" s="3" t="s">
        <v>9</v>
      </c>
      <c r="F8" t="s">
        <v>10</v>
      </c>
    </row>
    <row r="9" spans="1:255" ht="10.5" x14ac:dyDescent="0.25">
      <c r="A9" s="4"/>
      <c r="B9" s="3" t="s">
        <v>11</v>
      </c>
      <c r="C9" s="5" t="s">
        <v>12</v>
      </c>
      <c r="D9" s="4" t="s">
        <v>4</v>
      </c>
      <c r="E9" s="3" t="s">
        <v>13</v>
      </c>
      <c r="F9" t="s">
        <v>14</v>
      </c>
    </row>
    <row r="12" spans="1:255" x14ac:dyDescent="0.2">
      <c r="A12" s="6" t="s">
        <v>15</v>
      </c>
      <c r="B12" s="6"/>
      <c r="C12" s="6"/>
      <c r="D12" s="6"/>
      <c r="E12" s="6"/>
      <c r="F12" s="6"/>
      <c r="G12" s="6"/>
      <c r="H12" s="6"/>
      <c r="I12" s="6"/>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E12" s="37"/>
      <c r="GF12" s="37"/>
      <c r="GG12" s="37"/>
      <c r="GH12" s="37"/>
      <c r="GI12" s="37"/>
      <c r="GJ12" s="37"/>
      <c r="GK12" s="37"/>
      <c r="GL12" s="37"/>
      <c r="GM12" s="37"/>
      <c r="GN12" s="37"/>
      <c r="GO12" s="37"/>
      <c r="GP12" s="37"/>
      <c r="GQ12" s="37"/>
      <c r="GR12" s="37"/>
      <c r="GS12" s="37"/>
      <c r="GT12" s="37"/>
      <c r="GU12" s="37"/>
      <c r="GV12" s="37"/>
      <c r="GW12" s="37"/>
      <c r="GX12" s="37"/>
      <c r="GY12" s="37"/>
      <c r="GZ12" s="37"/>
      <c r="HA12" s="37"/>
      <c r="HB12" s="37"/>
      <c r="HC12" s="37"/>
      <c r="HD12" s="37"/>
      <c r="HE12" s="37"/>
      <c r="HF12" s="37"/>
      <c r="HG12" s="37"/>
      <c r="HH12" s="37"/>
      <c r="HI12" s="37"/>
      <c r="HJ12" s="37"/>
      <c r="HK12" s="37"/>
      <c r="HL12" s="37"/>
      <c r="HM12" s="37"/>
      <c r="HN12" s="37"/>
      <c r="HO12" s="37"/>
      <c r="HP12" s="37"/>
      <c r="HQ12" s="37"/>
      <c r="HR12" s="37"/>
      <c r="HS12" s="37"/>
      <c r="HT12" s="37"/>
      <c r="HU12" s="37"/>
      <c r="HV12" s="37"/>
      <c r="HW12" s="37"/>
      <c r="HX12" s="37"/>
      <c r="HY12" s="37"/>
      <c r="HZ12" s="37"/>
      <c r="IA12" s="37"/>
      <c r="IB12" s="37"/>
      <c r="IC12" s="37"/>
      <c r="ID12" s="37"/>
      <c r="IE12" s="37"/>
      <c r="IF12" s="37"/>
      <c r="IG12" s="37"/>
      <c r="IH12" s="37"/>
      <c r="II12" s="37"/>
      <c r="IJ12" s="37"/>
      <c r="IK12" s="37"/>
      <c r="IL12" s="37"/>
      <c r="IM12" s="37"/>
      <c r="IN12" s="37"/>
      <c r="IO12" s="37"/>
      <c r="IP12" s="37"/>
      <c r="IQ12" s="37"/>
      <c r="IR12" s="37"/>
      <c r="IS12" s="37"/>
      <c r="IT12" s="37"/>
      <c r="IU12" s="37"/>
    </row>
    <row r="13" spans="1:255" ht="21" x14ac:dyDescent="0.25">
      <c r="A13" s="7" t="s">
        <v>16</v>
      </c>
      <c r="B13" s="12" t="s">
        <v>17</v>
      </c>
      <c r="C13" s="12" t="s">
        <v>18</v>
      </c>
      <c r="D13" s="12" t="s">
        <v>19</v>
      </c>
      <c r="E13" s="12" t="s">
        <v>20</v>
      </c>
      <c r="F13" s="12" t="s">
        <v>21</v>
      </c>
      <c r="G13" s="12" t="s">
        <v>22</v>
      </c>
      <c r="H13" s="12" t="s">
        <v>23</v>
      </c>
      <c r="I13" s="12" t="s">
        <v>24</v>
      </c>
    </row>
    <row r="14" spans="1:255" x14ac:dyDescent="0.2">
      <c r="A14" s="8" t="s">
        <v>25</v>
      </c>
      <c r="B14" s="13" t="s">
        <v>26</v>
      </c>
      <c r="C14" s="13" t="s">
        <v>26</v>
      </c>
      <c r="D14" s="13" t="s">
        <v>26</v>
      </c>
      <c r="E14" s="13" t="s">
        <v>26</v>
      </c>
      <c r="F14" s="13" t="s">
        <v>26</v>
      </c>
      <c r="G14" s="13" t="s">
        <v>26</v>
      </c>
      <c r="H14" s="13" t="s">
        <v>26</v>
      </c>
      <c r="I14" s="13" t="s">
        <v>26</v>
      </c>
    </row>
    <row r="15" spans="1:255" ht="10.5" x14ac:dyDescent="0.2">
      <c r="A15" s="9"/>
      <c r="B15" s="4"/>
      <c r="C15" s="4"/>
      <c r="D15" s="4"/>
      <c r="E15" s="4"/>
      <c r="F15" s="4"/>
      <c r="G15" s="4"/>
      <c r="H15" s="4"/>
      <c r="I15" s="4"/>
    </row>
    <row r="16" spans="1:255" ht="10.5" x14ac:dyDescent="0.2">
      <c r="A16" s="9" t="s">
        <v>27</v>
      </c>
      <c r="B16" s="14">
        <v>1230.5930000000001</v>
      </c>
      <c r="C16" s="14">
        <v>1385.951</v>
      </c>
      <c r="D16" s="14">
        <v>2313.4160000000002</v>
      </c>
      <c r="E16" s="14">
        <v>3554.9850000000001</v>
      </c>
      <c r="F16" s="14">
        <v>3962.3470000000002</v>
      </c>
      <c r="G16" s="16">
        <v>4135.2721000000001</v>
      </c>
      <c r="H16" s="16">
        <v>4360.62183</v>
      </c>
      <c r="I16" s="16">
        <v>4617.1650300000001</v>
      </c>
    </row>
    <row r="17" spans="1:9" x14ac:dyDescent="0.2">
      <c r="A17" s="10" t="s">
        <v>28</v>
      </c>
      <c r="B17" s="15">
        <v>0.13084599999999999</v>
      </c>
      <c r="C17" s="15">
        <v>0.126246</v>
      </c>
      <c r="D17" s="15">
        <v>0.66918999999999995</v>
      </c>
      <c r="E17" s="15">
        <v>0.53668199999999999</v>
      </c>
      <c r="F17" s="15">
        <v>0.114588</v>
      </c>
      <c r="G17" s="19">
        <v>4.3642088893000003E-2</v>
      </c>
      <c r="H17" s="19">
        <v>5.4494534955E-2</v>
      </c>
      <c r="I17" s="19">
        <v>5.8831792803999999E-2</v>
      </c>
    </row>
    <row r="18" spans="1:9" x14ac:dyDescent="0.2">
      <c r="A18" s="4"/>
      <c r="B18" s="4"/>
      <c r="C18" s="4"/>
      <c r="D18" s="4"/>
      <c r="E18" s="4"/>
      <c r="F18" s="4"/>
      <c r="G18" s="4"/>
      <c r="H18" s="4"/>
      <c r="I18" s="4"/>
    </row>
    <row r="19" spans="1:9" ht="10.5" x14ac:dyDescent="0.2">
      <c r="A19" s="9" t="s">
        <v>29</v>
      </c>
      <c r="B19" s="14">
        <v>617.05600000000004</v>
      </c>
      <c r="C19" s="14">
        <v>749.94799999999998</v>
      </c>
      <c r="D19" s="14">
        <v>1420.22</v>
      </c>
      <c r="E19" s="14">
        <v>1860.2819999999999</v>
      </c>
      <c r="F19" s="14">
        <v>2210.0100000000002</v>
      </c>
      <c r="G19" s="14" t="s">
        <v>30</v>
      </c>
      <c r="H19" s="14" t="s">
        <v>30</v>
      </c>
      <c r="I19" s="14" t="s">
        <v>30</v>
      </c>
    </row>
    <row r="20" spans="1:9" x14ac:dyDescent="0.2">
      <c r="A20" s="10" t="s">
        <v>31</v>
      </c>
      <c r="B20" s="15">
        <v>0.50142900000000001</v>
      </c>
      <c r="C20" s="15">
        <v>0.541107</v>
      </c>
      <c r="D20" s="15">
        <v>0.61390599999999995</v>
      </c>
      <c r="E20" s="15">
        <v>0.52328799999999998</v>
      </c>
      <c r="F20" s="15">
        <v>0.55775200000000003</v>
      </c>
      <c r="G20" s="19">
        <v>0.57070949999999998</v>
      </c>
      <c r="H20" s="19">
        <v>0.57259380000000004</v>
      </c>
      <c r="I20" s="19">
        <v>0.57272829999999997</v>
      </c>
    </row>
    <row r="21" spans="1:9" x14ac:dyDescent="0.2">
      <c r="A21" s="4"/>
      <c r="B21" s="4"/>
      <c r="C21" s="4"/>
      <c r="D21" s="4"/>
      <c r="E21" s="4"/>
      <c r="F21" s="4"/>
      <c r="G21" s="4"/>
      <c r="H21" s="4"/>
      <c r="I21" s="4"/>
    </row>
    <row r="22" spans="1:9" ht="10.5" x14ac:dyDescent="0.2">
      <c r="A22" s="9" t="s">
        <v>32</v>
      </c>
      <c r="B22" s="14">
        <v>152.72999999999999</v>
      </c>
      <c r="C22" s="14">
        <v>263.27800000000002</v>
      </c>
      <c r="D22" s="14">
        <v>714.74</v>
      </c>
      <c r="E22" s="14">
        <v>922.83299999999997</v>
      </c>
      <c r="F22" s="14">
        <v>1099.9739999999999</v>
      </c>
      <c r="G22" s="16">
        <v>1104.66812</v>
      </c>
      <c r="H22" s="16">
        <v>1173.0975699999999</v>
      </c>
      <c r="I22" s="16">
        <v>1220.43767</v>
      </c>
    </row>
    <row r="23" spans="1:9" x14ac:dyDescent="0.2">
      <c r="A23" s="10" t="s">
        <v>31</v>
      </c>
      <c r="B23" s="15">
        <v>0.12411</v>
      </c>
      <c r="C23" s="15">
        <v>0.18996099999999999</v>
      </c>
      <c r="D23" s="15">
        <v>0.30895400000000001</v>
      </c>
      <c r="E23" s="15">
        <v>0.25958799999999999</v>
      </c>
      <c r="F23" s="15">
        <v>0.27760600000000002</v>
      </c>
      <c r="G23" s="19">
        <v>0.26713311561800002</v>
      </c>
      <c r="H23" s="19">
        <v>0.26902070753500001</v>
      </c>
      <c r="I23" s="19">
        <v>0.26432619628499998</v>
      </c>
    </row>
    <row r="24" spans="1:9" x14ac:dyDescent="0.2">
      <c r="A24" s="4"/>
      <c r="B24" s="4"/>
      <c r="C24" s="4"/>
      <c r="D24" s="4"/>
      <c r="E24" s="4"/>
      <c r="F24" s="4"/>
      <c r="G24" s="4"/>
      <c r="H24" s="4"/>
      <c r="I24" s="4"/>
    </row>
    <row r="25" spans="1:9" ht="10.5" x14ac:dyDescent="0.2">
      <c r="A25" s="9" t="s">
        <v>33</v>
      </c>
      <c r="B25" s="14">
        <v>128.517</v>
      </c>
      <c r="C25" s="14">
        <v>235.65899999999999</v>
      </c>
      <c r="D25" s="14">
        <v>682.76400000000001</v>
      </c>
      <c r="E25" s="14">
        <v>883.60400000000004</v>
      </c>
      <c r="F25" s="14">
        <v>1045.67</v>
      </c>
      <c r="G25" s="16">
        <v>1041.1151400000001</v>
      </c>
      <c r="H25" s="16">
        <v>1105.7945500000001</v>
      </c>
      <c r="I25" s="16">
        <v>1153.4430400000001</v>
      </c>
    </row>
    <row r="26" spans="1:9" x14ac:dyDescent="0.2">
      <c r="A26" s="10" t="s">
        <v>31</v>
      </c>
      <c r="B26" s="15">
        <v>0.104435</v>
      </c>
      <c r="C26" s="15">
        <v>0.17003399999999999</v>
      </c>
      <c r="D26" s="15">
        <v>0.29513200000000001</v>
      </c>
      <c r="E26" s="15">
        <v>0.248553</v>
      </c>
      <c r="F26" s="15">
        <v>0.263901</v>
      </c>
      <c r="G26" s="19">
        <v>0.25176460335</v>
      </c>
      <c r="H26" s="19">
        <v>0.25358643631799999</v>
      </c>
      <c r="I26" s="19">
        <v>0.249816290409</v>
      </c>
    </row>
    <row r="27" spans="1:9" x14ac:dyDescent="0.2">
      <c r="A27" s="4"/>
      <c r="B27" s="4"/>
      <c r="C27" s="4"/>
      <c r="D27" s="4"/>
      <c r="E27" s="4"/>
      <c r="F27" s="4"/>
      <c r="G27" s="4"/>
      <c r="H27" s="4"/>
      <c r="I27" s="4"/>
    </row>
    <row r="28" spans="1:9" ht="10.5" x14ac:dyDescent="0.2">
      <c r="A28" s="9" t="s">
        <v>34</v>
      </c>
      <c r="B28" s="14">
        <v>119.497</v>
      </c>
      <c r="C28" s="14">
        <v>312.86099999999999</v>
      </c>
      <c r="D28" s="14">
        <v>725.69399999999996</v>
      </c>
      <c r="E28" s="14">
        <v>540.15899999999999</v>
      </c>
      <c r="F28" s="14">
        <v>792.56600000000003</v>
      </c>
      <c r="G28" s="14" t="s">
        <v>30</v>
      </c>
      <c r="H28" s="14" t="s">
        <v>30</v>
      </c>
      <c r="I28" s="14" t="s">
        <v>30</v>
      </c>
    </row>
    <row r="29" spans="1:9" x14ac:dyDescent="0.2">
      <c r="A29" s="10" t="s">
        <v>31</v>
      </c>
      <c r="B29" s="15">
        <v>9.7104999999999997E-2</v>
      </c>
      <c r="C29" s="15">
        <v>0.22573699999999999</v>
      </c>
      <c r="D29" s="15">
        <v>0.313689</v>
      </c>
      <c r="E29" s="15">
        <v>0.151944</v>
      </c>
      <c r="F29" s="15">
        <v>0.20002400000000001</v>
      </c>
      <c r="G29" s="20" t="s">
        <v>30</v>
      </c>
      <c r="H29" s="20" t="s">
        <v>30</v>
      </c>
      <c r="I29" s="20" t="s">
        <v>30</v>
      </c>
    </row>
    <row r="30" spans="1:9" x14ac:dyDescent="0.2">
      <c r="A30" s="4"/>
      <c r="B30" s="4"/>
      <c r="C30" s="4"/>
      <c r="D30" s="4"/>
      <c r="E30" s="4"/>
      <c r="F30" s="4"/>
      <c r="G30" s="4"/>
      <c r="H30" s="4"/>
      <c r="I30" s="4"/>
    </row>
    <row r="31" spans="1:9" ht="10.5" x14ac:dyDescent="0.2">
      <c r="A31" s="9" t="s">
        <v>35</v>
      </c>
      <c r="B31" s="14">
        <v>119.497</v>
      </c>
      <c r="C31" s="14">
        <v>312.86099999999999</v>
      </c>
      <c r="D31" s="14">
        <v>725.69399999999996</v>
      </c>
      <c r="E31" s="14">
        <v>540.15899999999999</v>
      </c>
      <c r="F31" s="14">
        <v>792.56600000000003</v>
      </c>
      <c r="G31" s="16">
        <v>755.72871999999995</v>
      </c>
      <c r="H31" s="16">
        <v>811.65071</v>
      </c>
      <c r="I31" s="16">
        <v>860.19565</v>
      </c>
    </row>
    <row r="32" spans="1:9" x14ac:dyDescent="0.2">
      <c r="A32" s="10" t="s">
        <v>31</v>
      </c>
      <c r="B32" s="15">
        <v>9.7104999999999997E-2</v>
      </c>
      <c r="C32" s="15">
        <v>0.22573699999999999</v>
      </c>
      <c r="D32" s="15">
        <v>0.313689</v>
      </c>
      <c r="E32" s="15">
        <v>0.151944</v>
      </c>
      <c r="F32" s="15">
        <v>0.20002400000000001</v>
      </c>
      <c r="G32" s="19">
        <v>0.18275187260299999</v>
      </c>
      <c r="H32" s="19">
        <v>0.18613187330700001</v>
      </c>
      <c r="I32" s="19">
        <v>0.186303856243</v>
      </c>
    </row>
    <row r="33" spans="1:255" x14ac:dyDescent="0.2">
      <c r="A33" s="4"/>
      <c r="B33" s="4"/>
      <c r="C33" s="4"/>
      <c r="D33" s="4"/>
      <c r="E33" s="4"/>
      <c r="F33" s="4"/>
      <c r="G33" s="4"/>
      <c r="H33" s="4"/>
      <c r="I33" s="4"/>
    </row>
    <row r="34" spans="1:255" ht="10.5" x14ac:dyDescent="0.2">
      <c r="A34" s="9" t="s">
        <v>36</v>
      </c>
      <c r="B34" s="16">
        <v>1.66</v>
      </c>
      <c r="C34" s="16">
        <v>4.5599999999999996</v>
      </c>
      <c r="D34" s="16">
        <v>11.39</v>
      </c>
      <c r="E34" s="16">
        <v>8.7100000000000009</v>
      </c>
      <c r="F34" s="16">
        <v>12.79</v>
      </c>
      <c r="G34" s="16">
        <v>12.49047</v>
      </c>
      <c r="H34" s="16">
        <v>13.65864</v>
      </c>
      <c r="I34" s="16">
        <v>14.79968</v>
      </c>
    </row>
    <row r="35" spans="1:255" x14ac:dyDescent="0.2">
      <c r="A35" s="10" t="s">
        <v>28</v>
      </c>
      <c r="B35" s="15" t="s">
        <v>37</v>
      </c>
      <c r="C35" s="15">
        <v>1.7469870000000001</v>
      </c>
      <c r="D35" s="15">
        <v>1.4978070000000001</v>
      </c>
      <c r="E35" s="15">
        <v>-0.235295</v>
      </c>
      <c r="F35" s="15">
        <v>0.46842699999999998</v>
      </c>
      <c r="G35" s="19">
        <v>3.8276807980000001E-2</v>
      </c>
      <c r="H35" s="19">
        <v>9.3524903386000002E-2</v>
      </c>
      <c r="I35" s="19">
        <v>8.3539796055999996E-2</v>
      </c>
    </row>
    <row r="36" spans="1:255" x14ac:dyDescent="0.2">
      <c r="A36" s="4"/>
      <c r="B36" s="4"/>
      <c r="C36" s="4"/>
      <c r="D36" s="4"/>
      <c r="E36" s="4"/>
      <c r="F36" s="4"/>
      <c r="G36" s="4"/>
      <c r="H36" s="4"/>
      <c r="I36" s="4"/>
    </row>
    <row r="37" spans="1:255" x14ac:dyDescent="0.2">
      <c r="A37" s="4"/>
      <c r="B37" s="4" t="s">
        <v>38</v>
      </c>
      <c r="C37" s="4" t="s">
        <v>38</v>
      </c>
      <c r="D37" s="4" t="s">
        <v>38</v>
      </c>
      <c r="E37" s="4" t="s">
        <v>38</v>
      </c>
      <c r="F37" s="4" t="s">
        <v>38</v>
      </c>
      <c r="G37" s="4" t="s">
        <v>38</v>
      </c>
      <c r="H37" s="4" t="s">
        <v>38</v>
      </c>
      <c r="I37" s="4" t="s">
        <v>38</v>
      </c>
    </row>
    <row r="38" spans="1:255" x14ac:dyDescent="0.2">
      <c r="A38" s="4" t="s">
        <v>25</v>
      </c>
      <c r="B38" s="17" t="s">
        <v>26</v>
      </c>
      <c r="C38" s="17" t="s">
        <v>26</v>
      </c>
      <c r="D38" s="17" t="s">
        <v>26</v>
      </c>
      <c r="E38" s="17" t="s">
        <v>26</v>
      </c>
      <c r="F38" s="17" t="s">
        <v>26</v>
      </c>
      <c r="G38" s="17" t="s">
        <v>26</v>
      </c>
      <c r="H38" s="17" t="s">
        <v>26</v>
      </c>
      <c r="I38" s="17" t="s">
        <v>26</v>
      </c>
    </row>
    <row r="39" spans="1:255" x14ac:dyDescent="0.2">
      <c r="A39" s="4" t="s">
        <v>39</v>
      </c>
      <c r="B39" s="18">
        <v>1</v>
      </c>
      <c r="C39" s="18">
        <v>1</v>
      </c>
      <c r="D39" s="18">
        <v>1</v>
      </c>
      <c r="E39" s="18">
        <v>1</v>
      </c>
      <c r="F39" s="18">
        <v>1</v>
      </c>
      <c r="G39" s="18">
        <v>1</v>
      </c>
      <c r="H39" s="18">
        <v>1</v>
      </c>
      <c r="I39" s="18">
        <v>1</v>
      </c>
    </row>
    <row r="40" spans="1:255" x14ac:dyDescent="0.2">
      <c r="A40" s="4" t="s">
        <v>40</v>
      </c>
      <c r="B40" s="17" t="s">
        <v>41</v>
      </c>
      <c r="C40" s="17" t="s">
        <v>41</v>
      </c>
      <c r="D40" s="17" t="s">
        <v>41</v>
      </c>
      <c r="E40" s="17" t="s">
        <v>41</v>
      </c>
      <c r="F40" s="17" t="s">
        <v>41</v>
      </c>
      <c r="G40" s="17" t="s">
        <v>42</v>
      </c>
      <c r="H40" s="17" t="s">
        <v>42</v>
      </c>
      <c r="I40" s="17" t="s">
        <v>42</v>
      </c>
    </row>
    <row r="41" spans="1:255" x14ac:dyDescent="0.2">
      <c r="A41" s="11"/>
      <c r="B41" s="11"/>
      <c r="C41" s="11"/>
      <c r="D41" s="11"/>
      <c r="E41" s="11"/>
      <c r="F41" s="11"/>
      <c r="G41" s="11"/>
      <c r="H41" s="11"/>
      <c r="I41" s="11"/>
    </row>
    <row r="42" spans="1:255" x14ac:dyDescent="0.2">
      <c r="A42" t="s">
        <v>43</v>
      </c>
    </row>
    <row r="43" spans="1:255" x14ac:dyDescent="0.2">
      <c r="A43" t="s">
        <v>44</v>
      </c>
    </row>
    <row r="44" spans="1:255" x14ac:dyDescent="0.2">
      <c r="A44" t="s">
        <v>45</v>
      </c>
    </row>
    <row r="45" spans="1:255" x14ac:dyDescent="0.2">
      <c r="A45" t="s">
        <v>46</v>
      </c>
    </row>
    <row r="47" spans="1:255" x14ac:dyDescent="0.2">
      <c r="A47" s="6" t="s">
        <v>47</v>
      </c>
      <c r="B47" s="6"/>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J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E47" s="37"/>
      <c r="GF47" s="37"/>
      <c r="GG47" s="37"/>
      <c r="GH47" s="37"/>
      <c r="GI47" s="37"/>
      <c r="GJ47" s="37"/>
      <c r="GK47" s="37"/>
      <c r="GL47" s="37"/>
      <c r="GM47" s="37"/>
      <c r="GN47" s="37"/>
      <c r="GO47" s="37"/>
      <c r="GP47" s="37"/>
      <c r="GQ47" s="37"/>
      <c r="GR47" s="37"/>
      <c r="GS47" s="37"/>
      <c r="GT47" s="37"/>
      <c r="GU47" s="37"/>
      <c r="GV47" s="37"/>
      <c r="GW47" s="37"/>
      <c r="GX47" s="37"/>
      <c r="GY47" s="37"/>
      <c r="GZ47" s="37"/>
      <c r="HA47" s="37"/>
      <c r="HB47" s="37"/>
      <c r="HC47" s="37"/>
      <c r="HD47" s="37"/>
      <c r="HE47" s="37"/>
      <c r="HF47" s="37"/>
      <c r="HG47" s="37"/>
      <c r="HH47" s="37"/>
      <c r="HI47" s="37"/>
      <c r="HJ47" s="37"/>
      <c r="HK47" s="37"/>
      <c r="HL47" s="37"/>
      <c r="HM47" s="37"/>
      <c r="HN47" s="37"/>
      <c r="HO47" s="37"/>
      <c r="HP47" s="37"/>
      <c r="HQ47" s="37"/>
      <c r="HR47" s="37"/>
      <c r="HS47" s="37"/>
      <c r="HT47" s="37"/>
      <c r="HU47" s="37"/>
      <c r="HV47" s="37"/>
      <c r="HW47" s="37"/>
      <c r="HX47" s="37"/>
      <c r="HY47" s="37"/>
      <c r="HZ47" s="37"/>
      <c r="IA47" s="37"/>
      <c r="IB47" s="37"/>
      <c r="IC47" s="37"/>
      <c r="ID47" s="37"/>
      <c r="IE47" s="37"/>
      <c r="IF47" s="37"/>
      <c r="IG47" s="37"/>
      <c r="IH47" s="37"/>
      <c r="II47" s="37"/>
      <c r="IJ47" s="37"/>
      <c r="IK47" s="37"/>
      <c r="IL47" s="37"/>
      <c r="IM47" s="37"/>
      <c r="IN47" s="37"/>
      <c r="IO47" s="37"/>
      <c r="IP47" s="37"/>
      <c r="IQ47" s="37"/>
      <c r="IR47" s="37"/>
      <c r="IS47" s="37"/>
      <c r="IT47" s="37"/>
      <c r="IU47" s="37"/>
    </row>
    <row r="48" spans="1:255" x14ac:dyDescent="0.2">
      <c r="A48" s="8" t="s">
        <v>25</v>
      </c>
      <c r="B48" s="13" t="s">
        <v>26</v>
      </c>
    </row>
    <row r="49" spans="1:2" x14ac:dyDescent="0.2">
      <c r="A49" s="4" t="s">
        <v>48</v>
      </c>
      <c r="B49" s="21">
        <v>134.09</v>
      </c>
    </row>
    <row r="50" spans="1:2" x14ac:dyDescent="0.2">
      <c r="A50" s="4" t="s">
        <v>49</v>
      </c>
      <c r="B50" s="18">
        <v>60.498530000000002</v>
      </c>
    </row>
    <row r="51" spans="1:2" x14ac:dyDescent="0.2">
      <c r="A51" s="4"/>
      <c r="B51" s="4"/>
    </row>
    <row r="52" spans="1:2" ht="10.5" x14ac:dyDescent="0.2">
      <c r="A52" s="9" t="s">
        <v>50</v>
      </c>
      <c r="B52" s="14">
        <v>8112.2478870000004</v>
      </c>
    </row>
    <row r="53" spans="1:2" x14ac:dyDescent="0.2">
      <c r="A53" s="4" t="s">
        <v>51</v>
      </c>
      <c r="B53" s="18">
        <v>149.28800000000001</v>
      </c>
    </row>
    <row r="54" spans="1:2" x14ac:dyDescent="0.2">
      <c r="A54" s="4" t="s">
        <v>52</v>
      </c>
      <c r="B54" s="18">
        <v>1996.36</v>
      </c>
    </row>
    <row r="55" spans="1:2" x14ac:dyDescent="0.2">
      <c r="A55" s="4" t="s">
        <v>53</v>
      </c>
      <c r="B55" s="18" t="s">
        <v>30</v>
      </c>
    </row>
    <row r="56" spans="1:2" x14ac:dyDescent="0.2">
      <c r="A56" s="4" t="s">
        <v>54</v>
      </c>
      <c r="B56" s="18" t="s">
        <v>30</v>
      </c>
    </row>
    <row r="57" spans="1:2" x14ac:dyDescent="0.2">
      <c r="A57" s="4" t="s">
        <v>55</v>
      </c>
      <c r="B57" s="18" t="s">
        <v>30</v>
      </c>
    </row>
    <row r="58" spans="1:2" ht="10.5" x14ac:dyDescent="0.2">
      <c r="A58" s="9" t="s">
        <v>56</v>
      </c>
      <c r="B58" s="14">
        <v>9959.3198869999997</v>
      </c>
    </row>
    <row r="59" spans="1:2" x14ac:dyDescent="0.2">
      <c r="A59" s="4"/>
      <c r="B59" s="4"/>
    </row>
    <row r="60" spans="1:2" x14ac:dyDescent="0.2">
      <c r="A60" s="4" t="s">
        <v>57</v>
      </c>
      <c r="B60" s="18">
        <v>1453.923</v>
      </c>
    </row>
    <row r="61" spans="1:2" x14ac:dyDescent="0.2">
      <c r="A61" s="4" t="s">
        <v>53</v>
      </c>
      <c r="B61" s="18" t="s">
        <v>30</v>
      </c>
    </row>
    <row r="62" spans="1:2" x14ac:dyDescent="0.2">
      <c r="A62" s="4" t="s">
        <v>54</v>
      </c>
      <c r="B62" s="18" t="s">
        <v>30</v>
      </c>
    </row>
    <row r="63" spans="1:2" x14ac:dyDescent="0.2">
      <c r="A63" s="4" t="s">
        <v>52</v>
      </c>
      <c r="B63" s="18">
        <v>1996.36</v>
      </c>
    </row>
    <row r="64" spans="1:2" ht="10.5" x14ac:dyDescent="0.2">
      <c r="A64" s="9" t="s">
        <v>58</v>
      </c>
      <c r="B64" s="14">
        <v>3450.2829999999999</v>
      </c>
    </row>
    <row r="65" spans="1:255" x14ac:dyDescent="0.2">
      <c r="A65" s="4"/>
      <c r="B65" s="4"/>
    </row>
    <row r="66" spans="1:255" ht="60" x14ac:dyDescent="0.2">
      <c r="A66" s="11" t="s">
        <v>59</v>
      </c>
      <c r="B66" s="11"/>
    </row>
    <row r="68" spans="1:255" ht="200" customHeight="1" x14ac:dyDescent="0.2">
      <c r="A68" s="22"/>
    </row>
    <row r="70" spans="1:255" x14ac:dyDescent="0.2">
      <c r="A70" t="s">
        <v>60</v>
      </c>
    </row>
    <row r="71" spans="1:255" x14ac:dyDescent="0.2">
      <c r="A71" t="s">
        <v>61</v>
      </c>
    </row>
    <row r="72" spans="1:255" x14ac:dyDescent="0.2">
      <c r="A72" t="s">
        <v>62</v>
      </c>
    </row>
    <row r="73" spans="1:255" x14ac:dyDescent="0.2">
      <c r="A73" t="s">
        <v>63</v>
      </c>
    </row>
    <row r="75" spans="1:255" x14ac:dyDescent="0.2">
      <c r="A75" s="6" t="s">
        <v>64</v>
      </c>
      <c r="B75" s="6"/>
      <c r="C75" s="6"/>
      <c r="D75" s="6"/>
      <c r="E75" s="6"/>
      <c r="F75" s="6"/>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c r="AO75" s="37"/>
      <c r="AP75" s="37"/>
      <c r="AQ75" s="37"/>
      <c r="AR75" s="37"/>
      <c r="AS75" s="37"/>
      <c r="AT75" s="37"/>
      <c r="AU75" s="37"/>
      <c r="AV75" s="37"/>
      <c r="AW75" s="37"/>
      <c r="AX75" s="37"/>
      <c r="AY75" s="37"/>
      <c r="AZ75" s="37"/>
      <c r="BA75" s="37"/>
      <c r="BB75" s="37"/>
      <c r="BC75" s="37"/>
      <c r="BD75" s="37"/>
      <c r="BE75" s="37"/>
      <c r="BF75" s="37"/>
      <c r="BG75" s="37"/>
      <c r="BH75" s="37"/>
      <c r="BI75" s="37"/>
      <c r="BJ75" s="37"/>
      <c r="BK75" s="37"/>
      <c r="BL75" s="37"/>
      <c r="BM75" s="37"/>
      <c r="BN75" s="37"/>
      <c r="BO75" s="37"/>
      <c r="BP75" s="37"/>
      <c r="BQ75" s="37"/>
      <c r="BR75" s="37"/>
      <c r="BS75" s="37"/>
      <c r="BT75" s="37"/>
      <c r="BU75" s="37"/>
      <c r="BV75" s="37"/>
      <c r="BW75" s="37"/>
      <c r="BX75" s="37"/>
      <c r="BY75" s="37"/>
      <c r="BZ75" s="37"/>
      <c r="CA75" s="37"/>
      <c r="CB75" s="37"/>
      <c r="CC75" s="37"/>
      <c r="CD75" s="37"/>
      <c r="CE75" s="37"/>
      <c r="CF75" s="37"/>
      <c r="CG75" s="37"/>
      <c r="CH75" s="37"/>
      <c r="CI75" s="37"/>
      <c r="CJ75" s="37"/>
      <c r="CK75" s="37"/>
      <c r="CL75" s="37"/>
      <c r="CM75" s="37"/>
      <c r="CN75" s="37"/>
      <c r="CO75" s="37"/>
      <c r="CP75" s="37"/>
      <c r="CQ75" s="37"/>
      <c r="CR75" s="37"/>
      <c r="CS75" s="37"/>
      <c r="CT75" s="37"/>
      <c r="CU75" s="37"/>
      <c r="CV75" s="37"/>
      <c r="CW75" s="37"/>
      <c r="CX75" s="37"/>
      <c r="CY75" s="37"/>
      <c r="CZ75" s="37"/>
      <c r="DA75" s="37"/>
      <c r="DB75" s="37"/>
      <c r="DC75" s="37"/>
      <c r="DD75" s="37"/>
      <c r="DE75" s="37"/>
      <c r="DF75" s="37"/>
      <c r="DG75" s="37"/>
      <c r="DH75" s="37"/>
      <c r="DI75" s="37"/>
      <c r="DJ75" s="37"/>
      <c r="DK75" s="37"/>
      <c r="DL75" s="37"/>
      <c r="DM75" s="37"/>
      <c r="DN75" s="37"/>
      <c r="DO75" s="37"/>
      <c r="DP75" s="37"/>
      <c r="DQ75" s="37"/>
      <c r="DR75" s="37"/>
      <c r="DS75" s="37"/>
      <c r="DT75" s="37"/>
      <c r="DU75" s="37"/>
      <c r="DV75" s="37"/>
      <c r="DW75" s="37"/>
      <c r="DX75" s="37"/>
      <c r="DY75" s="37"/>
      <c r="DZ75" s="37"/>
      <c r="EA75" s="37"/>
      <c r="EB75" s="37"/>
      <c r="EC75" s="37"/>
      <c r="ED75" s="37"/>
      <c r="EE75" s="37"/>
      <c r="EF75" s="37"/>
      <c r="EG75" s="37"/>
      <c r="EH75" s="37"/>
      <c r="EI75" s="37"/>
      <c r="EJ75" s="37"/>
      <c r="EK75" s="37"/>
      <c r="EL75" s="37"/>
      <c r="EM75" s="37"/>
      <c r="EN75" s="37"/>
      <c r="EO75" s="37"/>
      <c r="EP75" s="37"/>
      <c r="EQ75" s="37"/>
      <c r="ER75" s="37"/>
      <c r="ES75" s="37"/>
      <c r="ET75" s="37"/>
      <c r="EU75" s="37"/>
      <c r="EV75" s="37"/>
      <c r="EW75" s="37"/>
      <c r="EX75" s="37"/>
      <c r="EY75" s="37"/>
      <c r="EZ75" s="37"/>
      <c r="FA75" s="37"/>
      <c r="FB75" s="37"/>
      <c r="FC75" s="37"/>
      <c r="FD75" s="37"/>
      <c r="FE75" s="37"/>
      <c r="FF75" s="37"/>
      <c r="FG75" s="37"/>
      <c r="FH75" s="37"/>
      <c r="FI75" s="37"/>
      <c r="FJ75" s="37"/>
      <c r="FK75" s="37"/>
      <c r="FL75" s="37"/>
      <c r="FM75" s="37"/>
      <c r="FN75" s="37"/>
      <c r="FO75" s="37"/>
      <c r="FP75" s="37"/>
      <c r="FQ75" s="37"/>
      <c r="FR75" s="37"/>
      <c r="FS75" s="37"/>
      <c r="FT75" s="37"/>
      <c r="FU75" s="37"/>
      <c r="FV75" s="37"/>
      <c r="FW75" s="37"/>
      <c r="FX75" s="37"/>
      <c r="FY75" s="37"/>
      <c r="FZ75" s="37"/>
      <c r="GA75" s="37"/>
      <c r="GB75" s="37"/>
      <c r="GC75" s="37"/>
      <c r="GD75" s="37"/>
      <c r="GE75" s="37"/>
      <c r="GF75" s="37"/>
      <c r="GG75" s="37"/>
      <c r="GH75" s="37"/>
      <c r="GI75" s="37"/>
      <c r="GJ75" s="37"/>
      <c r="GK75" s="37"/>
      <c r="GL75" s="37"/>
      <c r="GM75" s="37"/>
      <c r="GN75" s="37"/>
      <c r="GO75" s="37"/>
      <c r="GP75" s="37"/>
      <c r="GQ75" s="37"/>
      <c r="GR75" s="37"/>
      <c r="GS75" s="37"/>
      <c r="GT75" s="37"/>
      <c r="GU75" s="37"/>
      <c r="GV75" s="37"/>
      <c r="GW75" s="37"/>
      <c r="GX75" s="37"/>
      <c r="GY75" s="37"/>
      <c r="GZ75" s="37"/>
      <c r="HA75" s="37"/>
      <c r="HB75" s="37"/>
      <c r="HC75" s="37"/>
      <c r="HD75" s="37"/>
      <c r="HE75" s="37"/>
      <c r="HF75" s="37"/>
      <c r="HG75" s="37"/>
      <c r="HH75" s="37"/>
      <c r="HI75" s="37"/>
      <c r="HJ75" s="37"/>
      <c r="HK75" s="37"/>
      <c r="HL75" s="37"/>
      <c r="HM75" s="37"/>
      <c r="HN75" s="37"/>
      <c r="HO75" s="37"/>
      <c r="HP75" s="37"/>
      <c r="HQ75" s="37"/>
      <c r="HR75" s="37"/>
      <c r="HS75" s="37"/>
      <c r="HT75" s="37"/>
      <c r="HU75" s="37"/>
      <c r="HV75" s="37"/>
      <c r="HW75" s="37"/>
      <c r="HX75" s="37"/>
      <c r="HY75" s="37"/>
      <c r="HZ75" s="37"/>
      <c r="IA75" s="37"/>
      <c r="IB75" s="37"/>
      <c r="IC75" s="37"/>
      <c r="ID75" s="37"/>
      <c r="IE75" s="37"/>
      <c r="IF75" s="37"/>
      <c r="IG75" s="37"/>
      <c r="IH75" s="37"/>
      <c r="II75" s="37"/>
      <c r="IJ75" s="37"/>
      <c r="IK75" s="37"/>
      <c r="IL75" s="37"/>
      <c r="IM75" s="37"/>
      <c r="IN75" s="37"/>
      <c r="IO75" s="37"/>
      <c r="IP75" s="37"/>
      <c r="IQ75" s="37"/>
      <c r="IR75" s="37"/>
      <c r="IS75" s="37"/>
      <c r="IT75" s="37"/>
      <c r="IU75" s="37"/>
    </row>
    <row r="76" spans="1:255" ht="21" x14ac:dyDescent="0.25">
      <c r="A76" s="7" t="s">
        <v>16</v>
      </c>
      <c r="B76" s="12" t="s">
        <v>20</v>
      </c>
      <c r="C76" s="12" t="s">
        <v>21</v>
      </c>
      <c r="D76" s="12" t="s">
        <v>65</v>
      </c>
      <c r="E76" s="12" t="s">
        <v>23</v>
      </c>
      <c r="F76" s="12" t="s">
        <v>24</v>
      </c>
    </row>
    <row r="77" spans="1:255" ht="10.5" x14ac:dyDescent="0.2">
      <c r="A77" s="9" t="s">
        <v>66</v>
      </c>
      <c r="B77" s="23">
        <v>2.8015080000000001</v>
      </c>
      <c r="C77" s="23">
        <v>2.51349</v>
      </c>
      <c r="D77" s="24">
        <v>2.4083832083750001</v>
      </c>
      <c r="E77" s="24">
        <v>2.2839219441549998</v>
      </c>
      <c r="F77" s="24">
        <v>2.157020557634</v>
      </c>
    </row>
    <row r="78" spans="1:255" x14ac:dyDescent="0.2">
      <c r="A78" s="4"/>
      <c r="B78" s="4"/>
      <c r="C78" s="4"/>
      <c r="D78" s="4"/>
      <c r="E78" s="4"/>
      <c r="F78" s="4"/>
    </row>
    <row r="79" spans="1:255" ht="10.5" x14ac:dyDescent="0.2">
      <c r="A79" s="9" t="s">
        <v>67</v>
      </c>
      <c r="B79" s="23">
        <v>9.6135120000000001</v>
      </c>
      <c r="C79" s="23">
        <v>8.0480579999999993</v>
      </c>
      <c r="D79" s="24">
        <v>9.0156669748919995</v>
      </c>
      <c r="E79" s="24">
        <v>8.4897626100270003</v>
      </c>
      <c r="F79" s="24">
        <v>8.1604494293430001</v>
      </c>
    </row>
    <row r="80" spans="1:255" x14ac:dyDescent="0.2">
      <c r="A80" s="4"/>
      <c r="B80" s="4"/>
      <c r="C80" s="4"/>
      <c r="D80" s="4"/>
      <c r="E80" s="4"/>
      <c r="F80" s="4"/>
    </row>
    <row r="81" spans="1:6" ht="10.5" x14ac:dyDescent="0.2">
      <c r="A81" s="9" t="s">
        <v>68</v>
      </c>
      <c r="B81" s="23">
        <v>11.271248</v>
      </c>
      <c r="C81" s="23">
        <v>9.524343</v>
      </c>
      <c r="D81" s="24">
        <v>9.5660119664569994</v>
      </c>
      <c r="E81" s="24">
        <v>9.0064830647789993</v>
      </c>
      <c r="F81" s="24">
        <v>8.6344271388559992</v>
      </c>
    </row>
    <row r="82" spans="1:6" x14ac:dyDescent="0.2">
      <c r="A82" s="4"/>
      <c r="B82" s="4"/>
      <c r="C82" s="4"/>
      <c r="D82" s="4"/>
      <c r="E82" s="4"/>
      <c r="F82" s="4"/>
    </row>
    <row r="83" spans="1:6" ht="10.5" x14ac:dyDescent="0.2">
      <c r="A83" s="9" t="s">
        <v>69</v>
      </c>
      <c r="B83" s="23">
        <v>15.394947999999999</v>
      </c>
      <c r="C83" s="23">
        <v>10.483971</v>
      </c>
      <c r="D83" s="24">
        <v>10.735384657262999</v>
      </c>
      <c r="E83" s="24">
        <v>9.8172292409789996</v>
      </c>
      <c r="F83" s="24">
        <v>9.0603310341849994</v>
      </c>
    </row>
    <row r="84" spans="1:6" x14ac:dyDescent="0.2">
      <c r="A84" s="4"/>
      <c r="B84" s="4"/>
      <c r="C84" s="4"/>
      <c r="D84" s="4"/>
      <c r="E84" s="4"/>
      <c r="F84" s="4"/>
    </row>
    <row r="85" spans="1:6" ht="10.5" x14ac:dyDescent="0.2">
      <c r="A85" s="9" t="s">
        <v>70</v>
      </c>
      <c r="B85" s="23">
        <v>10.123010000000001</v>
      </c>
      <c r="C85" s="23">
        <v>5.5792320000000002</v>
      </c>
      <c r="D85" s="24">
        <v>3.9276589026400002</v>
      </c>
      <c r="E85" s="24">
        <v>2.9361402095079998</v>
      </c>
      <c r="F85" s="24">
        <v>2.428041058502</v>
      </c>
    </row>
    <row r="86" spans="1:6" x14ac:dyDescent="0.2">
      <c r="A86" s="4"/>
      <c r="B86" s="4"/>
      <c r="C86" s="4"/>
      <c r="D86" s="4"/>
      <c r="E86" s="4"/>
      <c r="F86" s="4"/>
    </row>
    <row r="87" spans="1:6" ht="10.5" x14ac:dyDescent="0.2">
      <c r="A87" s="9" t="s">
        <v>71</v>
      </c>
      <c r="B87" s="17" t="s">
        <v>37</v>
      </c>
      <c r="C87" s="17" t="s">
        <v>37</v>
      </c>
      <c r="D87" s="17" t="s">
        <v>30</v>
      </c>
      <c r="E87" s="17" t="s">
        <v>30</v>
      </c>
      <c r="F87" s="17" t="s">
        <v>30</v>
      </c>
    </row>
    <row r="88" spans="1:6" x14ac:dyDescent="0.2">
      <c r="A88" s="4"/>
      <c r="B88" s="4"/>
      <c r="C88" s="4"/>
      <c r="D88" s="4"/>
      <c r="E88" s="4"/>
      <c r="F88" s="4"/>
    </row>
    <row r="89" spans="1:6" x14ac:dyDescent="0.2">
      <c r="A89" s="11"/>
      <c r="B89" s="11"/>
      <c r="C89" s="11"/>
      <c r="D89" s="11"/>
      <c r="E89" s="11"/>
      <c r="F89" s="11"/>
    </row>
    <row r="90" spans="1:6" x14ac:dyDescent="0.2">
      <c r="A90" s="25" t="s">
        <v>72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90"/>
  <sheetViews>
    <sheetView topLeftCell="A47" zoomScale="145" zoomScaleNormal="145" workbookViewId="0">
      <selection activeCell="C33" sqref="C33"/>
    </sheetView>
  </sheetViews>
  <sheetFormatPr defaultRowHeight="10" x14ac:dyDescent="0.2"/>
  <cols>
    <col min="1" max="1" width="45.81640625" customWidth="1"/>
    <col min="2" max="7" width="14.81640625" customWidth="1"/>
  </cols>
  <sheetData>
    <row r="5" spans="1:255" ht="17" x14ac:dyDescent="0.35">
      <c r="A5" s="1" t="s">
        <v>172</v>
      </c>
    </row>
    <row r="7" spans="1:255" ht="10.5" x14ac:dyDescent="0.25">
      <c r="A7" s="2" t="s">
        <v>173</v>
      </c>
      <c r="B7" s="3" t="s">
        <v>174</v>
      </c>
      <c r="C7" t="s">
        <v>76</v>
      </c>
      <c r="D7" s="4" t="s">
        <v>4</v>
      </c>
      <c r="E7" s="3" t="s">
        <v>175</v>
      </c>
      <c r="F7" t="s">
        <v>78</v>
      </c>
    </row>
    <row r="8" spans="1:255" ht="10.5" x14ac:dyDescent="0.25">
      <c r="A8" s="4"/>
      <c r="B8" s="3" t="s">
        <v>176</v>
      </c>
      <c r="C8" t="s">
        <v>80</v>
      </c>
      <c r="D8" s="4" t="s">
        <v>4</v>
      </c>
      <c r="E8" s="3" t="s">
        <v>177</v>
      </c>
      <c r="F8" t="s">
        <v>8</v>
      </c>
    </row>
    <row r="9" spans="1:255" ht="10.5" x14ac:dyDescent="0.25">
      <c r="A9" s="4"/>
      <c r="B9" s="3" t="s">
        <v>178</v>
      </c>
      <c r="C9" t="s">
        <v>83</v>
      </c>
      <c r="D9" s="4" t="s">
        <v>4</v>
      </c>
      <c r="E9" s="3" t="s">
        <v>179</v>
      </c>
      <c r="F9" t="s">
        <v>6</v>
      </c>
    </row>
    <row r="10" spans="1:255" ht="10.5" x14ac:dyDescent="0.25">
      <c r="A10" s="4"/>
      <c r="B10" s="3" t="s">
        <v>180</v>
      </c>
      <c r="C10" t="s">
        <v>10</v>
      </c>
      <c r="D10" s="4" t="s">
        <v>4</v>
      </c>
      <c r="E10" s="3" t="s">
        <v>181</v>
      </c>
      <c r="F10" s="5" t="s">
        <v>12</v>
      </c>
    </row>
    <row r="11" spans="1:255" ht="10.5" x14ac:dyDescent="0.25">
      <c r="A11" s="4"/>
      <c r="B11" s="3" t="s">
        <v>182</v>
      </c>
      <c r="C11" t="s">
        <v>88</v>
      </c>
      <c r="D11" s="4" t="s">
        <v>4</v>
      </c>
      <c r="E11" s="26"/>
      <c r="F11" s="26"/>
    </row>
    <row r="14" spans="1:255" x14ac:dyDescent="0.2">
      <c r="A14" s="6" t="s">
        <v>183</v>
      </c>
      <c r="B14" s="6"/>
      <c r="C14" s="6"/>
      <c r="D14" s="6"/>
      <c r="E14" s="6"/>
      <c r="F14" s="6"/>
      <c r="G14" s="6"/>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row>
    <row r="15" spans="1:255" ht="21" x14ac:dyDescent="0.25">
      <c r="A15" s="7" t="s">
        <v>184</v>
      </c>
      <c r="B15" s="32">
        <v>43465</v>
      </c>
      <c r="C15" s="32">
        <v>43830</v>
      </c>
      <c r="D15" s="32">
        <v>44196</v>
      </c>
      <c r="E15" s="32">
        <v>44561</v>
      </c>
      <c r="F15" s="32">
        <v>44926</v>
      </c>
      <c r="G15" s="32">
        <v>45291</v>
      </c>
    </row>
    <row r="16" spans="1:255" x14ac:dyDescent="0.2">
      <c r="A16" s="8" t="s">
        <v>25</v>
      </c>
      <c r="B16" s="13" t="s">
        <v>26</v>
      </c>
      <c r="C16" s="13" t="s">
        <v>26</v>
      </c>
      <c r="D16" s="13" t="s">
        <v>26</v>
      </c>
      <c r="E16" s="13" t="s">
        <v>26</v>
      </c>
      <c r="F16" s="13" t="s">
        <v>26</v>
      </c>
      <c r="G16" s="13" t="s">
        <v>26</v>
      </c>
    </row>
    <row r="17" spans="1:7" ht="10.5" x14ac:dyDescent="0.2">
      <c r="A17" s="9" t="s">
        <v>185</v>
      </c>
      <c r="B17" s="4"/>
      <c r="C17" s="4"/>
      <c r="D17" s="4"/>
      <c r="E17" s="4"/>
      <c r="F17" s="4"/>
      <c r="G17" s="4"/>
    </row>
    <row r="18" spans="1:7" x14ac:dyDescent="0.2">
      <c r="A18" s="4" t="s">
        <v>186</v>
      </c>
      <c r="B18" s="18">
        <v>123.367</v>
      </c>
      <c r="C18" s="18">
        <v>108.253</v>
      </c>
      <c r="D18" s="18">
        <v>135.80199999999999</v>
      </c>
      <c r="E18" s="18">
        <v>213.197</v>
      </c>
      <c r="F18" s="18">
        <v>191.62899999999999</v>
      </c>
      <c r="G18" s="18">
        <v>149.28800000000001</v>
      </c>
    </row>
    <row r="19" spans="1:7" ht="10.5" x14ac:dyDescent="0.2">
      <c r="A19" s="9" t="s">
        <v>187</v>
      </c>
      <c r="B19" s="27">
        <v>123.367</v>
      </c>
      <c r="C19" s="27">
        <v>108.253</v>
      </c>
      <c r="D19" s="27">
        <v>135.80199999999999</v>
      </c>
      <c r="E19" s="27">
        <v>213.197</v>
      </c>
      <c r="F19" s="27">
        <v>191.62899999999999</v>
      </c>
      <c r="G19" s="27">
        <v>149.28800000000001</v>
      </c>
    </row>
    <row r="20" spans="1:7" x14ac:dyDescent="0.2">
      <c r="A20" s="4"/>
      <c r="B20" s="4"/>
      <c r="C20" s="4"/>
      <c r="D20" s="4"/>
      <c r="E20" s="4"/>
      <c r="F20" s="4"/>
      <c r="G20" s="4"/>
    </row>
    <row r="21" spans="1:7" x14ac:dyDescent="0.2">
      <c r="A21" s="4" t="s">
        <v>188</v>
      </c>
      <c r="B21" s="18">
        <v>97.626999999999995</v>
      </c>
      <c r="C21" s="18">
        <v>108.199</v>
      </c>
      <c r="D21" s="18">
        <v>149.84700000000001</v>
      </c>
      <c r="E21" s="18">
        <v>182.62899999999999</v>
      </c>
      <c r="F21" s="18">
        <v>295.59399999999999</v>
      </c>
      <c r="G21" s="18">
        <v>305.74700000000001</v>
      </c>
    </row>
    <row r="22" spans="1:7" x14ac:dyDescent="0.2">
      <c r="A22" s="4" t="s">
        <v>189</v>
      </c>
      <c r="B22" s="18">
        <v>10.744</v>
      </c>
      <c r="C22" s="18">
        <v>10.052</v>
      </c>
      <c r="D22" s="18">
        <v>12.673</v>
      </c>
      <c r="E22" s="18">
        <v>34.552999999999997</v>
      </c>
      <c r="F22" s="18">
        <v>33.594000000000001</v>
      </c>
      <c r="G22" s="18">
        <v>25.484000000000002</v>
      </c>
    </row>
    <row r="23" spans="1:7" ht="10.5" x14ac:dyDescent="0.2">
      <c r="A23" s="9" t="s">
        <v>190</v>
      </c>
      <c r="B23" s="27">
        <v>108.371</v>
      </c>
      <c r="C23" s="27">
        <v>118.251</v>
      </c>
      <c r="D23" s="27">
        <v>162.52000000000001</v>
      </c>
      <c r="E23" s="27">
        <v>217.18199999999999</v>
      </c>
      <c r="F23" s="27">
        <v>329.18799999999999</v>
      </c>
      <c r="G23" s="27">
        <v>331.23099999999999</v>
      </c>
    </row>
    <row r="24" spans="1:7" x14ac:dyDescent="0.2">
      <c r="A24" s="4"/>
      <c r="B24" s="4"/>
      <c r="C24" s="4"/>
      <c r="D24" s="4"/>
      <c r="E24" s="4"/>
      <c r="F24" s="4"/>
      <c r="G24" s="4"/>
    </row>
    <row r="25" spans="1:7" x14ac:dyDescent="0.2">
      <c r="A25" s="4" t="s">
        <v>191</v>
      </c>
      <c r="B25" s="18">
        <v>124.491</v>
      </c>
      <c r="C25" s="18">
        <v>172.02799999999999</v>
      </c>
      <c r="D25" s="18">
        <v>175.12100000000001</v>
      </c>
      <c r="E25" s="18">
        <v>213.52</v>
      </c>
      <c r="F25" s="18">
        <v>471.55099999999999</v>
      </c>
      <c r="G25" s="18">
        <v>385.05399999999997</v>
      </c>
    </row>
    <row r="26" spans="1:7" x14ac:dyDescent="0.2">
      <c r="A26" s="4" t="s">
        <v>192</v>
      </c>
      <c r="B26" s="18">
        <v>22.123000000000001</v>
      </c>
      <c r="C26" s="18">
        <v>25.239000000000001</v>
      </c>
      <c r="D26" s="18">
        <v>17.856000000000002</v>
      </c>
      <c r="E26" s="18">
        <v>22.605</v>
      </c>
      <c r="F26" s="18">
        <v>33.256999999999998</v>
      </c>
      <c r="G26" s="18">
        <v>43.683999999999997</v>
      </c>
    </row>
    <row r="27" spans="1:7" x14ac:dyDescent="0.2">
      <c r="A27" s="4" t="s">
        <v>193</v>
      </c>
      <c r="B27" s="18">
        <v>1.946</v>
      </c>
      <c r="C27" s="18">
        <v>1.5</v>
      </c>
      <c r="D27" s="18">
        <v>1.542</v>
      </c>
      <c r="E27" s="18">
        <v>6.5000000000000002E-2</v>
      </c>
      <c r="F27" s="18">
        <v>2E-3</v>
      </c>
      <c r="G27" s="18">
        <v>2E-3</v>
      </c>
    </row>
    <row r="28" spans="1:7" x14ac:dyDescent="0.2">
      <c r="A28" s="4" t="s">
        <v>194</v>
      </c>
      <c r="B28" s="18" t="s">
        <v>30</v>
      </c>
      <c r="C28" s="18">
        <v>0.111</v>
      </c>
      <c r="D28" s="18" t="s">
        <v>30</v>
      </c>
      <c r="E28" s="18">
        <v>0</v>
      </c>
      <c r="F28" s="18">
        <v>0.34799999999999998</v>
      </c>
      <c r="G28" s="18">
        <v>1.4450000000000001</v>
      </c>
    </row>
    <row r="29" spans="1:7" ht="10.5" x14ac:dyDescent="0.2">
      <c r="A29" s="9" t="s">
        <v>195</v>
      </c>
      <c r="B29" s="27">
        <v>380.298</v>
      </c>
      <c r="C29" s="27">
        <v>425.38200000000001</v>
      </c>
      <c r="D29" s="27">
        <v>492.84100000000001</v>
      </c>
      <c r="E29" s="27">
        <v>666.56899999999996</v>
      </c>
      <c r="F29" s="27">
        <v>1025.9749999999999</v>
      </c>
      <c r="G29" s="27">
        <v>910.70399999999995</v>
      </c>
    </row>
    <row r="30" spans="1:7" x14ac:dyDescent="0.2">
      <c r="A30" s="4"/>
      <c r="B30" s="4"/>
      <c r="C30" s="4"/>
      <c r="D30" s="4"/>
      <c r="E30" s="4"/>
      <c r="F30" s="4"/>
      <c r="G30" s="4"/>
    </row>
    <row r="31" spans="1:7" x14ac:dyDescent="0.2">
      <c r="A31" s="4" t="s">
        <v>196</v>
      </c>
      <c r="B31" s="18">
        <v>103.167</v>
      </c>
      <c r="C31" s="18">
        <v>309.23700000000002</v>
      </c>
      <c r="D31" s="18">
        <v>311.19299999999998</v>
      </c>
      <c r="E31" s="18">
        <v>352.911</v>
      </c>
      <c r="F31" s="18">
        <v>518.57000000000005</v>
      </c>
      <c r="G31" s="18">
        <v>646.26499999999999</v>
      </c>
    </row>
    <row r="32" spans="1:7" x14ac:dyDescent="0.2">
      <c r="A32" s="4" t="s">
        <v>197</v>
      </c>
      <c r="B32" s="18">
        <v>-81</v>
      </c>
      <c r="C32" s="18">
        <v>-79.599999999999994</v>
      </c>
      <c r="D32" s="18">
        <v>-86.3</v>
      </c>
      <c r="E32" s="18">
        <v>-83.7</v>
      </c>
      <c r="F32" s="18">
        <v>-97.1</v>
      </c>
      <c r="G32" s="18">
        <v>-120.5</v>
      </c>
    </row>
    <row r="33" spans="1:7" ht="10.5" x14ac:dyDescent="0.2">
      <c r="A33" s="9" t="s">
        <v>198</v>
      </c>
      <c r="B33" s="27">
        <v>22.210999999999999</v>
      </c>
      <c r="C33" s="27">
        <v>229.63300000000001</v>
      </c>
      <c r="D33" s="27">
        <v>224.88800000000001</v>
      </c>
      <c r="E33" s="27">
        <v>269.166</v>
      </c>
      <c r="F33" s="27">
        <v>421.43400000000003</v>
      </c>
      <c r="G33" s="27">
        <v>525.755</v>
      </c>
    </row>
    <row r="34" spans="1:7" x14ac:dyDescent="0.2">
      <c r="A34" s="4"/>
      <c r="B34" s="4"/>
      <c r="C34" s="4"/>
      <c r="D34" s="4"/>
      <c r="E34" s="4"/>
      <c r="F34" s="4"/>
      <c r="G34" s="4"/>
    </row>
    <row r="35" spans="1:7" x14ac:dyDescent="0.2">
      <c r="A35" s="4" t="s">
        <v>199</v>
      </c>
      <c r="B35" s="18">
        <v>1.6140000000000001</v>
      </c>
      <c r="C35" s="18">
        <v>1.5780000000000001</v>
      </c>
      <c r="D35" s="18">
        <v>1.7190000000000001</v>
      </c>
      <c r="E35" s="18">
        <v>1.6</v>
      </c>
      <c r="F35" s="18">
        <v>714.81399999999996</v>
      </c>
      <c r="G35" s="18">
        <v>711.58799999999997</v>
      </c>
    </row>
    <row r="36" spans="1:7" x14ac:dyDescent="0.2">
      <c r="A36" s="4" t="s">
        <v>200</v>
      </c>
      <c r="B36" s="18">
        <v>45.69</v>
      </c>
      <c r="C36" s="18">
        <v>47.094999999999999</v>
      </c>
      <c r="D36" s="18">
        <v>37.636000000000003</v>
      </c>
      <c r="E36" s="18">
        <v>28.802</v>
      </c>
      <c r="F36" s="18">
        <v>1800.1669999999999</v>
      </c>
      <c r="G36" s="18">
        <v>1792.5619999999999</v>
      </c>
    </row>
    <row r="37" spans="1:7" x14ac:dyDescent="0.2">
      <c r="A37" s="4" t="s">
        <v>201</v>
      </c>
      <c r="B37" s="18">
        <v>8.6630000000000003</v>
      </c>
      <c r="C37" s="18">
        <v>24.747</v>
      </c>
      <c r="D37" s="18">
        <v>350.78399999999999</v>
      </c>
      <c r="E37" s="18">
        <v>567.20100000000002</v>
      </c>
      <c r="F37" s="18">
        <v>528.27800000000002</v>
      </c>
      <c r="G37" s="18">
        <v>667.97199999999998</v>
      </c>
    </row>
    <row r="38" spans="1:7" x14ac:dyDescent="0.2">
      <c r="A38" s="4" t="s">
        <v>202</v>
      </c>
      <c r="B38" s="18">
        <v>10.425000000000001</v>
      </c>
      <c r="C38" s="18">
        <v>10.367000000000001</v>
      </c>
      <c r="D38" s="18">
        <v>10.855</v>
      </c>
      <c r="E38" s="18">
        <v>11.73</v>
      </c>
      <c r="F38" s="18">
        <v>11.129</v>
      </c>
      <c r="G38" s="18">
        <v>35.253</v>
      </c>
    </row>
    <row r="39" spans="1:7" ht="10.5" x14ac:dyDescent="0.2">
      <c r="A39" s="9" t="s">
        <v>203</v>
      </c>
      <c r="B39" s="28">
        <v>468.90100000000001</v>
      </c>
      <c r="C39" s="28">
        <v>738.80200000000002</v>
      </c>
      <c r="D39" s="28">
        <v>1118.723</v>
      </c>
      <c r="E39" s="28">
        <v>1545.068</v>
      </c>
      <c r="F39" s="28">
        <v>4501.7969999999996</v>
      </c>
      <c r="G39" s="28">
        <v>4643.8339999999998</v>
      </c>
    </row>
    <row r="40" spans="1:7" x14ac:dyDescent="0.2">
      <c r="A40" s="4"/>
      <c r="B40" s="4"/>
      <c r="C40" s="4"/>
      <c r="D40" s="4"/>
      <c r="E40" s="4"/>
      <c r="F40" s="4"/>
      <c r="G40" s="4"/>
    </row>
    <row r="41" spans="1:7" ht="10.5" x14ac:dyDescent="0.2">
      <c r="A41" s="9" t="s">
        <v>204</v>
      </c>
      <c r="B41" s="4"/>
      <c r="C41" s="4"/>
      <c r="D41" s="4"/>
      <c r="E41" s="4"/>
      <c r="F41" s="4"/>
      <c r="G41" s="4"/>
    </row>
    <row r="42" spans="1:7" x14ac:dyDescent="0.2">
      <c r="A42" s="4" t="s">
        <v>205</v>
      </c>
      <c r="B42" s="18">
        <v>77.230999999999995</v>
      </c>
      <c r="C42" s="18">
        <v>95.754000000000005</v>
      </c>
      <c r="D42" s="18">
        <v>112.77800000000001</v>
      </c>
      <c r="E42" s="18">
        <v>162.14500000000001</v>
      </c>
      <c r="F42" s="18">
        <v>230.821</v>
      </c>
      <c r="G42" s="18">
        <v>260.97800000000001</v>
      </c>
    </row>
    <row r="43" spans="1:7" x14ac:dyDescent="0.2">
      <c r="A43" s="4" t="s">
        <v>206</v>
      </c>
      <c r="B43" s="18">
        <v>81.641000000000005</v>
      </c>
      <c r="C43" s="18">
        <v>89.995999999999995</v>
      </c>
      <c r="D43" s="18">
        <v>107.068</v>
      </c>
      <c r="E43" s="18">
        <v>140.376</v>
      </c>
      <c r="F43" s="18">
        <v>191.822</v>
      </c>
      <c r="G43" s="18">
        <v>223.113</v>
      </c>
    </row>
    <row r="44" spans="1:7" x14ac:dyDescent="0.2">
      <c r="A44" s="4" t="s">
        <v>207</v>
      </c>
      <c r="B44" s="18" t="s">
        <v>30</v>
      </c>
      <c r="C44" s="18" t="s">
        <v>30</v>
      </c>
      <c r="D44" s="18">
        <v>0</v>
      </c>
      <c r="E44" s="18">
        <v>0</v>
      </c>
      <c r="F44" s="18">
        <v>24.361999999999998</v>
      </c>
      <c r="G44" s="18">
        <v>23.327999999999999</v>
      </c>
    </row>
    <row r="45" spans="1:7" x14ac:dyDescent="0.2">
      <c r="A45" s="4" t="s">
        <v>208</v>
      </c>
      <c r="B45" s="18" t="s">
        <v>30</v>
      </c>
      <c r="C45" s="18">
        <v>48.585000000000001</v>
      </c>
      <c r="D45" s="18">
        <v>47.064</v>
      </c>
      <c r="E45" s="18">
        <v>42.932000000000002</v>
      </c>
      <c r="F45" s="18">
        <v>57.456000000000003</v>
      </c>
      <c r="G45" s="18">
        <v>62.267000000000003</v>
      </c>
    </row>
    <row r="46" spans="1:7" x14ac:dyDescent="0.2">
      <c r="A46" s="4" t="s">
        <v>209</v>
      </c>
      <c r="B46" s="18">
        <v>5.0890000000000004</v>
      </c>
      <c r="C46" s="18">
        <v>4.2069999999999999</v>
      </c>
      <c r="D46" s="18">
        <v>5.0380000000000003</v>
      </c>
      <c r="E46" s="18">
        <v>16.279</v>
      </c>
      <c r="F46" s="18">
        <v>89.210999999999999</v>
      </c>
      <c r="G46" s="18">
        <v>65.951999999999998</v>
      </c>
    </row>
    <row r="47" spans="1:7" x14ac:dyDescent="0.2">
      <c r="A47" s="4" t="s">
        <v>210</v>
      </c>
      <c r="B47" s="18">
        <v>1.6</v>
      </c>
      <c r="C47" s="18">
        <v>1.2</v>
      </c>
      <c r="D47" s="18">
        <v>0.7</v>
      </c>
      <c r="E47" s="18">
        <v>0.1</v>
      </c>
      <c r="F47" s="18">
        <v>6.8</v>
      </c>
      <c r="G47" s="18">
        <v>6.8</v>
      </c>
    </row>
    <row r="48" spans="1:7" x14ac:dyDescent="0.2">
      <c r="A48" s="4" t="s">
        <v>211</v>
      </c>
      <c r="B48" s="18">
        <v>18.93</v>
      </c>
      <c r="C48" s="18">
        <v>17.481000000000002</v>
      </c>
      <c r="D48" s="18">
        <v>18.936</v>
      </c>
      <c r="E48" s="18">
        <v>26.411000000000001</v>
      </c>
      <c r="F48" s="18">
        <v>40.802</v>
      </c>
      <c r="G48" s="18">
        <v>55.857999999999997</v>
      </c>
    </row>
    <row r="49" spans="1:7" ht="10.5" x14ac:dyDescent="0.2">
      <c r="A49" s="9" t="s">
        <v>212</v>
      </c>
      <c r="B49" s="27">
        <v>184.49100000000001</v>
      </c>
      <c r="C49" s="27">
        <v>257.22300000000001</v>
      </c>
      <c r="D49" s="27">
        <v>291.584</v>
      </c>
      <c r="E49" s="27">
        <v>388.24299999999999</v>
      </c>
      <c r="F49" s="27">
        <v>641.274</v>
      </c>
      <c r="G49" s="27">
        <v>698.29600000000005</v>
      </c>
    </row>
    <row r="50" spans="1:7" x14ac:dyDescent="0.2">
      <c r="A50" s="4"/>
      <c r="B50" s="4"/>
      <c r="C50" s="4"/>
      <c r="D50" s="4"/>
      <c r="E50" s="4"/>
      <c r="F50" s="4"/>
      <c r="G50" s="4"/>
    </row>
    <row r="51" spans="1:7" x14ac:dyDescent="0.2">
      <c r="A51" s="4" t="s">
        <v>213</v>
      </c>
      <c r="B51" s="18">
        <v>120</v>
      </c>
      <c r="C51" s="18">
        <v>205</v>
      </c>
      <c r="D51" s="18">
        <v>180</v>
      </c>
      <c r="E51" s="18">
        <v>771.39</v>
      </c>
      <c r="F51" s="18">
        <v>2298.027</v>
      </c>
      <c r="G51" s="18">
        <v>1640.9960000000001</v>
      </c>
    </row>
    <row r="52" spans="1:7" x14ac:dyDescent="0.2">
      <c r="A52" s="4" t="s">
        <v>214</v>
      </c>
      <c r="B52" s="18" t="s">
        <v>30</v>
      </c>
      <c r="C52" s="18">
        <v>140.148</v>
      </c>
      <c r="D52" s="18">
        <v>146.40100000000001</v>
      </c>
      <c r="E52" s="18">
        <v>149.23699999999999</v>
      </c>
      <c r="F52" s="18">
        <v>215.119</v>
      </c>
      <c r="G52" s="18">
        <v>269.76900000000001</v>
      </c>
    </row>
    <row r="53" spans="1:7" x14ac:dyDescent="0.2">
      <c r="A53" s="4" t="s">
        <v>215</v>
      </c>
      <c r="B53" s="18" t="s">
        <v>30</v>
      </c>
      <c r="C53" s="18" t="s">
        <v>30</v>
      </c>
      <c r="D53" s="18" t="s">
        <v>30</v>
      </c>
      <c r="E53" s="18">
        <v>0.17599999999999999</v>
      </c>
      <c r="F53" s="18">
        <v>302.02999999999997</v>
      </c>
      <c r="G53" s="18">
        <v>12.912000000000001</v>
      </c>
    </row>
    <row r="54" spans="1:7" x14ac:dyDescent="0.2">
      <c r="A54" s="4" t="s">
        <v>216</v>
      </c>
      <c r="B54" s="18">
        <v>14.102</v>
      </c>
      <c r="C54" s="18">
        <v>4.5259999999999998</v>
      </c>
      <c r="D54" s="18">
        <v>210.10499999999999</v>
      </c>
      <c r="E54" s="18">
        <v>221.94</v>
      </c>
      <c r="F54" s="18">
        <v>227.416</v>
      </c>
      <c r="G54" s="18">
        <v>567.93799999999999</v>
      </c>
    </row>
    <row r="55" spans="1:7" ht="10.5" x14ac:dyDescent="0.2">
      <c r="A55" s="9" t="s">
        <v>217</v>
      </c>
      <c r="B55" s="27">
        <v>318.59300000000002</v>
      </c>
      <c r="C55" s="27">
        <v>606.89700000000005</v>
      </c>
      <c r="D55" s="27">
        <v>828.09</v>
      </c>
      <c r="E55" s="27">
        <v>1530.9860000000001</v>
      </c>
      <c r="F55" s="27">
        <v>3683.866</v>
      </c>
      <c r="G55" s="27">
        <v>3189.9110000000001</v>
      </c>
    </row>
    <row r="56" spans="1:7" x14ac:dyDescent="0.2">
      <c r="A56" s="4"/>
      <c r="B56" s="4"/>
      <c r="C56" s="4"/>
      <c r="D56" s="4"/>
      <c r="E56" s="4"/>
      <c r="F56" s="4"/>
      <c r="G56" s="4"/>
    </row>
    <row r="57" spans="1:7" x14ac:dyDescent="0.2">
      <c r="A57" s="4" t="s">
        <v>218</v>
      </c>
      <c r="B57" s="18">
        <v>0.10299999999999999</v>
      </c>
      <c r="C57" s="18">
        <v>0.104</v>
      </c>
      <c r="D57" s="18">
        <v>0.105</v>
      </c>
      <c r="E57" s="18">
        <v>0.106</v>
      </c>
      <c r="F57" s="18">
        <v>0.11</v>
      </c>
      <c r="G57" s="18">
        <v>0.11</v>
      </c>
    </row>
    <row r="58" spans="1:7" x14ac:dyDescent="0.2">
      <c r="A58" s="4" t="s">
        <v>219</v>
      </c>
      <c r="B58" s="18">
        <v>481.13299999999998</v>
      </c>
      <c r="C58" s="18">
        <v>495.90300000000002</v>
      </c>
      <c r="D58" s="18">
        <v>482.38499999999999</v>
      </c>
      <c r="E58" s="18">
        <v>496.036</v>
      </c>
      <c r="F58" s="18">
        <v>797.61400000000003</v>
      </c>
      <c r="G58" s="18">
        <v>826.68499999999995</v>
      </c>
    </row>
    <row r="59" spans="1:7" x14ac:dyDescent="0.2">
      <c r="A59" s="4" t="s">
        <v>220</v>
      </c>
      <c r="B59" s="18">
        <v>121.215</v>
      </c>
      <c r="C59" s="18">
        <v>240.48500000000001</v>
      </c>
      <c r="D59" s="18">
        <v>553.346</v>
      </c>
      <c r="E59" s="18">
        <v>1279.04</v>
      </c>
      <c r="F59" s="18">
        <v>1819.1990000000001</v>
      </c>
      <c r="G59" s="18">
        <v>2611.7649999999999</v>
      </c>
    </row>
    <row r="60" spans="1:7" x14ac:dyDescent="0.2">
      <c r="A60" s="4" t="s">
        <v>221</v>
      </c>
      <c r="B60" s="18">
        <v>-397.5</v>
      </c>
      <c r="C60" s="18">
        <v>-546.20000000000005</v>
      </c>
      <c r="D60" s="18">
        <v>-688.8</v>
      </c>
      <c r="E60" s="18">
        <v>-1684.3</v>
      </c>
      <c r="F60" s="18">
        <v>-1695.5</v>
      </c>
      <c r="G60" s="18">
        <v>-1888.9</v>
      </c>
    </row>
    <row r="61" spans="1:7" x14ac:dyDescent="0.2">
      <c r="A61" s="4" t="s">
        <v>222</v>
      </c>
      <c r="B61" s="18">
        <v>-54.7</v>
      </c>
      <c r="C61" s="18">
        <v>-58.4</v>
      </c>
      <c r="D61" s="18">
        <v>-56.4</v>
      </c>
      <c r="E61" s="18">
        <v>-76.8</v>
      </c>
      <c r="F61" s="18">
        <v>-103.5</v>
      </c>
      <c r="G61" s="18">
        <v>-95.8</v>
      </c>
    </row>
    <row r="62" spans="1:7" ht="10.5" x14ac:dyDescent="0.2">
      <c r="A62" s="9" t="s">
        <v>223</v>
      </c>
      <c r="B62" s="27">
        <v>150.30799999999999</v>
      </c>
      <c r="C62" s="27">
        <v>131.905</v>
      </c>
      <c r="D62" s="27">
        <v>290.63299999999998</v>
      </c>
      <c r="E62" s="27">
        <v>14.082000000000001</v>
      </c>
      <c r="F62" s="27">
        <v>817.93100000000004</v>
      </c>
      <c r="G62" s="27">
        <v>1453.923</v>
      </c>
    </row>
    <row r="63" spans="1:7" x14ac:dyDescent="0.2">
      <c r="A63" s="4"/>
      <c r="B63" s="4"/>
      <c r="C63" s="4"/>
      <c r="D63" s="4"/>
      <c r="E63" s="4"/>
      <c r="F63" s="4"/>
      <c r="G63" s="4"/>
    </row>
    <row r="64" spans="1:7" ht="10.5" x14ac:dyDescent="0.2">
      <c r="A64" s="9" t="s">
        <v>224</v>
      </c>
      <c r="B64" s="33">
        <v>150.30799999999999</v>
      </c>
      <c r="C64" s="33">
        <v>131.905</v>
      </c>
      <c r="D64" s="33">
        <v>290.63299999999998</v>
      </c>
      <c r="E64" s="33">
        <v>14.082000000000001</v>
      </c>
      <c r="F64" s="33">
        <v>817.93100000000004</v>
      </c>
      <c r="G64" s="33">
        <v>1453.923</v>
      </c>
    </row>
    <row r="65" spans="1:7" x14ac:dyDescent="0.2">
      <c r="A65" s="4"/>
      <c r="B65" s="4"/>
      <c r="C65" s="4"/>
      <c r="D65" s="4"/>
      <c r="E65" s="4"/>
      <c r="F65" s="4"/>
      <c r="G65" s="4"/>
    </row>
    <row r="66" spans="1:7" ht="10.5" x14ac:dyDescent="0.2">
      <c r="A66" s="9" t="s">
        <v>225</v>
      </c>
      <c r="B66" s="34">
        <v>468.90100000000001</v>
      </c>
      <c r="C66" s="34">
        <v>738.80200000000002</v>
      </c>
      <c r="D66" s="34">
        <v>1118.723</v>
      </c>
      <c r="E66" s="34">
        <v>1545.068</v>
      </c>
      <c r="F66" s="34">
        <v>4501.7969999999996</v>
      </c>
      <c r="G66" s="34">
        <v>4643.8339999999998</v>
      </c>
    </row>
    <row r="67" spans="1:7" x14ac:dyDescent="0.2">
      <c r="A67" s="4"/>
      <c r="B67" s="4"/>
      <c r="C67" s="4"/>
      <c r="D67" s="4"/>
      <c r="E67" s="4"/>
      <c r="F67" s="4"/>
      <c r="G67" s="4"/>
    </row>
    <row r="68" spans="1:7" ht="10.5" x14ac:dyDescent="0.2">
      <c r="A68" s="9" t="s">
        <v>143</v>
      </c>
      <c r="B68" s="4"/>
      <c r="C68" s="4"/>
      <c r="D68" s="4"/>
      <c r="E68" s="4"/>
      <c r="F68" s="4"/>
      <c r="G68" s="4"/>
    </row>
    <row r="69" spans="1:7" x14ac:dyDescent="0.2">
      <c r="A69" s="4" t="s">
        <v>226</v>
      </c>
      <c r="B69" s="18">
        <v>73.336331999999999</v>
      </c>
      <c r="C69" s="18">
        <v>68.268347000000006</v>
      </c>
      <c r="D69" s="18">
        <v>65.439867000000007</v>
      </c>
      <c r="E69" s="18">
        <v>58.353973000000003</v>
      </c>
      <c r="F69" s="18">
        <v>61.751731999999997</v>
      </c>
      <c r="G69" s="18">
        <v>60.498530000000002</v>
      </c>
    </row>
    <row r="70" spans="1:7" x14ac:dyDescent="0.2">
      <c r="A70" s="4" t="s">
        <v>227</v>
      </c>
      <c r="B70" s="18">
        <v>73.305999999999997</v>
      </c>
      <c r="C70" s="18">
        <v>68.231999999999999</v>
      </c>
      <c r="D70" s="18">
        <v>65.855999999999995</v>
      </c>
      <c r="E70" s="18">
        <v>58.33</v>
      </c>
      <c r="F70" s="18">
        <v>61.749000000000002</v>
      </c>
      <c r="G70" s="18">
        <v>60.494999999999997</v>
      </c>
    </row>
    <row r="71" spans="1:7" x14ac:dyDescent="0.2">
      <c r="A71" s="4" t="s">
        <v>228</v>
      </c>
      <c r="B71" s="21">
        <v>2.0499999999999998</v>
      </c>
      <c r="C71" s="21">
        <v>1.93</v>
      </c>
      <c r="D71" s="21">
        <v>4.41</v>
      </c>
      <c r="E71" s="21">
        <v>0.24</v>
      </c>
      <c r="F71" s="21">
        <v>13.25</v>
      </c>
      <c r="G71" s="21">
        <v>24.03</v>
      </c>
    </row>
    <row r="72" spans="1:7" x14ac:dyDescent="0.2">
      <c r="A72" s="4" t="s">
        <v>229</v>
      </c>
      <c r="B72" s="18">
        <v>103.004</v>
      </c>
      <c r="C72" s="18">
        <v>83.231999999999999</v>
      </c>
      <c r="D72" s="18">
        <v>251.27799999999999</v>
      </c>
      <c r="E72" s="18">
        <v>-16.3</v>
      </c>
      <c r="F72" s="18">
        <v>-1697.1</v>
      </c>
      <c r="G72" s="18">
        <v>-1050.2</v>
      </c>
    </row>
    <row r="73" spans="1:7" x14ac:dyDescent="0.2">
      <c r="A73" s="4" t="s">
        <v>230</v>
      </c>
      <c r="B73" s="21">
        <v>1.41</v>
      </c>
      <c r="C73" s="21">
        <v>1.22</v>
      </c>
      <c r="D73" s="21">
        <v>3.82</v>
      </c>
      <c r="E73" s="21">
        <v>-0.28000000000000003</v>
      </c>
      <c r="F73" s="21">
        <v>-27.48</v>
      </c>
      <c r="G73" s="21">
        <v>-17.36</v>
      </c>
    </row>
    <row r="74" spans="1:7" x14ac:dyDescent="0.2">
      <c r="A74" s="4" t="s">
        <v>231</v>
      </c>
      <c r="B74" s="18">
        <v>120</v>
      </c>
      <c r="C74" s="18">
        <v>393.733</v>
      </c>
      <c r="D74" s="18">
        <v>373.46499999999997</v>
      </c>
      <c r="E74" s="18">
        <v>963.55899999999997</v>
      </c>
      <c r="F74" s="18">
        <v>2594.9639999999999</v>
      </c>
      <c r="G74" s="18">
        <v>1996.36</v>
      </c>
    </row>
    <row r="75" spans="1:7" x14ac:dyDescent="0.2">
      <c r="A75" s="4" t="s">
        <v>232</v>
      </c>
      <c r="B75" s="18">
        <v>-3.4</v>
      </c>
      <c r="C75" s="18">
        <v>285.48</v>
      </c>
      <c r="D75" s="18">
        <v>237.66300000000001</v>
      </c>
      <c r="E75" s="18">
        <v>750.36199999999997</v>
      </c>
      <c r="F75" s="18">
        <v>2403.335</v>
      </c>
      <c r="G75" s="18">
        <v>1847.0719999999999</v>
      </c>
    </row>
    <row r="76" spans="1:7" x14ac:dyDescent="0.2">
      <c r="A76" s="4" t="s">
        <v>233</v>
      </c>
      <c r="B76" s="18">
        <v>568.36800000000005</v>
      </c>
      <c r="C76" s="18" t="s">
        <v>141</v>
      </c>
      <c r="D76" s="18" t="s">
        <v>141</v>
      </c>
      <c r="E76" s="18" t="s">
        <v>141</v>
      </c>
      <c r="F76" s="18">
        <v>905.10400000000004</v>
      </c>
      <c r="G76" s="18">
        <v>1100.056</v>
      </c>
    </row>
    <row r="77" spans="1:7" x14ac:dyDescent="0.2">
      <c r="A77" s="4" t="s">
        <v>234</v>
      </c>
      <c r="B77" s="17" t="s">
        <v>235</v>
      </c>
      <c r="C77" s="17" t="s">
        <v>235</v>
      </c>
      <c r="D77" s="17" t="s">
        <v>235</v>
      </c>
      <c r="E77" s="17" t="s">
        <v>235</v>
      </c>
      <c r="F77" s="17" t="s">
        <v>235</v>
      </c>
      <c r="G77" s="17" t="s">
        <v>235</v>
      </c>
    </row>
    <row r="78" spans="1:7" x14ac:dyDescent="0.2">
      <c r="A78" s="4" t="s">
        <v>236</v>
      </c>
      <c r="B78" s="18">
        <v>124.491</v>
      </c>
      <c r="C78" s="18">
        <v>172.02799999999999</v>
      </c>
      <c r="D78" s="18">
        <v>175.12100000000001</v>
      </c>
      <c r="E78" s="18">
        <v>213.52</v>
      </c>
      <c r="F78" s="18">
        <v>471.55099999999999</v>
      </c>
      <c r="G78" s="18">
        <v>385.05399999999997</v>
      </c>
    </row>
    <row r="79" spans="1:7" x14ac:dyDescent="0.2">
      <c r="A79" s="4" t="s">
        <v>237</v>
      </c>
      <c r="B79" s="18">
        <v>36.832999999999998</v>
      </c>
      <c r="C79" s="18">
        <v>58.771999999999998</v>
      </c>
      <c r="D79" s="18">
        <v>68.924000000000007</v>
      </c>
      <c r="E79" s="18">
        <v>74.186000000000007</v>
      </c>
      <c r="F79" s="18">
        <v>173.60300000000001</v>
      </c>
      <c r="G79" s="18">
        <v>196.27500000000001</v>
      </c>
    </row>
    <row r="80" spans="1:7" x14ac:dyDescent="0.2">
      <c r="A80" s="4" t="s">
        <v>238</v>
      </c>
      <c r="B80" s="18">
        <v>2.6320000000000001</v>
      </c>
      <c r="C80" s="18">
        <v>3.6970000000000001</v>
      </c>
      <c r="D80" s="18">
        <v>8.1869999999999994</v>
      </c>
      <c r="E80" s="18">
        <v>53.332000000000001</v>
      </c>
      <c r="F80" s="18">
        <v>28.699000000000002</v>
      </c>
      <c r="G80" s="18">
        <v>13.417999999999999</v>
      </c>
    </row>
    <row r="81" spans="1:7" x14ac:dyDescent="0.2">
      <c r="A81" s="4" t="s">
        <v>239</v>
      </c>
      <c r="B81" s="18">
        <v>63.701999999999998</v>
      </c>
      <c r="C81" s="18">
        <v>64.540000000000006</v>
      </c>
      <c r="D81" s="18">
        <v>66.661000000000001</v>
      </c>
      <c r="E81" s="18">
        <v>64.625</v>
      </c>
      <c r="F81" s="18">
        <v>76.363</v>
      </c>
      <c r="G81" s="18">
        <v>149.13200000000001</v>
      </c>
    </row>
    <row r="82" spans="1:7" x14ac:dyDescent="0.2">
      <c r="A82" s="4" t="s">
        <v>240</v>
      </c>
      <c r="B82" s="35">
        <v>3901</v>
      </c>
      <c r="C82" s="35">
        <v>3803</v>
      </c>
      <c r="D82" s="35">
        <v>4600</v>
      </c>
      <c r="E82" s="35">
        <v>5770</v>
      </c>
      <c r="F82" s="35">
        <v>6680</v>
      </c>
      <c r="G82" s="35">
        <v>7030</v>
      </c>
    </row>
    <row r="83" spans="1:7" x14ac:dyDescent="0.2">
      <c r="A83" s="4" t="s">
        <v>241</v>
      </c>
      <c r="B83" s="18">
        <v>10.959</v>
      </c>
      <c r="C83" s="18">
        <v>8.2759999999999998</v>
      </c>
      <c r="D83" s="18">
        <v>21.093</v>
      </c>
      <c r="E83" s="18">
        <v>20.715</v>
      </c>
      <c r="F83" s="18">
        <v>24.492999999999999</v>
      </c>
      <c r="G83" s="18">
        <v>27.591000000000001</v>
      </c>
    </row>
    <row r="84" spans="1:7" x14ac:dyDescent="0.2">
      <c r="A84" s="4" t="s">
        <v>154</v>
      </c>
      <c r="B84" s="31">
        <v>44250</v>
      </c>
      <c r="C84" s="31">
        <v>44608</v>
      </c>
      <c r="D84" s="31">
        <v>44973</v>
      </c>
      <c r="E84" s="31">
        <v>45337</v>
      </c>
      <c r="F84" s="31">
        <v>45337</v>
      </c>
      <c r="G84" s="31">
        <v>45337</v>
      </c>
    </row>
    <row r="85" spans="1:7" x14ac:dyDescent="0.2">
      <c r="A85" s="4" t="s">
        <v>155</v>
      </c>
      <c r="B85" s="17" t="s">
        <v>242</v>
      </c>
      <c r="C85" s="17" t="s">
        <v>242</v>
      </c>
      <c r="D85" s="17" t="s">
        <v>242</v>
      </c>
      <c r="E85" s="17" t="s">
        <v>242</v>
      </c>
      <c r="F85" s="17" t="s">
        <v>242</v>
      </c>
      <c r="G85" s="17" t="s">
        <v>157</v>
      </c>
    </row>
    <row r="86" spans="1:7" x14ac:dyDescent="0.2">
      <c r="A86" s="4" t="s">
        <v>158</v>
      </c>
      <c r="B86" s="17" t="s">
        <v>243</v>
      </c>
      <c r="C86" s="17" t="s">
        <v>243</v>
      </c>
      <c r="D86" s="17" t="s">
        <v>243</v>
      </c>
      <c r="E86" s="17" t="s">
        <v>243</v>
      </c>
      <c r="F86" s="17" t="s">
        <v>159</v>
      </c>
      <c r="G86" s="17" t="s">
        <v>159</v>
      </c>
    </row>
    <row r="87" spans="1:7" x14ac:dyDescent="0.2">
      <c r="A87" s="4"/>
      <c r="B87" s="4"/>
      <c r="C87" s="4"/>
      <c r="D87" s="4"/>
      <c r="E87" s="4"/>
      <c r="F87" s="4"/>
      <c r="G87" s="4"/>
    </row>
    <row r="88" spans="1:7" x14ac:dyDescent="0.2">
      <c r="A88" s="11"/>
      <c r="B88" s="11"/>
      <c r="C88" s="11"/>
      <c r="D88" s="11"/>
      <c r="E88" s="11"/>
      <c r="F88" s="11"/>
      <c r="G88" s="11"/>
    </row>
    <row r="89" spans="1:7" x14ac:dyDescent="0.2">
      <c r="A89" t="s">
        <v>244</v>
      </c>
    </row>
    <row r="90" spans="1:7" x14ac:dyDescent="0.2">
      <c r="A90" s="25" t="s">
        <v>72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114"/>
  <sheetViews>
    <sheetView topLeftCell="A9" zoomScale="160" zoomScaleNormal="160" workbookViewId="0">
      <selection activeCell="A59" sqref="A59:XFD59"/>
    </sheetView>
  </sheetViews>
  <sheetFormatPr defaultRowHeight="10" x14ac:dyDescent="0.2"/>
  <cols>
    <col min="1" max="1" width="45.81640625" customWidth="1"/>
    <col min="2" max="7" width="14.81640625" customWidth="1"/>
  </cols>
  <sheetData>
    <row r="5" spans="1:255" ht="17" x14ac:dyDescent="0.35">
      <c r="A5" s="1" t="s">
        <v>73</v>
      </c>
    </row>
    <row r="7" spans="1:255" ht="10.5" x14ac:dyDescent="0.25">
      <c r="A7" s="2" t="s">
        <v>74</v>
      </c>
      <c r="B7" s="3" t="s">
        <v>75</v>
      </c>
      <c r="C7" t="s">
        <v>76</v>
      </c>
      <c r="D7" s="4" t="s">
        <v>4</v>
      </c>
      <c r="E7" s="3" t="s">
        <v>77</v>
      </c>
      <c r="F7" t="s">
        <v>78</v>
      </c>
    </row>
    <row r="8" spans="1:255" ht="10.5" x14ac:dyDescent="0.25">
      <c r="A8" s="4"/>
      <c r="B8" s="3" t="s">
        <v>79</v>
      </c>
      <c r="C8" t="s">
        <v>80</v>
      </c>
      <c r="D8" s="4" t="s">
        <v>4</v>
      </c>
      <c r="E8" s="3" t="s">
        <v>81</v>
      </c>
      <c r="F8" t="s">
        <v>8</v>
      </c>
    </row>
    <row r="9" spans="1:255" ht="10.5" x14ac:dyDescent="0.25">
      <c r="A9" s="4"/>
      <c r="B9" s="3" t="s">
        <v>82</v>
      </c>
      <c r="C9" t="s">
        <v>83</v>
      </c>
      <c r="D9" s="4" t="s">
        <v>4</v>
      </c>
      <c r="E9" s="3" t="s">
        <v>84</v>
      </c>
      <c r="F9" t="s">
        <v>6</v>
      </c>
    </row>
    <row r="10" spans="1:255" ht="10.5" x14ac:dyDescent="0.25">
      <c r="A10" s="4"/>
      <c r="B10" s="3" t="s">
        <v>85</v>
      </c>
      <c r="C10" t="s">
        <v>10</v>
      </c>
      <c r="D10" s="4" t="s">
        <v>4</v>
      </c>
      <c r="E10" s="3" t="s">
        <v>86</v>
      </c>
      <c r="F10" s="5" t="s">
        <v>12</v>
      </c>
    </row>
    <row r="11" spans="1:255" ht="10.5" x14ac:dyDescent="0.25">
      <c r="A11" s="4"/>
      <c r="B11" s="3" t="s">
        <v>87</v>
      </c>
      <c r="C11" t="s">
        <v>88</v>
      </c>
      <c r="D11" s="4" t="s">
        <v>4</v>
      </c>
      <c r="E11" s="26"/>
      <c r="F11" s="26"/>
    </row>
    <row r="14" spans="1:255" x14ac:dyDescent="0.2">
      <c r="A14" s="6" t="s">
        <v>89</v>
      </c>
      <c r="B14" s="6"/>
      <c r="C14" s="6"/>
      <c r="D14" s="6"/>
      <c r="E14" s="6"/>
      <c r="F14" s="6"/>
      <c r="G14" s="6"/>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row>
    <row r="15" spans="1:255" ht="31.5" x14ac:dyDescent="0.25">
      <c r="A15" s="7" t="s">
        <v>16</v>
      </c>
      <c r="B15" s="12" t="s">
        <v>90</v>
      </c>
      <c r="C15" s="12" t="s">
        <v>91</v>
      </c>
      <c r="D15" s="12" t="s">
        <v>92</v>
      </c>
      <c r="E15" s="12" t="s">
        <v>93</v>
      </c>
      <c r="F15" s="12" t="s">
        <v>94</v>
      </c>
      <c r="G15" s="12" t="s">
        <v>95</v>
      </c>
    </row>
    <row r="16" spans="1:255" x14ac:dyDescent="0.2">
      <c r="A16" s="8" t="s">
        <v>25</v>
      </c>
      <c r="B16" s="13" t="s">
        <v>26</v>
      </c>
      <c r="C16" s="13" t="s">
        <v>26</v>
      </c>
      <c r="D16" s="13" t="s">
        <v>26</v>
      </c>
      <c r="E16" s="13" t="s">
        <v>26</v>
      </c>
      <c r="F16" s="13" t="s">
        <v>26</v>
      </c>
      <c r="G16" s="13" t="s">
        <v>26</v>
      </c>
    </row>
    <row r="17" spans="1:7" ht="10.5" x14ac:dyDescent="0.2">
      <c r="A17" s="9" t="s">
        <v>38</v>
      </c>
      <c r="B17" s="4"/>
      <c r="C17" s="4"/>
      <c r="D17" s="4"/>
      <c r="E17" s="4"/>
      <c r="F17" s="4"/>
      <c r="G17" s="4"/>
    </row>
    <row r="18" spans="1:7" x14ac:dyDescent="0.2">
      <c r="A18" s="4" t="s">
        <v>96</v>
      </c>
      <c r="B18" s="18">
        <v>1088.2049999999999</v>
      </c>
      <c r="C18" s="18">
        <v>1230.5930000000001</v>
      </c>
      <c r="D18" s="18">
        <v>1385.951</v>
      </c>
      <c r="E18" s="18">
        <v>2313.4160000000002</v>
      </c>
      <c r="F18" s="18">
        <v>3554.9850000000001</v>
      </c>
      <c r="G18" s="18">
        <v>3962.3470000000002</v>
      </c>
    </row>
    <row r="19" spans="1:7" x14ac:dyDescent="0.2">
      <c r="A19" s="4" t="s">
        <v>97</v>
      </c>
      <c r="B19" s="18" t="s">
        <v>30</v>
      </c>
      <c r="C19" s="18" t="s">
        <v>30</v>
      </c>
      <c r="D19" s="18" t="s">
        <v>30</v>
      </c>
      <c r="E19" s="18" t="s">
        <v>30</v>
      </c>
      <c r="F19" s="18" t="s">
        <v>30</v>
      </c>
      <c r="G19" s="18" t="s">
        <v>30</v>
      </c>
    </row>
    <row r="20" spans="1:7" ht="10.5" x14ac:dyDescent="0.2">
      <c r="A20" s="9" t="s">
        <v>98</v>
      </c>
      <c r="B20" s="27">
        <v>1088.2049999999999</v>
      </c>
      <c r="C20" s="27">
        <v>1230.5930000000001</v>
      </c>
      <c r="D20" s="27">
        <v>1385.951</v>
      </c>
      <c r="E20" s="27">
        <v>2313.4160000000002</v>
      </c>
      <c r="F20" s="27">
        <v>3554.9850000000001</v>
      </c>
      <c r="G20" s="27">
        <v>3962.3470000000002</v>
      </c>
    </row>
    <row r="21" spans="1:7" x14ac:dyDescent="0.2">
      <c r="A21" s="4"/>
      <c r="B21" s="4"/>
      <c r="C21" s="4"/>
      <c r="D21" s="4"/>
      <c r="E21" s="4"/>
      <c r="F21" s="4"/>
      <c r="G21" s="4"/>
    </row>
    <row r="22" spans="1:7" x14ac:dyDescent="0.2">
      <c r="A22" s="4" t="s">
        <v>99</v>
      </c>
      <c r="B22" s="18">
        <v>528.05100000000004</v>
      </c>
      <c r="C22" s="18">
        <v>613.53700000000003</v>
      </c>
      <c r="D22" s="18">
        <v>636.00300000000004</v>
      </c>
      <c r="E22" s="18">
        <v>893.19600000000003</v>
      </c>
      <c r="F22" s="18">
        <v>1694.703</v>
      </c>
      <c r="G22" s="18">
        <v>1752.337</v>
      </c>
    </row>
    <row r="23" spans="1:7" ht="10.5" x14ac:dyDescent="0.2">
      <c r="A23" s="9" t="s">
        <v>100</v>
      </c>
      <c r="B23" s="27">
        <v>560.154</v>
      </c>
      <c r="C23" s="27">
        <v>617.05600000000004</v>
      </c>
      <c r="D23" s="27">
        <v>749.94799999999998</v>
      </c>
      <c r="E23" s="27">
        <v>1420.22</v>
      </c>
      <c r="F23" s="27">
        <v>1860.2819999999999</v>
      </c>
      <c r="G23" s="27">
        <v>2210.0100000000002</v>
      </c>
    </row>
    <row r="24" spans="1:7" x14ac:dyDescent="0.2">
      <c r="A24" s="4"/>
      <c r="B24" s="4"/>
      <c r="C24" s="4"/>
      <c r="D24" s="4"/>
      <c r="E24" s="4"/>
      <c r="F24" s="4"/>
      <c r="G24" s="4"/>
    </row>
    <row r="25" spans="1:7" x14ac:dyDescent="0.2">
      <c r="A25" s="4" t="s">
        <v>101</v>
      </c>
      <c r="B25" s="18">
        <v>447.77699999999999</v>
      </c>
      <c r="C25" s="18">
        <v>457.63499999999999</v>
      </c>
      <c r="D25" s="18">
        <v>494.56599999999997</v>
      </c>
      <c r="E25" s="18">
        <v>716.49300000000005</v>
      </c>
      <c r="F25" s="18">
        <v>949.85799999999995</v>
      </c>
      <c r="G25" s="18">
        <v>1131.925</v>
      </c>
    </row>
    <row r="26" spans="1:7" x14ac:dyDescent="0.2">
      <c r="A26" s="4" t="s">
        <v>102</v>
      </c>
      <c r="B26" s="18">
        <v>14.1</v>
      </c>
      <c r="C26" s="18">
        <v>11.8</v>
      </c>
      <c r="D26" s="18">
        <v>0</v>
      </c>
      <c r="E26" s="18">
        <v>0</v>
      </c>
      <c r="F26" s="18">
        <v>0</v>
      </c>
      <c r="G26" s="18">
        <v>0</v>
      </c>
    </row>
    <row r="27" spans="1:7" x14ac:dyDescent="0.2">
      <c r="A27" s="4" t="s">
        <v>103</v>
      </c>
      <c r="B27" s="18">
        <v>11.18</v>
      </c>
      <c r="C27" s="18">
        <v>7.1740000000000004</v>
      </c>
      <c r="D27" s="18">
        <v>7.9139999999999997</v>
      </c>
      <c r="E27" s="18">
        <v>8.7080000000000002</v>
      </c>
      <c r="F27" s="18">
        <v>9.5990000000000002</v>
      </c>
      <c r="G27" s="18">
        <v>12.875999999999999</v>
      </c>
    </row>
    <row r="28" spans="1:7" x14ac:dyDescent="0.2">
      <c r="A28" s="4" t="s">
        <v>104</v>
      </c>
      <c r="B28" s="18">
        <v>12.759</v>
      </c>
      <c r="C28" s="18">
        <v>11.93</v>
      </c>
      <c r="D28" s="18">
        <v>11.808999999999999</v>
      </c>
      <c r="E28" s="18">
        <v>12.255000000000001</v>
      </c>
      <c r="F28" s="18">
        <v>17.221</v>
      </c>
      <c r="G28" s="18">
        <v>19.539000000000001</v>
      </c>
    </row>
    <row r="29" spans="1:7" x14ac:dyDescent="0.2">
      <c r="A29" s="4" t="s">
        <v>105</v>
      </c>
      <c r="B29" s="18" t="s">
        <v>30</v>
      </c>
      <c r="C29" s="18" t="s">
        <v>30</v>
      </c>
      <c r="D29" s="18" t="s">
        <v>30</v>
      </c>
      <c r="E29" s="18" t="s">
        <v>30</v>
      </c>
      <c r="F29" s="18" t="s">
        <v>30</v>
      </c>
      <c r="G29" s="18" t="s">
        <v>30</v>
      </c>
    </row>
    <row r="30" spans="1:7" x14ac:dyDescent="0.2">
      <c r="A30" s="4"/>
      <c r="B30" s="4"/>
      <c r="C30" s="4"/>
      <c r="D30" s="4"/>
      <c r="E30" s="4"/>
      <c r="F30" s="4"/>
      <c r="G30" s="4"/>
    </row>
    <row r="31" spans="1:7" ht="10.5" x14ac:dyDescent="0.2">
      <c r="A31" s="9" t="s">
        <v>106</v>
      </c>
      <c r="B31" s="27">
        <v>485.81599999999997</v>
      </c>
      <c r="C31" s="27">
        <v>488.53899999999999</v>
      </c>
      <c r="D31" s="27">
        <v>514.28899999999999</v>
      </c>
      <c r="E31" s="27">
        <v>737.45600000000002</v>
      </c>
      <c r="F31" s="27">
        <v>976.678</v>
      </c>
      <c r="G31" s="27">
        <v>1164.3399999999999</v>
      </c>
    </row>
    <row r="32" spans="1:7" x14ac:dyDescent="0.2">
      <c r="A32" s="4"/>
      <c r="B32" s="4"/>
      <c r="C32" s="4"/>
      <c r="D32" s="4"/>
      <c r="E32" s="4"/>
      <c r="F32" s="4"/>
      <c r="G32" s="4"/>
    </row>
    <row r="33" spans="1:7" ht="10.5" x14ac:dyDescent="0.2">
      <c r="A33" s="9" t="s">
        <v>107</v>
      </c>
      <c r="B33" s="14">
        <v>74.337999999999994</v>
      </c>
      <c r="C33" s="14">
        <v>128.517</v>
      </c>
      <c r="D33" s="14">
        <v>235.65899999999999</v>
      </c>
      <c r="E33" s="14">
        <v>682.76400000000001</v>
      </c>
      <c r="F33" s="14">
        <v>883.60400000000004</v>
      </c>
      <c r="G33" s="14">
        <v>1045.67</v>
      </c>
    </row>
    <row r="34" spans="1:7" x14ac:dyDescent="0.2">
      <c r="A34" s="4"/>
      <c r="B34" s="4"/>
      <c r="C34" s="4"/>
      <c r="D34" s="4"/>
      <c r="E34" s="4"/>
      <c r="F34" s="4"/>
      <c r="G34" s="4"/>
    </row>
    <row r="35" spans="1:7" x14ac:dyDescent="0.2">
      <c r="A35" s="4" t="s">
        <v>108</v>
      </c>
      <c r="B35" s="18">
        <v>-1</v>
      </c>
      <c r="C35" s="18">
        <v>-8.6</v>
      </c>
      <c r="D35" s="18">
        <v>-6.7</v>
      </c>
      <c r="E35" s="18">
        <v>-21.6</v>
      </c>
      <c r="F35" s="18">
        <v>-136.19999999999999</v>
      </c>
      <c r="G35" s="18">
        <v>-161.4</v>
      </c>
    </row>
    <row r="36" spans="1:7" x14ac:dyDescent="0.2">
      <c r="A36" s="4" t="s">
        <v>109</v>
      </c>
      <c r="B36" s="18">
        <v>1.2809999999999999</v>
      </c>
      <c r="C36" s="18">
        <v>0.60099999999999998</v>
      </c>
      <c r="D36" s="18">
        <v>0.215</v>
      </c>
      <c r="E36" s="18">
        <v>0.77500000000000002</v>
      </c>
      <c r="F36" s="18">
        <v>1.02</v>
      </c>
      <c r="G36" s="18">
        <v>2.4060000000000001</v>
      </c>
    </row>
    <row r="37" spans="1:7" ht="10.5" x14ac:dyDescent="0.2">
      <c r="A37" s="9" t="s">
        <v>110</v>
      </c>
      <c r="B37" s="27">
        <v>0.32600000000000001</v>
      </c>
      <c r="C37" s="27">
        <v>-8</v>
      </c>
      <c r="D37" s="27">
        <v>-6.5</v>
      </c>
      <c r="E37" s="27">
        <v>-20.9</v>
      </c>
      <c r="F37" s="27">
        <v>-135.1</v>
      </c>
      <c r="G37" s="27">
        <v>-158.9</v>
      </c>
    </row>
    <row r="38" spans="1:7" x14ac:dyDescent="0.2">
      <c r="A38" s="4"/>
      <c r="B38" s="4"/>
      <c r="C38" s="4"/>
      <c r="D38" s="4"/>
      <c r="E38" s="4"/>
      <c r="F38" s="4"/>
      <c r="G38" s="4"/>
    </row>
    <row r="39" spans="1:7" x14ac:dyDescent="0.2">
      <c r="A39" s="4" t="s">
        <v>111</v>
      </c>
      <c r="B39" s="18">
        <v>-3.1</v>
      </c>
      <c r="C39" s="18">
        <v>-1.4</v>
      </c>
      <c r="D39" s="18">
        <v>-1.3</v>
      </c>
      <c r="E39" s="18">
        <v>-0.1</v>
      </c>
      <c r="F39" s="18">
        <v>-4.9000000000000004</v>
      </c>
      <c r="G39" s="18">
        <v>-1.2</v>
      </c>
    </row>
    <row r="40" spans="1:7" x14ac:dyDescent="0.2">
      <c r="A40" s="4" t="s">
        <v>112</v>
      </c>
      <c r="B40" s="18">
        <v>0.78800000000000003</v>
      </c>
      <c r="C40" s="18">
        <v>3.1E-2</v>
      </c>
      <c r="D40" s="18">
        <v>0.51</v>
      </c>
      <c r="E40" s="18">
        <v>1.7969999999999999</v>
      </c>
      <c r="F40" s="18">
        <v>-0.3</v>
      </c>
      <c r="G40" s="18">
        <v>-0.3</v>
      </c>
    </row>
    <row r="41" spans="1:7" ht="10.5" x14ac:dyDescent="0.2">
      <c r="A41" s="9" t="s">
        <v>113</v>
      </c>
      <c r="B41" s="27">
        <v>72.358000000000004</v>
      </c>
      <c r="C41" s="27">
        <v>119.122</v>
      </c>
      <c r="D41" s="27">
        <v>228.35</v>
      </c>
      <c r="E41" s="27">
        <v>663.54899999999998</v>
      </c>
      <c r="F41" s="27">
        <v>743.20799999999997</v>
      </c>
      <c r="G41" s="27">
        <v>885.15899999999999</v>
      </c>
    </row>
    <row r="42" spans="1:7" x14ac:dyDescent="0.2">
      <c r="A42" s="4"/>
      <c r="B42" s="4"/>
      <c r="C42" s="4"/>
      <c r="D42" s="4"/>
      <c r="E42" s="4"/>
      <c r="F42" s="4"/>
      <c r="G42" s="4"/>
    </row>
    <row r="43" spans="1:7" x14ac:dyDescent="0.2">
      <c r="A43" s="4" t="s">
        <v>114</v>
      </c>
      <c r="B43" s="18">
        <v>-1.3</v>
      </c>
      <c r="C43" s="18" t="s">
        <v>30</v>
      </c>
      <c r="D43" s="18" t="s">
        <v>30</v>
      </c>
      <c r="E43" s="18" t="s">
        <v>30</v>
      </c>
      <c r="F43" s="18" t="s">
        <v>30</v>
      </c>
      <c r="G43" s="18" t="s">
        <v>30</v>
      </c>
    </row>
    <row r="44" spans="1:7" x14ac:dyDescent="0.2">
      <c r="A44" s="4" t="s">
        <v>115</v>
      </c>
      <c r="B44" s="18" t="s">
        <v>30</v>
      </c>
      <c r="C44" s="18" t="s">
        <v>30</v>
      </c>
      <c r="D44" s="18" t="s">
        <v>30</v>
      </c>
      <c r="E44" s="18" t="s">
        <v>30</v>
      </c>
      <c r="F44" s="18">
        <v>-25.7</v>
      </c>
      <c r="G44" s="18" t="s">
        <v>30</v>
      </c>
    </row>
    <row r="45" spans="1:7" x14ac:dyDescent="0.2">
      <c r="A45" s="4" t="s">
        <v>116</v>
      </c>
      <c r="B45" s="18" t="s">
        <v>30</v>
      </c>
      <c r="C45" s="18" t="s">
        <v>30</v>
      </c>
      <c r="D45" s="18" t="s">
        <v>30</v>
      </c>
      <c r="E45" s="18" t="s">
        <v>30</v>
      </c>
      <c r="F45" s="18" t="s">
        <v>30</v>
      </c>
      <c r="G45" s="18" t="s">
        <v>30</v>
      </c>
    </row>
    <row r="46" spans="1:7" x14ac:dyDescent="0.2">
      <c r="A46" s="4" t="s">
        <v>117</v>
      </c>
      <c r="B46" s="18">
        <v>-5</v>
      </c>
      <c r="C46" s="18">
        <v>0.2</v>
      </c>
      <c r="D46" s="18">
        <v>-0.3</v>
      </c>
      <c r="E46" s="18">
        <v>0.3</v>
      </c>
      <c r="F46" s="18">
        <v>1</v>
      </c>
      <c r="G46" s="18">
        <v>0.4</v>
      </c>
    </row>
    <row r="47" spans="1:7" x14ac:dyDescent="0.2">
      <c r="A47" s="4" t="s">
        <v>118</v>
      </c>
      <c r="B47" s="18">
        <v>-0.9</v>
      </c>
      <c r="C47" s="18" t="s">
        <v>30</v>
      </c>
      <c r="D47" s="18">
        <v>-21.1</v>
      </c>
      <c r="E47" s="18" t="s">
        <v>30</v>
      </c>
      <c r="F47" s="18" t="s">
        <v>30</v>
      </c>
      <c r="G47" s="18">
        <v>-9.3000000000000007</v>
      </c>
    </row>
    <row r="48" spans="1:7" x14ac:dyDescent="0.2">
      <c r="A48" s="4" t="s">
        <v>119</v>
      </c>
      <c r="B48" s="18" t="s">
        <v>30</v>
      </c>
      <c r="C48" s="18" t="s">
        <v>30</v>
      </c>
      <c r="D48" s="18" t="s">
        <v>30</v>
      </c>
      <c r="E48" s="18" t="s">
        <v>30</v>
      </c>
      <c r="F48" s="18" t="s">
        <v>30</v>
      </c>
      <c r="G48" s="18" t="s">
        <v>30</v>
      </c>
    </row>
    <row r="49" spans="1:7" ht="10.5" x14ac:dyDescent="0.2">
      <c r="A49" s="9" t="s">
        <v>120</v>
      </c>
      <c r="B49" s="27">
        <v>65.156999999999996</v>
      </c>
      <c r="C49" s="27">
        <v>119.322</v>
      </c>
      <c r="D49" s="27">
        <v>206.97900000000001</v>
      </c>
      <c r="E49" s="27">
        <v>663.84900000000005</v>
      </c>
      <c r="F49" s="27">
        <v>718.50800000000004</v>
      </c>
      <c r="G49" s="27">
        <v>876.27200000000005</v>
      </c>
    </row>
    <row r="50" spans="1:7" x14ac:dyDescent="0.2">
      <c r="A50" s="4"/>
      <c r="B50" s="4"/>
      <c r="C50" s="4"/>
      <c r="D50" s="4"/>
      <c r="E50" s="4"/>
      <c r="F50" s="4"/>
      <c r="G50" s="4"/>
    </row>
    <row r="51" spans="1:7" x14ac:dyDescent="0.2">
      <c r="A51" s="4" t="s">
        <v>121</v>
      </c>
      <c r="B51" s="18">
        <v>14.72</v>
      </c>
      <c r="C51" s="18">
        <v>-0.2</v>
      </c>
      <c r="D51" s="18">
        <v>-105.9</v>
      </c>
      <c r="E51" s="18">
        <v>-61.8</v>
      </c>
      <c r="F51" s="18">
        <v>178.34899999999999</v>
      </c>
      <c r="G51" s="18">
        <v>83.706000000000003</v>
      </c>
    </row>
    <row r="52" spans="1:7" ht="10.5" x14ac:dyDescent="0.2">
      <c r="A52" s="9" t="s">
        <v>122</v>
      </c>
      <c r="B52" s="27">
        <v>50.436999999999998</v>
      </c>
      <c r="C52" s="27">
        <v>119.497</v>
      </c>
      <c r="D52" s="27">
        <v>312.86099999999999</v>
      </c>
      <c r="E52" s="27">
        <v>725.69399999999996</v>
      </c>
      <c r="F52" s="27">
        <v>540.15899999999999</v>
      </c>
      <c r="G52" s="27">
        <v>792.56600000000003</v>
      </c>
    </row>
    <row r="53" spans="1:7" x14ac:dyDescent="0.2">
      <c r="A53" s="4"/>
      <c r="B53" s="4"/>
      <c r="C53" s="4"/>
      <c r="D53" s="4"/>
      <c r="E53" s="4"/>
      <c r="F53" s="4"/>
      <c r="G53" s="4"/>
    </row>
    <row r="54" spans="1:7" x14ac:dyDescent="0.2">
      <c r="A54" s="4" t="s">
        <v>123</v>
      </c>
      <c r="B54" s="18" t="s">
        <v>30</v>
      </c>
      <c r="C54" s="18" t="s">
        <v>30</v>
      </c>
      <c r="D54" s="18" t="s">
        <v>30</v>
      </c>
      <c r="E54" s="18" t="s">
        <v>30</v>
      </c>
      <c r="F54" s="18" t="s">
        <v>30</v>
      </c>
      <c r="G54" s="18" t="s">
        <v>30</v>
      </c>
    </row>
    <row r="55" spans="1:7" x14ac:dyDescent="0.2">
      <c r="A55" s="4" t="s">
        <v>124</v>
      </c>
      <c r="B55" s="18" t="s">
        <v>30</v>
      </c>
      <c r="C55" s="18" t="s">
        <v>30</v>
      </c>
      <c r="D55" s="18" t="s">
        <v>30</v>
      </c>
      <c r="E55" s="18" t="s">
        <v>30</v>
      </c>
      <c r="F55" s="18" t="s">
        <v>30</v>
      </c>
      <c r="G55" s="18" t="s">
        <v>30</v>
      </c>
    </row>
    <row r="56" spans="1:7" ht="10.5" x14ac:dyDescent="0.2">
      <c r="A56" s="9" t="s">
        <v>125</v>
      </c>
      <c r="B56" s="27">
        <v>50.436999999999998</v>
      </c>
      <c r="C56" s="27">
        <v>119.497</v>
      </c>
      <c r="D56" s="27">
        <v>312.86099999999999</v>
      </c>
      <c r="E56" s="27">
        <v>725.69399999999996</v>
      </c>
      <c r="F56" s="27">
        <v>540.15899999999999</v>
      </c>
      <c r="G56" s="27">
        <v>792.56600000000003</v>
      </c>
    </row>
    <row r="57" spans="1:7" x14ac:dyDescent="0.2">
      <c r="A57" s="4"/>
      <c r="B57" s="4"/>
      <c r="C57" s="4"/>
      <c r="D57" s="4"/>
      <c r="E57" s="4"/>
      <c r="F57" s="4"/>
      <c r="G57" s="4"/>
    </row>
    <row r="58" spans="1:7" x14ac:dyDescent="0.2">
      <c r="A58" s="4" t="s">
        <v>126</v>
      </c>
      <c r="B58" s="18" t="s">
        <v>30</v>
      </c>
      <c r="C58" s="18" t="s">
        <v>30</v>
      </c>
      <c r="D58" s="18" t="s">
        <v>30</v>
      </c>
      <c r="E58" s="18" t="s">
        <v>30</v>
      </c>
      <c r="F58" s="18" t="s">
        <v>30</v>
      </c>
      <c r="G58" s="18" t="s">
        <v>30</v>
      </c>
    </row>
    <row r="59" spans="1:7" ht="10.5" x14ac:dyDescent="0.2">
      <c r="A59" s="9" t="s">
        <v>127</v>
      </c>
      <c r="B59" s="28">
        <v>50.436999999999998</v>
      </c>
      <c r="C59" s="28">
        <v>119.497</v>
      </c>
      <c r="D59" s="28">
        <v>312.86099999999999</v>
      </c>
      <c r="E59" s="28">
        <v>725.69399999999996</v>
      </c>
      <c r="F59" s="28">
        <v>540.15899999999999</v>
      </c>
      <c r="G59" s="28">
        <v>792.56600000000003</v>
      </c>
    </row>
    <row r="60" spans="1:7" x14ac:dyDescent="0.2">
      <c r="A60" s="4"/>
      <c r="B60" s="4"/>
      <c r="C60" s="4"/>
      <c r="D60" s="4"/>
      <c r="E60" s="4"/>
      <c r="F60" s="4"/>
      <c r="G60" s="4"/>
    </row>
    <row r="61" spans="1:7" x14ac:dyDescent="0.2">
      <c r="A61" s="4" t="s">
        <v>128</v>
      </c>
      <c r="B61" s="18">
        <v>119.65300000000001</v>
      </c>
      <c r="C61" s="18" t="s">
        <v>30</v>
      </c>
      <c r="D61" s="18" t="s">
        <v>30</v>
      </c>
      <c r="E61" s="18" t="s">
        <v>30</v>
      </c>
      <c r="F61" s="18" t="s">
        <v>30</v>
      </c>
      <c r="G61" s="18" t="s">
        <v>30</v>
      </c>
    </row>
    <row r="62" spans="1:7" x14ac:dyDescent="0.2">
      <c r="A62" s="4"/>
      <c r="B62" s="4"/>
      <c r="C62" s="4"/>
      <c r="D62" s="4"/>
      <c r="E62" s="4"/>
      <c r="F62" s="4"/>
      <c r="G62" s="4"/>
    </row>
    <row r="63" spans="1:7" ht="10.5" x14ac:dyDescent="0.2">
      <c r="A63" s="9" t="s">
        <v>129</v>
      </c>
      <c r="B63" s="14">
        <v>-69.2</v>
      </c>
      <c r="C63" s="14">
        <v>119.497</v>
      </c>
      <c r="D63" s="14">
        <v>312.86099999999999</v>
      </c>
      <c r="E63" s="14">
        <v>725.69399999999996</v>
      </c>
      <c r="F63" s="14">
        <v>540.15899999999999</v>
      </c>
      <c r="G63" s="14">
        <v>792.56600000000003</v>
      </c>
    </row>
    <row r="64" spans="1:7" ht="10.5" x14ac:dyDescent="0.2">
      <c r="A64" s="9" t="s">
        <v>130</v>
      </c>
      <c r="B64" s="14">
        <v>-69.2</v>
      </c>
      <c r="C64" s="14">
        <v>119.497</v>
      </c>
      <c r="D64" s="14">
        <v>312.86099999999999</v>
      </c>
      <c r="E64" s="14">
        <v>725.69399999999996</v>
      </c>
      <c r="F64" s="14">
        <v>540.15899999999999</v>
      </c>
      <c r="G64" s="14">
        <v>792.56600000000003</v>
      </c>
    </row>
    <row r="65" spans="1:7" x14ac:dyDescent="0.2">
      <c r="A65" s="4"/>
      <c r="B65" s="4"/>
      <c r="C65" s="4"/>
      <c r="D65" s="4"/>
      <c r="E65" s="4"/>
      <c r="F65" s="4"/>
      <c r="G65" s="4"/>
    </row>
    <row r="66" spans="1:7" ht="10.5" x14ac:dyDescent="0.2">
      <c r="A66" s="9" t="s">
        <v>131</v>
      </c>
      <c r="B66" s="4"/>
      <c r="C66" s="4"/>
      <c r="D66" s="4"/>
      <c r="E66" s="4"/>
      <c r="F66" s="4"/>
      <c r="G66" s="4"/>
    </row>
    <row r="67" spans="1:7" x14ac:dyDescent="0.2">
      <c r="A67" s="4" t="s">
        <v>132</v>
      </c>
      <c r="B67" s="21">
        <v>-1.01</v>
      </c>
      <c r="C67" s="21">
        <v>1.7</v>
      </c>
      <c r="D67" s="21">
        <v>4.6399999999999997</v>
      </c>
      <c r="E67" s="21">
        <v>11.62</v>
      </c>
      <c r="F67" s="21">
        <v>8.82</v>
      </c>
      <c r="G67" s="21">
        <v>12.91</v>
      </c>
    </row>
    <row r="68" spans="1:7" x14ac:dyDescent="0.2">
      <c r="A68" s="4" t="s">
        <v>133</v>
      </c>
      <c r="B68" s="29">
        <v>-1.01</v>
      </c>
      <c r="C68" s="29">
        <v>1.698437</v>
      </c>
      <c r="D68" s="29">
        <v>4.6428180000000001</v>
      </c>
      <c r="E68" s="29">
        <v>11.617794999999999</v>
      </c>
      <c r="F68" s="29">
        <v>8.8232440000000008</v>
      </c>
      <c r="G68" s="29">
        <v>12.911184</v>
      </c>
    </row>
    <row r="69" spans="1:7" x14ac:dyDescent="0.2">
      <c r="A69" s="4" t="s">
        <v>134</v>
      </c>
      <c r="B69" s="18">
        <v>68.421000000000006</v>
      </c>
      <c r="C69" s="18">
        <v>70.356999999999999</v>
      </c>
      <c r="D69" s="18">
        <v>67.385999999999996</v>
      </c>
      <c r="E69" s="18">
        <v>62.463999999999999</v>
      </c>
      <c r="F69" s="18">
        <v>61.22</v>
      </c>
      <c r="G69" s="18">
        <v>61.386000000000003</v>
      </c>
    </row>
    <row r="70" spans="1:7" x14ac:dyDescent="0.2">
      <c r="A70" s="4"/>
      <c r="B70" s="4"/>
      <c r="C70" s="4"/>
      <c r="D70" s="4"/>
      <c r="E70" s="4"/>
      <c r="F70" s="4"/>
      <c r="G70" s="4"/>
    </row>
    <row r="71" spans="1:7" x14ac:dyDescent="0.2">
      <c r="A71" s="4" t="s">
        <v>135</v>
      </c>
      <c r="B71" s="21">
        <v>-1.01</v>
      </c>
      <c r="C71" s="21">
        <v>1.66</v>
      </c>
      <c r="D71" s="21">
        <v>4.5599999999999996</v>
      </c>
      <c r="E71" s="21">
        <v>11.39</v>
      </c>
      <c r="F71" s="21">
        <v>8.7100000000000009</v>
      </c>
      <c r="G71" s="21">
        <v>12.79</v>
      </c>
    </row>
    <row r="72" spans="1:7" x14ac:dyDescent="0.2">
      <c r="A72" s="4" t="s">
        <v>136</v>
      </c>
      <c r="B72" s="29">
        <v>-1.01</v>
      </c>
      <c r="C72" s="29">
        <v>1.66</v>
      </c>
      <c r="D72" s="29">
        <v>4.5599999999999996</v>
      </c>
      <c r="E72" s="29">
        <v>11.39</v>
      </c>
      <c r="F72" s="29">
        <v>8.7100000000000009</v>
      </c>
      <c r="G72" s="29">
        <v>12.79</v>
      </c>
    </row>
    <row r="73" spans="1:7" x14ac:dyDescent="0.2">
      <c r="A73" s="4" t="s">
        <v>137</v>
      </c>
      <c r="B73" s="18">
        <v>68.421000000000006</v>
      </c>
      <c r="C73" s="18">
        <v>71.771000000000001</v>
      </c>
      <c r="D73" s="18">
        <v>68.543999999999997</v>
      </c>
      <c r="E73" s="18">
        <v>63.718000000000004</v>
      </c>
      <c r="F73" s="18">
        <v>62.006</v>
      </c>
      <c r="G73" s="18">
        <v>61.951999999999998</v>
      </c>
    </row>
    <row r="74" spans="1:7" x14ac:dyDescent="0.2">
      <c r="A74" s="4"/>
      <c r="B74" s="4"/>
      <c r="C74" s="4"/>
      <c r="D74" s="4"/>
      <c r="E74" s="4"/>
      <c r="F74" s="4"/>
      <c r="G74" s="4"/>
    </row>
    <row r="75" spans="1:7" x14ac:dyDescent="0.2">
      <c r="A75" s="4" t="s">
        <v>138</v>
      </c>
      <c r="B75" s="21">
        <v>0.66</v>
      </c>
      <c r="C75" s="21">
        <v>1.06</v>
      </c>
      <c r="D75" s="21">
        <v>2.12</v>
      </c>
      <c r="E75" s="21">
        <v>6.64</v>
      </c>
      <c r="F75" s="21">
        <v>7.59</v>
      </c>
      <c r="G75" s="21">
        <v>9.01</v>
      </c>
    </row>
    <row r="76" spans="1:7" x14ac:dyDescent="0.2">
      <c r="A76" s="4" t="s">
        <v>139</v>
      </c>
      <c r="B76" s="29">
        <v>0.66096299999999997</v>
      </c>
      <c r="C76" s="29">
        <v>1.037344</v>
      </c>
      <c r="D76" s="29">
        <v>2.082147</v>
      </c>
      <c r="E76" s="29">
        <v>6.5086490000000001</v>
      </c>
      <c r="F76" s="29">
        <v>7.4912910000000004</v>
      </c>
      <c r="G76" s="29">
        <v>8.9298870000000008</v>
      </c>
    </row>
    <row r="77" spans="1:7" x14ac:dyDescent="0.2">
      <c r="A77" s="4"/>
      <c r="B77" s="4"/>
      <c r="C77" s="4"/>
      <c r="D77" s="4"/>
      <c r="E77" s="4"/>
      <c r="F77" s="4"/>
      <c r="G77" s="4"/>
    </row>
    <row r="78" spans="1:7" x14ac:dyDescent="0.2">
      <c r="A78" s="4" t="s">
        <v>140</v>
      </c>
      <c r="B78" s="29" t="s">
        <v>141</v>
      </c>
      <c r="C78" s="29" t="s">
        <v>141</v>
      </c>
      <c r="D78" s="29" t="s">
        <v>141</v>
      </c>
      <c r="E78" s="29" t="s">
        <v>141</v>
      </c>
      <c r="F78" s="29" t="s">
        <v>141</v>
      </c>
      <c r="G78" s="29" t="s">
        <v>141</v>
      </c>
    </row>
    <row r="79" spans="1:7" x14ac:dyDescent="0.2">
      <c r="A79" s="4" t="s">
        <v>142</v>
      </c>
      <c r="B79" s="30">
        <v>0.41665799999999997</v>
      </c>
      <c r="C79" s="30">
        <v>2.4979000000000001E-2</v>
      </c>
      <c r="D79" s="17" t="s">
        <v>141</v>
      </c>
      <c r="E79" s="17" t="s">
        <v>141</v>
      </c>
      <c r="F79" s="17" t="s">
        <v>141</v>
      </c>
      <c r="G79" s="17" t="s">
        <v>141</v>
      </c>
    </row>
    <row r="80" spans="1:7" x14ac:dyDescent="0.2">
      <c r="A80" s="4"/>
      <c r="B80" s="4"/>
      <c r="C80" s="4"/>
      <c r="D80" s="4"/>
      <c r="E80" s="4"/>
      <c r="F80" s="4"/>
      <c r="G80" s="4"/>
    </row>
    <row r="81" spans="1:7" ht="10.5" x14ac:dyDescent="0.2">
      <c r="A81" s="9" t="s">
        <v>143</v>
      </c>
      <c r="B81" s="4"/>
      <c r="C81" s="4"/>
      <c r="D81" s="4"/>
      <c r="E81" s="4"/>
      <c r="F81" s="4"/>
      <c r="G81" s="4"/>
    </row>
    <row r="82" spans="1:7" x14ac:dyDescent="0.2">
      <c r="A82" s="4" t="s">
        <v>32</v>
      </c>
      <c r="B82" s="18">
        <v>103.58799999999999</v>
      </c>
      <c r="C82" s="18">
        <v>152.72999999999999</v>
      </c>
      <c r="D82" s="18">
        <v>263.27800000000002</v>
      </c>
      <c r="E82" s="18">
        <v>714.74</v>
      </c>
      <c r="F82" s="18">
        <v>922.83299999999997</v>
      </c>
      <c r="G82" s="18">
        <v>1099.9739999999999</v>
      </c>
    </row>
    <row r="83" spans="1:7" x14ac:dyDescent="0.2">
      <c r="A83" s="4" t="s">
        <v>144</v>
      </c>
      <c r="B83" s="18">
        <v>90.986000000000004</v>
      </c>
      <c r="C83" s="18">
        <v>143.845</v>
      </c>
      <c r="D83" s="18">
        <v>251.44300000000001</v>
      </c>
      <c r="E83" s="18">
        <v>699.798</v>
      </c>
      <c r="F83" s="18">
        <v>903.19100000000003</v>
      </c>
      <c r="G83" s="18">
        <v>1068.289</v>
      </c>
    </row>
    <row r="84" spans="1:7" x14ac:dyDescent="0.2">
      <c r="A84" s="4" t="s">
        <v>33</v>
      </c>
      <c r="B84" s="18">
        <v>74.337999999999994</v>
      </c>
      <c r="C84" s="18">
        <v>128.517</v>
      </c>
      <c r="D84" s="18">
        <v>235.65899999999999</v>
      </c>
      <c r="E84" s="18">
        <v>682.76400000000001</v>
      </c>
      <c r="F84" s="18">
        <v>883.60400000000004</v>
      </c>
      <c r="G84" s="18">
        <v>1045.67</v>
      </c>
    </row>
    <row r="85" spans="1:7" x14ac:dyDescent="0.2">
      <c r="A85" s="4" t="s">
        <v>145</v>
      </c>
      <c r="B85" s="18">
        <v>174.63399999999999</v>
      </c>
      <c r="C85" s="18" t="s">
        <v>141</v>
      </c>
      <c r="D85" s="18" t="s">
        <v>141</v>
      </c>
      <c r="E85" s="18" t="s">
        <v>141</v>
      </c>
      <c r="F85" s="18">
        <v>1035.971</v>
      </c>
      <c r="G85" s="18">
        <v>1237.481</v>
      </c>
    </row>
    <row r="86" spans="1:7" x14ac:dyDescent="0.2">
      <c r="A86" s="4" t="s">
        <v>146</v>
      </c>
      <c r="B86" s="30">
        <v>0.225915</v>
      </c>
      <c r="C86" s="30" t="s">
        <v>37</v>
      </c>
      <c r="D86" s="30" t="s">
        <v>37</v>
      </c>
      <c r="E86" s="30" t="s">
        <v>37</v>
      </c>
      <c r="F86" s="30">
        <v>0.248221</v>
      </c>
      <c r="G86" s="30">
        <v>9.5524999999999999E-2</v>
      </c>
    </row>
    <row r="87" spans="1:7" x14ac:dyDescent="0.2">
      <c r="A87" s="4" t="s">
        <v>147</v>
      </c>
      <c r="B87" s="18">
        <v>1.4019999999999999</v>
      </c>
      <c r="C87" s="18">
        <v>2.7109999999999999</v>
      </c>
      <c r="D87" s="18">
        <v>7.2750000000000004</v>
      </c>
      <c r="E87" s="18">
        <v>123.008</v>
      </c>
      <c r="F87" s="18">
        <v>95.349000000000004</v>
      </c>
      <c r="G87" s="18">
        <v>106.959</v>
      </c>
    </row>
    <row r="88" spans="1:7" x14ac:dyDescent="0.2">
      <c r="A88" s="4" t="s">
        <v>148</v>
      </c>
      <c r="B88" s="18">
        <v>12.359</v>
      </c>
      <c r="C88" s="18">
        <v>13.372999999999999</v>
      </c>
      <c r="D88" s="18">
        <v>211.904</v>
      </c>
      <c r="E88" s="18">
        <v>56.43</v>
      </c>
      <c r="F88" s="18">
        <v>87.76</v>
      </c>
      <c r="G88" s="18">
        <v>387.06599999999997</v>
      </c>
    </row>
    <row r="89" spans="1:7" x14ac:dyDescent="0.2">
      <c r="A89" s="4" t="s">
        <v>149</v>
      </c>
      <c r="B89" s="18">
        <v>13.760999999999999</v>
      </c>
      <c r="C89" s="18">
        <v>16.084</v>
      </c>
      <c r="D89" s="18">
        <v>219.179</v>
      </c>
      <c r="E89" s="18">
        <v>179.43799999999999</v>
      </c>
      <c r="F89" s="18">
        <v>183.10900000000001</v>
      </c>
      <c r="G89" s="18">
        <v>494.02499999999998</v>
      </c>
    </row>
    <row r="90" spans="1:7" x14ac:dyDescent="0.2">
      <c r="A90" s="4" t="s">
        <v>150</v>
      </c>
      <c r="B90" s="18">
        <v>0.27600000000000002</v>
      </c>
      <c r="C90" s="18">
        <v>-13.8</v>
      </c>
      <c r="D90" s="18">
        <v>-1.9</v>
      </c>
      <c r="E90" s="18">
        <v>0.82299999999999995</v>
      </c>
      <c r="F90" s="18">
        <v>-11.2</v>
      </c>
      <c r="G90" s="18">
        <v>-14.5</v>
      </c>
    </row>
    <row r="91" spans="1:7" x14ac:dyDescent="0.2">
      <c r="A91" s="4" t="s">
        <v>151</v>
      </c>
      <c r="B91" s="18">
        <v>0.68300000000000005</v>
      </c>
      <c r="C91" s="18">
        <v>-2.4</v>
      </c>
      <c r="D91" s="18">
        <v>-323.2</v>
      </c>
      <c r="E91" s="18">
        <v>-242.1</v>
      </c>
      <c r="F91" s="18">
        <v>6.4109999999999996</v>
      </c>
      <c r="G91" s="18">
        <v>-395.8</v>
      </c>
    </row>
    <row r="92" spans="1:7" x14ac:dyDescent="0.2">
      <c r="A92" s="4" t="s">
        <v>152</v>
      </c>
      <c r="B92" s="18">
        <v>0.95899999999999996</v>
      </c>
      <c r="C92" s="18">
        <v>-16.3</v>
      </c>
      <c r="D92" s="18">
        <v>-325.10000000000002</v>
      </c>
      <c r="E92" s="18">
        <v>-241.3</v>
      </c>
      <c r="F92" s="18">
        <v>-4.8</v>
      </c>
      <c r="G92" s="18">
        <v>-410.3</v>
      </c>
    </row>
    <row r="93" spans="1:7" x14ac:dyDescent="0.2">
      <c r="A93" s="4"/>
      <c r="B93" s="4"/>
      <c r="C93" s="4"/>
      <c r="D93" s="4"/>
      <c r="E93" s="4"/>
      <c r="F93" s="4"/>
      <c r="G93" s="4"/>
    </row>
    <row r="94" spans="1:7" x14ac:dyDescent="0.2">
      <c r="A94" s="4" t="s">
        <v>153</v>
      </c>
      <c r="B94" s="18">
        <v>45.223750000000003</v>
      </c>
      <c r="C94" s="18">
        <v>74.451250000000002</v>
      </c>
      <c r="D94" s="18">
        <v>142.71875</v>
      </c>
      <c r="E94" s="18">
        <v>414.71812499999999</v>
      </c>
      <c r="F94" s="18">
        <v>464.505</v>
      </c>
      <c r="G94" s="18">
        <v>553.22437500000001</v>
      </c>
    </row>
    <row r="95" spans="1:7" x14ac:dyDescent="0.2">
      <c r="A95" s="4" t="s">
        <v>154</v>
      </c>
      <c r="B95" s="31">
        <v>44250</v>
      </c>
      <c r="C95" s="31">
        <v>44608</v>
      </c>
      <c r="D95" s="31">
        <v>44973</v>
      </c>
      <c r="E95" s="31">
        <v>45337</v>
      </c>
      <c r="F95" s="31">
        <v>45337</v>
      </c>
      <c r="G95" s="31">
        <v>45337</v>
      </c>
    </row>
    <row r="96" spans="1:7" x14ac:dyDescent="0.2">
      <c r="A96" s="4" t="s">
        <v>155</v>
      </c>
      <c r="B96" s="17" t="s">
        <v>156</v>
      </c>
      <c r="C96" s="17" t="s">
        <v>156</v>
      </c>
      <c r="D96" s="17" t="s">
        <v>156</v>
      </c>
      <c r="E96" s="17" t="s">
        <v>156</v>
      </c>
      <c r="F96" s="17" t="s">
        <v>156</v>
      </c>
      <c r="G96" s="17" t="s">
        <v>157</v>
      </c>
    </row>
    <row r="97" spans="1:7" x14ac:dyDescent="0.2">
      <c r="A97" s="4" t="s">
        <v>158</v>
      </c>
      <c r="B97" s="17" t="s">
        <v>159</v>
      </c>
      <c r="C97" s="17" t="s">
        <v>159</v>
      </c>
      <c r="D97" s="17" t="s">
        <v>159</v>
      </c>
      <c r="E97" s="17" t="s">
        <v>159</v>
      </c>
      <c r="F97" s="17" t="s">
        <v>159</v>
      </c>
      <c r="G97" s="17" t="s">
        <v>159</v>
      </c>
    </row>
    <row r="98" spans="1:7" x14ac:dyDescent="0.2">
      <c r="A98" s="4"/>
      <c r="B98" s="4"/>
      <c r="C98" s="4"/>
      <c r="D98" s="4"/>
      <c r="E98" s="4"/>
      <c r="F98" s="4"/>
      <c r="G98" s="4"/>
    </row>
    <row r="99" spans="1:7" ht="10.5" x14ac:dyDescent="0.2">
      <c r="A99" s="9" t="s">
        <v>160</v>
      </c>
      <c r="B99" s="4"/>
      <c r="C99" s="4"/>
      <c r="D99" s="4"/>
      <c r="E99" s="4"/>
      <c r="F99" s="4"/>
      <c r="G99" s="4"/>
    </row>
    <row r="100" spans="1:7" x14ac:dyDescent="0.2">
      <c r="A100" s="4" t="s">
        <v>161</v>
      </c>
      <c r="B100" s="18">
        <v>68.599999999999994</v>
      </c>
      <c r="C100" s="18">
        <v>83.2</v>
      </c>
      <c r="D100" s="18">
        <v>101</v>
      </c>
      <c r="E100" s="18">
        <v>172.7</v>
      </c>
      <c r="F100" s="18">
        <v>260.8</v>
      </c>
      <c r="G100" s="18">
        <v>317.39999999999998</v>
      </c>
    </row>
    <row r="101" spans="1:7" x14ac:dyDescent="0.2">
      <c r="A101" s="4" t="s">
        <v>162</v>
      </c>
      <c r="B101" s="18">
        <v>68.599999999999994</v>
      </c>
      <c r="C101" s="18">
        <v>83.2</v>
      </c>
      <c r="D101" s="18">
        <v>101</v>
      </c>
      <c r="E101" s="18">
        <v>172.7</v>
      </c>
      <c r="F101" s="18">
        <v>260.8</v>
      </c>
      <c r="G101" s="18">
        <v>317.39999999999998</v>
      </c>
    </row>
    <row r="102" spans="1:7" x14ac:dyDescent="0.2">
      <c r="A102" s="4" t="s">
        <v>163</v>
      </c>
      <c r="B102" s="18">
        <v>14.1</v>
      </c>
      <c r="C102" s="18">
        <v>11.8</v>
      </c>
      <c r="D102" s="18" t="s">
        <v>141</v>
      </c>
      <c r="E102" s="18" t="s">
        <v>141</v>
      </c>
      <c r="F102" s="18" t="s">
        <v>141</v>
      </c>
      <c r="G102" s="18" t="s">
        <v>141</v>
      </c>
    </row>
    <row r="103" spans="1:7" x14ac:dyDescent="0.2">
      <c r="A103" s="4" t="s">
        <v>164</v>
      </c>
      <c r="B103" s="18">
        <v>71.046000000000006</v>
      </c>
      <c r="C103" s="18" t="s">
        <v>141</v>
      </c>
      <c r="D103" s="18" t="s">
        <v>141</v>
      </c>
      <c r="E103" s="18" t="s">
        <v>141</v>
      </c>
      <c r="F103" s="18">
        <v>113.13800000000001</v>
      </c>
      <c r="G103" s="18">
        <v>137.50700000000001</v>
      </c>
    </row>
    <row r="104" spans="1:7" x14ac:dyDescent="0.2">
      <c r="A104" s="4" t="s">
        <v>165</v>
      </c>
      <c r="B104" s="18">
        <v>8.9966969999999993</v>
      </c>
      <c r="C104" s="18" t="s">
        <v>30</v>
      </c>
      <c r="D104" s="18" t="s">
        <v>30</v>
      </c>
      <c r="E104" s="18" t="s">
        <v>30</v>
      </c>
      <c r="F104" s="18">
        <v>69.263084000000006</v>
      </c>
      <c r="G104" s="18">
        <v>77.317436000000001</v>
      </c>
    </row>
    <row r="105" spans="1:7" x14ac:dyDescent="0.2">
      <c r="A105" s="4" t="s">
        <v>166</v>
      </c>
      <c r="B105" s="18">
        <v>62.049303000000002</v>
      </c>
      <c r="C105" s="18" t="s">
        <v>30</v>
      </c>
      <c r="D105" s="18" t="s">
        <v>30</v>
      </c>
      <c r="E105" s="18" t="s">
        <v>30</v>
      </c>
      <c r="F105" s="18">
        <v>43.874915999999999</v>
      </c>
      <c r="G105" s="18">
        <v>60.189563999999997</v>
      </c>
    </row>
    <row r="106" spans="1:7" x14ac:dyDescent="0.2">
      <c r="A106" s="4"/>
      <c r="B106" s="4"/>
      <c r="C106" s="4"/>
      <c r="D106" s="4"/>
      <c r="E106" s="4"/>
      <c r="F106" s="4"/>
      <c r="G106" s="4"/>
    </row>
    <row r="107" spans="1:7" x14ac:dyDescent="0.2">
      <c r="A107" s="4" t="s">
        <v>167</v>
      </c>
      <c r="B107" s="18">
        <v>0.36199999999999999</v>
      </c>
      <c r="C107" s="18">
        <v>0.57999999999999996</v>
      </c>
      <c r="D107" s="18" t="s">
        <v>30</v>
      </c>
      <c r="E107" s="18" t="s">
        <v>30</v>
      </c>
      <c r="F107" s="18" t="s">
        <v>30</v>
      </c>
      <c r="G107" s="18" t="s">
        <v>30</v>
      </c>
    </row>
    <row r="108" spans="1:7" x14ac:dyDescent="0.2">
      <c r="A108" s="4" t="s">
        <v>168</v>
      </c>
      <c r="B108" s="18">
        <v>12.743</v>
      </c>
      <c r="C108" s="18">
        <v>13.832000000000001</v>
      </c>
      <c r="D108" s="18" t="s">
        <v>30</v>
      </c>
      <c r="E108" s="18" t="s">
        <v>30</v>
      </c>
      <c r="F108" s="18" t="s">
        <v>30</v>
      </c>
      <c r="G108" s="18" t="s">
        <v>30</v>
      </c>
    </row>
    <row r="109" spans="1:7" x14ac:dyDescent="0.2">
      <c r="A109" s="4" t="s">
        <v>169</v>
      </c>
      <c r="B109" s="18" t="s">
        <v>30</v>
      </c>
      <c r="C109" s="18" t="s">
        <v>30</v>
      </c>
      <c r="D109" s="18">
        <v>16.361000000000001</v>
      </c>
      <c r="E109" s="18">
        <v>38.122</v>
      </c>
      <c r="F109" s="18">
        <v>31.303000000000001</v>
      </c>
      <c r="G109" s="18">
        <v>29.071999999999999</v>
      </c>
    </row>
    <row r="110" spans="1:7" ht="10.5" x14ac:dyDescent="0.2">
      <c r="A110" s="9" t="s">
        <v>170</v>
      </c>
      <c r="B110" s="14">
        <v>13.105</v>
      </c>
      <c r="C110" s="14">
        <v>14.412000000000001</v>
      </c>
      <c r="D110" s="14">
        <v>16.361000000000001</v>
      </c>
      <c r="E110" s="14">
        <v>38.122</v>
      </c>
      <c r="F110" s="14">
        <v>31.303000000000001</v>
      </c>
      <c r="G110" s="14">
        <v>29.071999999999999</v>
      </c>
    </row>
    <row r="111" spans="1:7" x14ac:dyDescent="0.2">
      <c r="A111" s="4"/>
      <c r="B111" s="4"/>
      <c r="C111" s="4"/>
      <c r="D111" s="4"/>
      <c r="E111" s="4"/>
      <c r="F111" s="4"/>
      <c r="G111" s="4"/>
    </row>
    <row r="112" spans="1:7" x14ac:dyDescent="0.2">
      <c r="A112" s="11"/>
      <c r="B112" s="11"/>
      <c r="C112" s="11"/>
      <c r="D112" s="11"/>
      <c r="E112" s="11"/>
      <c r="F112" s="11"/>
      <c r="G112" s="11"/>
    </row>
    <row r="113" spans="1:1" x14ac:dyDescent="0.2">
      <c r="A113" t="s">
        <v>171</v>
      </c>
    </row>
    <row r="114" spans="1:1" x14ac:dyDescent="0.2">
      <c r="A114" s="25" t="s">
        <v>72</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75"/>
  <sheetViews>
    <sheetView topLeftCell="A23" zoomScale="160" zoomScaleNormal="160" workbookViewId="0">
      <selection activeCell="G42" sqref="G42"/>
    </sheetView>
  </sheetViews>
  <sheetFormatPr defaultRowHeight="10" x14ac:dyDescent="0.2"/>
  <cols>
    <col min="1" max="1" width="45.81640625" customWidth="1"/>
    <col min="2" max="7" width="14.81640625" customWidth="1"/>
  </cols>
  <sheetData>
    <row r="5" spans="1:255" ht="17" x14ac:dyDescent="0.35">
      <c r="A5" s="1" t="s">
        <v>245</v>
      </c>
    </row>
    <row r="7" spans="1:255" ht="10.5" x14ac:dyDescent="0.25">
      <c r="A7" s="2" t="s">
        <v>246</v>
      </c>
      <c r="B7" s="3" t="s">
        <v>247</v>
      </c>
      <c r="C7" t="s">
        <v>76</v>
      </c>
      <c r="D7" s="4" t="s">
        <v>4</v>
      </c>
      <c r="E7" s="3" t="s">
        <v>248</v>
      </c>
      <c r="F7" t="s">
        <v>78</v>
      </c>
    </row>
    <row r="8" spans="1:255" ht="10.5" x14ac:dyDescent="0.25">
      <c r="A8" s="4"/>
      <c r="B8" s="3" t="s">
        <v>249</v>
      </c>
      <c r="C8" t="s">
        <v>80</v>
      </c>
      <c r="D8" s="4" t="s">
        <v>4</v>
      </c>
      <c r="E8" s="3" t="s">
        <v>250</v>
      </c>
      <c r="F8" t="s">
        <v>8</v>
      </c>
    </row>
    <row r="9" spans="1:255" ht="10.5" x14ac:dyDescent="0.25">
      <c r="A9" s="4"/>
      <c r="B9" s="3" t="s">
        <v>251</v>
      </c>
      <c r="C9" t="s">
        <v>83</v>
      </c>
      <c r="D9" s="4" t="s">
        <v>4</v>
      </c>
      <c r="E9" s="3" t="s">
        <v>252</v>
      </c>
      <c r="F9" t="s">
        <v>6</v>
      </c>
    </row>
    <row r="10" spans="1:255" ht="10.5" x14ac:dyDescent="0.25">
      <c r="A10" s="4"/>
      <c r="B10" s="3" t="s">
        <v>253</v>
      </c>
      <c r="C10" t="s">
        <v>10</v>
      </c>
      <c r="D10" s="4" t="s">
        <v>4</v>
      </c>
      <c r="E10" s="3" t="s">
        <v>254</v>
      </c>
      <c r="F10" s="5" t="s">
        <v>12</v>
      </c>
    </row>
    <row r="11" spans="1:255" ht="10.5" x14ac:dyDescent="0.25">
      <c r="A11" s="4"/>
      <c r="B11" s="3" t="s">
        <v>255</v>
      </c>
      <c r="C11" t="s">
        <v>88</v>
      </c>
      <c r="D11" s="4" t="s">
        <v>4</v>
      </c>
      <c r="E11" s="26"/>
      <c r="F11" s="26"/>
    </row>
    <row r="14" spans="1:255" x14ac:dyDescent="0.2">
      <c r="A14" s="6" t="s">
        <v>256</v>
      </c>
      <c r="B14" s="6"/>
      <c r="C14" s="6"/>
      <c r="D14" s="6"/>
      <c r="E14" s="6"/>
      <c r="F14" s="6"/>
      <c r="G14" s="6"/>
      <c r="H14" s="37"/>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c r="ER14" s="37"/>
      <c r="ES14" s="37"/>
      <c r="ET14" s="37"/>
      <c r="EU14" s="37"/>
      <c r="EV14" s="37"/>
      <c r="EW14" s="37"/>
      <c r="EX14" s="37"/>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E14" s="37"/>
      <c r="GF14" s="37"/>
      <c r="GG14" s="37"/>
      <c r="GH14" s="37"/>
      <c r="GI14" s="37"/>
      <c r="GJ14" s="37"/>
      <c r="GK14" s="37"/>
      <c r="GL14" s="37"/>
      <c r="GM14" s="37"/>
      <c r="GN14" s="37"/>
      <c r="GO14" s="37"/>
      <c r="GP14" s="37"/>
      <c r="GQ14" s="37"/>
      <c r="GR14" s="37"/>
      <c r="GS14" s="37"/>
      <c r="GT14" s="37"/>
      <c r="GU14" s="37"/>
      <c r="GV14" s="37"/>
      <c r="GW14" s="37"/>
      <c r="GX14" s="37"/>
      <c r="GY14" s="37"/>
      <c r="GZ14" s="37"/>
      <c r="HA14" s="37"/>
      <c r="HB14" s="37"/>
      <c r="HC14" s="37"/>
      <c r="HD14" s="37"/>
      <c r="HE14" s="37"/>
      <c r="HF14" s="37"/>
      <c r="HG14" s="37"/>
      <c r="HH14" s="37"/>
      <c r="HI14" s="37"/>
      <c r="HJ14" s="37"/>
      <c r="HK14" s="37"/>
      <c r="HL14" s="37"/>
      <c r="HM14" s="37"/>
      <c r="HN14" s="37"/>
      <c r="HO14" s="37"/>
      <c r="HP14" s="37"/>
      <c r="HQ14" s="37"/>
      <c r="HR14" s="37"/>
      <c r="HS14" s="37"/>
      <c r="HT14" s="37"/>
      <c r="HU14" s="37"/>
      <c r="HV14" s="37"/>
      <c r="HW14" s="37"/>
      <c r="HX14" s="37"/>
      <c r="HY14" s="37"/>
      <c r="HZ14" s="37"/>
      <c r="IA14" s="37"/>
      <c r="IB14" s="37"/>
      <c r="IC14" s="37"/>
      <c r="ID14" s="37"/>
      <c r="IE14" s="37"/>
      <c r="IF14" s="37"/>
      <c r="IG14" s="37"/>
      <c r="IH14" s="37"/>
      <c r="II14" s="37"/>
      <c r="IJ14" s="37"/>
      <c r="IK14" s="37"/>
      <c r="IL14" s="37"/>
      <c r="IM14" s="37"/>
      <c r="IN14" s="37"/>
      <c r="IO14" s="37"/>
      <c r="IP14" s="37"/>
      <c r="IQ14" s="37"/>
      <c r="IR14" s="37"/>
      <c r="IS14" s="37"/>
      <c r="IT14" s="37"/>
      <c r="IU14" s="37"/>
    </row>
    <row r="15" spans="1:255" ht="21" x14ac:dyDescent="0.25">
      <c r="A15" s="7" t="s">
        <v>16</v>
      </c>
      <c r="B15" s="12" t="s">
        <v>257</v>
      </c>
      <c r="C15" s="12" t="s">
        <v>258</v>
      </c>
      <c r="D15" s="12" t="s">
        <v>259</v>
      </c>
      <c r="E15" s="12" t="s">
        <v>260</v>
      </c>
      <c r="F15" s="12" t="s">
        <v>261</v>
      </c>
      <c r="G15" s="12" t="s">
        <v>95</v>
      </c>
    </row>
    <row r="16" spans="1:255" x14ac:dyDescent="0.2">
      <c r="A16" s="8" t="s">
        <v>25</v>
      </c>
      <c r="B16" s="13" t="s">
        <v>26</v>
      </c>
      <c r="C16" s="13" t="s">
        <v>26</v>
      </c>
      <c r="D16" s="13" t="s">
        <v>26</v>
      </c>
      <c r="E16" s="13" t="s">
        <v>26</v>
      </c>
      <c r="F16" s="13" t="s">
        <v>26</v>
      </c>
      <c r="G16" s="13" t="s">
        <v>26</v>
      </c>
    </row>
    <row r="17" spans="1:7" ht="10.5" x14ac:dyDescent="0.2">
      <c r="A17" s="9" t="s">
        <v>38</v>
      </c>
      <c r="B17" s="4"/>
      <c r="C17" s="4"/>
      <c r="D17" s="4"/>
      <c r="E17" s="4"/>
      <c r="F17" s="4"/>
      <c r="G17" s="4"/>
    </row>
    <row r="18" spans="1:7" ht="10.5" x14ac:dyDescent="0.2">
      <c r="A18" s="9" t="s">
        <v>35</v>
      </c>
      <c r="B18" s="14">
        <v>50.436999999999998</v>
      </c>
      <c r="C18" s="14">
        <v>119.497</v>
      </c>
      <c r="D18" s="14">
        <v>312.86099999999999</v>
      </c>
      <c r="E18" s="14">
        <v>725.69399999999996</v>
      </c>
      <c r="F18" s="14">
        <v>540.15899999999999</v>
      </c>
      <c r="G18" s="14">
        <v>792.56600000000003</v>
      </c>
    </row>
    <row r="19" spans="1:7" x14ac:dyDescent="0.2">
      <c r="A19" s="4" t="s">
        <v>103</v>
      </c>
      <c r="B19" s="18">
        <v>12.602</v>
      </c>
      <c r="C19" s="18">
        <v>8.8849999999999998</v>
      </c>
      <c r="D19" s="18">
        <v>11.835000000000001</v>
      </c>
      <c r="E19" s="18">
        <v>14.942</v>
      </c>
      <c r="F19" s="18">
        <v>19.641999999999999</v>
      </c>
      <c r="G19" s="18">
        <v>31.684999999999999</v>
      </c>
    </row>
    <row r="20" spans="1:7" x14ac:dyDescent="0.2">
      <c r="A20" s="4" t="s">
        <v>104</v>
      </c>
      <c r="B20" s="18">
        <v>16.648</v>
      </c>
      <c r="C20" s="18">
        <v>15.327999999999999</v>
      </c>
      <c r="D20" s="18">
        <v>15.784000000000001</v>
      </c>
      <c r="E20" s="18">
        <v>17.033999999999999</v>
      </c>
      <c r="F20" s="18">
        <v>19.587</v>
      </c>
      <c r="G20" s="18">
        <v>22.619</v>
      </c>
    </row>
    <row r="21" spans="1:7" ht="10.5" x14ac:dyDescent="0.2">
      <c r="A21" s="9" t="s">
        <v>262</v>
      </c>
      <c r="B21" s="27">
        <v>29.25</v>
      </c>
      <c r="C21" s="27">
        <v>24.213000000000001</v>
      </c>
      <c r="D21" s="27">
        <v>27.619</v>
      </c>
      <c r="E21" s="27">
        <v>31.975999999999999</v>
      </c>
      <c r="F21" s="27">
        <v>39.228999999999999</v>
      </c>
      <c r="G21" s="27">
        <v>54.304000000000002</v>
      </c>
    </row>
    <row r="22" spans="1:7" x14ac:dyDescent="0.2">
      <c r="A22" s="4"/>
      <c r="B22" s="4"/>
      <c r="C22" s="4"/>
      <c r="D22" s="4"/>
      <c r="E22" s="4"/>
      <c r="F22" s="4"/>
      <c r="G22" s="4"/>
    </row>
    <row r="23" spans="1:7" x14ac:dyDescent="0.2">
      <c r="A23" s="4" t="s">
        <v>263</v>
      </c>
      <c r="B23" s="18">
        <v>5.0190000000000001</v>
      </c>
      <c r="C23" s="18" t="s">
        <v>30</v>
      </c>
      <c r="D23" s="18">
        <v>0.34</v>
      </c>
      <c r="E23" s="18">
        <v>0.31</v>
      </c>
      <c r="F23" s="18">
        <v>9.0630000000000006</v>
      </c>
      <c r="G23" s="18">
        <v>0.41899999999999998</v>
      </c>
    </row>
    <row r="24" spans="1:7" x14ac:dyDescent="0.2">
      <c r="A24" s="4" t="s">
        <v>264</v>
      </c>
      <c r="B24" s="18">
        <v>2.1819999999999999</v>
      </c>
      <c r="C24" s="18" t="s">
        <v>30</v>
      </c>
      <c r="D24" s="18">
        <v>21.071000000000002</v>
      </c>
      <c r="E24" s="18" t="s">
        <v>30</v>
      </c>
      <c r="F24" s="18" t="s">
        <v>30</v>
      </c>
      <c r="G24" s="18">
        <v>9.2870000000000008</v>
      </c>
    </row>
    <row r="25" spans="1:7" x14ac:dyDescent="0.2">
      <c r="A25" s="4" t="s">
        <v>265</v>
      </c>
      <c r="B25" s="18">
        <v>13.105</v>
      </c>
      <c r="C25" s="18">
        <v>14.412000000000001</v>
      </c>
      <c r="D25" s="18">
        <v>16.361000000000001</v>
      </c>
      <c r="E25" s="18">
        <v>38.122</v>
      </c>
      <c r="F25" s="18">
        <v>31.303000000000001</v>
      </c>
      <c r="G25" s="18">
        <v>29.071999999999999</v>
      </c>
    </row>
    <row r="26" spans="1:7" x14ac:dyDescent="0.2">
      <c r="A26" s="4" t="s">
        <v>266</v>
      </c>
      <c r="B26" s="18">
        <v>0.71099999999999997</v>
      </c>
      <c r="C26" s="18">
        <v>1.5660000000000001</v>
      </c>
      <c r="D26" s="18">
        <v>5.7789999999999999</v>
      </c>
      <c r="E26" s="18">
        <v>-2.6</v>
      </c>
      <c r="F26" s="18">
        <v>1.101</v>
      </c>
      <c r="G26" s="18">
        <v>3.5680000000000001</v>
      </c>
    </row>
    <row r="27" spans="1:7" x14ac:dyDescent="0.2">
      <c r="A27" s="4" t="s">
        <v>267</v>
      </c>
      <c r="B27" s="18">
        <v>1.498</v>
      </c>
      <c r="C27" s="18">
        <v>41.567</v>
      </c>
      <c r="D27" s="18">
        <v>-249.5</v>
      </c>
      <c r="E27" s="18">
        <v>-181.8</v>
      </c>
      <c r="F27" s="18">
        <v>73.968999999999994</v>
      </c>
      <c r="G27" s="18">
        <v>-325.3</v>
      </c>
    </row>
    <row r="28" spans="1:7" x14ac:dyDescent="0.2">
      <c r="A28" s="4" t="s">
        <v>268</v>
      </c>
      <c r="B28" s="18">
        <v>-24.6</v>
      </c>
      <c r="C28" s="18">
        <v>-15</v>
      </c>
      <c r="D28" s="18">
        <v>-47</v>
      </c>
      <c r="E28" s="18">
        <v>-35.1</v>
      </c>
      <c r="F28" s="18">
        <v>-56.8</v>
      </c>
      <c r="G28" s="18">
        <v>-13.3</v>
      </c>
    </row>
    <row r="29" spans="1:7" x14ac:dyDescent="0.2">
      <c r="A29" s="4" t="s">
        <v>269</v>
      </c>
      <c r="B29" s="18">
        <v>-2</v>
      </c>
      <c r="C29" s="18">
        <v>-48.2</v>
      </c>
      <c r="D29" s="18">
        <v>-13.5</v>
      </c>
      <c r="E29" s="18">
        <v>-43.1</v>
      </c>
      <c r="F29" s="18">
        <v>-91.6</v>
      </c>
      <c r="G29" s="18">
        <v>86.35</v>
      </c>
    </row>
    <row r="30" spans="1:7" x14ac:dyDescent="0.2">
      <c r="A30" s="4" t="s">
        <v>270</v>
      </c>
      <c r="B30" s="18">
        <v>12.952999999999999</v>
      </c>
      <c r="C30" s="18">
        <v>6.032</v>
      </c>
      <c r="D30" s="18">
        <v>23.228999999999999</v>
      </c>
      <c r="E30" s="18">
        <v>34.868000000000002</v>
      </c>
      <c r="F30" s="18">
        <v>41.701000000000001</v>
      </c>
      <c r="G30" s="18">
        <v>37.197000000000003</v>
      </c>
    </row>
    <row r="31" spans="1:7" x14ac:dyDescent="0.2">
      <c r="A31" s="4" t="s">
        <v>271</v>
      </c>
      <c r="B31" s="18">
        <v>-2.2000000000000002</v>
      </c>
      <c r="C31" s="18">
        <v>0.90200000000000002</v>
      </c>
      <c r="D31" s="18">
        <v>203.47900000000001</v>
      </c>
      <c r="E31" s="18">
        <v>19.248000000000001</v>
      </c>
      <c r="F31" s="18">
        <v>54.158000000000001</v>
      </c>
      <c r="G31" s="18">
        <v>316.54599999999999</v>
      </c>
    </row>
    <row r="32" spans="1:7" x14ac:dyDescent="0.2">
      <c r="A32" s="4" t="s">
        <v>272</v>
      </c>
      <c r="B32" s="18">
        <v>27.768000000000001</v>
      </c>
      <c r="C32" s="18">
        <v>-55.1</v>
      </c>
      <c r="D32" s="18">
        <v>-33.799999999999997</v>
      </c>
      <c r="E32" s="18">
        <v>-20.5</v>
      </c>
      <c r="F32" s="18">
        <v>-39.200000000000003</v>
      </c>
      <c r="G32" s="18">
        <v>-60.3</v>
      </c>
    </row>
    <row r="33" spans="1:7" ht="10.5" x14ac:dyDescent="0.2">
      <c r="A33" s="9" t="s">
        <v>273</v>
      </c>
      <c r="B33" s="27">
        <v>114.16200000000001</v>
      </c>
      <c r="C33" s="27">
        <v>89.957999999999998</v>
      </c>
      <c r="D33" s="27">
        <v>266.90199999999999</v>
      </c>
      <c r="E33" s="27">
        <v>567.16499999999996</v>
      </c>
      <c r="F33" s="27">
        <v>603.14200000000005</v>
      </c>
      <c r="G33" s="27">
        <v>930.44399999999996</v>
      </c>
    </row>
    <row r="34" spans="1:7" x14ac:dyDescent="0.2">
      <c r="A34" s="4"/>
      <c r="B34" s="4"/>
      <c r="C34" s="4"/>
      <c r="D34" s="4"/>
      <c r="E34" s="4"/>
      <c r="F34" s="4"/>
      <c r="G34" s="4"/>
    </row>
    <row r="35" spans="1:7" x14ac:dyDescent="0.2">
      <c r="A35" s="4" t="s">
        <v>274</v>
      </c>
      <c r="B35" s="18">
        <v>-12</v>
      </c>
      <c r="C35" s="18">
        <v>-36.6</v>
      </c>
      <c r="D35" s="18">
        <v>-42</v>
      </c>
      <c r="E35" s="18">
        <v>-55.9</v>
      </c>
      <c r="F35" s="18">
        <v>-104.2</v>
      </c>
      <c r="G35" s="18">
        <v>-115.6</v>
      </c>
    </row>
    <row r="36" spans="1:7" x14ac:dyDescent="0.2">
      <c r="A36" s="4" t="s">
        <v>275</v>
      </c>
      <c r="B36" s="18">
        <v>1.8560000000000001</v>
      </c>
      <c r="C36" s="18">
        <v>0.61599999999999999</v>
      </c>
      <c r="D36" s="18" t="s">
        <v>30</v>
      </c>
      <c r="E36" s="18" t="s">
        <v>30</v>
      </c>
      <c r="F36" s="18" t="s">
        <v>30</v>
      </c>
      <c r="G36" s="18" t="s">
        <v>30</v>
      </c>
    </row>
    <row r="37" spans="1:7" x14ac:dyDescent="0.2">
      <c r="A37" s="4" t="s">
        <v>276</v>
      </c>
      <c r="B37" s="18" t="s">
        <v>30</v>
      </c>
      <c r="C37" s="18" t="s">
        <v>30</v>
      </c>
      <c r="D37" s="18" t="s">
        <v>30</v>
      </c>
      <c r="E37" s="18" t="s">
        <v>30</v>
      </c>
      <c r="F37" s="18">
        <v>-2046.9</v>
      </c>
      <c r="G37" s="18" t="s">
        <v>30</v>
      </c>
    </row>
    <row r="38" spans="1:7" x14ac:dyDescent="0.2">
      <c r="A38" s="4" t="s">
        <v>277</v>
      </c>
      <c r="B38" s="18" t="s">
        <v>30</v>
      </c>
      <c r="C38" s="18" t="s">
        <v>30</v>
      </c>
      <c r="D38" s="18" t="s">
        <v>30</v>
      </c>
      <c r="E38" s="18" t="s">
        <v>30</v>
      </c>
      <c r="F38" s="18" t="s">
        <v>30</v>
      </c>
      <c r="G38" s="18" t="s">
        <v>30</v>
      </c>
    </row>
    <row r="39" spans="1:7" x14ac:dyDescent="0.2">
      <c r="A39" s="4" t="s">
        <v>278</v>
      </c>
      <c r="B39" s="18" t="s">
        <v>30</v>
      </c>
      <c r="C39" s="18" t="s">
        <v>30</v>
      </c>
      <c r="D39" s="18" t="s">
        <v>30</v>
      </c>
      <c r="E39" s="18" t="s">
        <v>30</v>
      </c>
      <c r="F39" s="18" t="s">
        <v>30</v>
      </c>
      <c r="G39" s="18" t="s">
        <v>30</v>
      </c>
    </row>
    <row r="40" spans="1:7" x14ac:dyDescent="0.2">
      <c r="A40" s="4" t="s">
        <v>279</v>
      </c>
      <c r="B40" s="18" t="s">
        <v>30</v>
      </c>
      <c r="C40" s="18" t="s">
        <v>30</v>
      </c>
      <c r="D40" s="18" t="s">
        <v>30</v>
      </c>
      <c r="E40" s="18" t="s">
        <v>30</v>
      </c>
      <c r="F40" s="18" t="s">
        <v>30</v>
      </c>
      <c r="G40" s="18" t="s">
        <v>30</v>
      </c>
    </row>
    <row r="41" spans="1:7" x14ac:dyDescent="0.2">
      <c r="A41" s="4" t="s">
        <v>280</v>
      </c>
      <c r="B41" s="18">
        <v>1.2999999999999999E-2</v>
      </c>
      <c r="C41" s="18">
        <v>-0.3</v>
      </c>
      <c r="D41" s="18">
        <v>0.27100000000000002</v>
      </c>
      <c r="E41" s="18">
        <v>0</v>
      </c>
      <c r="F41" s="18">
        <v>0</v>
      </c>
      <c r="G41" s="18">
        <v>0</v>
      </c>
    </row>
    <row r="42" spans="1:7" ht="10.5" x14ac:dyDescent="0.2">
      <c r="A42" s="9" t="s">
        <v>281</v>
      </c>
      <c r="B42" s="27">
        <v>-10.1</v>
      </c>
      <c r="C42" s="27">
        <v>-36.200000000000003</v>
      </c>
      <c r="D42" s="27">
        <v>-41.8</v>
      </c>
      <c r="E42" s="27">
        <v>-55.9</v>
      </c>
      <c r="F42" s="27">
        <v>-2151.1</v>
      </c>
      <c r="G42" s="27">
        <v>-115.7</v>
      </c>
    </row>
    <row r="43" spans="1:7" x14ac:dyDescent="0.2">
      <c r="A43" s="4"/>
      <c r="B43" s="4"/>
      <c r="C43" s="4"/>
      <c r="D43" s="4"/>
      <c r="E43" s="4"/>
      <c r="F43" s="4"/>
      <c r="G43" s="4"/>
    </row>
    <row r="44" spans="1:7" x14ac:dyDescent="0.2">
      <c r="A44" s="4" t="s">
        <v>282</v>
      </c>
      <c r="B44" s="18" t="s">
        <v>30</v>
      </c>
      <c r="C44" s="18" t="s">
        <v>30</v>
      </c>
      <c r="D44" s="18" t="s">
        <v>30</v>
      </c>
      <c r="E44" s="18" t="s">
        <v>30</v>
      </c>
      <c r="F44" s="18" t="s">
        <v>30</v>
      </c>
      <c r="G44" s="18" t="s">
        <v>30</v>
      </c>
    </row>
    <row r="45" spans="1:7" x14ac:dyDescent="0.2">
      <c r="A45" s="4" t="s">
        <v>283</v>
      </c>
      <c r="B45" s="18">
        <v>120</v>
      </c>
      <c r="C45" s="18">
        <v>315</v>
      </c>
      <c r="D45" s="18">
        <v>210</v>
      </c>
      <c r="E45" s="18">
        <v>1090</v>
      </c>
      <c r="F45" s="18">
        <v>2169.8980000000001</v>
      </c>
      <c r="G45" s="18">
        <v>257.90499999999997</v>
      </c>
    </row>
    <row r="46" spans="1:7" ht="10.5" x14ac:dyDescent="0.2">
      <c r="A46" s="9" t="s">
        <v>284</v>
      </c>
      <c r="B46" s="27">
        <v>120</v>
      </c>
      <c r="C46" s="27">
        <v>315</v>
      </c>
      <c r="D46" s="27">
        <v>210</v>
      </c>
      <c r="E46" s="27">
        <v>1090</v>
      </c>
      <c r="F46" s="27">
        <v>2169.8980000000001</v>
      </c>
      <c r="G46" s="27">
        <v>257.90499999999997</v>
      </c>
    </row>
    <row r="47" spans="1:7" x14ac:dyDescent="0.2">
      <c r="A47" s="4" t="s">
        <v>285</v>
      </c>
      <c r="B47" s="18" t="s">
        <v>30</v>
      </c>
      <c r="C47" s="18" t="s">
        <v>30</v>
      </c>
      <c r="D47" s="18" t="s">
        <v>30</v>
      </c>
      <c r="E47" s="18" t="s">
        <v>30</v>
      </c>
      <c r="F47" s="18" t="s">
        <v>30</v>
      </c>
      <c r="G47" s="18" t="s">
        <v>30</v>
      </c>
    </row>
    <row r="48" spans="1:7" x14ac:dyDescent="0.2">
      <c r="A48" s="4" t="s">
        <v>286</v>
      </c>
      <c r="B48" s="18">
        <v>-0.7</v>
      </c>
      <c r="C48" s="18">
        <v>-230</v>
      </c>
      <c r="D48" s="18">
        <v>-235</v>
      </c>
      <c r="E48" s="18">
        <v>-485</v>
      </c>
      <c r="F48" s="18">
        <v>-575.29999999999995</v>
      </c>
      <c r="G48" s="18">
        <v>-923.7</v>
      </c>
    </row>
    <row r="49" spans="1:7" ht="10.5" x14ac:dyDescent="0.2">
      <c r="A49" s="9" t="s">
        <v>287</v>
      </c>
      <c r="B49" s="27">
        <v>-0.7</v>
      </c>
      <c r="C49" s="27">
        <v>-230</v>
      </c>
      <c r="D49" s="27">
        <v>-235</v>
      </c>
      <c r="E49" s="27">
        <v>-485</v>
      </c>
      <c r="F49" s="27">
        <v>-575.29999999999995</v>
      </c>
      <c r="G49" s="27">
        <v>-923.7</v>
      </c>
    </row>
    <row r="50" spans="1:7" x14ac:dyDescent="0.2">
      <c r="A50" s="4"/>
      <c r="B50" s="4"/>
      <c r="C50" s="4"/>
      <c r="D50" s="4"/>
      <c r="E50" s="4"/>
      <c r="F50" s="4"/>
      <c r="G50" s="4"/>
    </row>
    <row r="51" spans="1:7" x14ac:dyDescent="0.2">
      <c r="A51" s="4" t="s">
        <v>288</v>
      </c>
      <c r="B51" s="18">
        <v>-63.1</v>
      </c>
      <c r="C51" s="18">
        <v>-148.69999999999999</v>
      </c>
      <c r="D51" s="18">
        <v>-173.9</v>
      </c>
      <c r="E51" s="18">
        <v>-1020.1</v>
      </c>
      <c r="F51" s="18">
        <v>-11.5</v>
      </c>
      <c r="G51" s="18">
        <v>-192.1</v>
      </c>
    </row>
    <row r="52" spans="1:7" x14ac:dyDescent="0.2">
      <c r="A52" s="4" t="s">
        <v>289</v>
      </c>
      <c r="B52" s="18">
        <v>-183.7</v>
      </c>
      <c r="C52" s="18" t="s">
        <v>30</v>
      </c>
      <c r="D52" s="18" t="s">
        <v>30</v>
      </c>
      <c r="E52" s="18" t="s">
        <v>30</v>
      </c>
      <c r="F52" s="18" t="s">
        <v>30</v>
      </c>
      <c r="G52" s="18" t="s">
        <v>30</v>
      </c>
    </row>
    <row r="53" spans="1:7" x14ac:dyDescent="0.2">
      <c r="A53" s="4"/>
      <c r="B53" s="4"/>
      <c r="C53" s="4"/>
      <c r="D53" s="4"/>
      <c r="E53" s="4"/>
      <c r="F53" s="4"/>
      <c r="G53" s="4"/>
    </row>
    <row r="54" spans="1:7" x14ac:dyDescent="0.2">
      <c r="A54" s="4" t="s">
        <v>290</v>
      </c>
      <c r="B54" s="18">
        <v>-21</v>
      </c>
      <c r="C54" s="18">
        <v>-3</v>
      </c>
      <c r="D54" s="18" t="s">
        <v>30</v>
      </c>
      <c r="E54" s="18" t="s">
        <v>30</v>
      </c>
      <c r="F54" s="18" t="s">
        <v>30</v>
      </c>
      <c r="G54" s="18" t="s">
        <v>30</v>
      </c>
    </row>
    <row r="55" spans="1:7" ht="10.5" x14ac:dyDescent="0.2">
      <c r="A55" s="9" t="s">
        <v>291</v>
      </c>
      <c r="B55" s="27">
        <v>-21</v>
      </c>
      <c r="C55" s="27">
        <v>-3</v>
      </c>
      <c r="D55" s="27" t="s">
        <v>30</v>
      </c>
      <c r="E55" s="27" t="s">
        <v>30</v>
      </c>
      <c r="F55" s="27" t="s">
        <v>30</v>
      </c>
      <c r="G55" s="27" t="s">
        <v>30</v>
      </c>
    </row>
    <row r="56" spans="1:7" x14ac:dyDescent="0.2">
      <c r="A56" s="4"/>
      <c r="B56" s="4"/>
      <c r="C56" s="4"/>
      <c r="D56" s="4"/>
      <c r="E56" s="4"/>
      <c r="F56" s="4"/>
      <c r="G56" s="4"/>
    </row>
    <row r="57" spans="1:7" x14ac:dyDescent="0.2">
      <c r="A57" s="4" t="s">
        <v>292</v>
      </c>
      <c r="B57" s="18" t="s">
        <v>30</v>
      </c>
      <c r="C57" s="18" t="s">
        <v>30</v>
      </c>
      <c r="D57" s="18" t="s">
        <v>30</v>
      </c>
      <c r="E57" s="18" t="s">
        <v>30</v>
      </c>
      <c r="F57" s="18" t="s">
        <v>30</v>
      </c>
      <c r="G57" s="18" t="s">
        <v>30</v>
      </c>
    </row>
    <row r="58" spans="1:7" x14ac:dyDescent="0.2">
      <c r="A58" s="4" t="s">
        <v>293</v>
      </c>
      <c r="B58" s="18">
        <v>-0.3</v>
      </c>
      <c r="C58" s="18">
        <v>-1.9</v>
      </c>
      <c r="D58" s="18">
        <v>0.85399999999999998</v>
      </c>
      <c r="E58" s="18">
        <v>-14.5</v>
      </c>
      <c r="F58" s="18">
        <v>-53.5</v>
      </c>
      <c r="G58" s="18">
        <v>-1.7</v>
      </c>
    </row>
    <row r="59" spans="1:7" ht="10.5" x14ac:dyDescent="0.2">
      <c r="A59" s="9" t="s">
        <v>294</v>
      </c>
      <c r="B59" s="27">
        <v>-148.80000000000001</v>
      </c>
      <c r="C59" s="27">
        <v>-68.599999999999994</v>
      </c>
      <c r="D59" s="27">
        <v>-198</v>
      </c>
      <c r="E59" s="27">
        <v>-429.6</v>
      </c>
      <c r="F59" s="27">
        <v>1529.6590000000001</v>
      </c>
      <c r="G59" s="27">
        <v>-859.6</v>
      </c>
    </row>
    <row r="60" spans="1:7" x14ac:dyDescent="0.2">
      <c r="A60" s="4"/>
      <c r="B60" s="4"/>
      <c r="C60" s="4"/>
      <c r="D60" s="4"/>
      <c r="E60" s="4"/>
      <c r="F60" s="4"/>
      <c r="G60" s="4"/>
    </row>
    <row r="61" spans="1:7" x14ac:dyDescent="0.2">
      <c r="A61" s="4" t="s">
        <v>295</v>
      </c>
      <c r="B61" s="18">
        <v>-4.8</v>
      </c>
      <c r="C61" s="18">
        <v>-0.6</v>
      </c>
      <c r="D61" s="18">
        <v>0.126</v>
      </c>
      <c r="E61" s="18">
        <v>-4</v>
      </c>
      <c r="F61" s="18">
        <v>-3.8</v>
      </c>
      <c r="G61" s="18">
        <v>3.0779999999999998</v>
      </c>
    </row>
    <row r="62" spans="1:7" ht="10.5" x14ac:dyDescent="0.2">
      <c r="A62" s="9" t="s">
        <v>296</v>
      </c>
      <c r="B62" s="28">
        <v>-49.5</v>
      </c>
      <c r="C62" s="28">
        <v>-15.5</v>
      </c>
      <c r="D62" s="28">
        <v>27.228000000000002</v>
      </c>
      <c r="E62" s="28">
        <v>77.652000000000001</v>
      </c>
      <c r="F62" s="28">
        <v>-22</v>
      </c>
      <c r="G62" s="28">
        <v>-41.8</v>
      </c>
    </row>
    <row r="63" spans="1:7" x14ac:dyDescent="0.2">
      <c r="A63" s="4"/>
      <c r="B63" s="4"/>
      <c r="C63" s="4"/>
      <c r="D63" s="4"/>
      <c r="E63" s="4"/>
      <c r="F63" s="4"/>
      <c r="G63" s="4"/>
    </row>
    <row r="64" spans="1:7" ht="10.5" x14ac:dyDescent="0.2">
      <c r="A64" s="9" t="s">
        <v>143</v>
      </c>
      <c r="B64" s="4"/>
      <c r="C64" s="4"/>
      <c r="D64" s="4"/>
      <c r="E64" s="4"/>
      <c r="F64" s="4"/>
      <c r="G64" s="4"/>
    </row>
    <row r="65" spans="1:7" x14ac:dyDescent="0.2">
      <c r="A65" s="4" t="s">
        <v>297</v>
      </c>
      <c r="B65" s="18">
        <v>0.46200000000000002</v>
      </c>
      <c r="C65" s="18">
        <v>7.5190000000000001</v>
      </c>
      <c r="D65" s="18">
        <v>6.6580000000000004</v>
      </c>
      <c r="E65" s="18">
        <v>10.210000000000001</v>
      </c>
      <c r="F65" s="18">
        <v>127.809</v>
      </c>
      <c r="G65" s="18">
        <v>151.62100000000001</v>
      </c>
    </row>
    <row r="66" spans="1:7" x14ac:dyDescent="0.2">
      <c r="A66" s="4" t="s">
        <v>298</v>
      </c>
      <c r="B66" s="18">
        <v>18.632999999999999</v>
      </c>
      <c r="C66" s="18">
        <v>16.05</v>
      </c>
      <c r="D66" s="18">
        <v>20.815999999999999</v>
      </c>
      <c r="E66" s="18">
        <v>159.68</v>
      </c>
      <c r="F66" s="18">
        <v>13.084</v>
      </c>
      <c r="G66" s="18">
        <v>179.721</v>
      </c>
    </row>
    <row r="67" spans="1:7" x14ac:dyDescent="0.2">
      <c r="A67" s="4" t="s">
        <v>299</v>
      </c>
      <c r="B67" s="18">
        <v>100.365375</v>
      </c>
      <c r="C67" s="18">
        <v>40.923625000000001</v>
      </c>
      <c r="D67" s="18">
        <v>140.99212499999999</v>
      </c>
      <c r="E67" s="18">
        <v>431.83812499999999</v>
      </c>
      <c r="F67" s="18">
        <v>266.66674999999998</v>
      </c>
      <c r="G67" s="18">
        <v>646.62537499999996</v>
      </c>
    </row>
    <row r="68" spans="1:7" x14ac:dyDescent="0.2">
      <c r="A68" s="4" t="s">
        <v>300</v>
      </c>
      <c r="B68" s="18">
        <v>100.96225</v>
      </c>
      <c r="C68" s="18">
        <v>46.321125000000002</v>
      </c>
      <c r="D68" s="18">
        <v>145.20587499999999</v>
      </c>
      <c r="E68" s="18">
        <v>445.36750000000001</v>
      </c>
      <c r="F68" s="18">
        <v>351.76549999999997</v>
      </c>
      <c r="G68" s="18">
        <v>747.46974999999998</v>
      </c>
    </row>
    <row r="69" spans="1:7" x14ac:dyDescent="0.2">
      <c r="A69" s="4" t="s">
        <v>301</v>
      </c>
      <c r="B69" s="18">
        <v>-24.1</v>
      </c>
      <c r="C69" s="18">
        <v>36.051000000000002</v>
      </c>
      <c r="D69" s="18">
        <v>4.0279999999999996</v>
      </c>
      <c r="E69" s="18">
        <v>-4.5</v>
      </c>
      <c r="F69" s="18">
        <v>166.82900000000001</v>
      </c>
      <c r="G69" s="18">
        <v>-126.2</v>
      </c>
    </row>
    <row r="70" spans="1:7" x14ac:dyDescent="0.2">
      <c r="A70" s="4" t="s">
        <v>302</v>
      </c>
      <c r="B70" s="18">
        <v>119.33799999999999</v>
      </c>
      <c r="C70" s="18">
        <v>85</v>
      </c>
      <c r="D70" s="18">
        <v>-25</v>
      </c>
      <c r="E70" s="18">
        <v>605</v>
      </c>
      <c r="F70" s="18">
        <v>1594.6130000000001</v>
      </c>
      <c r="G70" s="18">
        <v>-665.8</v>
      </c>
    </row>
    <row r="71" spans="1:7" x14ac:dyDescent="0.2">
      <c r="A71" s="4" t="s">
        <v>154</v>
      </c>
      <c r="B71" s="31">
        <v>44250</v>
      </c>
      <c r="C71" s="31">
        <v>44608</v>
      </c>
      <c r="D71" s="31">
        <v>44973</v>
      </c>
      <c r="E71" s="31">
        <v>45337</v>
      </c>
      <c r="F71" s="31">
        <v>45337</v>
      </c>
      <c r="G71" s="31">
        <v>45337</v>
      </c>
    </row>
    <row r="72" spans="1:7" x14ac:dyDescent="0.2">
      <c r="A72" s="4" t="s">
        <v>155</v>
      </c>
      <c r="B72" s="17" t="s">
        <v>242</v>
      </c>
      <c r="C72" s="17" t="s">
        <v>242</v>
      </c>
      <c r="D72" s="17" t="s">
        <v>242</v>
      </c>
      <c r="E72" s="17" t="s">
        <v>242</v>
      </c>
      <c r="F72" s="17" t="s">
        <v>242</v>
      </c>
      <c r="G72" s="17" t="s">
        <v>157</v>
      </c>
    </row>
    <row r="73" spans="1:7" x14ac:dyDescent="0.2">
      <c r="A73" s="4" t="s">
        <v>158</v>
      </c>
      <c r="B73" s="17" t="s">
        <v>159</v>
      </c>
      <c r="C73" s="17" t="s">
        <v>159</v>
      </c>
      <c r="D73" s="17" t="s">
        <v>159</v>
      </c>
      <c r="E73" s="17" t="s">
        <v>159</v>
      </c>
      <c r="F73" s="17" t="s">
        <v>159</v>
      </c>
      <c r="G73" s="17" t="s">
        <v>159</v>
      </c>
    </row>
    <row r="74" spans="1:7" x14ac:dyDescent="0.2">
      <c r="A74" s="4"/>
      <c r="B74" s="4"/>
      <c r="C74" s="4"/>
      <c r="D74" s="4"/>
      <c r="E74" s="4"/>
      <c r="F74" s="4"/>
      <c r="G74" s="4"/>
    </row>
    <row r="75" spans="1:7" ht="60" x14ac:dyDescent="0.2">
      <c r="A75" s="36" t="s">
        <v>72</v>
      </c>
      <c r="B75" s="11"/>
      <c r="C75" s="11"/>
      <c r="D75" s="11"/>
      <c r="E75" s="11"/>
      <c r="F75" s="11"/>
      <c r="G75" s="11"/>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0" tint="-4.9989318521683403E-2"/>
  </sheetPr>
  <dimension ref="A1:Q59"/>
  <sheetViews>
    <sheetView topLeftCell="A48" zoomScale="145" zoomScaleNormal="145" workbookViewId="0">
      <selection activeCell="N1" sqref="N1:Q49"/>
    </sheetView>
  </sheetViews>
  <sheetFormatPr defaultColWidth="9.08984375" defaultRowHeight="11.5" x14ac:dyDescent="0.25"/>
  <cols>
    <col min="1" max="2" width="2.6328125" style="41" customWidth="1"/>
    <col min="3" max="3" width="26.08984375" style="41" customWidth="1"/>
    <col min="4" max="4" width="12.08984375" style="41" customWidth="1"/>
    <col min="5" max="5" width="13.6328125" style="74" bestFit="1" customWidth="1"/>
    <col min="6" max="6" width="9.6328125" style="74" customWidth="1"/>
    <col min="7" max="12" width="9.6328125" style="41" customWidth="1"/>
    <col min="13" max="16384" width="9.08984375" style="41"/>
  </cols>
  <sheetData>
    <row r="1" spans="1:17" ht="12.75" customHeight="1" x14ac:dyDescent="0.25">
      <c r="A1" s="38" t="s">
        <v>468</v>
      </c>
      <c r="B1" s="75"/>
      <c r="C1" s="39"/>
      <c r="D1" s="39"/>
      <c r="E1" s="40"/>
      <c r="F1" s="40"/>
      <c r="G1" s="38"/>
      <c r="H1" s="38"/>
      <c r="I1" s="38"/>
      <c r="J1" s="38"/>
      <c r="K1" s="38"/>
      <c r="L1" s="38"/>
      <c r="M1" s="38"/>
      <c r="N1" s="38"/>
      <c r="O1" s="38"/>
      <c r="P1" s="38"/>
      <c r="Q1" s="38"/>
    </row>
    <row r="2" spans="1:17" ht="12.75" customHeight="1" x14ac:dyDescent="0.25">
      <c r="A2" s="42" t="s">
        <v>469</v>
      </c>
      <c r="B2" s="76"/>
      <c r="C2" s="43"/>
      <c r="D2" s="205"/>
      <c r="E2" s="44" t="s">
        <v>436</v>
      </c>
      <c r="F2" s="44"/>
      <c r="G2" s="45"/>
      <c r="H2" s="46" t="s">
        <v>437</v>
      </c>
      <c r="I2" s="47"/>
      <c r="J2" s="48"/>
      <c r="K2" s="47"/>
      <c r="L2" s="47"/>
      <c r="M2" s="47"/>
      <c r="N2" s="47"/>
      <c r="O2" s="47"/>
      <c r="P2" s="47"/>
      <c r="Q2" s="47"/>
    </row>
    <row r="3" spans="1:17" ht="5.25" customHeight="1" x14ac:dyDescent="0.25">
      <c r="A3" s="42"/>
      <c r="B3" s="76"/>
      <c r="C3" s="43"/>
      <c r="D3" s="43"/>
      <c r="E3" s="50"/>
      <c r="F3" s="50"/>
      <c r="G3" s="207"/>
      <c r="H3" s="51"/>
      <c r="I3" s="51"/>
      <c r="J3" s="51"/>
      <c r="K3" s="51"/>
      <c r="L3" s="51"/>
      <c r="M3" s="51"/>
      <c r="N3" s="51"/>
      <c r="O3" s="51"/>
      <c r="P3" s="51"/>
      <c r="Q3" s="51"/>
    </row>
    <row r="4" spans="1:17" ht="12.75" customHeight="1" x14ac:dyDescent="0.25">
      <c r="A4" s="52" t="s">
        <v>546</v>
      </c>
      <c r="B4" s="77"/>
      <c r="C4" s="78"/>
      <c r="D4" s="55">
        <v>2020</v>
      </c>
      <c r="E4" s="55">
        <v>2021</v>
      </c>
      <c r="F4" s="55">
        <f t="shared" ref="F4:L4" si="0">E4+1</f>
        <v>2022</v>
      </c>
      <c r="G4" s="208">
        <f t="shared" si="0"/>
        <v>2023</v>
      </c>
      <c r="H4" s="56">
        <f t="shared" si="0"/>
        <v>2024</v>
      </c>
      <c r="I4" s="56">
        <f t="shared" si="0"/>
        <v>2025</v>
      </c>
      <c r="J4" s="56">
        <f t="shared" si="0"/>
        <v>2026</v>
      </c>
      <c r="K4" s="56">
        <f t="shared" si="0"/>
        <v>2027</v>
      </c>
      <c r="L4" s="56">
        <f t="shared" si="0"/>
        <v>2028</v>
      </c>
      <c r="M4" s="56">
        <f t="shared" ref="M4" si="1">L4+1</f>
        <v>2029</v>
      </c>
      <c r="N4" s="56">
        <f t="shared" ref="N4" si="2">M4+1</f>
        <v>2030</v>
      </c>
      <c r="O4" s="56">
        <f t="shared" ref="O4" si="3">N4+1</f>
        <v>2031</v>
      </c>
      <c r="P4" s="56">
        <f t="shared" ref="P4" si="4">O4+1</f>
        <v>2032</v>
      </c>
      <c r="Q4" s="56">
        <f t="shared" ref="Q4" si="5">P4+1</f>
        <v>2033</v>
      </c>
    </row>
    <row r="5" spans="1:17" ht="21" customHeight="1" x14ac:dyDescent="0.25">
      <c r="A5" s="60" t="s">
        <v>96</v>
      </c>
      <c r="B5" s="79"/>
      <c r="C5" s="80"/>
      <c r="D5" s="81">
        <f>'Income Statement'!D20</f>
        <v>1385.951</v>
      </c>
      <c r="E5" s="81">
        <f>'Income Statement'!E20</f>
        <v>2313.4160000000002</v>
      </c>
      <c r="F5" s="81">
        <f>'Income Statement'!F20</f>
        <v>3554.9850000000001</v>
      </c>
      <c r="G5" s="209">
        <f>'Income Statement'!G20</f>
        <v>3962.3470000000002</v>
      </c>
      <c r="H5" s="81">
        <f>G5*(1+H6)</f>
        <v>4160.4643500000002</v>
      </c>
      <c r="I5" s="81">
        <f t="shared" ref="I5:L5" ca="1" si="6">H5*(1+I6)</f>
        <v>4255.6716122720682</v>
      </c>
      <c r="J5" s="81">
        <f t="shared" ca="1" si="6"/>
        <v>4336.7290678214313</v>
      </c>
      <c r="K5" s="81">
        <f t="shared" ca="1" si="6"/>
        <v>4436.896229934172</v>
      </c>
      <c r="L5" s="81">
        <f t="shared" ca="1" si="6"/>
        <v>4643.6170010325513</v>
      </c>
      <c r="M5" s="81">
        <f t="shared" ref="M5" ca="1" si="7">L5*(1+M6)</f>
        <v>4763.5245150257952</v>
      </c>
      <c r="N5" s="81">
        <f t="shared" ref="N5" ca="1" si="8">M5*(1+N6)</f>
        <v>4830.4918118200776</v>
      </c>
      <c r="O5" s="81">
        <f t="shared" ref="O5" ca="1" si="9">N5*(1+O6)</f>
        <v>4840.5541657104277</v>
      </c>
      <c r="P5" s="81">
        <f t="shared" ref="P5" ca="1" si="10">O5*(1+P6)</f>
        <v>4885.1264845728401</v>
      </c>
      <c r="Q5" s="81">
        <f t="shared" ref="Q5" ca="1" si="11">P5*(1+Q6)</f>
        <v>4914.9215009253276</v>
      </c>
    </row>
    <row r="6" spans="1:17" ht="12.75" customHeight="1" x14ac:dyDescent="0.3">
      <c r="A6" s="59"/>
      <c r="B6" s="66" t="s">
        <v>471</v>
      </c>
      <c r="D6" s="85"/>
      <c r="E6" s="85"/>
      <c r="F6" s="84">
        <f>F5/E5-1</f>
        <v>0.53668211856406289</v>
      </c>
      <c r="G6" s="210">
        <f>G5/F5-1</f>
        <v>0.11458895044564188</v>
      </c>
      <c r="H6" s="191">
        <f>DCF!G18</f>
        <v>0.05</v>
      </c>
      <c r="I6" s="191">
        <f ca="1">DCF!H18</f>
        <v>2.2883806773171259E-2</v>
      </c>
      <c r="J6" s="191">
        <f ca="1">DCF!I18</f>
        <v>1.9046924418608255E-2</v>
      </c>
      <c r="K6" s="191">
        <f ca="1">DCF!J18</f>
        <v>2.3097399110307028E-2</v>
      </c>
      <c r="L6" s="191">
        <f ca="1">DCF!K18</f>
        <v>4.6591301753623887E-2</v>
      </c>
      <c r="M6" s="191">
        <f ca="1">DCF!L18</f>
        <v>2.5822007707909836E-2</v>
      </c>
      <c r="N6" s="191">
        <f ca="1">DCF!M18</f>
        <v>1.405835040484082E-2</v>
      </c>
      <c r="O6" s="191">
        <f ca="1">DCF!N18</f>
        <v>2.0830909734136363E-3</v>
      </c>
      <c r="P6" s="191">
        <f ca="1">DCF!O18</f>
        <v>9.2081024892055503E-3</v>
      </c>
      <c r="Q6" s="191">
        <f ca="1">DCF!P18</f>
        <v>6.0991289471378175E-3</v>
      </c>
    </row>
    <row r="7" spans="1:17" ht="21" customHeight="1" x14ac:dyDescent="0.3">
      <c r="A7" s="60" t="s">
        <v>472</v>
      </c>
      <c r="B7" s="59"/>
      <c r="C7" s="83"/>
      <c r="D7" s="169">
        <f>'Income Statement'!D22</f>
        <v>636.00300000000004</v>
      </c>
      <c r="E7" s="169">
        <f>'Income Statement'!E22</f>
        <v>893.19600000000003</v>
      </c>
      <c r="F7" s="169">
        <f>'Income Statement'!F22</f>
        <v>1694.703</v>
      </c>
      <c r="G7" s="211">
        <f>'Income Statement'!G22</f>
        <v>1752.337</v>
      </c>
      <c r="H7" s="169">
        <f ca="1">H8+H9</f>
        <v>1874.2204963096751</v>
      </c>
      <c r="I7" s="169">
        <f t="shared" ref="I7:L7" ca="1" si="12">I8+I9</f>
        <v>1927.1571030742484</v>
      </c>
      <c r="J7" s="169">
        <f t="shared" ca="1" si="12"/>
        <v>1976.8489282292076</v>
      </c>
      <c r="K7" s="169">
        <f t="shared" ca="1" si="12"/>
        <v>2043.8483859161502</v>
      </c>
      <c r="L7" s="169">
        <f t="shared" ca="1" si="12"/>
        <v>2155.5569422030117</v>
      </c>
      <c r="M7" s="169">
        <f t="shared" ref="M7" ca="1" si="13">M8+M9</f>
        <v>2229.5045351336498</v>
      </c>
      <c r="N7" s="169">
        <f t="shared" ref="N7" ca="1" si="14">N8+N9</f>
        <v>2280.397634788902</v>
      </c>
      <c r="O7" s="169">
        <f t="shared" ref="O7" ca="1" si="15">O8+O9</f>
        <v>2267.0882231688365</v>
      </c>
      <c r="P7" s="169">
        <f t="shared" ref="P7" ca="1" si="16">P8+P9</f>
        <v>2297.4018634346148</v>
      </c>
      <c r="Q7" s="169">
        <f t="shared" ref="Q7" ca="1" si="17">Q8+Q9</f>
        <v>2318.3330120812507</v>
      </c>
    </row>
    <row r="8" spans="1:17" ht="21" customHeight="1" x14ac:dyDescent="0.3">
      <c r="A8" s="60"/>
      <c r="B8" s="59" t="s">
        <v>594</v>
      </c>
      <c r="C8" s="83"/>
      <c r="D8" s="169">
        <v>0</v>
      </c>
      <c r="E8" s="169">
        <f>Scratch!F28</f>
        <v>6.234</v>
      </c>
      <c r="F8" s="169">
        <f>Scratch!G28</f>
        <v>10.042999999999999</v>
      </c>
      <c r="G8" s="169">
        <f>Scratch!H28</f>
        <v>18.809000000000001</v>
      </c>
      <c r="H8" s="169">
        <f>DCF!$D$7*DA!G23</f>
        <v>39.147704164285713</v>
      </c>
      <c r="I8" s="169">
        <f ca="1">DCF!$D$7*DA!H23</f>
        <v>50.090859738699599</v>
      </c>
      <c r="J8" s="169">
        <f ca="1">DCF!$D$7*DA!I23</f>
        <v>64.030346028125635</v>
      </c>
      <c r="K8" s="169">
        <f ca="1">DCF!$D$7*DA!J23</f>
        <v>86.848669496358511</v>
      </c>
      <c r="L8" s="169">
        <f ca="1">DCF!$D$7*DA!K23</f>
        <v>107.37806146374892</v>
      </c>
      <c r="M8" s="169">
        <f ca="1">DCF!$D$7*DA!L23</f>
        <v>128.43756354875998</v>
      </c>
      <c r="N8" s="169">
        <f ca="1">DCF!$D$7*DA!M23</f>
        <v>149.79312749343364</v>
      </c>
      <c r="O8" s="169">
        <f ca="1">DCF!$D$7*DA!N23</f>
        <v>132.04547285630687</v>
      </c>
      <c r="P8" s="169">
        <f ca="1">DCF!$D$7*DA!O23</f>
        <v>142.69942065837208</v>
      </c>
      <c r="Q8" s="169">
        <f ca="1">DCF!$D$7*DA!P23</f>
        <v>150.48876126380296</v>
      </c>
    </row>
    <row r="9" spans="1:17" ht="21" customHeight="1" x14ac:dyDescent="0.3">
      <c r="A9" s="60"/>
      <c r="B9" s="59" t="s">
        <v>593</v>
      </c>
      <c r="C9" s="83"/>
      <c r="D9" s="169">
        <f>D7-D8</f>
        <v>636.00300000000004</v>
      </c>
      <c r="E9" s="169">
        <f t="shared" ref="E9:G9" si="18">E7-E8</f>
        <v>886.96199999999999</v>
      </c>
      <c r="F9" s="169">
        <f t="shared" si="18"/>
        <v>1684.66</v>
      </c>
      <c r="G9" s="169">
        <f t="shared" si="18"/>
        <v>1733.528</v>
      </c>
      <c r="H9" s="169">
        <f ca="1">H5*H10</f>
        <v>1835.0727921453895</v>
      </c>
      <c r="I9" s="169">
        <f t="shared" ref="I9:L9" ca="1" si="19">I5*I10</f>
        <v>1877.0662433355487</v>
      </c>
      <c r="J9" s="169">
        <f t="shared" ref="J9" ca="1" si="20">J5*J10</f>
        <v>1912.8185822010819</v>
      </c>
      <c r="K9" s="169">
        <f t="shared" ref="K9" ca="1" si="21">K5*K10</f>
        <v>1956.9997164197916</v>
      </c>
      <c r="L9" s="169">
        <f t="shared" ref="L9" ca="1" si="22">L5*L10</f>
        <v>2048.1788807392627</v>
      </c>
      <c r="M9" s="169">
        <f t="shared" ref="M9" ca="1" si="23">M5*M10</f>
        <v>2101.0669715848899</v>
      </c>
      <c r="N9" s="169">
        <f t="shared" ref="N9" ca="1" si="24">N5*N10</f>
        <v>2130.6045072954685</v>
      </c>
      <c r="O9" s="169">
        <f t="shared" ref="O9" ca="1" si="25">O5*O10</f>
        <v>2135.0427503125297</v>
      </c>
      <c r="P9" s="169">
        <f t="shared" ref="P9" ca="1" si="26">P5*P10</f>
        <v>2154.7024427762426</v>
      </c>
      <c r="Q9" s="169">
        <f t="shared" ref="Q9" ca="1" si="27">Q5*Q10</f>
        <v>2167.8442508174476</v>
      </c>
    </row>
    <row r="10" spans="1:17" ht="13" customHeight="1" x14ac:dyDescent="0.3">
      <c r="A10" s="60"/>
      <c r="C10" s="59" t="s">
        <v>623</v>
      </c>
      <c r="D10" s="231">
        <f>D9/D5</f>
        <v>0.45889284686110837</v>
      </c>
      <c r="E10" s="231">
        <f t="shared" ref="E10:G10" si="28">E9/E5</f>
        <v>0.38339926757660531</v>
      </c>
      <c r="F10" s="231">
        <f t="shared" si="28"/>
        <v>0.47388666900141635</v>
      </c>
      <c r="G10" s="231">
        <f t="shared" si="28"/>
        <v>0.43750029969611443</v>
      </c>
      <c r="H10" s="232">
        <f ca="1">DCF!$D$6</f>
        <v>0.44107403351392482</v>
      </c>
      <c r="I10" s="232">
        <f ca="1">DCF!$D$6</f>
        <v>0.44107403351392482</v>
      </c>
      <c r="J10" s="232">
        <f ca="1">DCF!$D$6</f>
        <v>0.44107403351392482</v>
      </c>
      <c r="K10" s="232">
        <f ca="1">DCF!$D$6</f>
        <v>0.44107403351392482</v>
      </c>
      <c r="L10" s="232">
        <f ca="1">DCF!$D$6</f>
        <v>0.44107403351392482</v>
      </c>
      <c r="M10" s="232">
        <f ca="1">DCF!$D$6</f>
        <v>0.44107403351392482</v>
      </c>
      <c r="N10" s="232">
        <f ca="1">DCF!$D$6</f>
        <v>0.44107403351392482</v>
      </c>
      <c r="O10" s="232">
        <f ca="1">DCF!$D$6</f>
        <v>0.44107403351392482</v>
      </c>
      <c r="P10" s="232">
        <f ca="1">DCF!$D$6</f>
        <v>0.44107403351392482</v>
      </c>
      <c r="Q10" s="232">
        <f ca="1">DCF!$D$6</f>
        <v>0.44107403351392482</v>
      </c>
    </row>
    <row r="11" spans="1:17" ht="21" customHeight="1" x14ac:dyDescent="0.25">
      <c r="A11" s="60" t="s">
        <v>473</v>
      </c>
      <c r="C11" s="80"/>
      <c r="D11" s="88">
        <f>D5-D7</f>
        <v>749.94799999999998</v>
      </c>
      <c r="E11" s="88">
        <f>E5-E7</f>
        <v>1420.2200000000003</v>
      </c>
      <c r="F11" s="88">
        <f>F5-F7</f>
        <v>1860.2820000000002</v>
      </c>
      <c r="G11" s="212">
        <f>G5-G7</f>
        <v>2210.0100000000002</v>
      </c>
      <c r="H11" s="88">
        <f ca="1">H5-H7</f>
        <v>2286.2438536903251</v>
      </c>
      <c r="I11" s="88">
        <f t="shared" ref="I11:L11" ca="1" si="29">I5-I7</f>
        <v>2328.5145091978197</v>
      </c>
      <c r="J11" s="88">
        <f t="shared" ca="1" si="29"/>
        <v>2359.8801395922237</v>
      </c>
      <c r="K11" s="88">
        <f t="shared" ca="1" si="29"/>
        <v>2393.0478440180218</v>
      </c>
      <c r="L11" s="88">
        <f t="shared" ca="1" si="29"/>
        <v>2488.0600588295397</v>
      </c>
      <c r="M11" s="88">
        <f t="shared" ref="M11:N11" ca="1" si="30">M5-M7</f>
        <v>2534.0199798921453</v>
      </c>
      <c r="N11" s="88">
        <f t="shared" ca="1" si="30"/>
        <v>2550.0941770311756</v>
      </c>
      <c r="O11" s="88">
        <f t="shared" ref="O11:Q11" ca="1" si="31">O5-O7</f>
        <v>2573.4659425415912</v>
      </c>
      <c r="P11" s="88">
        <f t="shared" ca="1" si="31"/>
        <v>2587.7246211382253</v>
      </c>
      <c r="Q11" s="88">
        <f t="shared" ca="1" si="31"/>
        <v>2596.5884888440769</v>
      </c>
    </row>
    <row r="12" spans="1:17" ht="12.75" customHeight="1" x14ac:dyDescent="0.3">
      <c r="A12" s="59"/>
      <c r="B12" s="66" t="s">
        <v>474</v>
      </c>
      <c r="D12" s="84">
        <f>D11/D5</f>
        <v>0.54110715313889157</v>
      </c>
      <c r="E12" s="84">
        <f>E11/E5</f>
        <v>0.61390601603862005</v>
      </c>
      <c r="F12" s="84">
        <f>F11/F5</f>
        <v>0.52328828391680982</v>
      </c>
      <c r="G12" s="210">
        <f>G11/G5</f>
        <v>0.55775276622668335</v>
      </c>
      <c r="H12" s="84">
        <f ca="1">H11/H5</f>
        <v>0.54951651098520404</v>
      </c>
      <c r="I12" s="84">
        <f ca="1">I11/I5</f>
        <v>0.54715558937468034</v>
      </c>
      <c r="J12" s="84">
        <f ca="1">J11/J5</f>
        <v>0.5441613028359451</v>
      </c>
      <c r="K12" s="84">
        <f ca="1">K11/K5</f>
        <v>0.53935177205023932</v>
      </c>
      <c r="L12" s="84">
        <f ca="1">L11/L5</f>
        <v>0.53580216849845641</v>
      </c>
      <c r="M12" s="84">
        <f t="shared" ref="M12:N12" ca="1" si="32">M11/M5</f>
        <v>0.53196324945929729</v>
      </c>
      <c r="N12" s="84">
        <f t="shared" ca="1" si="32"/>
        <v>0.52791605417716825</v>
      </c>
      <c r="O12" s="84">
        <f t="shared" ref="O12" ca="1" si="33">O11/O5</f>
        <v>0.53164696735996431</v>
      </c>
      <c r="P12" s="84">
        <f t="shared" ref="P12" ca="1" si="34">P11/P5</f>
        <v>0.52971496834528697</v>
      </c>
      <c r="Q12" s="84">
        <f t="shared" ref="Q12" ca="1" si="35">Q11/Q5</f>
        <v>0.5283072147449801</v>
      </c>
    </row>
    <row r="13" spans="1:17" ht="21" customHeight="1" x14ac:dyDescent="0.25">
      <c r="A13" s="60" t="s">
        <v>570</v>
      </c>
      <c r="B13" s="59"/>
      <c r="C13" s="59"/>
      <c r="D13" s="90">
        <f>'Income Statement'!D25</f>
        <v>494.56599999999997</v>
      </c>
      <c r="E13" s="90">
        <f>'Income Statement'!E25</f>
        <v>716.49300000000005</v>
      </c>
      <c r="F13" s="90">
        <f>'Income Statement'!F25</f>
        <v>949.85799999999995</v>
      </c>
      <c r="G13" s="213">
        <f>'Income Statement'!G25</f>
        <v>1131.925</v>
      </c>
      <c r="H13" s="86">
        <f ca="1">H14+H15</f>
        <v>1134.8267263069508</v>
      </c>
      <c r="I13" s="86">
        <f ca="1">I14+I15</f>
        <v>1173.0759238154294</v>
      </c>
      <c r="J13" s="86">
        <f ca="1">J14+J15</f>
        <v>1211.290468292422</v>
      </c>
      <c r="K13" s="86">
        <f ca="1">K14+K15</f>
        <v>1265.3496031347884</v>
      </c>
      <c r="L13" s="86">
        <f ca="1">L14+L15</f>
        <v>1344.4497764738067</v>
      </c>
      <c r="M13" s="86">
        <f t="shared" ref="M13:N13" ca="1" si="36">M14+M15</f>
        <v>1401.5166839088743</v>
      </c>
      <c r="N13" s="86">
        <f t="shared" ca="1" si="36"/>
        <v>1445.1140721475817</v>
      </c>
      <c r="O13" s="86">
        <f t="shared" ref="O13" ca="1" si="37">O14+O15</f>
        <v>1426.0514250226292</v>
      </c>
      <c r="P13" s="86">
        <f t="shared" ref="P13" ca="1" si="38">P14+P15</f>
        <v>1450.7180588216104</v>
      </c>
      <c r="Q13" s="86">
        <f t="shared" ref="Q13" ca="1" si="39">Q14+Q15</f>
        <v>1468.0227289749369</v>
      </c>
    </row>
    <row r="14" spans="1:17" ht="12.75" customHeight="1" x14ac:dyDescent="0.25">
      <c r="A14" s="59"/>
      <c r="B14" s="59" t="s">
        <v>597</v>
      </c>
      <c r="C14" s="59"/>
      <c r="D14" s="74">
        <f>Scratch!E29</f>
        <v>0</v>
      </c>
      <c r="E14" s="74">
        <f>Scratch!F29</f>
        <v>8.7080000000000002</v>
      </c>
      <c r="F14" s="74">
        <f>Scratch!G29</f>
        <v>9.5990000000000002</v>
      </c>
      <c r="G14" s="214">
        <f>Scratch!H29</f>
        <v>12.875999999999999</v>
      </c>
      <c r="H14" s="193">
        <f>DCF!$D$9*DA!G23</f>
        <v>47.847193978571433</v>
      </c>
      <c r="I14" s="193">
        <f ca="1">DCF!$D$9*DA!H23</f>
        <v>61.222161902855071</v>
      </c>
      <c r="J14" s="193">
        <f ca="1">DCF!$D$9*DA!I23</f>
        <v>78.259311812153555</v>
      </c>
      <c r="K14" s="193">
        <f ca="1">DCF!$D$9*DA!J23</f>
        <v>106.14837382888263</v>
      </c>
      <c r="L14" s="193">
        <f ca="1">DCF!$D$9*DA!K23</f>
        <v>131.23985290013758</v>
      </c>
      <c r="M14" s="193">
        <f ca="1">DCF!$D$9*DA!L23</f>
        <v>156.97924433737333</v>
      </c>
      <c r="N14" s="193">
        <f ca="1">DCF!$D$9*DA!M23</f>
        <v>183.08048915864114</v>
      </c>
      <c r="O14" s="193">
        <f ca="1">DCF!$D$9*DA!N23</f>
        <v>161.38891126881953</v>
      </c>
      <c r="P14" s="193">
        <f ca="1">DCF!$D$9*DA!O23</f>
        <v>174.41040302689922</v>
      </c>
      <c r="Q14" s="193">
        <f ca="1">DCF!$D$9*DA!P23</f>
        <v>183.93070821131474</v>
      </c>
    </row>
    <row r="15" spans="1:17" ht="16.25" customHeight="1" x14ac:dyDescent="0.25">
      <c r="A15" s="59"/>
      <c r="B15" s="59" t="s">
        <v>598</v>
      </c>
      <c r="C15" s="59"/>
      <c r="D15" s="74">
        <f>D13-D14</f>
        <v>494.56599999999997</v>
      </c>
      <c r="E15" s="74">
        <f>E13-E14</f>
        <v>707.78500000000008</v>
      </c>
      <c r="F15" s="74">
        <f t="shared" ref="F15:G15" si="40">F13-F14</f>
        <v>940.2589999999999</v>
      </c>
      <c r="G15" s="214">
        <f t="shared" si="40"/>
        <v>1119.049</v>
      </c>
      <c r="H15" s="190">
        <f ca="1">H5*H16</f>
        <v>1086.9795323283795</v>
      </c>
      <c r="I15" s="190">
        <f t="shared" ref="I15:L15" ca="1" si="41">I5*I16</f>
        <v>1111.8537619125743</v>
      </c>
      <c r="J15" s="190">
        <f t="shared" ca="1" si="41"/>
        <v>1133.0311564802685</v>
      </c>
      <c r="K15" s="190">
        <f t="shared" ca="1" si="41"/>
        <v>1159.2012293059058</v>
      </c>
      <c r="L15" s="190">
        <f t="shared" ca="1" si="41"/>
        <v>1213.2099235736691</v>
      </c>
      <c r="M15" s="190">
        <f t="shared" ref="M15" ca="1" si="42">M5*M16</f>
        <v>1244.537439571501</v>
      </c>
      <c r="N15" s="190">
        <f t="shared" ref="N15" ca="1" si="43">N5*N16</f>
        <v>1262.0335829889407</v>
      </c>
      <c r="O15" s="190">
        <f t="shared" ref="O15" ca="1" si="44">O5*O16</f>
        <v>1264.6625137538097</v>
      </c>
      <c r="P15" s="190">
        <f t="shared" ref="P15" ca="1" si="45">P5*P16</f>
        <v>1276.3076557947111</v>
      </c>
      <c r="Q15" s="190">
        <f t="shared" ref="Q15" ca="1" si="46">Q5*Q16</f>
        <v>1284.092020763622</v>
      </c>
    </row>
    <row r="16" spans="1:17" ht="12.75" customHeight="1" x14ac:dyDescent="0.3">
      <c r="A16" s="59"/>
      <c r="B16" s="59"/>
      <c r="C16" s="83" t="s">
        <v>599</v>
      </c>
      <c r="D16" s="87">
        <f>D15/D5</f>
        <v>0.35684234146806054</v>
      </c>
      <c r="E16" s="87">
        <f>E15/E5</f>
        <v>0.30594800070545031</v>
      </c>
      <c r="F16" s="87">
        <f>F15/F5</f>
        <v>0.26449028617560971</v>
      </c>
      <c r="G16" s="215">
        <f>G15/G5</f>
        <v>0.28242074709761661</v>
      </c>
      <c r="H16" s="192">
        <f ca="1">DCF!$D$8</f>
        <v>0.26126399384443216</v>
      </c>
      <c r="I16" s="192">
        <f ca="1">DCF!$D$8</f>
        <v>0.26126399384443216</v>
      </c>
      <c r="J16" s="192">
        <f ca="1">DCF!$D$8</f>
        <v>0.26126399384443216</v>
      </c>
      <c r="K16" s="192">
        <f ca="1">DCF!$D$8</f>
        <v>0.26126399384443216</v>
      </c>
      <c r="L16" s="192">
        <f ca="1">DCF!$D$8</f>
        <v>0.26126399384443216</v>
      </c>
      <c r="M16" s="192">
        <f ca="1">DCF!$D$8</f>
        <v>0.26126399384443216</v>
      </c>
      <c r="N16" s="192">
        <f ca="1">DCF!$D$8</f>
        <v>0.26126399384443216</v>
      </c>
      <c r="O16" s="192">
        <f ca="1">DCF!$D$8</f>
        <v>0.26126399384443216</v>
      </c>
      <c r="P16" s="192">
        <f ca="1">DCF!$D$8</f>
        <v>0.26126399384443216</v>
      </c>
      <c r="Q16" s="192">
        <f ca="1">DCF!$D$8</f>
        <v>0.26126399384443216</v>
      </c>
    </row>
    <row r="17" spans="1:17" ht="21" customHeight="1" x14ac:dyDescent="0.25">
      <c r="A17" s="60" t="s">
        <v>32</v>
      </c>
      <c r="B17" s="60"/>
      <c r="C17" s="80"/>
      <c r="D17" s="86">
        <f>D11-D13</f>
        <v>255.38200000000001</v>
      </c>
      <c r="E17" s="86">
        <f>E11-E13</f>
        <v>703.7270000000002</v>
      </c>
      <c r="F17" s="86">
        <f>F11-F13</f>
        <v>910.42400000000021</v>
      </c>
      <c r="G17" s="216">
        <f>G11-G13</f>
        <v>1078.0850000000003</v>
      </c>
      <c r="H17" s="86">
        <f ca="1">H11-H13</f>
        <v>1151.4171273833742</v>
      </c>
      <c r="I17" s="86">
        <f ca="1">I11-I13</f>
        <v>1155.4385853823903</v>
      </c>
      <c r="J17" s="86">
        <f ca="1">J11-J13</f>
        <v>1148.5896712998017</v>
      </c>
      <c r="K17" s="86">
        <f ca="1">K11-K13</f>
        <v>1127.6982408832334</v>
      </c>
      <c r="L17" s="86">
        <f ca="1">L11-L13</f>
        <v>1143.610282355733</v>
      </c>
      <c r="M17" s="86">
        <f t="shared" ref="M17:N17" ca="1" si="47">M11-M13</f>
        <v>1132.5032959832711</v>
      </c>
      <c r="N17" s="86">
        <f t="shared" ca="1" si="47"/>
        <v>1104.9801048835939</v>
      </c>
      <c r="O17" s="86">
        <f t="shared" ref="O17:Q17" ca="1" si="48">O11-O13</f>
        <v>1147.4145175189619</v>
      </c>
      <c r="P17" s="86">
        <f t="shared" ca="1" si="48"/>
        <v>1137.0065623166149</v>
      </c>
      <c r="Q17" s="86">
        <f t="shared" ca="1" si="48"/>
        <v>1128.56575986914</v>
      </c>
    </row>
    <row r="18" spans="1:17" ht="12.75" customHeight="1" x14ac:dyDescent="0.3">
      <c r="A18" s="59"/>
      <c r="B18" s="66" t="s">
        <v>475</v>
      </c>
      <c r="D18" s="84">
        <f>D17/D5</f>
        <v>0.18426481167083109</v>
      </c>
      <c r="E18" s="84">
        <f>E17/E5</f>
        <v>0.30419388471420622</v>
      </c>
      <c r="F18" s="84">
        <f>F17/F5</f>
        <v>0.25609784570117738</v>
      </c>
      <c r="G18" s="210">
        <f>G17/G5</f>
        <v>0.27208242993357223</v>
      </c>
      <c r="H18" s="84">
        <f ca="1">H17/H5</f>
        <v>0.2767520715285961</v>
      </c>
      <c r="I18" s="84">
        <f ca="1">I17/I5</f>
        <v>0.27150557906076572</v>
      </c>
      <c r="J18" s="84">
        <f ca="1">J17/J5</f>
        <v>0.26485160897468724</v>
      </c>
      <c r="K18" s="84">
        <f ca="1">K17/K5</f>
        <v>0.25416376278423003</v>
      </c>
      <c r="L18" s="84">
        <f ca="1">L17/L5</f>
        <v>0.24627575489137901</v>
      </c>
      <c r="M18" s="84">
        <f t="shared" ref="M18:N18" ca="1" si="49">M17/M5</f>
        <v>0.23774482369324773</v>
      </c>
      <c r="N18" s="84">
        <f t="shared" ca="1" si="49"/>
        <v>0.22875105639962759</v>
      </c>
      <c r="O18" s="84">
        <f t="shared" ref="O18" ca="1" si="50">O17/O5</f>
        <v>0.23704197458361892</v>
      </c>
      <c r="P18" s="84">
        <f t="shared" ref="P18" ca="1" si="51">P17/P5</f>
        <v>0.23274864343989157</v>
      </c>
      <c r="Q18" s="84">
        <f t="shared" ref="Q18" ca="1" si="52">Q17/Q5</f>
        <v>0.22962030210587617</v>
      </c>
    </row>
    <row r="19" spans="1:17" ht="21" customHeight="1" x14ac:dyDescent="0.25">
      <c r="A19" s="59" t="s">
        <v>476</v>
      </c>
      <c r="C19" s="59"/>
      <c r="D19" s="91">
        <f>SUM('Income Statement'!D27:D28)</f>
        <v>19.722999999999999</v>
      </c>
      <c r="E19" s="91">
        <f>SUM('Income Statement'!E27:E28)</f>
        <v>20.963000000000001</v>
      </c>
      <c r="F19" s="91">
        <f>SUM('Income Statement'!F27:F28)</f>
        <v>26.82</v>
      </c>
      <c r="G19" s="217">
        <f>SUM('Income Statement'!G27:G28)</f>
        <v>32.414999999999999</v>
      </c>
      <c r="H19" s="92">
        <f>E19</f>
        <v>20.963000000000001</v>
      </c>
      <c r="I19" s="92">
        <f>H19</f>
        <v>20.963000000000001</v>
      </c>
      <c r="J19" s="92">
        <f t="shared" ref="J19:L19" si="53">I19</f>
        <v>20.963000000000001</v>
      </c>
      <c r="K19" s="92">
        <f t="shared" si="53"/>
        <v>20.963000000000001</v>
      </c>
      <c r="L19" s="92">
        <f t="shared" si="53"/>
        <v>20.963000000000001</v>
      </c>
      <c r="M19" s="92">
        <f t="shared" ref="M19" si="54">L19</f>
        <v>20.963000000000001</v>
      </c>
      <c r="N19" s="92">
        <f t="shared" ref="N19" si="55">M19</f>
        <v>20.963000000000001</v>
      </c>
      <c r="O19" s="92">
        <f t="shared" ref="O19" si="56">N19</f>
        <v>20.963000000000001</v>
      </c>
      <c r="P19" s="92">
        <f t="shared" ref="P19" si="57">O19</f>
        <v>20.963000000000001</v>
      </c>
      <c r="Q19" s="92">
        <f t="shared" ref="Q19" si="58">P19</f>
        <v>20.963000000000001</v>
      </c>
    </row>
    <row r="20" spans="1:17" ht="21" customHeight="1" x14ac:dyDescent="0.25">
      <c r="A20" s="60" t="s">
        <v>33</v>
      </c>
      <c r="B20" s="60"/>
      <c r="C20" s="80"/>
      <c r="D20" s="88">
        <f t="shared" ref="D20" si="59">D17-D19</f>
        <v>235.65899999999999</v>
      </c>
      <c r="E20" s="88">
        <f t="shared" ref="E20:L20" si="60">E17-E19</f>
        <v>682.76400000000024</v>
      </c>
      <c r="F20" s="88">
        <f t="shared" si="60"/>
        <v>883.60400000000016</v>
      </c>
      <c r="G20" s="212">
        <f t="shared" si="60"/>
        <v>1045.6700000000003</v>
      </c>
      <c r="H20" s="88">
        <f t="shared" ca="1" si="60"/>
        <v>1130.4541273833743</v>
      </c>
      <c r="I20" s="88">
        <f t="shared" ca="1" si="60"/>
        <v>1134.4755853823904</v>
      </c>
      <c r="J20" s="88">
        <f t="shared" ca="1" si="60"/>
        <v>1127.6266712998017</v>
      </c>
      <c r="K20" s="88">
        <f t="shared" ca="1" si="60"/>
        <v>1106.7352408832335</v>
      </c>
      <c r="L20" s="88">
        <f t="shared" ca="1" si="60"/>
        <v>1122.6472823557331</v>
      </c>
      <c r="M20" s="88">
        <f t="shared" ref="M20:N20" ca="1" si="61">M17-M19</f>
        <v>1111.5402959832711</v>
      </c>
      <c r="N20" s="88">
        <f t="shared" ca="1" si="61"/>
        <v>1084.0171048835939</v>
      </c>
      <c r="O20" s="88">
        <f t="shared" ref="O20:Q20" ca="1" si="62">O17-O19</f>
        <v>1126.451517518962</v>
      </c>
      <c r="P20" s="88">
        <f t="shared" ca="1" si="62"/>
        <v>1116.043562316615</v>
      </c>
      <c r="Q20" s="88">
        <f t="shared" ca="1" si="62"/>
        <v>1107.6027598691401</v>
      </c>
    </row>
    <row r="21" spans="1:17" ht="12.75" customHeight="1" x14ac:dyDescent="0.3">
      <c r="A21" s="59"/>
      <c r="B21" s="66" t="s">
        <v>477</v>
      </c>
      <c r="D21" s="84">
        <f>D20/D5</f>
        <v>0.17003414983646606</v>
      </c>
      <c r="E21" s="84">
        <f>E20/E5</f>
        <v>0.29513239296347921</v>
      </c>
      <c r="F21" s="84">
        <f>F20/F5</f>
        <v>0.24855351007106924</v>
      </c>
      <c r="G21" s="210">
        <f>G20/G5</f>
        <v>0.26390167241788776</v>
      </c>
      <c r="H21" s="84">
        <f ca="1">H20/H5</f>
        <v>0.27171345126016383</v>
      </c>
      <c r="I21" s="84">
        <f ca="1">I20/I5</f>
        <v>0.26657968206731608</v>
      </c>
      <c r="J21" s="84">
        <f ca="1">J20/J5</f>
        <v>0.26001778152728094</v>
      </c>
      <c r="K21" s="84">
        <f ca="1">K20/K5</f>
        <v>0.24943906359956802</v>
      </c>
      <c r="L21" s="84">
        <f ca="1">L20/L5</f>
        <v>0.24176138602862854</v>
      </c>
      <c r="M21" s="84">
        <f t="shared" ref="M21:N21" ca="1" si="63">M20/M5</f>
        <v>0.23334409059449376</v>
      </c>
      <c r="N21" s="84">
        <f t="shared" ca="1" si="63"/>
        <v>0.22441133265789512</v>
      </c>
      <c r="O21" s="84">
        <f t="shared" ref="O21" ca="1" si="64">O20/O5</f>
        <v>0.23271127208916118</v>
      </c>
      <c r="P21" s="84">
        <f t="shared" ref="P21" ca="1" si="65">P20/P5</f>
        <v>0.22845745465159698</v>
      </c>
      <c r="Q21" s="84">
        <f t="shared" ref="Q21" ca="1" si="66">Q20/Q5</f>
        <v>0.22535512716950062</v>
      </c>
    </row>
    <row r="22" spans="1:17" ht="12.75" customHeight="1" x14ac:dyDescent="0.3">
      <c r="A22" s="59"/>
      <c r="B22" s="59"/>
      <c r="C22" s="66"/>
      <c r="D22" s="84"/>
      <c r="E22" s="84"/>
      <c r="F22" s="84"/>
      <c r="G22" s="210"/>
      <c r="H22" s="84"/>
      <c r="I22" s="84"/>
      <c r="J22" s="84"/>
      <c r="K22" s="84"/>
      <c r="L22" s="84"/>
      <c r="M22" s="84"/>
      <c r="N22" s="84"/>
      <c r="O22" s="84"/>
      <c r="P22" s="84"/>
      <c r="Q22" s="84"/>
    </row>
    <row r="23" spans="1:17" ht="12.75" customHeight="1" x14ac:dyDescent="0.3">
      <c r="A23" s="60" t="s">
        <v>478</v>
      </c>
      <c r="B23" s="59"/>
      <c r="C23" s="66"/>
      <c r="D23" s="91">
        <f>'Income Statement'!D40</f>
        <v>0.51</v>
      </c>
      <c r="E23" s="91">
        <f>'Income Statement'!E40</f>
        <v>1.7969999999999999</v>
      </c>
      <c r="F23" s="91">
        <f>'Income Statement'!F40</f>
        <v>-0.3</v>
      </c>
      <c r="G23" s="217">
        <f>'Income Statement'!G40</f>
        <v>-0.3</v>
      </c>
      <c r="H23" s="91">
        <v>0</v>
      </c>
      <c r="I23" s="91">
        <v>0</v>
      </c>
      <c r="J23" s="91">
        <v>0</v>
      </c>
      <c r="K23" s="91">
        <v>0</v>
      </c>
      <c r="L23" s="91">
        <v>0</v>
      </c>
      <c r="M23" s="91">
        <v>0</v>
      </c>
      <c r="N23" s="91">
        <v>0</v>
      </c>
      <c r="O23" s="91">
        <v>0</v>
      </c>
      <c r="P23" s="91">
        <v>0</v>
      </c>
      <c r="Q23" s="91">
        <v>0</v>
      </c>
    </row>
    <row r="24" spans="1:17" ht="21" customHeight="1" x14ac:dyDescent="0.3">
      <c r="A24" s="60" t="s">
        <v>479</v>
      </c>
      <c r="B24" s="59"/>
      <c r="C24" s="66"/>
      <c r="D24" s="85"/>
      <c r="E24" s="85"/>
      <c r="F24" s="85"/>
      <c r="G24" s="218"/>
      <c r="H24" s="85"/>
      <c r="I24" s="85"/>
      <c r="J24" s="85"/>
      <c r="K24" s="85"/>
      <c r="L24" s="85"/>
      <c r="M24" s="85"/>
      <c r="N24" s="85"/>
      <c r="O24" s="85"/>
      <c r="P24" s="85"/>
      <c r="Q24" s="85"/>
    </row>
    <row r="25" spans="1:17" ht="12.75" customHeight="1" x14ac:dyDescent="0.25">
      <c r="A25" s="59"/>
      <c r="B25" s="59" t="s">
        <v>480</v>
      </c>
      <c r="C25" s="59"/>
      <c r="D25" s="82">
        <f>'Income Statement'!D35</f>
        <v>-6.7</v>
      </c>
      <c r="E25" s="82">
        <f>'Income Statement'!E35</f>
        <v>-21.6</v>
      </c>
      <c r="F25" s="82">
        <f>'Income Statement'!F35</f>
        <v>-136.19999999999999</v>
      </c>
      <c r="G25" s="219">
        <f>'Income Statement'!G35</f>
        <v>-161.4</v>
      </c>
      <c r="H25" s="82">
        <f ca="1">-BSP!H29*ISP!H26</f>
        <v>-116.03866347807084</v>
      </c>
      <c r="I25" s="82">
        <f ca="1">-BSP!I29*ISP!I26</f>
        <v>-87.028997608553126</v>
      </c>
      <c r="J25" s="82">
        <f ca="1">-BSP!J29*ISP!J26</f>
        <v>-65.271748206414841</v>
      </c>
      <c r="K25" s="82">
        <f ca="1">-BSP!K29*ISP!K26</f>
        <v>-48.953811154811135</v>
      </c>
      <c r="L25" s="82">
        <f ca="1">-BSP!L29*ISP!L26</f>
        <v>-36.715358366108354</v>
      </c>
      <c r="M25" s="82">
        <f ca="1">-BSP!M29*ISP!M26</f>
        <v>-27.536518774581268</v>
      </c>
      <c r="N25" s="82">
        <f ca="1">-BSP!N29*ISP!N26</f>
        <v>-20.652389080935951</v>
      </c>
      <c r="O25" s="82">
        <f ca="1">-BSP!O29*ISP!O26</f>
        <v>-15.489291810701964</v>
      </c>
      <c r="P25" s="82">
        <f ca="1">-BSP!P29*ISP!P26</f>
        <v>-11.616968858026473</v>
      </c>
      <c r="Q25" s="82">
        <f ca="1">-BSP!Q29*ISP!Q26</f>
        <v>-8.7127266435198543</v>
      </c>
    </row>
    <row r="26" spans="1:17" ht="12.75" customHeight="1" x14ac:dyDescent="0.25">
      <c r="A26" s="59"/>
      <c r="B26" s="59"/>
      <c r="C26" s="59" t="s">
        <v>615</v>
      </c>
      <c r="D26" s="234">
        <f>-D25/('Balance Sheet'!D44+'Balance Sheet'!D51)</f>
        <v>3.7222222222222226E-2</v>
      </c>
      <c r="E26" s="234">
        <f>-E25/('Balance Sheet'!E44+'Balance Sheet'!E51)</f>
        <v>2.8001400070003502E-2</v>
      </c>
      <c r="F26" s="234">
        <f>-F25/('Balance Sheet'!F44+'Balance Sheet'!F51)</f>
        <v>5.8646505817931439E-2</v>
      </c>
      <c r="G26" s="234">
        <f>-G25/('Balance Sheet'!G44+'Balance Sheet'!G51)</f>
        <v>9.6976309901197127E-2</v>
      </c>
      <c r="H26" s="234">
        <f ca="1">DCF!$D$10</f>
        <v>9.4283117064734537E-2</v>
      </c>
      <c r="I26" s="234">
        <f ca="1">DCF!$D$10</f>
        <v>9.4283117064734537E-2</v>
      </c>
      <c r="J26" s="234">
        <f ca="1">DCF!$D$10</f>
        <v>9.4283117064734537E-2</v>
      </c>
      <c r="K26" s="234">
        <f ca="1">DCF!$D$10</f>
        <v>9.4283117064734537E-2</v>
      </c>
      <c r="L26" s="234">
        <f ca="1">DCF!$D$10</f>
        <v>9.4283117064734537E-2</v>
      </c>
      <c r="M26" s="234">
        <f ca="1">DCF!$D$10</f>
        <v>9.4283117064734537E-2</v>
      </c>
      <c r="N26" s="234">
        <f ca="1">DCF!$D$10</f>
        <v>9.4283117064734537E-2</v>
      </c>
      <c r="O26" s="234">
        <f ca="1">DCF!$D$10</f>
        <v>9.4283117064734537E-2</v>
      </c>
      <c r="P26" s="234">
        <f ca="1">DCF!$D$10</f>
        <v>9.4283117064734537E-2</v>
      </c>
      <c r="Q26" s="234">
        <f ca="1">DCF!$D$10</f>
        <v>9.4283117064734537E-2</v>
      </c>
    </row>
    <row r="27" spans="1:17" ht="12.75" customHeight="1" x14ac:dyDescent="0.25">
      <c r="A27" s="59"/>
      <c r="B27" s="59" t="s">
        <v>481</v>
      </c>
      <c r="C27" s="59"/>
      <c r="D27" s="82">
        <f>'Income Statement'!D36</f>
        <v>0.215</v>
      </c>
      <c r="E27" s="82">
        <f>'Income Statement'!E36</f>
        <v>0.77500000000000002</v>
      </c>
      <c r="F27" s="82">
        <f>'Income Statement'!F36</f>
        <v>1.02</v>
      </c>
      <c r="G27" s="219">
        <f>'Income Statement'!G36</f>
        <v>2.4060000000000001</v>
      </c>
      <c r="H27" s="93">
        <v>0</v>
      </c>
      <c r="I27" s="93">
        <v>0</v>
      </c>
      <c r="J27" s="93">
        <v>0</v>
      </c>
      <c r="K27" s="93">
        <v>0</v>
      </c>
      <c r="L27" s="93">
        <v>0</v>
      </c>
      <c r="M27" s="93">
        <v>0</v>
      </c>
      <c r="N27" s="93">
        <v>0</v>
      </c>
      <c r="O27" s="93">
        <v>0</v>
      </c>
      <c r="P27" s="93">
        <v>0</v>
      </c>
      <c r="Q27" s="93">
        <v>0</v>
      </c>
    </row>
    <row r="28" spans="1:17" ht="12.75" customHeight="1" x14ac:dyDescent="0.25">
      <c r="A28" s="59"/>
      <c r="B28" s="59" t="s">
        <v>482</v>
      </c>
      <c r="C28" s="59"/>
      <c r="D28" s="171">
        <f t="shared" ref="D28" si="67">SUM(D25:D27)</f>
        <v>-6.4477777777777785</v>
      </c>
      <c r="E28" s="171">
        <f t="shared" ref="E28:L28" si="68">SUM(E25:E27)</f>
        <v>-20.796998599929999</v>
      </c>
      <c r="F28" s="171">
        <f t="shared" si="68"/>
        <v>-135.12135349418205</v>
      </c>
      <c r="G28" s="220">
        <f t="shared" si="68"/>
        <v>-158.89702369009879</v>
      </c>
      <c r="H28" s="171">
        <f t="shared" ca="1" si="68"/>
        <v>-115.94438036100611</v>
      </c>
      <c r="I28" s="171">
        <f t="shared" ca="1" si="68"/>
        <v>-86.934714491488393</v>
      </c>
      <c r="J28" s="171">
        <f t="shared" ca="1" si="68"/>
        <v>-65.177465089350108</v>
      </c>
      <c r="K28" s="171">
        <f t="shared" ca="1" si="68"/>
        <v>-48.859528037746401</v>
      </c>
      <c r="L28" s="171">
        <f t="shared" ca="1" si="68"/>
        <v>-36.621075249043621</v>
      </c>
      <c r="M28" s="171">
        <f t="shared" ref="M28:N28" ca="1" si="69">SUM(M25:M27)</f>
        <v>-27.442235657516534</v>
      </c>
      <c r="N28" s="171">
        <f t="shared" ca="1" si="69"/>
        <v>-20.558105963871217</v>
      </c>
      <c r="O28" s="171">
        <f t="shared" ref="O28:Q28" ca="1" si="70">SUM(O25:O27)</f>
        <v>-15.39500869363723</v>
      </c>
      <c r="P28" s="171">
        <f t="shared" ca="1" si="70"/>
        <v>-11.522685740961739</v>
      </c>
      <c r="Q28" s="171">
        <f t="shared" ca="1" si="70"/>
        <v>-8.6184435264551205</v>
      </c>
    </row>
    <row r="29" spans="1:17" ht="21" customHeight="1" x14ac:dyDescent="0.25">
      <c r="A29" s="60" t="s">
        <v>483</v>
      </c>
      <c r="B29" s="60"/>
      <c r="C29" s="59"/>
      <c r="D29" s="88">
        <f t="shared" ref="D29" si="71">D20+D23+D28</f>
        <v>229.7212222222222</v>
      </c>
      <c r="E29" s="88">
        <f t="shared" ref="E29:L29" si="72">E20+E23+E28</f>
        <v>663.76400140007024</v>
      </c>
      <c r="F29" s="88">
        <f t="shared" si="72"/>
        <v>748.18264650581818</v>
      </c>
      <c r="G29" s="212">
        <f t="shared" si="72"/>
        <v>886.47297630990158</v>
      </c>
      <c r="H29" s="88">
        <f t="shared" ca="1" si="72"/>
        <v>1014.5097470223682</v>
      </c>
      <c r="I29" s="88">
        <f t="shared" ca="1" si="72"/>
        <v>1047.5408708909019</v>
      </c>
      <c r="J29" s="88">
        <f t="shared" ca="1" si="72"/>
        <v>1062.4492062104516</v>
      </c>
      <c r="K29" s="88">
        <f t="shared" ca="1" si="72"/>
        <v>1057.875712845487</v>
      </c>
      <c r="L29" s="88">
        <f t="shared" ca="1" si="72"/>
        <v>1086.0262071066895</v>
      </c>
      <c r="M29" s="88">
        <f t="shared" ref="M29:N29" ca="1" si="73">M20+M23+M28</f>
        <v>1084.0980603257547</v>
      </c>
      <c r="N29" s="88">
        <f t="shared" ca="1" si="73"/>
        <v>1063.4589989197227</v>
      </c>
      <c r="O29" s="88">
        <f t="shared" ref="O29:Q29" ca="1" si="74">O20+O23+O28</f>
        <v>1111.0565088253247</v>
      </c>
      <c r="P29" s="88">
        <f t="shared" ca="1" si="74"/>
        <v>1104.5208765756531</v>
      </c>
      <c r="Q29" s="88">
        <f t="shared" ca="1" si="74"/>
        <v>1098.9843163426849</v>
      </c>
    </row>
    <row r="30" spans="1:17" ht="12.75" customHeight="1" x14ac:dyDescent="0.3">
      <c r="A30" s="59" t="s">
        <v>38</v>
      </c>
      <c r="B30" s="66" t="s">
        <v>484</v>
      </c>
      <c r="D30" s="84">
        <f>D29/D5</f>
        <v>0.16574988742186569</v>
      </c>
      <c r="E30" s="84">
        <f>E29/E5</f>
        <v>0.28691943057369285</v>
      </c>
      <c r="F30" s="84">
        <f>F29/F5</f>
        <v>0.21046014160560964</v>
      </c>
      <c r="G30" s="210">
        <f>G29/G5</f>
        <v>0.22372421605424803</v>
      </c>
      <c r="H30" s="85">
        <f ca="1">H29/H5</f>
        <v>0.24384531669460602</v>
      </c>
      <c r="I30" s="85">
        <f ca="1">I29/I5</f>
        <v>0.24615171618743123</v>
      </c>
      <c r="J30" s="85">
        <f ca="1">J29/J5</f>
        <v>0.24498860537399819</v>
      </c>
      <c r="K30" s="85">
        <f ca="1">K29/K5</f>
        <v>0.23842696741663083</v>
      </c>
      <c r="L30" s="85">
        <f ca="1">L29/L5</f>
        <v>0.23387506051106316</v>
      </c>
      <c r="M30" s="85">
        <f t="shared" ref="M30:N30" ca="1" si="75">M29/M5</f>
        <v>0.22758318066929989</v>
      </c>
      <c r="N30" s="85">
        <f t="shared" ca="1" si="75"/>
        <v>0.22015542937418267</v>
      </c>
      <c r="O30" s="85">
        <f t="shared" ref="O30" ca="1" si="76">O29/O5</f>
        <v>0.22953084931800566</v>
      </c>
      <c r="P30" s="85">
        <f t="shared" ref="P30" ca="1" si="77">P29/P5</f>
        <v>0.22609872642268616</v>
      </c>
      <c r="Q30" s="85">
        <f t="shared" ref="Q30" ca="1" si="78">Q29/Q5</f>
        <v>0.22360160098910636</v>
      </c>
    </row>
    <row r="31" spans="1:17" ht="21" customHeight="1" x14ac:dyDescent="0.25">
      <c r="A31" s="59" t="s">
        <v>485</v>
      </c>
      <c r="C31" s="59"/>
      <c r="D31" s="82">
        <f>'Income Statement'!D51</f>
        <v>-105.9</v>
      </c>
      <c r="E31" s="82">
        <f>'Income Statement'!E51</f>
        <v>-61.8</v>
      </c>
      <c r="F31" s="82">
        <f>'Income Statement'!F51</f>
        <v>178.34899999999999</v>
      </c>
      <c r="G31" s="219">
        <f>'Income Statement'!G51</f>
        <v>83.706000000000003</v>
      </c>
      <c r="H31" s="86">
        <f t="shared" ref="H31:L31" ca="1" si="79">H29*H32</f>
        <v>182.61175446402626</v>
      </c>
      <c r="I31" s="86">
        <f t="shared" ca="1" si="79"/>
        <v>188.55735676036235</v>
      </c>
      <c r="J31" s="86">
        <f t="shared" ca="1" si="79"/>
        <v>191.24085711788129</v>
      </c>
      <c r="K31" s="86">
        <f t="shared" ca="1" si="79"/>
        <v>190.41762831218765</v>
      </c>
      <c r="L31" s="86">
        <f t="shared" ca="1" si="79"/>
        <v>195.48471727920412</v>
      </c>
      <c r="M31" s="86">
        <f t="shared" ref="M31:N31" ca="1" si="80">M29*M32</f>
        <v>195.13765085863582</v>
      </c>
      <c r="N31" s="86">
        <f t="shared" ca="1" si="80"/>
        <v>191.42261980555008</v>
      </c>
      <c r="O31" s="86">
        <f t="shared" ref="O31:Q31" ca="1" si="81">O29*O32</f>
        <v>199.99017158855844</v>
      </c>
      <c r="P31" s="86">
        <f t="shared" ca="1" si="81"/>
        <v>198.81375778361755</v>
      </c>
      <c r="Q31" s="86">
        <f t="shared" ca="1" si="81"/>
        <v>197.81717694168327</v>
      </c>
    </row>
    <row r="32" spans="1:17" ht="12.75" customHeight="1" x14ac:dyDescent="0.3">
      <c r="A32" s="59"/>
      <c r="B32" s="66" t="s">
        <v>486</v>
      </c>
      <c r="D32" s="87">
        <f>D31/D29</f>
        <v>-0.46099354241445317</v>
      </c>
      <c r="E32" s="87">
        <f>E31/E29</f>
        <v>-9.3105380631739482E-2</v>
      </c>
      <c r="F32" s="87">
        <f>F31/F29</f>
        <v>0.23837628530002677</v>
      </c>
      <c r="G32" s="215">
        <f>G31/G29</f>
        <v>9.4425890283131739E-2</v>
      </c>
      <c r="H32" s="94">
        <f>DCF!$D$4</f>
        <v>0.18</v>
      </c>
      <c r="I32" s="94">
        <f>DCF!$D$4</f>
        <v>0.18</v>
      </c>
      <c r="J32" s="94">
        <f>DCF!$D$4</f>
        <v>0.18</v>
      </c>
      <c r="K32" s="94">
        <f>DCF!$D$4</f>
        <v>0.18</v>
      </c>
      <c r="L32" s="94">
        <f>DCF!$D$4</f>
        <v>0.18</v>
      </c>
      <c r="M32" s="94">
        <f>DCF!$D$4</f>
        <v>0.18</v>
      </c>
      <c r="N32" s="94">
        <f>DCF!$D$4</f>
        <v>0.18</v>
      </c>
      <c r="O32" s="94">
        <f>DCF!$D$4</f>
        <v>0.18</v>
      </c>
      <c r="P32" s="94">
        <f>DCF!$D$4</f>
        <v>0.18</v>
      </c>
      <c r="Q32" s="94">
        <f>DCF!$D$4</f>
        <v>0.18</v>
      </c>
    </row>
    <row r="33" spans="1:17" ht="21" customHeight="1" x14ac:dyDescent="0.25">
      <c r="A33" s="60" t="s">
        <v>487</v>
      </c>
      <c r="B33" s="59"/>
      <c r="C33" s="59"/>
      <c r="D33" s="88">
        <f>D29-D31</f>
        <v>335.62122222222217</v>
      </c>
      <c r="E33" s="88">
        <f>E29-E31</f>
        <v>725.5640014000702</v>
      </c>
      <c r="F33" s="88">
        <f t="shared" ref="F33:L33" si="82">F29-F31</f>
        <v>569.83364650581825</v>
      </c>
      <c r="G33" s="212">
        <f t="shared" si="82"/>
        <v>802.76697630990157</v>
      </c>
      <c r="H33" s="88">
        <f t="shared" ca="1" si="82"/>
        <v>831.89799255834191</v>
      </c>
      <c r="I33" s="88">
        <f t="shared" ca="1" si="82"/>
        <v>858.98351413053956</v>
      </c>
      <c r="J33" s="88">
        <f t="shared" ca="1" si="82"/>
        <v>871.2083490925703</v>
      </c>
      <c r="K33" s="88">
        <f t="shared" ca="1" si="82"/>
        <v>867.45808453329937</v>
      </c>
      <c r="L33" s="88">
        <f ca="1">L29-L31</f>
        <v>890.54148982748541</v>
      </c>
      <c r="M33" s="88">
        <f t="shared" ref="M33:N33" ca="1" si="83">M29-M31</f>
        <v>888.96040946711878</v>
      </c>
      <c r="N33" s="88">
        <f t="shared" ca="1" si="83"/>
        <v>872.03637911417263</v>
      </c>
      <c r="O33" s="88">
        <f t="shared" ref="O33:Q33" ca="1" si="84">O29-O31</f>
        <v>911.06633723676623</v>
      </c>
      <c r="P33" s="88">
        <f t="shared" ca="1" si="84"/>
        <v>905.70711879203554</v>
      </c>
      <c r="Q33" s="88">
        <f t="shared" ca="1" si="84"/>
        <v>901.16713940100158</v>
      </c>
    </row>
    <row r="34" spans="1:17" ht="21.75" customHeight="1" x14ac:dyDescent="0.25">
      <c r="A34" s="60" t="s">
        <v>488</v>
      </c>
      <c r="B34" s="59"/>
      <c r="C34" s="59"/>
      <c r="D34" s="89"/>
      <c r="E34" s="89"/>
      <c r="F34" s="89"/>
      <c r="G34" s="221"/>
      <c r="H34" s="89"/>
      <c r="I34" s="89"/>
      <c r="J34" s="89"/>
      <c r="K34" s="89"/>
      <c r="L34" s="89"/>
      <c r="M34" s="89"/>
      <c r="N34" s="89"/>
      <c r="O34" s="89"/>
      <c r="P34" s="89"/>
      <c r="Q34" s="89"/>
    </row>
    <row r="35" spans="1:17" ht="12.75" customHeight="1" x14ac:dyDescent="0.25">
      <c r="A35" s="59"/>
      <c r="B35" s="59" t="s">
        <v>489</v>
      </c>
      <c r="C35" s="59"/>
      <c r="D35" s="82">
        <v>0</v>
      </c>
      <c r="E35" s="82">
        <v>0</v>
      </c>
      <c r="F35" s="82">
        <v>0</v>
      </c>
      <c r="G35" s="219">
        <v>0</v>
      </c>
      <c r="H35" s="82">
        <v>0</v>
      </c>
      <c r="I35" s="82">
        <v>0</v>
      </c>
      <c r="J35" s="82">
        <v>0</v>
      </c>
      <c r="K35" s="82">
        <v>0</v>
      </c>
      <c r="L35" s="82">
        <v>0</v>
      </c>
      <c r="M35" s="82">
        <v>0</v>
      </c>
      <c r="N35" s="82">
        <v>0</v>
      </c>
      <c r="O35" s="82">
        <v>0</v>
      </c>
      <c r="P35" s="82">
        <v>0</v>
      </c>
      <c r="Q35" s="82">
        <v>0</v>
      </c>
    </row>
    <row r="36" spans="1:17" ht="12.75" customHeight="1" x14ac:dyDescent="0.25">
      <c r="A36" s="59"/>
      <c r="B36" s="59" t="s">
        <v>490</v>
      </c>
      <c r="C36" s="59"/>
      <c r="D36" s="82">
        <f>SUM('Income Statement'!D43:D48)</f>
        <v>-21.400000000000002</v>
      </c>
      <c r="E36" s="82">
        <f>SUM('Income Statement'!E43:E48)</f>
        <v>0.3</v>
      </c>
      <c r="F36" s="82">
        <f>SUM('Income Statement'!F43:F48)</f>
        <v>-24.7</v>
      </c>
      <c r="G36" s="219">
        <f>SUM('Income Statement'!G43:G48)</f>
        <v>-8.9</v>
      </c>
      <c r="H36" s="82">
        <v>0</v>
      </c>
      <c r="I36" s="82">
        <v>0</v>
      </c>
      <c r="J36" s="82">
        <v>0</v>
      </c>
      <c r="K36" s="82">
        <v>0</v>
      </c>
      <c r="L36" s="82">
        <v>0</v>
      </c>
      <c r="M36" s="82">
        <v>0</v>
      </c>
      <c r="N36" s="82">
        <v>0</v>
      </c>
      <c r="O36" s="82">
        <v>0</v>
      </c>
      <c r="P36" s="82">
        <v>0</v>
      </c>
      <c r="Q36" s="82">
        <v>0</v>
      </c>
    </row>
    <row r="37" spans="1:17" ht="12.75" customHeight="1" x14ac:dyDescent="0.25">
      <c r="A37" s="59"/>
      <c r="B37" s="60" t="s">
        <v>491</v>
      </c>
      <c r="C37" s="59"/>
      <c r="D37" s="95">
        <f t="shared" ref="D37" si="85">SUM(D35:D36)</f>
        <v>-21.400000000000002</v>
      </c>
      <c r="E37" s="95">
        <f t="shared" ref="E37:L37" si="86">SUM(E35:E36)</f>
        <v>0.3</v>
      </c>
      <c r="F37" s="95">
        <f t="shared" si="86"/>
        <v>-24.7</v>
      </c>
      <c r="G37" s="222">
        <f t="shared" si="86"/>
        <v>-8.9</v>
      </c>
      <c r="H37" s="95">
        <f t="shared" si="86"/>
        <v>0</v>
      </c>
      <c r="I37" s="95">
        <f t="shared" si="86"/>
        <v>0</v>
      </c>
      <c r="J37" s="95">
        <f t="shared" si="86"/>
        <v>0</v>
      </c>
      <c r="K37" s="95">
        <f t="shared" si="86"/>
        <v>0</v>
      </c>
      <c r="L37" s="95">
        <f t="shared" si="86"/>
        <v>0</v>
      </c>
      <c r="M37" s="95">
        <f t="shared" ref="M37:N37" si="87">SUM(M35:M36)</f>
        <v>0</v>
      </c>
      <c r="N37" s="95">
        <f t="shared" si="87"/>
        <v>0</v>
      </c>
      <c r="O37" s="95">
        <f t="shared" ref="O37:Q37" si="88">SUM(O35:O36)</f>
        <v>0</v>
      </c>
      <c r="P37" s="95">
        <f t="shared" si="88"/>
        <v>0</v>
      </c>
      <c r="Q37" s="95">
        <f t="shared" si="88"/>
        <v>0</v>
      </c>
    </row>
    <row r="38" spans="1:17" ht="21" customHeight="1" x14ac:dyDescent="0.25">
      <c r="A38" s="60" t="s">
        <v>492</v>
      </c>
      <c r="B38" s="60"/>
      <c r="C38" s="59"/>
      <c r="D38" s="88">
        <f>D33+D37</f>
        <v>314.2212222222222</v>
      </c>
      <c r="E38" s="88">
        <f>E33+E37</f>
        <v>725.86400140007015</v>
      </c>
      <c r="F38" s="88">
        <f>F33+F37</f>
        <v>545.13364650581821</v>
      </c>
      <c r="G38" s="212">
        <f t="shared" ref="G38:L38" si="89">G33+G37</f>
        <v>793.86697630990159</v>
      </c>
      <c r="H38" s="88">
        <f t="shared" ca="1" si="89"/>
        <v>831.89799255834191</v>
      </c>
      <c r="I38" s="88">
        <f t="shared" ca="1" si="89"/>
        <v>858.98351413053956</v>
      </c>
      <c r="J38" s="88">
        <f t="shared" ca="1" si="89"/>
        <v>871.2083490925703</v>
      </c>
      <c r="K38" s="88">
        <f t="shared" ca="1" si="89"/>
        <v>867.45808453329937</v>
      </c>
      <c r="L38" s="88">
        <f t="shared" ca="1" si="89"/>
        <v>890.54148982748541</v>
      </c>
      <c r="M38" s="88">
        <f t="shared" ref="M38:N38" ca="1" si="90">M33+M37</f>
        <v>888.96040946711878</v>
      </c>
      <c r="N38" s="88">
        <f t="shared" ca="1" si="90"/>
        <v>872.03637911417263</v>
      </c>
      <c r="O38" s="88">
        <f t="shared" ref="O38:Q38" ca="1" si="91">O33+O37</f>
        <v>911.06633723676623</v>
      </c>
      <c r="P38" s="88">
        <f t="shared" ca="1" si="91"/>
        <v>905.70711879203554</v>
      </c>
      <c r="Q38" s="88">
        <f t="shared" ca="1" si="91"/>
        <v>901.16713940100158</v>
      </c>
    </row>
    <row r="39" spans="1:17" ht="21" customHeight="1" x14ac:dyDescent="0.25">
      <c r="A39" s="60" t="s">
        <v>493</v>
      </c>
      <c r="B39" s="59"/>
      <c r="C39" s="80"/>
      <c r="D39" s="88"/>
      <c r="E39" s="88"/>
      <c r="F39" s="88"/>
      <c r="G39" s="212"/>
      <c r="H39" s="88"/>
      <c r="I39" s="88"/>
      <c r="J39" s="88"/>
      <c r="K39" s="88"/>
      <c r="L39" s="88"/>
      <c r="M39" s="88"/>
      <c r="N39" s="88"/>
      <c r="O39" s="88"/>
      <c r="P39" s="88"/>
      <c r="Q39" s="88"/>
    </row>
    <row r="40" spans="1:17" ht="12.75" customHeight="1" x14ac:dyDescent="0.25">
      <c r="A40" s="59"/>
      <c r="B40" s="59" t="s">
        <v>494</v>
      </c>
      <c r="C40" s="59"/>
      <c r="D40" s="82">
        <v>-17.600000000000001</v>
      </c>
      <c r="E40" s="82">
        <v>-17.600000000000001</v>
      </c>
      <c r="F40" s="82">
        <v>-10.3</v>
      </c>
      <c r="G40" s="219">
        <v>-8.1</v>
      </c>
      <c r="H40" s="86">
        <f t="shared" ref="H40:L40" ca="1" si="92">-H38*H41</f>
        <v>-7.4870819330250766</v>
      </c>
      <c r="I40" s="86">
        <f t="shared" ca="1" si="92"/>
        <v>-7.7308516271748555</v>
      </c>
      <c r="J40" s="86">
        <f t="shared" ca="1" si="92"/>
        <v>-7.8408751418331324</v>
      </c>
      <c r="K40" s="86">
        <f t="shared" ca="1" si="92"/>
        <v>-7.807122760799694</v>
      </c>
      <c r="L40" s="86">
        <f t="shared" ca="1" si="92"/>
        <v>-8.0148734084473681</v>
      </c>
      <c r="M40" s="86">
        <f t="shared" ref="M40:N40" ca="1" si="93">-M38*M41</f>
        <v>-8.0006436852040679</v>
      </c>
      <c r="N40" s="86">
        <f t="shared" ca="1" si="93"/>
        <v>-7.8483274120275528</v>
      </c>
      <c r="O40" s="86">
        <f t="shared" ref="O40:Q40" ca="1" si="94">-O38*O41</f>
        <v>-8.1995970351308962</v>
      </c>
      <c r="P40" s="86">
        <f t="shared" ca="1" si="94"/>
        <v>-8.15136406912832</v>
      </c>
      <c r="Q40" s="86">
        <f t="shared" ca="1" si="94"/>
        <v>-8.1105042546090136</v>
      </c>
    </row>
    <row r="41" spans="1:17" ht="12.75" customHeight="1" x14ac:dyDescent="0.3">
      <c r="A41" s="59"/>
      <c r="B41" s="59"/>
      <c r="C41" s="66" t="s">
        <v>495</v>
      </c>
      <c r="D41" s="87">
        <f>-D40/D38</f>
        <v>5.6011493671655962E-2</v>
      </c>
      <c r="E41" s="87">
        <f>-E40/E38</f>
        <v>2.424696632709784E-2</v>
      </c>
      <c r="F41" s="87">
        <f>-F40/F38</f>
        <v>1.8894449216298868E-2</v>
      </c>
      <c r="G41" s="215">
        <f>-G40/G38</f>
        <v>1.0203220743166428E-2</v>
      </c>
      <c r="H41" s="94">
        <v>8.9999999999999993E-3</v>
      </c>
      <c r="I41" s="94">
        <v>8.9999999999999993E-3</v>
      </c>
      <c r="J41" s="94">
        <v>8.9999999999999993E-3</v>
      </c>
      <c r="K41" s="94">
        <v>8.9999999999999993E-3</v>
      </c>
      <c r="L41" s="94">
        <v>8.9999999999999993E-3</v>
      </c>
      <c r="M41" s="94">
        <v>8.9999999999999993E-3</v>
      </c>
      <c r="N41" s="94">
        <v>8.9999999999999993E-3</v>
      </c>
      <c r="O41" s="94">
        <v>8.9999999999999993E-3</v>
      </c>
      <c r="P41" s="94">
        <v>8.9999999999999993E-3</v>
      </c>
      <c r="Q41" s="94">
        <v>8.9999999999999993E-3</v>
      </c>
    </row>
    <row r="42" spans="1:17" ht="21" customHeight="1" thickBot="1" x14ac:dyDescent="0.3">
      <c r="A42" s="60" t="s">
        <v>496</v>
      </c>
      <c r="B42" s="60"/>
      <c r="C42" s="80"/>
      <c r="D42" s="96">
        <f>D38+D40</f>
        <v>296.62122222222217</v>
      </c>
      <c r="E42" s="96">
        <f>E38+E40</f>
        <v>708.26400140007013</v>
      </c>
      <c r="F42" s="96">
        <f t="shared" ref="F42:L42" si="95">F38+F40</f>
        <v>534.83364650581825</v>
      </c>
      <c r="G42" s="223">
        <f t="shared" si="95"/>
        <v>785.76697630990157</v>
      </c>
      <c r="H42" s="96">
        <f t="shared" ca="1" si="95"/>
        <v>824.41091062531689</v>
      </c>
      <c r="I42" s="96">
        <f t="shared" ca="1" si="95"/>
        <v>851.25266250336472</v>
      </c>
      <c r="J42" s="96">
        <f t="shared" ca="1" si="95"/>
        <v>863.36747395073712</v>
      </c>
      <c r="K42" s="96">
        <f t="shared" ca="1" si="95"/>
        <v>859.65096177249973</v>
      </c>
      <c r="L42" s="96">
        <f t="shared" ca="1" si="95"/>
        <v>882.52661641903808</v>
      </c>
      <c r="M42" s="96">
        <f t="shared" ref="M42:N42" ca="1" si="96">M38+M40</f>
        <v>880.95976578191471</v>
      </c>
      <c r="N42" s="96">
        <f t="shared" ca="1" si="96"/>
        <v>864.18805170214512</v>
      </c>
      <c r="O42" s="96">
        <f t="shared" ref="O42:Q42" ca="1" si="97">O38+O40</f>
        <v>902.86674020163537</v>
      </c>
      <c r="P42" s="96">
        <f t="shared" ca="1" si="97"/>
        <v>897.55575472290718</v>
      </c>
      <c r="Q42" s="96">
        <f t="shared" ca="1" si="97"/>
        <v>893.05663514639252</v>
      </c>
    </row>
    <row r="43" spans="1:17" ht="21" customHeight="1" thickTop="1" x14ac:dyDescent="0.25">
      <c r="A43" s="60" t="s">
        <v>497</v>
      </c>
      <c r="B43" s="59"/>
      <c r="C43" s="59"/>
      <c r="D43" s="97"/>
      <c r="E43" s="97"/>
      <c r="F43" s="97"/>
      <c r="G43" s="224"/>
      <c r="H43" s="97"/>
      <c r="I43" s="97"/>
      <c r="J43" s="97"/>
      <c r="K43" s="97"/>
      <c r="L43" s="97"/>
      <c r="M43" s="97"/>
      <c r="N43" s="97"/>
      <c r="O43" s="97"/>
      <c r="P43" s="97"/>
      <c r="Q43" s="97"/>
    </row>
    <row r="44" spans="1:17" ht="12.75" customHeight="1" x14ac:dyDescent="0.25">
      <c r="A44" s="59"/>
      <c r="B44" s="59" t="s">
        <v>14</v>
      </c>
      <c r="C44" s="59"/>
      <c r="D44" s="98">
        <f t="shared" ref="D44" si="98">D42/D47</f>
        <v>4.5040880439477373</v>
      </c>
      <c r="E44" s="98">
        <f t="shared" ref="E44:L44" si="99">E42/E47</f>
        <v>12.14236244471233</v>
      </c>
      <c r="F44" s="98">
        <f t="shared" si="99"/>
        <v>8.6614138934366256</v>
      </c>
      <c r="G44" s="225">
        <f t="shared" si="99"/>
        <v>12.988957373500316</v>
      </c>
      <c r="H44" s="98">
        <f t="shared" ca="1" si="99"/>
        <v>13.626957723192891</v>
      </c>
      <c r="I44" s="98">
        <f t="shared" ca="1" si="99"/>
        <v>14.070633823720422</v>
      </c>
      <c r="J44" s="98">
        <f t="shared" ca="1" si="99"/>
        <v>14.27088350660317</v>
      </c>
      <c r="K44" s="98">
        <f t="shared" ca="1" si="99"/>
        <v>14.209452060612046</v>
      </c>
      <c r="L44" s="98">
        <f t="shared" ca="1" si="99"/>
        <v>14.58757124212833</v>
      </c>
      <c r="M44" s="98">
        <f t="shared" ref="M44:N44" ca="1" si="100">M42/M47</f>
        <v>14.561672255208757</v>
      </c>
      <c r="N44" s="98">
        <f t="shared" ca="1" si="100"/>
        <v>14.284447104783291</v>
      </c>
      <c r="O44" s="98">
        <f t="shared" ref="O44:Q44" ca="1" si="101">O42/O47</f>
        <v>14.923779804263596</v>
      </c>
      <c r="P44" s="98">
        <f t="shared" ca="1" si="101"/>
        <v>14.835992787310818</v>
      </c>
      <c r="Q44" s="98">
        <f t="shared" ca="1" si="101"/>
        <v>14.761625367531947</v>
      </c>
    </row>
    <row r="45" spans="1:17" ht="12.75" customHeight="1" x14ac:dyDescent="0.25">
      <c r="A45" s="59"/>
      <c r="B45" s="59" t="s">
        <v>498</v>
      </c>
      <c r="C45" s="59"/>
      <c r="D45" s="98" t="e">
        <f t="shared" ref="D45" si="102">D42/D48</f>
        <v>#DIV/0!</v>
      </c>
      <c r="E45" s="98" t="e">
        <f t="shared" ref="E45:L45" si="103">E42/E48</f>
        <v>#DIV/0!</v>
      </c>
      <c r="F45" s="98" t="e">
        <f t="shared" si="103"/>
        <v>#DIV/0!</v>
      </c>
      <c r="G45" s="225" t="e">
        <f t="shared" si="103"/>
        <v>#DIV/0!</v>
      </c>
      <c r="H45" s="98">
        <f t="shared" ca="1" si="103"/>
        <v>13.45130541976364</v>
      </c>
      <c r="I45" s="98">
        <f t="shared" ca="1" si="103"/>
        <v>13.889262508710067</v>
      </c>
      <c r="J45" s="98">
        <f t="shared" ca="1" si="103"/>
        <v>14.086930961154309</v>
      </c>
      <c r="K45" s="98">
        <f t="shared" ca="1" si="103"/>
        <v>14.026291370191322</v>
      </c>
      <c r="L45" s="98">
        <f t="shared" ca="1" si="103"/>
        <v>14.399536572749627</v>
      </c>
      <c r="M45" s="98">
        <f t="shared" ref="M45:N45" ca="1" si="104">M42/M48</f>
        <v>14.373971425326831</v>
      </c>
      <c r="N45" s="98">
        <f t="shared" ca="1" si="104"/>
        <v>14.100319723739316</v>
      </c>
      <c r="O45" s="98">
        <f t="shared" ref="O45:Q45" ca="1" si="105">O42/O48</f>
        <v>14.731411386327709</v>
      </c>
      <c r="P45" s="98">
        <f t="shared" ca="1" si="105"/>
        <v>14.644755949295568</v>
      </c>
      <c r="Q45" s="98">
        <f t="shared" ca="1" si="105"/>
        <v>14.571347130023838</v>
      </c>
    </row>
    <row r="46" spans="1:17" ht="21" customHeight="1" x14ac:dyDescent="0.25">
      <c r="A46" s="60" t="s">
        <v>499</v>
      </c>
      <c r="B46" s="59"/>
      <c r="C46" s="80"/>
      <c r="D46" s="99"/>
      <c r="E46" s="99"/>
      <c r="F46" s="99"/>
      <c r="G46" s="226"/>
      <c r="H46" s="88"/>
      <c r="I46" s="88"/>
      <c r="J46" s="88"/>
      <c r="K46" s="88"/>
      <c r="L46" s="88"/>
      <c r="M46" s="88"/>
      <c r="N46" s="88"/>
      <c r="O46" s="88"/>
      <c r="P46" s="88"/>
      <c r="Q46" s="88"/>
    </row>
    <row r="47" spans="1:17" ht="12.75" customHeight="1" x14ac:dyDescent="0.25">
      <c r="A47" s="59"/>
      <c r="B47" s="59" t="s">
        <v>14</v>
      </c>
      <c r="C47" s="59"/>
      <c r="D47" s="100">
        <f>'Balance Sheet'!D70</f>
        <v>65.855999999999995</v>
      </c>
      <c r="E47" s="100">
        <f>'Balance Sheet'!E70</f>
        <v>58.33</v>
      </c>
      <c r="F47" s="100">
        <f>'Balance Sheet'!F70</f>
        <v>61.749000000000002</v>
      </c>
      <c r="G47" s="227">
        <f>'Balance Sheet'!G70</f>
        <v>60.494999999999997</v>
      </c>
      <c r="H47" s="100">
        <f>E53/1000000</f>
        <v>60.498530000000002</v>
      </c>
      <c r="I47" s="101">
        <f>H47-I49</f>
        <v>60.498530000000002</v>
      </c>
      <c r="J47" s="101">
        <f>I47-J49</f>
        <v>60.498530000000002</v>
      </c>
      <c r="K47" s="101">
        <f>J47-K49</f>
        <v>60.498530000000002</v>
      </c>
      <c r="L47" s="101">
        <f>K47-L49</f>
        <v>60.498530000000002</v>
      </c>
      <c r="M47" s="101">
        <f t="shared" ref="M47:N47" si="106">L47-M49</f>
        <v>60.498530000000002</v>
      </c>
      <c r="N47" s="101">
        <f t="shared" si="106"/>
        <v>60.498530000000002</v>
      </c>
      <c r="O47" s="101">
        <f t="shared" ref="O47:Q47" si="107">N47-O49</f>
        <v>60.498530000000002</v>
      </c>
      <c r="P47" s="101">
        <f t="shared" si="107"/>
        <v>60.498530000000002</v>
      </c>
      <c r="Q47" s="101">
        <f t="shared" si="107"/>
        <v>60.498530000000002</v>
      </c>
    </row>
    <row r="48" spans="1:17" ht="12.75" customHeight="1" x14ac:dyDescent="0.25">
      <c r="A48" s="70"/>
      <c r="B48" s="70" t="s">
        <v>498</v>
      </c>
      <c r="C48" s="70"/>
      <c r="D48" s="102"/>
      <c r="E48" s="102"/>
      <c r="F48" s="102"/>
      <c r="G48" s="228"/>
      <c r="H48" s="102">
        <f>E59/1000000</f>
        <v>61.288542999999997</v>
      </c>
      <c r="I48" s="103">
        <f>H48-I49</f>
        <v>61.288542999999997</v>
      </c>
      <c r="J48" s="103">
        <f>I48-J49</f>
        <v>61.288542999999997</v>
      </c>
      <c r="K48" s="103">
        <f>J48-K49</f>
        <v>61.288542999999997</v>
      </c>
      <c r="L48" s="103">
        <f>K48-L49</f>
        <v>61.288542999999997</v>
      </c>
      <c r="M48" s="103">
        <f t="shared" ref="M48:N48" si="108">L48-M49</f>
        <v>61.288542999999997</v>
      </c>
      <c r="N48" s="103">
        <f t="shared" si="108"/>
        <v>61.288542999999997</v>
      </c>
      <c r="O48" s="103">
        <f t="shared" ref="O48" si="109">N48-O49</f>
        <v>61.288542999999997</v>
      </c>
      <c r="P48" s="103">
        <f t="shared" ref="P48" si="110">O48-P49</f>
        <v>61.288542999999997</v>
      </c>
      <c r="Q48" s="103">
        <f t="shared" ref="Q48" si="111">P48-Q49</f>
        <v>61.288542999999997</v>
      </c>
    </row>
    <row r="49" spans="1:17" ht="12.75" customHeight="1" x14ac:dyDescent="0.25">
      <c r="A49" s="104"/>
      <c r="B49" s="104" t="s">
        <v>500</v>
      </c>
      <c r="C49" s="104"/>
      <c r="D49" s="105"/>
      <c r="E49" s="105"/>
      <c r="F49" s="105"/>
      <c r="G49" s="229"/>
      <c r="H49" s="105"/>
      <c r="I49" s="105">
        <v>0</v>
      </c>
      <c r="J49" s="105">
        <v>0</v>
      </c>
      <c r="K49" s="105">
        <v>0</v>
      </c>
      <c r="L49" s="105">
        <v>0</v>
      </c>
      <c r="M49" s="105">
        <v>0</v>
      </c>
      <c r="N49" s="105">
        <v>0</v>
      </c>
      <c r="O49" s="105">
        <v>0</v>
      </c>
      <c r="P49" s="105">
        <v>0</v>
      </c>
      <c r="Q49" s="105">
        <v>0</v>
      </c>
    </row>
    <row r="50" spans="1:17" ht="20" customHeight="1" x14ac:dyDescent="0.25">
      <c r="F50" s="106"/>
      <c r="G50" s="79"/>
      <c r="H50" s="79"/>
      <c r="I50" s="79"/>
      <c r="J50" s="79"/>
      <c r="K50" s="79"/>
      <c r="L50" s="79"/>
    </row>
    <row r="51" spans="1:17" ht="20" customHeight="1" x14ac:dyDescent="0.25">
      <c r="A51" s="202" t="s">
        <v>501</v>
      </c>
      <c r="B51" s="203"/>
      <c r="C51" s="203"/>
      <c r="D51" s="203"/>
      <c r="E51" s="204"/>
      <c r="H51" s="107"/>
      <c r="I51" s="107"/>
      <c r="J51" s="107"/>
      <c r="K51" s="107"/>
      <c r="L51" s="107"/>
    </row>
    <row r="52" spans="1:17" ht="20" customHeight="1" x14ac:dyDescent="0.25">
      <c r="A52" s="108" t="s">
        <v>48</v>
      </c>
      <c r="B52" s="108"/>
      <c r="C52" s="108"/>
      <c r="D52" s="108"/>
      <c r="E52" s="109">
        <v>125.4</v>
      </c>
      <c r="F52" s="107" t="s">
        <v>569</v>
      </c>
      <c r="G52" s="107"/>
    </row>
    <row r="53" spans="1:17" ht="20" customHeight="1" x14ac:dyDescent="0.3">
      <c r="A53" s="108" t="s">
        <v>502</v>
      </c>
      <c r="B53" s="108"/>
      <c r="C53" s="110"/>
      <c r="D53" s="110"/>
      <c r="E53" s="111">
        <v>60498530</v>
      </c>
    </row>
    <row r="54" spans="1:17" ht="20" customHeight="1" x14ac:dyDescent="0.25">
      <c r="A54" s="108" t="s">
        <v>503</v>
      </c>
      <c r="B54" s="108"/>
      <c r="C54" s="108"/>
      <c r="D54" s="108"/>
      <c r="E54" s="111">
        <v>839840</v>
      </c>
    </row>
    <row r="55" spans="1:17" ht="20" customHeight="1" x14ac:dyDescent="0.25">
      <c r="A55" s="112" t="s">
        <v>504</v>
      </c>
      <c r="B55" s="112"/>
      <c r="C55" s="112"/>
      <c r="D55" s="112"/>
      <c r="E55" s="113">
        <v>7.44</v>
      </c>
    </row>
    <row r="56" spans="1:17" ht="20" customHeight="1" x14ac:dyDescent="0.25">
      <c r="A56" s="112" t="s">
        <v>505</v>
      </c>
      <c r="B56" s="112"/>
      <c r="C56" s="112"/>
      <c r="D56" s="112"/>
      <c r="E56" s="114">
        <f>E54*E55</f>
        <v>6248409.6000000006</v>
      </c>
    </row>
    <row r="57" spans="1:17" ht="20" customHeight="1" x14ac:dyDescent="0.25">
      <c r="A57" s="108" t="s">
        <v>506</v>
      </c>
      <c r="B57" s="112"/>
      <c r="C57" s="112"/>
      <c r="D57" s="112"/>
      <c r="E57" s="114">
        <f>+ROUNDDOWN(E56/E52,0)</f>
        <v>49827</v>
      </c>
    </row>
    <row r="58" spans="1:17" ht="20" customHeight="1" x14ac:dyDescent="0.3">
      <c r="A58" s="115" t="s">
        <v>507</v>
      </c>
      <c r="B58" s="116"/>
      <c r="C58" s="116"/>
      <c r="D58" s="116"/>
      <c r="E58" s="117">
        <f>E54-E57</f>
        <v>790013</v>
      </c>
    </row>
    <row r="59" spans="1:17" ht="20" customHeight="1" x14ac:dyDescent="0.3">
      <c r="A59" s="118" t="s">
        <v>508</v>
      </c>
      <c r="B59" s="116"/>
      <c r="C59" s="116"/>
      <c r="D59" s="116"/>
      <c r="E59" s="119">
        <f>E58+E53</f>
        <v>61288543</v>
      </c>
    </row>
  </sheetData>
  <mergeCells count="1">
    <mergeCell ref="A51:E51"/>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4.9989318521683403E-2"/>
  </sheetPr>
  <dimension ref="A1:Q58"/>
  <sheetViews>
    <sheetView zoomScale="145" zoomScaleNormal="145" workbookViewId="0">
      <selection activeCell="A29" sqref="A29:XFD29"/>
    </sheetView>
  </sheetViews>
  <sheetFormatPr defaultColWidth="9.08984375" defaultRowHeight="11.5" x14ac:dyDescent="0.25"/>
  <cols>
    <col min="1" max="2" width="2.6328125" style="41" customWidth="1"/>
    <col min="3" max="3" width="39.453125" style="41" customWidth="1"/>
    <col min="4" max="4" width="10.54296875" style="41" customWidth="1"/>
    <col min="5" max="6" width="9.6328125" style="74" customWidth="1"/>
    <col min="7" max="12" width="9.6328125" style="41" customWidth="1"/>
    <col min="13" max="16384" width="9.08984375" style="41"/>
  </cols>
  <sheetData>
    <row r="1" spans="1:17" ht="12.75" customHeight="1" x14ac:dyDescent="0.25">
      <c r="A1" s="38" t="s">
        <v>435</v>
      </c>
      <c r="B1" s="39"/>
      <c r="C1" s="38"/>
      <c r="D1" s="38"/>
      <c r="E1" s="40"/>
      <c r="F1" s="40"/>
      <c r="G1" s="38"/>
      <c r="H1" s="38"/>
      <c r="I1" s="38"/>
      <c r="J1" s="38"/>
      <c r="K1" s="38"/>
      <c r="L1" s="38"/>
      <c r="M1" s="38"/>
      <c r="N1" s="38"/>
      <c r="O1" s="38"/>
      <c r="P1" s="38"/>
      <c r="Q1" s="38"/>
    </row>
    <row r="2" spans="1:17" ht="12.75" customHeight="1" x14ac:dyDescent="0.25">
      <c r="A2" s="42" t="str">
        <f>'[1]Cash Flow Statement'!A2</f>
        <v>(in US$ millions)</v>
      </c>
      <c r="B2" s="42"/>
      <c r="C2" s="43"/>
      <c r="D2" s="43"/>
      <c r="E2" s="44" t="s">
        <v>436</v>
      </c>
      <c r="F2" s="44"/>
      <c r="G2" s="45"/>
      <c r="H2" s="46" t="s">
        <v>437</v>
      </c>
      <c r="I2" s="47"/>
      <c r="J2" s="48"/>
      <c r="K2" s="47"/>
      <c r="L2" s="47"/>
      <c r="M2" s="47"/>
      <c r="N2" s="47"/>
      <c r="O2" s="47"/>
      <c r="P2" s="47"/>
      <c r="Q2" s="47"/>
    </row>
    <row r="3" spans="1:17" ht="12.75" customHeight="1" x14ac:dyDescent="0.25">
      <c r="A3" s="42"/>
      <c r="B3" s="42"/>
      <c r="C3" s="43"/>
      <c r="D3" s="43"/>
      <c r="E3" s="50"/>
      <c r="F3" s="50"/>
      <c r="G3" s="51"/>
      <c r="H3" s="51"/>
      <c r="I3" s="51"/>
      <c r="J3" s="51"/>
      <c r="K3" s="51"/>
      <c r="L3" s="51"/>
      <c r="M3" s="51"/>
      <c r="N3" s="51"/>
      <c r="O3" s="51"/>
      <c r="P3" s="51"/>
      <c r="Q3" s="51"/>
    </row>
    <row r="4" spans="1:17" ht="12.75" customHeight="1" x14ac:dyDescent="0.25">
      <c r="A4" s="52" t="s">
        <v>537</v>
      </c>
      <c r="B4" s="53"/>
      <c r="C4" s="54"/>
      <c r="D4" s="55">
        <v>2020</v>
      </c>
      <c r="E4" s="55">
        <v>2021</v>
      </c>
      <c r="F4" s="55">
        <v>2022</v>
      </c>
      <c r="G4" s="55">
        <v>2023</v>
      </c>
      <c r="H4" s="56">
        <v>2024</v>
      </c>
      <c r="I4" s="56">
        <v>2025</v>
      </c>
      <c r="J4" s="56">
        <v>2026</v>
      </c>
      <c r="K4" s="56">
        <v>2027</v>
      </c>
      <c r="L4" s="56">
        <v>2028</v>
      </c>
      <c r="M4" s="56">
        <v>2028</v>
      </c>
      <c r="N4" s="56">
        <v>2028</v>
      </c>
      <c r="O4" s="56">
        <v>2028</v>
      </c>
      <c r="P4" s="56">
        <v>2028</v>
      </c>
      <c r="Q4" s="56">
        <v>2028</v>
      </c>
    </row>
    <row r="5" spans="1:17" ht="21" customHeight="1" x14ac:dyDescent="0.25">
      <c r="A5" s="57" t="s">
        <v>432</v>
      </c>
      <c r="B5" s="57"/>
      <c r="C5" s="57"/>
      <c r="D5" s="57"/>
      <c r="E5" s="57"/>
      <c r="F5" s="57"/>
      <c r="G5" s="57"/>
      <c r="H5" s="58"/>
      <c r="I5" s="58"/>
      <c r="J5" s="58"/>
      <c r="K5" s="58"/>
      <c r="L5" s="58"/>
      <c r="M5" s="58"/>
      <c r="N5" s="58"/>
      <c r="O5" s="58"/>
      <c r="P5" s="58"/>
      <c r="Q5" s="58"/>
    </row>
    <row r="6" spans="1:17" ht="12.75" customHeight="1" x14ac:dyDescent="0.25">
      <c r="A6" s="59"/>
      <c r="B6" s="60" t="s">
        <v>438</v>
      </c>
      <c r="C6" s="59"/>
      <c r="D6" s="59"/>
      <c r="E6" s="59"/>
      <c r="F6" s="59"/>
      <c r="G6" s="59"/>
      <c r="H6" s="61"/>
      <c r="I6" s="61"/>
      <c r="J6" s="61"/>
      <c r="K6" s="61"/>
      <c r="L6" s="61"/>
      <c r="M6" s="61"/>
      <c r="N6" s="61"/>
      <c r="O6" s="61"/>
      <c r="P6" s="61"/>
      <c r="Q6" s="61"/>
    </row>
    <row r="7" spans="1:17" ht="12.75" customHeight="1" x14ac:dyDescent="0.25">
      <c r="A7" s="59"/>
      <c r="B7" s="60"/>
      <c r="C7" s="59"/>
      <c r="D7" s="59"/>
      <c r="E7" s="59"/>
      <c r="F7" s="59"/>
      <c r="G7" s="59"/>
      <c r="H7" s="61"/>
      <c r="I7" s="61"/>
      <c r="J7" s="61"/>
      <c r="K7" s="61"/>
      <c r="L7" s="61"/>
      <c r="M7" s="61"/>
      <c r="N7" s="61"/>
      <c r="O7" s="61"/>
      <c r="P7" s="61"/>
      <c r="Q7" s="61"/>
    </row>
    <row r="8" spans="1:17" ht="12.75" customHeight="1" x14ac:dyDescent="0.25">
      <c r="A8" s="59"/>
      <c r="B8" s="59"/>
      <c r="C8" s="59" t="s">
        <v>439</v>
      </c>
      <c r="D8" s="62">
        <f>'Balance Sheet'!D18</f>
        <v>135.80199999999999</v>
      </c>
      <c r="E8" s="62">
        <f>'Balance Sheet'!E18</f>
        <v>213.197</v>
      </c>
      <c r="F8" s="62">
        <f>'Balance Sheet'!F18</f>
        <v>191.62899999999999</v>
      </c>
      <c r="G8" s="62">
        <f>'Balance Sheet'!G18</f>
        <v>149.28800000000001</v>
      </c>
      <c r="H8" s="61">
        <f ca="1">G8+ISP!H33-OWC!H22-DA!G6+DA!G23-BSP!G29+BSP!H29</f>
        <v>493.2529435594613</v>
      </c>
      <c r="I8" s="61">
        <f ca="1">H8+ISP!I33-OWC!I22-DA!H6+DA!H23-BSP!H29+BSP!I29</f>
        <v>978.72025120028775</v>
      </c>
      <c r="J8" s="61">
        <f ca="1">I8+ISP!J33-OWC!J22-DA!I6+DA!I23-BSP!I29+BSP!J29</f>
        <v>1537.5250769443296</v>
      </c>
      <c r="K8" s="61">
        <f ca="1">J8+ISP!K33-OWC!K22-DA!J6+DA!J23-BSP!J29+BSP!K29</f>
        <v>2059.3036984878522</v>
      </c>
      <c r="L8" s="61">
        <f ca="1">K8+ISP!L33-OWC!L22-DA!K6+DA!K23-BSP!K29+BSP!L29</f>
        <v>2721.8909214122027</v>
      </c>
      <c r="M8" s="61">
        <f ca="1">L8+ISP!M33-OWC!M22-DA!L6+DA!L23-BSP!L29+BSP!M29</f>
        <v>3459.3196271297174</v>
      </c>
      <c r="N8" s="61">
        <f ca="1">M8+ISP!N33-OWC!N22-DA!M6+DA!M23-BSP!M29+BSP!N29</f>
        <v>4250.2981474108255</v>
      </c>
      <c r="O8" s="61">
        <f ca="1">N8+ISP!O33-OWC!O22-DA!N6+DA!N23-BSP!N29+BSP!O29</f>
        <v>5070.7292591986952</v>
      </c>
      <c r="P8" s="61">
        <f ca="1">O8+ISP!P33-OWC!P22-DA!O6+DA!O23-BSP!O29+BSP!P29</f>
        <v>5911.4614947375776</v>
      </c>
      <c r="Q8" s="61">
        <f ca="1">P8+ISP!Q33-OWC!Q22-DA!P6+DA!P23-BSP!P29+BSP!Q29</f>
        <v>6774.7309326876866</v>
      </c>
    </row>
    <row r="9" spans="1:17" ht="12.75" customHeight="1" x14ac:dyDescent="0.25">
      <c r="A9" s="59"/>
      <c r="B9" s="59"/>
      <c r="C9" s="59" t="s">
        <v>535</v>
      </c>
      <c r="D9" s="62">
        <f>'Balance Sheet'!D23</f>
        <v>162.52000000000001</v>
      </c>
      <c r="E9" s="62">
        <f>'Balance Sheet'!E23</f>
        <v>217.18199999999999</v>
      </c>
      <c r="F9" s="62">
        <f>'Balance Sheet'!F21+'Balance Sheet'!F22</f>
        <v>329.18799999999999</v>
      </c>
      <c r="G9" s="62">
        <f>'Balance Sheet'!G21+'Balance Sheet'!G22</f>
        <v>331.23099999999999</v>
      </c>
      <c r="H9" s="61">
        <f>OWC!H6</f>
        <v>374.54300966793448</v>
      </c>
      <c r="I9" s="61">
        <f ca="1">OWC!I6</f>
        <v>383.11397952941758</v>
      </c>
      <c r="J9" s="61">
        <f ca="1">OWC!J6</f>
        <v>390.41112254122663</v>
      </c>
      <c r="K9" s="61">
        <f ca="1">OWC!K6</f>
        <v>399.42860405566427</v>
      </c>
      <c r="L9" s="61">
        <f ca="1">OWC!L6</f>
        <v>418.03850267625052</v>
      </c>
      <c r="M9" s="61">
        <f ca="1">OWC!M6</f>
        <v>428.83309611455974</v>
      </c>
      <c r="N9" s="61">
        <f ca="1">OWC!N6</f>
        <v>434.86178204493103</v>
      </c>
      <c r="O9" s="61">
        <f ca="1">OWC!O6</f>
        <v>435.76763869779131</v>
      </c>
      <c r="P9" s="61">
        <f ca="1">OWC!P6</f>
        <v>439.78023177639966</v>
      </c>
      <c r="Q9" s="61">
        <f ca="1">OWC!Q6</f>
        <v>442.46250811840605</v>
      </c>
    </row>
    <row r="10" spans="1:17" ht="12.75" customHeight="1" x14ac:dyDescent="0.25">
      <c r="A10" s="59"/>
      <c r="B10" s="59"/>
      <c r="C10" s="59" t="s">
        <v>441</v>
      </c>
      <c r="D10" s="62">
        <f>'Balance Sheet'!D25</f>
        <v>175.12100000000001</v>
      </c>
      <c r="E10" s="62">
        <f>'Balance Sheet'!E25</f>
        <v>213.52</v>
      </c>
      <c r="F10" s="62">
        <f>'Balance Sheet'!F25</f>
        <v>471.55099999999999</v>
      </c>
      <c r="G10" s="62">
        <f>'Balance Sheet'!G25</f>
        <v>385.05399999999997</v>
      </c>
      <c r="H10" s="61">
        <f ca="1">OWC!H8</f>
        <v>460.45788170591834</v>
      </c>
      <c r="I10" s="61">
        <f ca="1">OWC!I8</f>
        <v>473.46333003150698</v>
      </c>
      <c r="J10" s="61">
        <f ca="1">OWC!J8</f>
        <v>485.67160146702156</v>
      </c>
      <c r="K10" s="61">
        <f ca="1">OWC!K8</f>
        <v>502.13200643149565</v>
      </c>
      <c r="L10" s="61">
        <f ca="1">OWC!L8</f>
        <v>529.57652819270447</v>
      </c>
      <c r="M10" s="61">
        <f ca="1">OWC!M8</f>
        <v>547.74394876308929</v>
      </c>
      <c r="N10" s="61">
        <f ca="1">OWC!N8</f>
        <v>560.24734892696927</v>
      </c>
      <c r="O10" s="61">
        <f ca="1">OWC!O8</f>
        <v>556.97749701072235</v>
      </c>
      <c r="P10" s="61">
        <f ca="1">OWC!P8</f>
        <v>564.42494228787041</v>
      </c>
      <c r="Q10" s="61">
        <f ca="1">OWC!Q8</f>
        <v>569.56730007687042</v>
      </c>
    </row>
    <row r="11" spans="1:17" ht="12.75" customHeight="1" x14ac:dyDescent="0.25">
      <c r="A11" s="59"/>
      <c r="B11" s="59"/>
      <c r="C11" s="59" t="s">
        <v>536</v>
      </c>
      <c r="D11" s="63">
        <f>'Balance Sheet'!D26</f>
        <v>17.856000000000002</v>
      </c>
      <c r="E11" s="63">
        <f>'Balance Sheet'!E26</f>
        <v>22.605</v>
      </c>
      <c r="F11" s="63">
        <f>'Balance Sheet'!F26</f>
        <v>33.256999999999998</v>
      </c>
      <c r="G11" s="63">
        <f>'Balance Sheet'!G26</f>
        <v>43.683999999999997</v>
      </c>
      <c r="H11" s="64">
        <f ca="1">OWC!H10</f>
        <v>38.531404135345667</v>
      </c>
      <c r="I11" s="64">
        <f ca="1">OWC!I10</f>
        <v>39.413149342277897</v>
      </c>
      <c r="J11" s="64">
        <f ca="1">OWC!J10</f>
        <v>40.163848618899586</v>
      </c>
      <c r="K11" s="64">
        <f ca="1">OWC!K10</f>
        <v>41.091529060256256</v>
      </c>
      <c r="L11" s="64">
        <f ca="1">OWC!L10</f>
        <v>43.006036890220464</v>
      </c>
      <c r="M11" s="64">
        <f ca="1">OWC!M10</f>
        <v>44.116539106286389</v>
      </c>
      <c r="N11" s="64">
        <f ca="1">OWC!N10</f>
        <v>44.736744871691435</v>
      </c>
      <c r="O11" s="64">
        <f ca="1">OWC!O10</f>
        <v>44.829935581113553</v>
      </c>
      <c r="P11" s="64">
        <f ca="1">OWC!P10</f>
        <v>45.242734222528931</v>
      </c>
      <c r="Q11" s="64">
        <f ca="1">OWC!Q10</f>
        <v>45.518675492473214</v>
      </c>
    </row>
    <row r="12" spans="1:17" ht="12.75" customHeight="1" x14ac:dyDescent="0.25">
      <c r="A12" s="59"/>
      <c r="B12" s="59"/>
      <c r="C12" s="60" t="s">
        <v>443</v>
      </c>
      <c r="D12" s="58">
        <f t="shared" ref="D12" si="0">SUM(D8:D11)</f>
        <v>491.29899999999998</v>
      </c>
      <c r="E12" s="58">
        <f t="shared" ref="E12:L12" si="1">SUM(E8:E11)</f>
        <v>666.50400000000002</v>
      </c>
      <c r="F12" s="58">
        <f t="shared" si="1"/>
        <v>1025.625</v>
      </c>
      <c r="G12" s="58">
        <f t="shared" si="1"/>
        <v>909.25699999999995</v>
      </c>
      <c r="H12" s="58">
        <f t="shared" ca="1" si="1"/>
        <v>1366.7852390686596</v>
      </c>
      <c r="I12" s="58">
        <f t="shared" ca="1" si="1"/>
        <v>1874.7107101034901</v>
      </c>
      <c r="J12" s="58">
        <f t="shared" ca="1" si="1"/>
        <v>2453.7716495714772</v>
      </c>
      <c r="K12" s="58">
        <f t="shared" ca="1" si="1"/>
        <v>3001.9558380352682</v>
      </c>
      <c r="L12" s="58">
        <f t="shared" ca="1" si="1"/>
        <v>3712.5119891713784</v>
      </c>
      <c r="M12" s="58">
        <f t="shared" ref="M12:N12" ca="1" si="2">SUM(M8:M11)</f>
        <v>4480.0132111136536</v>
      </c>
      <c r="N12" s="58">
        <f t="shared" ca="1" si="2"/>
        <v>5290.1440232544173</v>
      </c>
      <c r="O12" s="58">
        <f t="shared" ref="O12:Q12" ca="1" si="3">SUM(O8:O11)</f>
        <v>6108.3043304883222</v>
      </c>
      <c r="P12" s="58">
        <f t="shared" ca="1" si="3"/>
        <v>6960.9094030243768</v>
      </c>
      <c r="Q12" s="58">
        <f t="shared" ca="1" si="3"/>
        <v>7832.2794163754361</v>
      </c>
    </row>
    <row r="13" spans="1:17" ht="12.75" customHeight="1" x14ac:dyDescent="0.25">
      <c r="A13" s="59"/>
      <c r="B13" s="59" t="s">
        <v>444</v>
      </c>
      <c r="C13" s="59"/>
      <c r="D13" s="62">
        <f>'Balance Sheet'!D33</f>
        <v>224.88800000000001</v>
      </c>
      <c r="E13" s="62">
        <f>'Balance Sheet'!E33</f>
        <v>269.166</v>
      </c>
      <c r="F13" s="62">
        <f>'Balance Sheet'!F33</f>
        <v>421.43400000000003</v>
      </c>
      <c r="G13" s="62">
        <f>'Balance Sheet'!G33</f>
        <v>525.755</v>
      </c>
      <c r="H13" s="61">
        <f>G13+DA!G6-DA!G23</f>
        <v>521.96938885714292</v>
      </c>
      <c r="I13" s="61">
        <f ca="1">H13+DA!H6-DA!H23</f>
        <v>580.88323170647095</v>
      </c>
      <c r="J13" s="61">
        <f ca="1">I13+DA!I6-DA!I23</f>
        <v>655.43002725726342</v>
      </c>
      <c r="K13" s="61">
        <f ca="1">J13+DA!J6-DA!J23</f>
        <v>817.38468232675609</v>
      </c>
      <c r="L13" s="61">
        <f ca="1">K13+DA!K6-DA!K23</f>
        <v>898.11286523338731</v>
      </c>
      <c r="M13" s="61">
        <f ca="1">L13+DA!L6-DA!L23</f>
        <v>940.28831200298191</v>
      </c>
      <c r="N13" s="61">
        <f ca="1">M13+DA!M6-DA!M23</f>
        <v>939.6123567124971</v>
      </c>
      <c r="O13" s="61">
        <f ca="1">N13+DA!N6-DA!N23</f>
        <v>979.06763189873209</v>
      </c>
      <c r="P13" s="61">
        <f ca="1">O13+DA!O6-DA!O23</f>
        <v>997.91274962535795</v>
      </c>
      <c r="Q13" s="61">
        <f ca="1">P13+DA!P6-DA!P23</f>
        <v>1001.4972540702365</v>
      </c>
    </row>
    <row r="14" spans="1:17" ht="12.75" customHeight="1" x14ac:dyDescent="0.25">
      <c r="A14" s="59"/>
      <c r="B14" s="59" t="s">
        <v>538</v>
      </c>
      <c r="C14" s="59"/>
      <c r="D14" s="62">
        <f>'Balance Sheet'!D35+'Balance Sheet'!D36</f>
        <v>39.355000000000004</v>
      </c>
      <c r="E14" s="62">
        <f>'Balance Sheet'!E35+'Balance Sheet'!E36</f>
        <v>30.402000000000001</v>
      </c>
      <c r="F14" s="62">
        <f>'Balance Sheet'!F35+'Balance Sheet'!F36</f>
        <v>2514.9809999999998</v>
      </c>
      <c r="G14" s="62">
        <f>'Balance Sheet'!G35+'Balance Sheet'!G36</f>
        <v>2504.1499999999996</v>
      </c>
      <c r="H14" s="61">
        <f>G14</f>
        <v>2504.1499999999996</v>
      </c>
      <c r="I14" s="61">
        <f>H14</f>
        <v>2504.1499999999996</v>
      </c>
      <c r="J14" s="61">
        <f>I14</f>
        <v>2504.1499999999996</v>
      </c>
      <c r="K14" s="61">
        <f>J14</f>
        <v>2504.1499999999996</v>
      </c>
      <c r="L14" s="61">
        <f>K14</f>
        <v>2504.1499999999996</v>
      </c>
      <c r="M14" s="61">
        <f t="shared" ref="M14:N14" si="4">L14</f>
        <v>2504.1499999999996</v>
      </c>
      <c r="N14" s="61">
        <f t="shared" si="4"/>
        <v>2504.1499999999996</v>
      </c>
      <c r="O14" s="61">
        <f t="shared" ref="O14:Q14" si="5">N14</f>
        <v>2504.1499999999996</v>
      </c>
      <c r="P14" s="61">
        <f t="shared" si="5"/>
        <v>2504.1499999999996</v>
      </c>
      <c r="Q14" s="61">
        <f t="shared" si="5"/>
        <v>2504.1499999999996</v>
      </c>
    </row>
    <row r="15" spans="1:17" ht="12.75" customHeight="1" x14ac:dyDescent="0.25">
      <c r="A15" s="59"/>
      <c r="B15" s="59" t="s">
        <v>539</v>
      </c>
      <c r="C15" s="59"/>
      <c r="D15" s="62">
        <f>'Balance Sheet'!D37</f>
        <v>350.78399999999999</v>
      </c>
      <c r="E15" s="62">
        <f>'Balance Sheet'!E37</f>
        <v>567.20100000000002</v>
      </c>
      <c r="F15" s="62">
        <f>'Balance Sheet'!F37</f>
        <v>528.27800000000002</v>
      </c>
      <c r="G15" s="62">
        <f>'Balance Sheet'!G37</f>
        <v>667.97199999999998</v>
      </c>
      <c r="H15" s="61">
        <f>G15</f>
        <v>667.97199999999998</v>
      </c>
      <c r="I15" s="61">
        <f t="shared" ref="I15:L15" si="6">H15</f>
        <v>667.97199999999998</v>
      </c>
      <c r="J15" s="61">
        <f t="shared" si="6"/>
        <v>667.97199999999998</v>
      </c>
      <c r="K15" s="61">
        <f t="shared" si="6"/>
        <v>667.97199999999998</v>
      </c>
      <c r="L15" s="61">
        <f t="shared" si="6"/>
        <v>667.97199999999998</v>
      </c>
      <c r="M15" s="61">
        <f t="shared" ref="M15:N15" si="7">L15</f>
        <v>667.97199999999998</v>
      </c>
      <c r="N15" s="61">
        <f t="shared" si="7"/>
        <v>667.97199999999998</v>
      </c>
      <c r="O15" s="61">
        <f t="shared" ref="O15:Q15" si="8">N15</f>
        <v>667.97199999999998</v>
      </c>
      <c r="P15" s="61">
        <f t="shared" si="8"/>
        <v>667.97199999999998</v>
      </c>
      <c r="Q15" s="61">
        <f t="shared" si="8"/>
        <v>667.97199999999998</v>
      </c>
    </row>
    <row r="16" spans="1:17" ht="12.75" customHeight="1" thickBot="1" x14ac:dyDescent="0.3">
      <c r="A16" s="59"/>
      <c r="B16" s="59" t="s">
        <v>540</v>
      </c>
      <c r="C16" s="59"/>
      <c r="D16" s="167">
        <f>'Balance Sheet'!D38</f>
        <v>10.855</v>
      </c>
      <c r="E16" s="167">
        <f>'Balance Sheet'!E38</f>
        <v>11.73</v>
      </c>
      <c r="F16" s="167">
        <f>'Balance Sheet'!F38</f>
        <v>11.129</v>
      </c>
      <c r="G16" s="167">
        <f>'Balance Sheet'!G38</f>
        <v>35.253</v>
      </c>
      <c r="H16" s="168">
        <f>G16</f>
        <v>35.253</v>
      </c>
      <c r="I16" s="168">
        <f t="shared" ref="I16:L16" si="9">H16</f>
        <v>35.253</v>
      </c>
      <c r="J16" s="168">
        <f t="shared" si="9"/>
        <v>35.253</v>
      </c>
      <c r="K16" s="168">
        <f t="shared" si="9"/>
        <v>35.253</v>
      </c>
      <c r="L16" s="168">
        <f t="shared" si="9"/>
        <v>35.253</v>
      </c>
      <c r="M16" s="168">
        <f t="shared" ref="M16:N16" si="10">L16</f>
        <v>35.253</v>
      </c>
      <c r="N16" s="168">
        <f t="shared" si="10"/>
        <v>35.253</v>
      </c>
      <c r="O16" s="168">
        <f t="shared" ref="O16:Q16" si="11">N16</f>
        <v>35.253</v>
      </c>
      <c r="P16" s="168">
        <f t="shared" si="11"/>
        <v>35.253</v>
      </c>
      <c r="Q16" s="168">
        <f t="shared" si="11"/>
        <v>35.253</v>
      </c>
    </row>
    <row r="17" spans="1:17" ht="12.75" customHeight="1" x14ac:dyDescent="0.25">
      <c r="A17" s="59"/>
      <c r="B17" s="60" t="s">
        <v>445</v>
      </c>
      <c r="C17" s="60"/>
      <c r="D17" s="58">
        <f t="shared" ref="D17" si="12">SUM(D12:D16)</f>
        <v>1117.181</v>
      </c>
      <c r="E17" s="58">
        <f t="shared" ref="E17:L17" si="13">SUM(E12:E16)</f>
        <v>1545.0030000000002</v>
      </c>
      <c r="F17" s="58">
        <f t="shared" si="13"/>
        <v>4501.4470000000001</v>
      </c>
      <c r="G17" s="58">
        <f t="shared" si="13"/>
        <v>4642.3869999999988</v>
      </c>
      <c r="H17" s="58">
        <f t="shared" ca="1" si="13"/>
        <v>5096.1296279258013</v>
      </c>
      <c r="I17" s="58">
        <f t="shared" ca="1" si="13"/>
        <v>5662.9689418099597</v>
      </c>
      <c r="J17" s="58">
        <f t="shared" ca="1" si="13"/>
        <v>6316.5766768287394</v>
      </c>
      <c r="K17" s="58">
        <f t="shared" ca="1" si="13"/>
        <v>7026.7155203620232</v>
      </c>
      <c r="L17" s="58">
        <f t="shared" ca="1" si="13"/>
        <v>7817.9998544047648</v>
      </c>
      <c r="M17" s="58">
        <f t="shared" ref="M17:N17" ca="1" si="14">SUM(M12:M16)</f>
        <v>8627.6765231166355</v>
      </c>
      <c r="N17" s="58">
        <f t="shared" ca="1" si="14"/>
        <v>9437.1313799669133</v>
      </c>
      <c r="O17" s="58">
        <f t="shared" ref="O17:Q17" ca="1" si="15">SUM(O12:O16)</f>
        <v>10294.746962387055</v>
      </c>
      <c r="P17" s="58">
        <f t="shared" ca="1" si="15"/>
        <v>11166.197152649735</v>
      </c>
      <c r="Q17" s="58">
        <f t="shared" ca="1" si="15"/>
        <v>12041.151670445674</v>
      </c>
    </row>
    <row r="18" spans="1:17" ht="21" customHeight="1" x14ac:dyDescent="0.25">
      <c r="A18" s="60" t="s">
        <v>446</v>
      </c>
      <c r="B18" s="59"/>
      <c r="C18" s="60"/>
      <c r="D18" s="65"/>
      <c r="E18" s="65"/>
      <c r="F18" s="60"/>
      <c r="G18" s="60"/>
      <c r="H18" s="60"/>
      <c r="I18" s="60"/>
      <c r="J18" s="60"/>
      <c r="K18" s="60"/>
      <c r="L18" s="60"/>
      <c r="M18" s="60"/>
      <c r="N18" s="60"/>
      <c r="O18" s="60"/>
      <c r="P18" s="60"/>
      <c r="Q18" s="60"/>
    </row>
    <row r="19" spans="1:17" ht="12.75" customHeight="1" x14ac:dyDescent="0.25">
      <c r="A19" s="59"/>
      <c r="B19" s="60" t="s">
        <v>447</v>
      </c>
      <c r="C19" s="59"/>
      <c r="D19" s="59"/>
      <c r="E19" s="59"/>
      <c r="F19" s="59"/>
      <c r="G19" s="59"/>
      <c r="H19" s="59"/>
      <c r="I19" s="59"/>
      <c r="J19" s="59"/>
      <c r="K19" s="59"/>
      <c r="L19" s="59"/>
      <c r="M19" s="59"/>
      <c r="N19" s="59"/>
      <c r="O19" s="59"/>
      <c r="P19" s="59"/>
      <c r="Q19" s="59"/>
    </row>
    <row r="20" spans="1:17" ht="12.75" customHeight="1" x14ac:dyDescent="0.25">
      <c r="A20" s="59"/>
      <c r="B20" s="59"/>
      <c r="C20" s="59" t="s">
        <v>448</v>
      </c>
      <c r="D20" s="62">
        <v>0</v>
      </c>
      <c r="E20" s="62">
        <v>0</v>
      </c>
      <c r="F20" s="62">
        <v>0</v>
      </c>
      <c r="G20" s="62">
        <v>0</v>
      </c>
      <c r="H20" s="61">
        <f>G20+'[1]Cash Flow Statement'!G28</f>
        <v>0</v>
      </c>
      <c r="I20" s="61">
        <f>H20+'[1]Cash Flow Statement'!H28</f>
        <v>0</v>
      </c>
      <c r="J20" s="61">
        <f>I20+'[1]Cash Flow Statement'!I28</f>
        <v>0</v>
      </c>
      <c r="K20" s="61">
        <f>J20+'[1]Cash Flow Statement'!J28</f>
        <v>0</v>
      </c>
      <c r="L20" s="61">
        <f>K20+'[1]Cash Flow Statement'!K28</f>
        <v>0</v>
      </c>
      <c r="M20" s="61">
        <f>L20+'[1]Cash Flow Statement'!L28</f>
        <v>0</v>
      </c>
      <c r="N20" s="61">
        <f>M20+'[1]Cash Flow Statement'!M28</f>
        <v>0</v>
      </c>
      <c r="O20" s="61">
        <f>N20+'[1]Cash Flow Statement'!N28</f>
        <v>0</v>
      </c>
      <c r="P20" s="61">
        <f>O20+'[1]Cash Flow Statement'!O28</f>
        <v>0</v>
      </c>
      <c r="Q20" s="61">
        <f>P20+'[1]Cash Flow Statement'!P28</f>
        <v>0</v>
      </c>
    </row>
    <row r="21" spans="1:17" ht="12.75" customHeight="1" x14ac:dyDescent="0.25">
      <c r="A21" s="59"/>
      <c r="B21" s="59"/>
      <c r="C21" s="59" t="s">
        <v>449</v>
      </c>
      <c r="D21" s="62">
        <f>'Balance Sheet'!D42</f>
        <v>112.77800000000001</v>
      </c>
      <c r="E21" s="62">
        <f>'Balance Sheet'!E42</f>
        <v>162.14500000000001</v>
      </c>
      <c r="F21" s="62">
        <f>'Balance Sheet'!F42</f>
        <v>230.821</v>
      </c>
      <c r="G21" s="62">
        <f>'Balance Sheet'!G42</f>
        <v>260.97800000000001</v>
      </c>
      <c r="H21" s="61">
        <f ca="1">OWC!H14</f>
        <v>301.74453899539174</v>
      </c>
      <c r="I21" s="61">
        <f ca="1">OWC!I14</f>
        <v>310.26719256556015</v>
      </c>
      <c r="J21" s="61">
        <f ca="1">OWC!J14</f>
        <v>318.26744488525588</v>
      </c>
      <c r="K21" s="61">
        <f ca="1">OWC!K14</f>
        <v>329.05418023069382</v>
      </c>
      <c r="L21" s="61">
        <f ca="1">OWC!L14</f>
        <v>347.03896210934118</v>
      </c>
      <c r="M21" s="61">
        <f ca="1">OWC!M14</f>
        <v>358.94432883786061</v>
      </c>
      <c r="N21" s="61">
        <f ca="1">OWC!N14</f>
        <v>367.1379831724268</v>
      </c>
      <c r="O21" s="61">
        <f ca="1">OWC!O14</f>
        <v>364.99520313053517</v>
      </c>
      <c r="P21" s="61">
        <f ca="1">OWC!P14</f>
        <v>369.87561897556503</v>
      </c>
      <c r="Q21" s="61">
        <f ca="1">OWC!Q14</f>
        <v>373.24547850461136</v>
      </c>
    </row>
    <row r="22" spans="1:17" ht="12.75" customHeight="1" x14ac:dyDescent="0.3">
      <c r="A22" s="59"/>
      <c r="B22" s="66"/>
      <c r="C22" s="59" t="s">
        <v>450</v>
      </c>
      <c r="D22" s="67">
        <f>'Balance Sheet'!D43</f>
        <v>107.068</v>
      </c>
      <c r="E22" s="67">
        <f>'Balance Sheet'!E43</f>
        <v>140.376</v>
      </c>
      <c r="F22" s="67">
        <f>'Balance Sheet'!F43</f>
        <v>191.822</v>
      </c>
      <c r="G22" s="67">
        <f>'Balance Sheet'!G43</f>
        <v>223.113</v>
      </c>
      <c r="H22" s="61">
        <f ca="1">OWC!H16</f>
        <v>218.01856054515099</v>
      </c>
      <c r="I22" s="61">
        <f ca="1">OWC!I16</f>
        <v>223.00765515763118</v>
      </c>
      <c r="J22" s="61">
        <f ca="1">OWC!J16</f>
        <v>227.25526511018964</v>
      </c>
      <c r="K22" s="61">
        <f ca="1">OWC!K16</f>
        <v>232.50427066835832</v>
      </c>
      <c r="L22" s="61">
        <f ca="1">OWC!L16</f>
        <v>243.33694730207407</v>
      </c>
      <c r="M22" s="61">
        <f ca="1">OWC!M16</f>
        <v>249.62039583092744</v>
      </c>
      <c r="N22" s="61">
        <f ca="1">OWC!N16</f>
        <v>253.1296468237137</v>
      </c>
      <c r="O22" s="61">
        <f ca="1">OWC!O16</f>
        <v>253.65693890611553</v>
      </c>
      <c r="P22" s="61">
        <f ca="1">OWC!P16</f>
        <v>255.99263799666119</v>
      </c>
      <c r="Q22" s="61">
        <f ca="1">OWC!Q16</f>
        <v>257.55397010532079</v>
      </c>
    </row>
    <row r="23" spans="1:17" ht="12.75" customHeight="1" x14ac:dyDescent="0.3">
      <c r="A23" s="59"/>
      <c r="B23" s="66"/>
      <c r="C23" s="59" t="s">
        <v>542</v>
      </c>
      <c r="D23" s="67">
        <f>'Balance Sheet'!D44</f>
        <v>0</v>
      </c>
      <c r="E23" s="67">
        <f>'Balance Sheet'!E44</f>
        <v>0</v>
      </c>
      <c r="F23" s="67">
        <f>'Balance Sheet'!F44</f>
        <v>24.361999999999998</v>
      </c>
      <c r="G23" s="67">
        <f>'Balance Sheet'!G44</f>
        <v>23.327999999999999</v>
      </c>
      <c r="H23" s="61">
        <f>H29*(G23/G29)</f>
        <v>17.496000000000002</v>
      </c>
      <c r="I23" s="61">
        <f t="shared" ref="I23:L23" si="16">I29*(H23/H29)</f>
        <v>13.122000000000002</v>
      </c>
      <c r="J23" s="61">
        <f t="shared" si="16"/>
        <v>9.8415000000000017</v>
      </c>
      <c r="K23" s="61">
        <f t="shared" si="16"/>
        <v>7.3811250000000017</v>
      </c>
      <c r="L23" s="61">
        <f t="shared" si="16"/>
        <v>5.5358437500000015</v>
      </c>
      <c r="M23" s="61">
        <f t="shared" ref="M23:N23" si="17">M29*(L23/L29)</f>
        <v>4.1518828125000011</v>
      </c>
      <c r="N23" s="61">
        <f t="shared" si="17"/>
        <v>3.1139121093750011</v>
      </c>
      <c r="O23" s="61">
        <f t="shared" ref="O23:Q23" si="18">O29*(N23/N29)</f>
        <v>2.3354340820312509</v>
      </c>
      <c r="P23" s="61">
        <f t="shared" si="18"/>
        <v>1.7515755615234381</v>
      </c>
      <c r="Q23" s="61">
        <f t="shared" si="18"/>
        <v>1.3136816711425785</v>
      </c>
    </row>
    <row r="24" spans="1:17" ht="12.75" customHeight="1" x14ac:dyDescent="0.25">
      <c r="A24" s="59"/>
      <c r="B24" s="59"/>
      <c r="C24" s="59" t="s">
        <v>451</v>
      </c>
      <c r="D24" s="62">
        <f>'Balance Sheet'!D45</f>
        <v>47.064</v>
      </c>
      <c r="E24" s="62">
        <f>'Balance Sheet'!E45</f>
        <v>42.932000000000002</v>
      </c>
      <c r="F24" s="62">
        <f>'Balance Sheet'!F45</f>
        <v>57.456000000000003</v>
      </c>
      <c r="G24" s="62">
        <f>'Balance Sheet'!G45</f>
        <v>62.267000000000003</v>
      </c>
      <c r="H24" s="62">
        <v>4.2</v>
      </c>
      <c r="I24" s="62">
        <v>4.2</v>
      </c>
      <c r="J24" s="62">
        <v>4.2</v>
      </c>
      <c r="K24" s="62">
        <v>4.2</v>
      </c>
      <c r="L24" s="62">
        <v>4.2</v>
      </c>
      <c r="M24" s="62">
        <v>4.2</v>
      </c>
      <c r="N24" s="62">
        <v>4.2</v>
      </c>
      <c r="O24" s="62">
        <v>4.2</v>
      </c>
      <c r="P24" s="62">
        <v>4.2</v>
      </c>
      <c r="Q24" s="62">
        <v>4.2</v>
      </c>
    </row>
    <row r="25" spans="1:17" ht="12.75" customHeight="1" x14ac:dyDescent="0.3">
      <c r="A25" s="59"/>
      <c r="B25" s="66"/>
      <c r="C25" s="59" t="s">
        <v>541</v>
      </c>
      <c r="D25" s="67">
        <f>'Balance Sheet'!D46</f>
        <v>5.0380000000000003</v>
      </c>
      <c r="E25" s="67">
        <f>'Balance Sheet'!E46</f>
        <v>16.279</v>
      </c>
      <c r="F25" s="67">
        <f>'Balance Sheet'!F46</f>
        <v>89.210999999999999</v>
      </c>
      <c r="G25" s="67">
        <f>'Balance Sheet'!G46</f>
        <v>65.951999999999998</v>
      </c>
      <c r="H25" s="61">
        <f ca="1">OWC!H18</f>
        <v>62.373535826918271</v>
      </c>
      <c r="I25" s="61">
        <f ca="1">OWC!I18</f>
        <v>64.404337397888241</v>
      </c>
      <c r="J25" s="61">
        <f ca="1">OWC!J18</f>
        <v>65.320923551843777</v>
      </c>
      <c r="K25" s="61">
        <f ca="1">OWC!K18</f>
        <v>65.039738523221757</v>
      </c>
      <c r="L25" s="61">
        <f ca="1">OWC!L18</f>
        <v>66.770471882364021</v>
      </c>
      <c r="M25" s="61">
        <f ca="1">OWC!M18</f>
        <v>66.651926611928531</v>
      </c>
      <c r="N25" s="61">
        <f ca="1">OWC!N18</f>
        <v>65.38300707732428</v>
      </c>
      <c r="O25" s="61">
        <f ca="1">OWC!O18</f>
        <v>68.309371262668776</v>
      </c>
      <c r="P25" s="61">
        <f ca="1">OWC!P18</f>
        <v>67.90755107959717</v>
      </c>
      <c r="Q25" s="61">
        <f ca="1">OWC!Q18</f>
        <v>67.567155298223454</v>
      </c>
    </row>
    <row r="26" spans="1:17" ht="12.75" customHeight="1" x14ac:dyDescent="0.25">
      <c r="A26" s="59"/>
      <c r="B26" s="59"/>
      <c r="C26" s="59" t="s">
        <v>210</v>
      </c>
      <c r="D26" s="62">
        <f>'Balance Sheet'!D47</f>
        <v>0.7</v>
      </c>
      <c r="E26" s="62">
        <f>'Balance Sheet'!E47</f>
        <v>0.1</v>
      </c>
      <c r="F26" s="62">
        <f>'Balance Sheet'!F47</f>
        <v>6.8</v>
      </c>
      <c r="G26" s="62">
        <f>'Balance Sheet'!G47</f>
        <v>6.8</v>
      </c>
      <c r="H26" s="62">
        <f>AVERAGE(E26:G26)</f>
        <v>4.5666666666666664</v>
      </c>
      <c r="I26" s="62">
        <f>AVERAGE(F26:H26)</f>
        <v>6.0555555555555545</v>
      </c>
      <c r="J26" s="62">
        <f>AVERAGE(G26:I26)</f>
        <v>5.8074074074074069</v>
      </c>
      <c r="K26" s="62">
        <f>AVERAGE(H26:J26)</f>
        <v>5.4765432098765423</v>
      </c>
      <c r="L26" s="62">
        <f>AVERAGE(I26:K26)</f>
        <v>5.7798353909465012</v>
      </c>
      <c r="M26" s="62">
        <f t="shared" ref="M26:N26" si="19">AVERAGE(J26:L26)</f>
        <v>5.6879286694101507</v>
      </c>
      <c r="N26" s="62">
        <f t="shared" si="19"/>
        <v>5.6481024234110651</v>
      </c>
      <c r="O26" s="62">
        <f t="shared" ref="O26" si="20">AVERAGE(L26:N26)</f>
        <v>5.7052888279225726</v>
      </c>
      <c r="P26" s="62">
        <f t="shared" ref="P26" si="21">AVERAGE(M26:O26)</f>
        <v>5.6804399735812625</v>
      </c>
      <c r="Q26" s="62">
        <f t="shared" ref="Q26" si="22">AVERAGE(N26:P26)</f>
        <v>5.6779437416382992</v>
      </c>
    </row>
    <row r="27" spans="1:17" ht="12.75" customHeight="1" x14ac:dyDescent="0.25">
      <c r="A27" s="59"/>
      <c r="B27" s="59"/>
      <c r="C27" s="59" t="s">
        <v>452</v>
      </c>
      <c r="D27" s="63">
        <f>'Balance Sheet'!D48</f>
        <v>18.936</v>
      </c>
      <c r="E27" s="63">
        <f>'Balance Sheet'!E48</f>
        <v>26.411000000000001</v>
      </c>
      <c r="F27" s="63">
        <f>'Balance Sheet'!F48</f>
        <v>40.802</v>
      </c>
      <c r="G27" s="63">
        <f>'Balance Sheet'!G48</f>
        <v>55.857999999999997</v>
      </c>
      <c r="H27" s="64">
        <v>0</v>
      </c>
      <c r="I27" s="64">
        <f>H27</f>
        <v>0</v>
      </c>
      <c r="J27" s="64">
        <f>I27</f>
        <v>0</v>
      </c>
      <c r="K27" s="64">
        <f>J27</f>
        <v>0</v>
      </c>
      <c r="L27" s="64">
        <f>K27</f>
        <v>0</v>
      </c>
      <c r="M27" s="64">
        <f t="shared" ref="M27:N27" si="23">L27</f>
        <v>0</v>
      </c>
      <c r="N27" s="64">
        <f t="shared" si="23"/>
        <v>0</v>
      </c>
      <c r="O27" s="64">
        <f t="shared" ref="O27:Q27" si="24">N27</f>
        <v>0</v>
      </c>
      <c r="P27" s="64">
        <f t="shared" si="24"/>
        <v>0</v>
      </c>
      <c r="Q27" s="64">
        <f t="shared" si="24"/>
        <v>0</v>
      </c>
    </row>
    <row r="28" spans="1:17" ht="12.75" customHeight="1" x14ac:dyDescent="0.25">
      <c r="A28" s="59"/>
      <c r="B28" s="59"/>
      <c r="C28" s="60" t="s">
        <v>453</v>
      </c>
      <c r="D28" s="58">
        <f t="shared" ref="D28" si="25">SUM(D20:D27)</f>
        <v>291.584</v>
      </c>
      <c r="E28" s="58">
        <f t="shared" ref="E28:L28" si="26">SUM(E20:E27)</f>
        <v>388.24300000000005</v>
      </c>
      <c r="F28" s="58">
        <f t="shared" si="26"/>
        <v>641.274</v>
      </c>
      <c r="G28" s="58">
        <f t="shared" si="26"/>
        <v>698.29599999999994</v>
      </c>
      <c r="H28" s="58">
        <f t="shared" ca="1" si="26"/>
        <v>608.3993020341278</v>
      </c>
      <c r="I28" s="58">
        <f t="shared" ca="1" si="26"/>
        <v>621.05674067663506</v>
      </c>
      <c r="J28" s="58">
        <f t="shared" ca="1" si="26"/>
        <v>630.69254095469671</v>
      </c>
      <c r="K28" s="58">
        <f t="shared" ca="1" si="26"/>
        <v>643.65585763215051</v>
      </c>
      <c r="L28" s="58">
        <f t="shared" ca="1" si="26"/>
        <v>672.66206043472584</v>
      </c>
      <c r="M28" s="58">
        <f t="shared" ref="M28:N28" ca="1" si="27">SUM(M20:M27)</f>
        <v>689.25646276262671</v>
      </c>
      <c r="N28" s="58">
        <f t="shared" ca="1" si="27"/>
        <v>698.61265160625078</v>
      </c>
      <c r="O28" s="58">
        <f t="shared" ref="O28:Q28" ca="1" si="28">SUM(O20:O27)</f>
        <v>699.20223620927334</v>
      </c>
      <c r="P28" s="58">
        <f t="shared" ca="1" si="28"/>
        <v>705.40782358692809</v>
      </c>
      <c r="Q28" s="58">
        <f t="shared" ca="1" si="28"/>
        <v>709.55822932093656</v>
      </c>
    </row>
    <row r="29" spans="1:17" ht="12.75" customHeight="1" x14ac:dyDescent="0.25">
      <c r="A29" s="59"/>
      <c r="B29" s="59" t="s">
        <v>454</v>
      </c>
      <c r="C29" s="59"/>
      <c r="D29" s="62">
        <f>'Balance Sheet'!D51</f>
        <v>180</v>
      </c>
      <c r="E29" s="62">
        <f>'Balance Sheet'!E51</f>
        <v>771.39</v>
      </c>
      <c r="F29" s="62">
        <f>'Balance Sheet'!F51</f>
        <v>2298.027</v>
      </c>
      <c r="G29" s="62">
        <f>'Balance Sheet'!G51</f>
        <v>1640.9960000000001</v>
      </c>
      <c r="H29" s="61">
        <f>G29*(1-DCF!$D$5)</f>
        <v>1230.7470000000001</v>
      </c>
      <c r="I29" s="61">
        <f>H29*(1-DCF!$D$5)</f>
        <v>923.06025</v>
      </c>
      <c r="J29" s="61">
        <f>I29*(1-DCF!$D$5)</f>
        <v>692.2951875</v>
      </c>
      <c r="K29" s="61">
        <f>J29*(1-DCF!$D$5)</f>
        <v>519.22139062500003</v>
      </c>
      <c r="L29" s="61">
        <f>K29*(1-DCF!$D$5)</f>
        <v>389.41604296875005</v>
      </c>
      <c r="M29" s="61">
        <f>L29*(1-DCF!$D$5)</f>
        <v>292.06203222656256</v>
      </c>
      <c r="N29" s="61">
        <f>M29*(1-DCF!$D$5)</f>
        <v>219.04652416992192</v>
      </c>
      <c r="O29" s="61">
        <f>N29*(1-DCF!$D$5)</f>
        <v>164.28489312744145</v>
      </c>
      <c r="P29" s="61">
        <f>O29*(1-DCF!$D$5)</f>
        <v>123.21366984558108</v>
      </c>
      <c r="Q29" s="61">
        <f>P29*(1-DCF!$D$5)</f>
        <v>92.41025238418581</v>
      </c>
    </row>
    <row r="30" spans="1:17" ht="12.75" customHeight="1" x14ac:dyDescent="0.25">
      <c r="A30" s="59"/>
      <c r="B30" s="59" t="s">
        <v>455</v>
      </c>
      <c r="C30" s="59"/>
      <c r="D30" s="62">
        <f>'Balance Sheet'!D52</f>
        <v>146.40100000000001</v>
      </c>
      <c r="E30" s="62">
        <f>'Balance Sheet'!E52</f>
        <v>149.23699999999999</v>
      </c>
      <c r="F30" s="62">
        <f>'Balance Sheet'!F52</f>
        <v>215.119</v>
      </c>
      <c r="G30" s="62">
        <f>'Balance Sheet'!G52</f>
        <v>269.76900000000001</v>
      </c>
      <c r="H30" s="61">
        <f>G30</f>
        <v>269.76900000000001</v>
      </c>
      <c r="I30" s="61">
        <f t="shared" ref="I30:L30" si="29">H30</f>
        <v>269.76900000000001</v>
      </c>
      <c r="J30" s="61">
        <f t="shared" si="29"/>
        <v>269.76900000000001</v>
      </c>
      <c r="K30" s="61">
        <f t="shared" si="29"/>
        <v>269.76900000000001</v>
      </c>
      <c r="L30" s="61">
        <f t="shared" si="29"/>
        <v>269.76900000000001</v>
      </c>
      <c r="M30" s="61">
        <f t="shared" ref="M30:N30" si="30">L30</f>
        <v>269.76900000000001</v>
      </c>
      <c r="N30" s="61">
        <f t="shared" si="30"/>
        <v>269.76900000000001</v>
      </c>
      <c r="O30" s="61">
        <f t="shared" ref="O30:Q30" si="31">N30</f>
        <v>269.76900000000001</v>
      </c>
      <c r="P30" s="61">
        <f t="shared" si="31"/>
        <v>269.76900000000001</v>
      </c>
      <c r="Q30" s="61">
        <f t="shared" si="31"/>
        <v>269.76900000000001</v>
      </c>
    </row>
    <row r="31" spans="1:17" ht="12.75" customHeight="1" x14ac:dyDescent="0.25">
      <c r="A31" s="59"/>
      <c r="B31" s="59" t="s">
        <v>456</v>
      </c>
      <c r="C31" s="59"/>
      <c r="D31" s="62" t="str">
        <f>'Balance Sheet'!D53</f>
        <v>-</v>
      </c>
      <c r="E31" s="62">
        <f>'Balance Sheet'!E53</f>
        <v>0.17599999999999999</v>
      </c>
      <c r="F31" s="62">
        <f>'Balance Sheet'!F53</f>
        <v>302.02999999999997</v>
      </c>
      <c r="G31" s="62">
        <f>'Balance Sheet'!G53</f>
        <v>12.912000000000001</v>
      </c>
      <c r="H31" s="61">
        <f t="shared" ref="H31:L32" si="32">AVERAGE(E31:G31)</f>
        <v>105.03933333333332</v>
      </c>
      <c r="I31" s="61">
        <f t="shared" si="32"/>
        <v>139.99377777777775</v>
      </c>
      <c r="J31" s="61">
        <f t="shared" si="32"/>
        <v>85.981703703703701</v>
      </c>
      <c r="K31" s="61">
        <f t="shared" si="32"/>
        <v>110.33827160493826</v>
      </c>
      <c r="L31" s="61">
        <f t="shared" si="32"/>
        <v>112.1045843621399</v>
      </c>
      <c r="M31" s="61">
        <f t="shared" ref="M31:M32" si="33">AVERAGE(J31:L31)</f>
        <v>102.8081865569273</v>
      </c>
      <c r="N31" s="61">
        <f t="shared" ref="N31:N32" si="34">AVERAGE(K31:M31)</f>
        <v>108.41701417466849</v>
      </c>
      <c r="O31" s="61">
        <f t="shared" ref="O31:O32" si="35">AVERAGE(L31:N31)</f>
        <v>107.77659503124524</v>
      </c>
      <c r="P31" s="61">
        <f t="shared" ref="P31:P32" si="36">AVERAGE(M31:O31)</f>
        <v>106.33393192094701</v>
      </c>
      <c r="Q31" s="61">
        <f t="shared" ref="Q31:Q32" si="37">AVERAGE(N31:P31)</f>
        <v>107.50918037562025</v>
      </c>
    </row>
    <row r="32" spans="1:17" ht="12.75" customHeight="1" thickBot="1" x14ac:dyDescent="0.3">
      <c r="A32" s="59"/>
      <c r="B32" s="59" t="s">
        <v>457</v>
      </c>
      <c r="C32" s="59"/>
      <c r="D32" s="167">
        <f>'Balance Sheet'!D54</f>
        <v>210.10499999999999</v>
      </c>
      <c r="E32" s="167">
        <f>'Balance Sheet'!E54</f>
        <v>221.94</v>
      </c>
      <c r="F32" s="167">
        <f>'Balance Sheet'!F54</f>
        <v>227.416</v>
      </c>
      <c r="G32" s="167">
        <f>'Balance Sheet'!G54</f>
        <v>567.93799999999999</v>
      </c>
      <c r="H32" s="168">
        <f t="shared" si="32"/>
        <v>339.09800000000001</v>
      </c>
      <c r="I32" s="168">
        <f t="shared" si="32"/>
        <v>378.15066666666667</v>
      </c>
      <c r="J32" s="168">
        <f t="shared" si="32"/>
        <v>428.39555555555557</v>
      </c>
      <c r="K32" s="168">
        <f t="shared" si="32"/>
        <v>381.88140740740738</v>
      </c>
      <c r="L32" s="168">
        <f t="shared" si="32"/>
        <v>396.14254320987652</v>
      </c>
      <c r="M32" s="168">
        <f t="shared" si="33"/>
        <v>402.13983539094647</v>
      </c>
      <c r="N32" s="168">
        <f t="shared" si="34"/>
        <v>393.38792866941009</v>
      </c>
      <c r="O32" s="168">
        <f t="shared" si="35"/>
        <v>397.22343575674432</v>
      </c>
      <c r="P32" s="168">
        <f t="shared" si="36"/>
        <v>397.58373327236694</v>
      </c>
      <c r="Q32" s="168">
        <f t="shared" si="37"/>
        <v>396.06503256617378</v>
      </c>
    </row>
    <row r="33" spans="1:17" ht="12.75" customHeight="1" x14ac:dyDescent="0.25">
      <c r="A33" s="59"/>
      <c r="B33" s="60" t="s">
        <v>458</v>
      </c>
      <c r="C33" s="60"/>
      <c r="D33" s="58">
        <f t="shared" ref="D33" si="38">SUM(D28:D32)</f>
        <v>828.09</v>
      </c>
      <c r="E33" s="58">
        <f t="shared" ref="E33:L33" si="39">SUM(E28:E32)</f>
        <v>1530.9860000000001</v>
      </c>
      <c r="F33" s="58">
        <f t="shared" si="39"/>
        <v>3683.866</v>
      </c>
      <c r="G33" s="58">
        <f t="shared" si="39"/>
        <v>3189.9109999999996</v>
      </c>
      <c r="H33" s="58">
        <f t="shared" ca="1" si="39"/>
        <v>2553.0526353674613</v>
      </c>
      <c r="I33" s="58">
        <f t="shared" ca="1" si="39"/>
        <v>2332.0304351210793</v>
      </c>
      <c r="J33" s="58">
        <f t="shared" ca="1" si="39"/>
        <v>2107.1339877139562</v>
      </c>
      <c r="K33" s="58">
        <f t="shared" ca="1" si="39"/>
        <v>1924.8659272694961</v>
      </c>
      <c r="L33" s="58">
        <f t="shared" ca="1" si="39"/>
        <v>1840.0942309754921</v>
      </c>
      <c r="M33" s="58">
        <f t="shared" ref="M33:N33" ca="1" si="40">SUM(M28:M32)</f>
        <v>1756.035516937063</v>
      </c>
      <c r="N33" s="58">
        <f t="shared" ca="1" si="40"/>
        <v>1689.2331186202514</v>
      </c>
      <c r="O33" s="58">
        <f t="shared" ref="O33:Q33" ca="1" si="41">SUM(O28:O32)</f>
        <v>1638.2561601247044</v>
      </c>
      <c r="P33" s="58">
        <f t="shared" ca="1" si="41"/>
        <v>1602.3081586258231</v>
      </c>
      <c r="Q33" s="58">
        <f t="shared" ca="1" si="41"/>
        <v>1575.3116946469163</v>
      </c>
    </row>
    <row r="34" spans="1:17" ht="21" customHeight="1" x14ac:dyDescent="0.25">
      <c r="A34" s="60" t="s">
        <v>459</v>
      </c>
      <c r="B34" s="59"/>
      <c r="C34" s="60"/>
      <c r="D34" s="60"/>
      <c r="E34" s="60"/>
      <c r="F34" s="60"/>
      <c r="G34" s="60"/>
      <c r="H34" s="60"/>
      <c r="I34" s="65"/>
      <c r="J34" s="60"/>
      <c r="K34" s="60"/>
      <c r="L34" s="60"/>
      <c r="M34" s="60"/>
      <c r="N34" s="60"/>
      <c r="O34" s="60"/>
      <c r="P34" s="60"/>
      <c r="Q34" s="60"/>
    </row>
    <row r="35" spans="1:17" ht="12.75" customHeight="1" x14ac:dyDescent="0.25">
      <c r="A35" s="59"/>
      <c r="B35" s="59" t="s">
        <v>545</v>
      </c>
      <c r="C35" s="59"/>
      <c r="D35" s="62">
        <f>'Balance Sheet'!D57</f>
        <v>0.105</v>
      </c>
      <c r="E35" s="62">
        <f>'Balance Sheet'!E57</f>
        <v>0.106</v>
      </c>
      <c r="F35" s="62">
        <f>'Balance Sheet'!F57</f>
        <v>0.11</v>
      </c>
      <c r="G35" s="62">
        <f>'Balance Sheet'!G57</f>
        <v>0.11</v>
      </c>
      <c r="H35" s="61">
        <f>G35</f>
        <v>0.11</v>
      </c>
      <c r="I35" s="61">
        <f t="shared" ref="I35:L36" si="42">H35</f>
        <v>0.11</v>
      </c>
      <c r="J35" s="61">
        <f t="shared" si="42"/>
        <v>0.11</v>
      </c>
      <c r="K35" s="61">
        <f t="shared" si="42"/>
        <v>0.11</v>
      </c>
      <c r="L35" s="61">
        <f t="shared" si="42"/>
        <v>0.11</v>
      </c>
      <c r="M35" s="61">
        <f t="shared" ref="M35:M36" si="43">L35</f>
        <v>0.11</v>
      </c>
      <c r="N35" s="61">
        <f t="shared" ref="N35:N36" si="44">M35</f>
        <v>0.11</v>
      </c>
      <c r="O35" s="61">
        <f t="shared" ref="O35:O36" si="45">N35</f>
        <v>0.11</v>
      </c>
      <c r="P35" s="61">
        <f t="shared" ref="P35:P36" si="46">O35</f>
        <v>0.11</v>
      </c>
      <c r="Q35" s="61">
        <f t="shared" ref="Q35:Q36" si="47">P35</f>
        <v>0.11</v>
      </c>
    </row>
    <row r="36" spans="1:17" ht="12.75" customHeight="1" x14ac:dyDescent="0.25">
      <c r="A36" s="59"/>
      <c r="B36" s="59" t="s">
        <v>544</v>
      </c>
      <c r="C36" s="59"/>
      <c r="D36" s="62">
        <f>'Balance Sheet'!D58</f>
        <v>482.38499999999999</v>
      </c>
      <c r="E36" s="62">
        <f>'Balance Sheet'!E58</f>
        <v>496.036</v>
      </c>
      <c r="F36" s="62">
        <f>'Balance Sheet'!F58</f>
        <v>797.61400000000003</v>
      </c>
      <c r="G36" s="62">
        <f>'Balance Sheet'!G58</f>
        <v>826.68499999999995</v>
      </c>
      <c r="H36" s="61">
        <f>G36</f>
        <v>826.68499999999995</v>
      </c>
      <c r="I36" s="61">
        <f t="shared" si="42"/>
        <v>826.68499999999995</v>
      </c>
      <c r="J36" s="61">
        <f t="shared" si="42"/>
        <v>826.68499999999995</v>
      </c>
      <c r="K36" s="61">
        <f t="shared" si="42"/>
        <v>826.68499999999995</v>
      </c>
      <c r="L36" s="61">
        <f t="shared" si="42"/>
        <v>826.68499999999995</v>
      </c>
      <c r="M36" s="61">
        <f t="shared" si="43"/>
        <v>826.68499999999995</v>
      </c>
      <c r="N36" s="61">
        <f t="shared" si="44"/>
        <v>826.68499999999995</v>
      </c>
      <c r="O36" s="61">
        <f t="shared" si="45"/>
        <v>826.68499999999995</v>
      </c>
      <c r="P36" s="61">
        <f t="shared" si="46"/>
        <v>826.68499999999995</v>
      </c>
      <c r="Q36" s="61">
        <f t="shared" si="47"/>
        <v>826.68499999999995</v>
      </c>
    </row>
    <row r="37" spans="1:17" ht="12.75" customHeight="1" x14ac:dyDescent="0.25">
      <c r="A37" s="59"/>
      <c r="B37" s="59" t="s">
        <v>460</v>
      </c>
      <c r="C37" s="59"/>
      <c r="D37" s="62">
        <f>'Balance Sheet'!D59</f>
        <v>553.346</v>
      </c>
      <c r="E37" s="62">
        <f>'Balance Sheet'!E59</f>
        <v>1279.04</v>
      </c>
      <c r="F37" s="62">
        <f>'Balance Sheet'!F59</f>
        <v>1819.1990000000001</v>
      </c>
      <c r="G37" s="62">
        <f>'Balance Sheet'!G59</f>
        <v>2611.7649999999999</v>
      </c>
      <c r="H37" s="61">
        <f ca="1">G37+ISP!H38</f>
        <v>3443.662992558342</v>
      </c>
      <c r="I37" s="61">
        <f ca="1">H37+ISP!I38</f>
        <v>4302.6465066888813</v>
      </c>
      <c r="J37" s="61">
        <f ca="1">I37+ISP!J38</f>
        <v>5173.854855781452</v>
      </c>
      <c r="K37" s="61">
        <f ca="1">J37+ISP!K38</f>
        <v>6041.3129403147514</v>
      </c>
      <c r="L37" s="61">
        <f ca="1">K37+ISP!L38</f>
        <v>6931.8544301422371</v>
      </c>
      <c r="M37" s="61">
        <f ca="1">L37+ISP!M38</f>
        <v>7820.8148396093557</v>
      </c>
      <c r="N37" s="61">
        <f ca="1">M37+ISP!N38</f>
        <v>8692.8512187235283</v>
      </c>
      <c r="O37" s="61">
        <f ca="1">N37+ISP!O38</f>
        <v>9603.9175559602954</v>
      </c>
      <c r="P37" s="61">
        <f ca="1">O37+ISP!P38</f>
        <v>10509.624674752331</v>
      </c>
      <c r="Q37" s="61">
        <f ca="1">P37+ISP!Q38</f>
        <v>11410.791814153332</v>
      </c>
    </row>
    <row r="38" spans="1:17" ht="12.75" customHeight="1" x14ac:dyDescent="0.25">
      <c r="A38" s="59"/>
      <c r="B38" s="59" t="s">
        <v>543</v>
      </c>
      <c r="C38" s="59"/>
      <c r="D38" s="62">
        <f>'Balance Sheet'!D60</f>
        <v>-688.8</v>
      </c>
      <c r="E38" s="62">
        <f>'Balance Sheet'!E60</f>
        <v>-1684.3</v>
      </c>
      <c r="F38" s="62">
        <f>'Balance Sheet'!F60</f>
        <v>-1695.5</v>
      </c>
      <c r="G38" s="62">
        <f>'Balance Sheet'!G60</f>
        <v>-1888.9</v>
      </c>
      <c r="H38" s="61">
        <f t="shared" ref="H38:L39" si="48">G38</f>
        <v>-1888.9</v>
      </c>
      <c r="I38" s="61">
        <f t="shared" si="48"/>
        <v>-1888.9</v>
      </c>
      <c r="J38" s="61">
        <f t="shared" si="48"/>
        <v>-1888.9</v>
      </c>
      <c r="K38" s="61">
        <f t="shared" si="48"/>
        <v>-1888.9</v>
      </c>
      <c r="L38" s="61">
        <f t="shared" si="48"/>
        <v>-1888.9</v>
      </c>
      <c r="M38" s="61">
        <f t="shared" ref="M38:M39" si="49">L38</f>
        <v>-1888.9</v>
      </c>
      <c r="N38" s="61">
        <f t="shared" ref="N38:N39" si="50">M38</f>
        <v>-1888.9</v>
      </c>
      <c r="O38" s="61">
        <f t="shared" ref="O38:O39" si="51">N38</f>
        <v>-1888.9</v>
      </c>
      <c r="P38" s="61">
        <f t="shared" ref="P38:P39" si="52">O38</f>
        <v>-1888.9</v>
      </c>
      <c r="Q38" s="61">
        <f t="shared" ref="Q38:Q39" si="53">P38</f>
        <v>-1888.9</v>
      </c>
    </row>
    <row r="39" spans="1:17" ht="12.75" customHeight="1" x14ac:dyDescent="0.25">
      <c r="A39" s="59"/>
      <c r="B39" s="59" t="s">
        <v>461</v>
      </c>
      <c r="C39" s="59"/>
      <c r="D39" s="62">
        <f>'Balance Sheet'!D61</f>
        <v>-56.4</v>
      </c>
      <c r="E39" s="62">
        <f>'Balance Sheet'!E61</f>
        <v>-76.8</v>
      </c>
      <c r="F39" s="62">
        <f>'Balance Sheet'!F61</f>
        <v>-103.5</v>
      </c>
      <c r="G39" s="62">
        <f>'Balance Sheet'!G61</f>
        <v>-95.8</v>
      </c>
      <c r="H39" s="64">
        <f t="shared" si="48"/>
        <v>-95.8</v>
      </c>
      <c r="I39" s="64">
        <f t="shared" si="48"/>
        <v>-95.8</v>
      </c>
      <c r="J39" s="64">
        <f t="shared" si="48"/>
        <v>-95.8</v>
      </c>
      <c r="K39" s="64">
        <f t="shared" si="48"/>
        <v>-95.8</v>
      </c>
      <c r="L39" s="64">
        <f t="shared" si="48"/>
        <v>-95.8</v>
      </c>
      <c r="M39" s="64">
        <f t="shared" si="49"/>
        <v>-95.8</v>
      </c>
      <c r="N39" s="64">
        <f t="shared" si="50"/>
        <v>-95.8</v>
      </c>
      <c r="O39" s="64">
        <f t="shared" si="51"/>
        <v>-95.8</v>
      </c>
      <c r="P39" s="64">
        <f t="shared" si="52"/>
        <v>-95.8</v>
      </c>
      <c r="Q39" s="64">
        <f t="shared" si="53"/>
        <v>-95.8</v>
      </c>
    </row>
    <row r="40" spans="1:17" ht="12.75" customHeight="1" x14ac:dyDescent="0.25">
      <c r="A40" s="59"/>
      <c r="B40" s="60" t="s">
        <v>462</v>
      </c>
      <c r="C40" s="60"/>
      <c r="D40" s="68">
        <f t="shared" ref="D40" si="54">SUM(D35:D39)</f>
        <v>290.63600000000008</v>
      </c>
      <c r="E40" s="68">
        <f t="shared" ref="E40:L40" si="55">SUM(E35:E39)</f>
        <v>14.082000000000065</v>
      </c>
      <c r="F40" s="68">
        <f t="shared" si="55"/>
        <v>817.92300000000023</v>
      </c>
      <c r="G40" s="68">
        <f t="shared" si="55"/>
        <v>1453.86</v>
      </c>
      <c r="H40" s="68">
        <f t="shared" ca="1" si="55"/>
        <v>2285.7579925583418</v>
      </c>
      <c r="I40" s="68">
        <f t="shared" ca="1" si="55"/>
        <v>3144.7415066888811</v>
      </c>
      <c r="J40" s="68">
        <f t="shared" ca="1" si="55"/>
        <v>4015.9498557814522</v>
      </c>
      <c r="K40" s="68">
        <f t="shared" ca="1" si="55"/>
        <v>4883.4079403147507</v>
      </c>
      <c r="L40" s="68">
        <f t="shared" ca="1" si="55"/>
        <v>5773.9494301422374</v>
      </c>
      <c r="M40" s="68">
        <f t="shared" ref="M40:N40" ca="1" si="56">SUM(M35:M39)</f>
        <v>6662.909839609355</v>
      </c>
      <c r="N40" s="68">
        <f t="shared" ca="1" si="56"/>
        <v>7534.9462187235285</v>
      </c>
      <c r="O40" s="68">
        <f t="shared" ref="O40:Q40" ca="1" si="57">SUM(O35:O39)</f>
        <v>8446.0125559602966</v>
      </c>
      <c r="P40" s="68">
        <f t="shared" ca="1" si="57"/>
        <v>9351.7196747523321</v>
      </c>
      <c r="Q40" s="68">
        <f t="shared" ca="1" si="57"/>
        <v>10252.886814153333</v>
      </c>
    </row>
    <row r="41" spans="1:17" ht="12.75" customHeight="1" x14ac:dyDescent="0.25">
      <c r="A41" s="59"/>
      <c r="B41" s="60"/>
      <c r="C41" s="60" t="s">
        <v>463</v>
      </c>
      <c r="D41" s="62">
        <v>62.6</v>
      </c>
      <c r="E41" s="62">
        <v>62.6</v>
      </c>
      <c r="F41" s="62">
        <v>70.2</v>
      </c>
      <c r="G41" s="62">
        <v>80</v>
      </c>
      <c r="H41" s="61">
        <f>G41</f>
        <v>80</v>
      </c>
      <c r="I41" s="61">
        <f>H41</f>
        <v>80</v>
      </c>
      <c r="J41" s="61">
        <f>I41</f>
        <v>80</v>
      </c>
      <c r="K41" s="61">
        <f>J41</f>
        <v>80</v>
      </c>
      <c r="L41" s="61">
        <f>K41</f>
        <v>80</v>
      </c>
      <c r="M41" s="61">
        <f t="shared" ref="M41:N41" si="58">L41</f>
        <v>80</v>
      </c>
      <c r="N41" s="61">
        <f t="shared" si="58"/>
        <v>80</v>
      </c>
      <c r="O41" s="61">
        <f t="shared" ref="O41:Q41" si="59">N41</f>
        <v>80</v>
      </c>
      <c r="P41" s="61">
        <f t="shared" si="59"/>
        <v>80</v>
      </c>
      <c r="Q41" s="61">
        <f t="shared" si="59"/>
        <v>80</v>
      </c>
    </row>
    <row r="42" spans="1:17" ht="21" customHeight="1" thickBot="1" x14ac:dyDescent="0.3">
      <c r="A42" s="59"/>
      <c r="B42" s="60" t="s">
        <v>464</v>
      </c>
      <c r="C42" s="60"/>
      <c r="D42" s="69">
        <f>D33+D40+D41</f>
        <v>1181.326</v>
      </c>
      <c r="E42" s="69">
        <f>E33+E40+E41</f>
        <v>1607.6680000000001</v>
      </c>
      <c r="F42" s="69">
        <f>F33+F40+F41</f>
        <v>4571.9890000000005</v>
      </c>
      <c r="G42" s="69">
        <f t="shared" ref="G42:L42" si="60">G41+G40+G33</f>
        <v>4723.7709999999997</v>
      </c>
      <c r="H42" s="69">
        <f t="shared" ca="1" si="60"/>
        <v>4918.8106279258027</v>
      </c>
      <c r="I42" s="69">
        <f t="shared" ca="1" si="60"/>
        <v>5556.7719418099605</v>
      </c>
      <c r="J42" s="69">
        <f t="shared" ca="1" si="60"/>
        <v>6203.0838434954085</v>
      </c>
      <c r="K42" s="69">
        <f t="shared" ca="1" si="60"/>
        <v>6888.2738675842465</v>
      </c>
      <c r="L42" s="69">
        <f t="shared" ca="1" si="60"/>
        <v>7694.0436611177292</v>
      </c>
      <c r="M42" s="69">
        <f t="shared" ref="M42:N42" ca="1" si="61">M41+M40+M33</f>
        <v>8498.9453565464173</v>
      </c>
      <c r="N42" s="69">
        <f t="shared" ca="1" si="61"/>
        <v>9304.1793373437795</v>
      </c>
      <c r="O42" s="69">
        <f t="shared" ref="O42:Q42" ca="1" si="62">O41+O40+O33</f>
        <v>10164.268716085</v>
      </c>
      <c r="P42" s="69">
        <f t="shared" ca="1" si="62"/>
        <v>11034.027833378155</v>
      </c>
      <c r="Q42" s="69">
        <f t="shared" ca="1" si="62"/>
        <v>11908.198508800249</v>
      </c>
    </row>
    <row r="43" spans="1:17" ht="21" customHeight="1" thickTop="1" x14ac:dyDescent="0.25">
      <c r="A43" s="60" t="s">
        <v>465</v>
      </c>
      <c r="B43" s="59"/>
      <c r="C43" s="60"/>
      <c r="D43" s="58"/>
      <c r="E43" s="58"/>
      <c r="F43" s="58"/>
      <c r="G43" s="58"/>
      <c r="H43" s="58"/>
      <c r="I43" s="58"/>
      <c r="J43" s="58"/>
      <c r="K43" s="58"/>
      <c r="L43" s="58"/>
      <c r="M43" s="58"/>
      <c r="N43" s="58"/>
      <c r="O43" s="58"/>
      <c r="P43" s="58"/>
      <c r="Q43" s="58"/>
    </row>
    <row r="44" spans="1:17" ht="12.75" customHeight="1" x14ac:dyDescent="0.25">
      <c r="A44" s="70"/>
      <c r="B44" s="71" t="s">
        <v>466</v>
      </c>
      <c r="C44" s="70"/>
      <c r="D44" s="72" t="s">
        <v>467</v>
      </c>
      <c r="E44" s="72" t="s">
        <v>467</v>
      </c>
      <c r="F44" s="72" t="str">
        <f t="shared" ref="F44:L44" si="63">IF(ROUND(F17-F42,1)=0,"Y","N")</f>
        <v>N</v>
      </c>
      <c r="G44" s="72" t="str">
        <f t="shared" si="63"/>
        <v>N</v>
      </c>
      <c r="H44" s="72" t="str">
        <f t="shared" ca="1" si="63"/>
        <v>N</v>
      </c>
      <c r="I44" s="72" t="str">
        <f t="shared" ca="1" si="63"/>
        <v>N</v>
      </c>
      <c r="J44" s="72" t="str">
        <f t="shared" ca="1" si="63"/>
        <v>N</v>
      </c>
      <c r="K44" s="72" t="str">
        <f t="shared" ca="1" si="63"/>
        <v>N</v>
      </c>
      <c r="L44" s="72" t="str">
        <f t="shared" ca="1" si="63"/>
        <v>N</v>
      </c>
      <c r="M44" s="72" t="str">
        <f t="shared" ref="M44:N44" ca="1" si="64">IF(ROUND(M17-M42,1)=0,"Y","N")</f>
        <v>N</v>
      </c>
      <c r="N44" s="72" t="str">
        <f t="shared" ca="1" si="64"/>
        <v>N</v>
      </c>
      <c r="O44" s="72" t="str">
        <f t="shared" ref="O44:Q44" ca="1" si="65">IF(ROUND(O17-O42,1)=0,"Y","N")</f>
        <v>N</v>
      </c>
      <c r="P44" s="72" t="str">
        <f t="shared" ca="1" si="65"/>
        <v>N</v>
      </c>
      <c r="Q44" s="72" t="str">
        <f t="shared" ca="1" si="65"/>
        <v>N</v>
      </c>
    </row>
    <row r="45" spans="1:17" ht="12.75" customHeight="1" x14ac:dyDescent="0.25">
      <c r="E45" s="73"/>
      <c r="F45" s="73"/>
      <c r="G45" s="73"/>
      <c r="H45" s="73"/>
      <c r="I45" s="73"/>
      <c r="J45" s="73"/>
      <c r="K45" s="73"/>
      <c r="L45" s="73"/>
    </row>
    <row r="46" spans="1:17" ht="12.75" customHeight="1" x14ac:dyDescent="0.25">
      <c r="G46" s="74"/>
      <c r="H46" s="74"/>
      <c r="I46" s="74"/>
      <c r="J46" s="74"/>
      <c r="K46" s="74"/>
      <c r="L46" s="74"/>
    </row>
    <row r="47" spans="1:17" ht="12.75" customHeight="1" x14ac:dyDescent="0.25">
      <c r="G47" s="74"/>
      <c r="H47" s="74"/>
      <c r="I47" s="74"/>
      <c r="J47" s="74"/>
      <c r="K47" s="74"/>
      <c r="L47" s="74"/>
    </row>
    <row r="48" spans="1:17"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0" tint="-4.9989318521683403E-2"/>
  </sheetPr>
  <dimension ref="A1:Q53"/>
  <sheetViews>
    <sheetView topLeftCell="F1" zoomScale="145" zoomScaleNormal="145" workbookViewId="0">
      <selection activeCell="J40" sqref="J40"/>
    </sheetView>
  </sheetViews>
  <sheetFormatPr defaultColWidth="9.08984375" defaultRowHeight="11.5" x14ac:dyDescent="0.25"/>
  <cols>
    <col min="1" max="2" width="2.6328125" style="41" customWidth="1"/>
    <col min="3" max="3" width="32.81640625" style="41" customWidth="1"/>
    <col min="4" max="4" width="12.1796875" style="41" customWidth="1"/>
    <col min="5" max="6" width="9.6328125" style="74" customWidth="1"/>
    <col min="7" max="12" width="9.6328125" style="41" customWidth="1"/>
    <col min="13" max="16384" width="9.08984375" style="41"/>
  </cols>
  <sheetData>
    <row r="1" spans="1:17" ht="12.75" customHeight="1" x14ac:dyDescent="0.25">
      <c r="A1" s="38" t="s">
        <v>523</v>
      </c>
      <c r="B1" s="38"/>
      <c r="C1" s="38"/>
      <c r="D1" s="38"/>
      <c r="E1" s="40"/>
      <c r="F1" s="40"/>
      <c r="G1" s="38"/>
      <c r="H1" s="38"/>
      <c r="I1" s="38"/>
      <c r="J1" s="38"/>
      <c r="K1" s="38"/>
      <c r="L1" s="38"/>
      <c r="M1" s="38"/>
      <c r="N1" s="38"/>
      <c r="O1" s="38"/>
      <c r="P1" s="38"/>
      <c r="Q1" s="38"/>
    </row>
    <row r="2" spans="1:17" ht="12.75" customHeight="1" x14ac:dyDescent="0.25">
      <c r="A2" s="42" t="str">
        <f>'[1]Cash Flow Statement'!A2</f>
        <v>(in US$ millions)</v>
      </c>
      <c r="B2" s="43"/>
      <c r="C2" s="43"/>
      <c r="D2" s="43"/>
      <c r="E2" s="44" t="s">
        <v>436</v>
      </c>
      <c r="F2" s="44"/>
      <c r="G2" s="45"/>
      <c r="H2" s="46" t="s">
        <v>437</v>
      </c>
      <c r="I2" s="47"/>
      <c r="J2" s="48"/>
      <c r="K2" s="47"/>
      <c r="L2" s="47"/>
      <c r="M2" s="47"/>
      <c r="N2" s="47"/>
      <c r="O2" s="47"/>
      <c r="P2" s="47"/>
      <c r="Q2" s="47"/>
    </row>
    <row r="3" spans="1:17" ht="12.75" customHeight="1" x14ac:dyDescent="0.25">
      <c r="A3" s="42"/>
      <c r="B3" s="43"/>
      <c r="C3" s="43"/>
      <c r="D3" s="43"/>
      <c r="E3" s="50"/>
      <c r="F3" s="50"/>
      <c r="G3" s="51"/>
      <c r="H3" s="51"/>
      <c r="I3" s="51"/>
      <c r="J3" s="51"/>
      <c r="K3" s="51"/>
      <c r="L3" s="51"/>
      <c r="M3" s="51"/>
      <c r="N3" s="51"/>
      <c r="O3" s="51"/>
      <c r="P3" s="51"/>
      <c r="Q3" s="51"/>
    </row>
    <row r="4" spans="1:17" ht="12.75" customHeight="1" x14ac:dyDescent="0.25">
      <c r="A4" s="52" t="s">
        <v>537</v>
      </c>
      <c r="B4" s="54"/>
      <c r="C4" s="54"/>
      <c r="D4" s="55">
        <v>2020</v>
      </c>
      <c r="E4" s="55">
        <f>D4+1</f>
        <v>2021</v>
      </c>
      <c r="F4" s="55">
        <f>E4+1</f>
        <v>2022</v>
      </c>
      <c r="G4" s="208">
        <f t="shared" ref="G4:L4" si="0">F4+1</f>
        <v>2023</v>
      </c>
      <c r="H4" s="56">
        <f t="shared" si="0"/>
        <v>2024</v>
      </c>
      <c r="I4" s="56">
        <f t="shared" si="0"/>
        <v>2025</v>
      </c>
      <c r="J4" s="56">
        <f t="shared" si="0"/>
        <v>2026</v>
      </c>
      <c r="K4" s="56">
        <f t="shared" si="0"/>
        <v>2027</v>
      </c>
      <c r="L4" s="56">
        <f t="shared" si="0"/>
        <v>2028</v>
      </c>
      <c r="M4" s="56">
        <f t="shared" ref="M4" si="1">L4+1</f>
        <v>2029</v>
      </c>
      <c r="N4" s="56">
        <f t="shared" ref="N4" si="2">M4+1</f>
        <v>2030</v>
      </c>
      <c r="O4" s="56">
        <f t="shared" ref="O4" si="3">N4+1</f>
        <v>2031</v>
      </c>
      <c r="P4" s="56">
        <f t="shared" ref="P4" si="4">O4+1</f>
        <v>2032</v>
      </c>
      <c r="Q4" s="56">
        <f t="shared" ref="Q4" si="5">P4+1</f>
        <v>2033</v>
      </c>
    </row>
    <row r="5" spans="1:17" ht="21" customHeight="1" x14ac:dyDescent="0.25">
      <c r="A5" s="60" t="s">
        <v>524</v>
      </c>
      <c r="B5" s="60"/>
      <c r="C5" s="60"/>
      <c r="D5" s="60"/>
      <c r="E5" s="121"/>
      <c r="F5" s="121"/>
      <c r="G5" s="235"/>
      <c r="H5" s="121"/>
      <c r="I5" s="121"/>
      <c r="J5" s="121"/>
      <c r="K5" s="121"/>
      <c r="L5" s="121"/>
      <c r="M5" s="121"/>
      <c r="N5" s="121"/>
      <c r="O5" s="121"/>
      <c r="P5" s="121"/>
      <c r="Q5" s="121"/>
    </row>
    <row r="6" spans="1:17" ht="12.75" customHeight="1" x14ac:dyDescent="0.25">
      <c r="A6" s="60"/>
      <c r="B6" s="59" t="s">
        <v>440</v>
      </c>
      <c r="C6" s="59"/>
      <c r="D6" s="137">
        <f>BSP!D9</f>
        <v>162.52000000000001</v>
      </c>
      <c r="E6" s="137">
        <f>BSP!E9</f>
        <v>217.18199999999999</v>
      </c>
      <c r="F6" s="137">
        <f>BSP!F9</f>
        <v>329.18799999999999</v>
      </c>
      <c r="G6" s="236">
        <f>BSP!G9</f>
        <v>331.23099999999999</v>
      </c>
      <c r="H6" s="138">
        <f>(H7/360)*ISP!H5</f>
        <v>374.54300966793448</v>
      </c>
      <c r="I6" s="138">
        <f ca="1">(I7/360)*ISP!I5</f>
        <v>383.11397952941758</v>
      </c>
      <c r="J6" s="138">
        <f ca="1">(J7/360)*ISP!J5</f>
        <v>390.41112254122663</v>
      </c>
      <c r="K6" s="138">
        <f ca="1">(K7/360)*ISP!K5</f>
        <v>399.42860405566427</v>
      </c>
      <c r="L6" s="138">
        <f ca="1">(L7/360)*ISP!L5</f>
        <v>418.03850267625052</v>
      </c>
      <c r="M6" s="138">
        <f ca="1">(M7/360)*ISP!M5</f>
        <v>428.83309611455974</v>
      </c>
      <c r="N6" s="138">
        <f ca="1">(N7/360)*ISP!N5</f>
        <v>434.86178204493103</v>
      </c>
      <c r="O6" s="138">
        <f ca="1">(O7/360)*ISP!O5</f>
        <v>435.76763869779131</v>
      </c>
      <c r="P6" s="138">
        <f ca="1">(P7/360)*ISP!P5</f>
        <v>439.78023177639966</v>
      </c>
      <c r="Q6" s="138">
        <f ca="1">(Q7/360)*ISP!Q5</f>
        <v>442.46250811840605</v>
      </c>
    </row>
    <row r="7" spans="1:17" ht="12.75" customHeight="1" x14ac:dyDescent="0.3">
      <c r="A7" s="60"/>
      <c r="B7" s="59"/>
      <c r="C7" s="139" t="s">
        <v>525</v>
      </c>
      <c r="D7" s="140">
        <f>(D6/ISP!D5)*360</f>
        <v>42.214479444078471</v>
      </c>
      <c r="E7" s="140">
        <f>(E6/ISP!E5)*360</f>
        <v>33.796567500181546</v>
      </c>
      <c r="F7" s="140">
        <f>(F6/ISP!F5)*360</f>
        <v>33.335634327571</v>
      </c>
      <c r="G7" s="237">
        <f>(G6/ISP!G5)*360</f>
        <v>30.094073032977676</v>
      </c>
      <c r="H7" s="141">
        <f>AVERAGE(E7:G7)</f>
        <v>32.408758286910071</v>
      </c>
      <c r="I7" s="141">
        <f>H7</f>
        <v>32.408758286910071</v>
      </c>
      <c r="J7" s="141">
        <f t="shared" ref="J7:L11" si="6">I7</f>
        <v>32.408758286910071</v>
      </c>
      <c r="K7" s="141">
        <f t="shared" si="6"/>
        <v>32.408758286910071</v>
      </c>
      <c r="L7" s="141">
        <f t="shared" si="6"/>
        <v>32.408758286910071</v>
      </c>
      <c r="M7" s="141">
        <f t="shared" ref="M7:M11" si="7">L7</f>
        <v>32.408758286910071</v>
      </c>
      <c r="N7" s="141">
        <f t="shared" ref="N7:N11" si="8">M7</f>
        <v>32.408758286910071</v>
      </c>
      <c r="O7" s="141">
        <f t="shared" ref="O7:O11" si="9">N7</f>
        <v>32.408758286910071</v>
      </c>
      <c r="P7" s="141">
        <f t="shared" ref="P7:P11" si="10">O7</f>
        <v>32.408758286910071</v>
      </c>
      <c r="Q7" s="141">
        <f t="shared" ref="Q7:Q11" si="11">P7</f>
        <v>32.408758286910071</v>
      </c>
    </row>
    <row r="8" spans="1:17" ht="12.75" customHeight="1" x14ac:dyDescent="0.25">
      <c r="A8" s="60"/>
      <c r="B8" s="59" t="s">
        <v>441</v>
      </c>
      <c r="C8" s="59"/>
      <c r="D8" s="143">
        <f>BSP!D10</f>
        <v>175.12100000000001</v>
      </c>
      <c r="E8" s="143">
        <f>BSP!E10</f>
        <v>213.52</v>
      </c>
      <c r="F8" s="143">
        <f>BSP!F10</f>
        <v>471.55099999999999</v>
      </c>
      <c r="G8" s="238">
        <f>BSP!G10</f>
        <v>385.05399999999997</v>
      </c>
      <c r="H8" s="138">
        <f ca="1">(H9/360)*ISP!H7</f>
        <v>460.45788170591834</v>
      </c>
      <c r="I8" s="138">
        <f ca="1">(I9/360)*ISP!I7</f>
        <v>473.46333003150698</v>
      </c>
      <c r="J8" s="138">
        <f ca="1">(J9/360)*ISP!J7</f>
        <v>485.67160146702156</v>
      </c>
      <c r="K8" s="138">
        <f ca="1">(K9/360)*ISP!K7</f>
        <v>502.13200643149565</v>
      </c>
      <c r="L8" s="138">
        <f ca="1">(L9/360)*ISP!L7</f>
        <v>529.57652819270447</v>
      </c>
      <c r="M8" s="138">
        <f ca="1">(M9/360)*ISP!M7</f>
        <v>547.74394876308929</v>
      </c>
      <c r="N8" s="138">
        <f ca="1">(N9/360)*ISP!N7</f>
        <v>560.24734892696927</v>
      </c>
      <c r="O8" s="138">
        <f ca="1">(O9/360)*ISP!O7</f>
        <v>556.97749701072235</v>
      </c>
      <c r="P8" s="138">
        <f ca="1">(P9/360)*ISP!P7</f>
        <v>564.42494228787041</v>
      </c>
      <c r="Q8" s="138">
        <f ca="1">(Q9/360)*ISP!Q7</f>
        <v>569.56730007687042</v>
      </c>
    </row>
    <row r="9" spans="1:17" ht="12.75" customHeight="1" x14ac:dyDescent="0.3">
      <c r="A9" s="60"/>
      <c r="B9" s="59"/>
      <c r="C9" s="139" t="s">
        <v>526</v>
      </c>
      <c r="D9" s="140">
        <f>(D8/ISP!D7)*360</f>
        <v>99.124626770628439</v>
      </c>
      <c r="E9" s="140">
        <f>(E8/ISP!E7)*360</f>
        <v>86.058603038974653</v>
      </c>
      <c r="F9" s="140">
        <f>(F8/ISP!F7)*360</f>
        <v>100.16997668618041</v>
      </c>
      <c r="G9" s="140">
        <f>(G8/ISP!G7)*360</f>
        <v>79.105468868145792</v>
      </c>
      <c r="H9" s="141">
        <f>AVERAGE(E9:G9)</f>
        <v>88.444682864433616</v>
      </c>
      <c r="I9" s="141">
        <f>H9</f>
        <v>88.444682864433616</v>
      </c>
      <c r="J9" s="141">
        <f t="shared" si="6"/>
        <v>88.444682864433616</v>
      </c>
      <c r="K9" s="141">
        <f t="shared" si="6"/>
        <v>88.444682864433616</v>
      </c>
      <c r="L9" s="141">
        <f t="shared" si="6"/>
        <v>88.444682864433616</v>
      </c>
      <c r="M9" s="141">
        <f t="shared" ref="M9:M13" si="12">L9</f>
        <v>88.444682864433616</v>
      </c>
      <c r="N9" s="141">
        <f t="shared" ref="N9:N13" si="13">M9</f>
        <v>88.444682864433616</v>
      </c>
      <c r="O9" s="141">
        <f t="shared" ref="O9:O13" si="14">N9</f>
        <v>88.444682864433616</v>
      </c>
      <c r="P9" s="141">
        <f t="shared" ref="P9:P13" si="15">O9</f>
        <v>88.444682864433616</v>
      </c>
      <c r="Q9" s="141">
        <f t="shared" ref="Q9:Q13" si="16">P9</f>
        <v>88.444682864433616</v>
      </c>
    </row>
    <row r="10" spans="1:17" ht="12.75" customHeight="1" x14ac:dyDescent="0.25">
      <c r="A10" s="60"/>
      <c r="B10" s="127" t="s">
        <v>442</v>
      </c>
      <c r="C10" s="144"/>
      <c r="D10" s="67">
        <f>BSP!D11</f>
        <v>17.856000000000002</v>
      </c>
      <c r="E10" s="67">
        <f>BSP!E11</f>
        <v>22.605</v>
      </c>
      <c r="F10" s="67">
        <f>BSP!F11</f>
        <v>33.256999999999998</v>
      </c>
      <c r="G10" s="239">
        <f>BSP!G11</f>
        <v>43.683999999999997</v>
      </c>
      <c r="H10" s="129">
        <f ca="1">(H11/360)*ISP!H15</f>
        <v>38.531404135345667</v>
      </c>
      <c r="I10" s="129">
        <f ca="1">(I11/360)*ISP!I15</f>
        <v>39.413149342277897</v>
      </c>
      <c r="J10" s="129">
        <f ca="1">(J11/360)*ISP!J15</f>
        <v>40.163848618899586</v>
      </c>
      <c r="K10" s="129">
        <f ca="1">(K11/360)*ISP!K15</f>
        <v>41.091529060256256</v>
      </c>
      <c r="L10" s="129">
        <f ca="1">(L11/360)*ISP!L15</f>
        <v>43.006036890220464</v>
      </c>
      <c r="M10" s="129">
        <f ca="1">(M11/360)*ISP!M15</f>
        <v>44.116539106286389</v>
      </c>
      <c r="N10" s="129">
        <f ca="1">(N11/360)*ISP!N15</f>
        <v>44.736744871691435</v>
      </c>
      <c r="O10" s="129">
        <f ca="1">(O11/360)*ISP!O15</f>
        <v>44.829935581113553</v>
      </c>
      <c r="P10" s="129">
        <f ca="1">(P11/360)*ISP!P15</f>
        <v>45.242734222528931</v>
      </c>
      <c r="Q10" s="129">
        <f ca="1">(Q11/360)*ISP!Q15</f>
        <v>45.518675492473214</v>
      </c>
    </row>
    <row r="11" spans="1:17" ht="12.75" customHeight="1" x14ac:dyDescent="0.3">
      <c r="A11" s="60"/>
      <c r="B11" s="127"/>
      <c r="C11" s="139" t="s">
        <v>527</v>
      </c>
      <c r="D11" s="145">
        <f>(D10/ISP!D15)*360</f>
        <v>12.997577674162804</v>
      </c>
      <c r="E11" s="145">
        <f>(E10/ISP!E15)*360</f>
        <v>11.497559287071637</v>
      </c>
      <c r="F11" s="145">
        <f>(F10/ISP!F15)*360</f>
        <v>12.733214997144403</v>
      </c>
      <c r="G11" s="240">
        <f>(G10/ISP!G15)*360</f>
        <v>14.053218402411334</v>
      </c>
      <c r="H11" s="145">
        <f>AVERAGE(E11:G11)</f>
        <v>12.761330895542457</v>
      </c>
      <c r="I11" s="145">
        <f>H11</f>
        <v>12.761330895542457</v>
      </c>
      <c r="J11" s="145">
        <f t="shared" si="6"/>
        <v>12.761330895542457</v>
      </c>
      <c r="K11" s="145">
        <f t="shared" si="6"/>
        <v>12.761330895542457</v>
      </c>
      <c r="L11" s="145">
        <f t="shared" si="6"/>
        <v>12.761330895542457</v>
      </c>
      <c r="M11" s="145">
        <f t="shared" ref="M11:M15" si="17">L11</f>
        <v>12.761330895542457</v>
      </c>
      <c r="N11" s="145">
        <f t="shared" ref="N11:N15" si="18">M11</f>
        <v>12.761330895542457</v>
      </c>
      <c r="O11" s="145">
        <f t="shared" ref="O11:O15" si="19">N11</f>
        <v>12.761330895542457</v>
      </c>
      <c r="P11" s="145">
        <f t="shared" ref="P11:P15" si="20">O11</f>
        <v>12.761330895542457</v>
      </c>
      <c r="Q11" s="145">
        <f t="shared" ref="Q11:Q15" si="21">P11</f>
        <v>12.761330895542457</v>
      </c>
    </row>
    <row r="12" spans="1:17" ht="12.75" customHeight="1" x14ac:dyDescent="0.3">
      <c r="A12" s="60"/>
      <c r="B12" s="146" t="s">
        <v>443</v>
      </c>
      <c r="C12" s="147"/>
      <c r="D12" s="148">
        <f>D10+D8+D6</f>
        <v>355.49700000000001</v>
      </c>
      <c r="E12" s="148">
        <f>E10+E8+E6</f>
        <v>453.30700000000002</v>
      </c>
      <c r="F12" s="148">
        <f>F10+F8+F6</f>
        <v>833.99599999999998</v>
      </c>
      <c r="G12" s="241">
        <f>G10+G8+G6</f>
        <v>759.96899999999994</v>
      </c>
      <c r="H12" s="148">
        <f ca="1">H10+H8+H6</f>
        <v>873.53229550919855</v>
      </c>
      <c r="I12" s="148">
        <f ca="1">I10+I8+I6</f>
        <v>895.99045890320235</v>
      </c>
      <c r="J12" s="148">
        <f ca="1">J10+J8+J6</f>
        <v>916.24657262714777</v>
      </c>
      <c r="K12" s="148">
        <f ca="1">K10+K8+K6</f>
        <v>942.65213954741625</v>
      </c>
      <c r="L12" s="148">
        <f ca="1">L10+L8+L6</f>
        <v>990.6210677591755</v>
      </c>
      <c r="M12" s="148">
        <f t="shared" ref="M12:N12" ca="1" si="22">M10+M8+M6</f>
        <v>1020.6935839839355</v>
      </c>
      <c r="N12" s="148">
        <f t="shared" ca="1" si="22"/>
        <v>1039.8458758435918</v>
      </c>
      <c r="O12" s="148">
        <f t="shared" ref="O12:Q12" ca="1" si="23">O10+O8+O6</f>
        <v>1037.5750712896272</v>
      </c>
      <c r="P12" s="148">
        <f t="shared" ca="1" si="23"/>
        <v>1049.447908286799</v>
      </c>
      <c r="Q12" s="148">
        <f t="shared" ca="1" si="23"/>
        <v>1057.5484836877497</v>
      </c>
    </row>
    <row r="13" spans="1:17" ht="21" customHeight="1" x14ac:dyDescent="0.25">
      <c r="A13" s="60" t="s">
        <v>528</v>
      </c>
      <c r="B13" s="149"/>
      <c r="C13" s="149"/>
      <c r="D13" s="128"/>
      <c r="E13" s="128"/>
      <c r="F13" s="150"/>
      <c r="G13" s="242"/>
      <c r="H13" s="128"/>
      <c r="I13" s="128"/>
      <c r="J13" s="128"/>
      <c r="K13" s="128"/>
      <c r="L13" s="128"/>
      <c r="M13" s="128"/>
      <c r="N13" s="128"/>
      <c r="O13" s="128"/>
      <c r="P13" s="128"/>
      <c r="Q13" s="128"/>
    </row>
    <row r="14" spans="1:17" ht="12.75" customHeight="1" x14ac:dyDescent="0.25">
      <c r="A14" s="60"/>
      <c r="B14" s="127" t="s">
        <v>449</v>
      </c>
      <c r="C14" s="127"/>
      <c r="D14" s="67">
        <f>BSP!D21</f>
        <v>112.77800000000001</v>
      </c>
      <c r="E14" s="67">
        <f>BSP!E21</f>
        <v>162.14500000000001</v>
      </c>
      <c r="F14" s="67">
        <f>BSP!F21</f>
        <v>230.821</v>
      </c>
      <c r="G14" s="239">
        <f>BSP!G21</f>
        <v>260.97800000000001</v>
      </c>
      <c r="H14" s="138">
        <f ca="1">(H15/360)*ISP!H7</f>
        <v>301.74453899539174</v>
      </c>
      <c r="I14" s="138">
        <f ca="1">(I15/360)*ISP!I7</f>
        <v>310.26719256556015</v>
      </c>
      <c r="J14" s="138">
        <f ca="1">(J15/360)*ISP!J7</f>
        <v>318.26744488525588</v>
      </c>
      <c r="K14" s="138">
        <f ca="1">(K15/360)*ISP!K7</f>
        <v>329.05418023069382</v>
      </c>
      <c r="L14" s="138">
        <f ca="1">(L15/360)*ISP!L7</f>
        <v>347.03896210934118</v>
      </c>
      <c r="M14" s="138">
        <f ca="1">(M15/360)*ISP!M7</f>
        <v>358.94432883786061</v>
      </c>
      <c r="N14" s="138">
        <f ca="1">(N15/360)*ISP!N7</f>
        <v>367.1379831724268</v>
      </c>
      <c r="O14" s="138">
        <f ca="1">(O15/360)*ISP!O7</f>
        <v>364.99520313053517</v>
      </c>
      <c r="P14" s="138">
        <f ca="1">(P15/360)*ISP!P7</f>
        <v>369.87561897556503</v>
      </c>
      <c r="Q14" s="138">
        <f ca="1">(Q15/360)*ISP!Q7</f>
        <v>373.24547850461136</v>
      </c>
    </row>
    <row r="15" spans="1:17" ht="12.75" customHeight="1" x14ac:dyDescent="0.3">
      <c r="A15" s="60"/>
      <c r="B15" s="59"/>
      <c r="C15" s="139" t="s">
        <v>529</v>
      </c>
      <c r="D15" s="140">
        <f>(D14/ISP!D7)*360</f>
        <v>63.83630265894972</v>
      </c>
      <c r="E15" s="140">
        <f>(E14/ISP!E7)*360</f>
        <v>65.352061585587037</v>
      </c>
      <c r="F15" s="140">
        <f>(F14/ISP!F7)*360</f>
        <v>49.032520742572586</v>
      </c>
      <c r="G15" s="140">
        <f>(G14/ISP!G7)*360</f>
        <v>53.615303449051183</v>
      </c>
      <c r="H15" s="141">
        <f>AVERAGE(D15:G15)</f>
        <v>57.959047109040128</v>
      </c>
      <c r="I15" s="141">
        <f>H15</f>
        <v>57.959047109040128</v>
      </c>
      <c r="J15" s="141">
        <f>I15</f>
        <v>57.959047109040128</v>
      </c>
      <c r="K15" s="141">
        <f>J15</f>
        <v>57.959047109040128</v>
      </c>
      <c r="L15" s="141">
        <f>K15</f>
        <v>57.959047109040128</v>
      </c>
      <c r="M15" s="141">
        <f t="shared" ref="M15:N15" si="24">L15</f>
        <v>57.959047109040128</v>
      </c>
      <c r="N15" s="141">
        <f t="shared" si="24"/>
        <v>57.959047109040128</v>
      </c>
      <c r="O15" s="141">
        <f t="shared" ref="O15:Q15" si="25">N15</f>
        <v>57.959047109040128</v>
      </c>
      <c r="P15" s="141">
        <f t="shared" si="25"/>
        <v>57.959047109040128</v>
      </c>
      <c r="Q15" s="141">
        <f t="shared" si="25"/>
        <v>57.959047109040128</v>
      </c>
    </row>
    <row r="16" spans="1:17" ht="12.75" customHeight="1" x14ac:dyDescent="0.25">
      <c r="A16" s="60"/>
      <c r="B16" s="59" t="s">
        <v>450</v>
      </c>
      <c r="C16" s="144"/>
      <c r="D16" s="67">
        <f>BSP!D22</f>
        <v>107.068</v>
      </c>
      <c r="E16" s="67">
        <f>BSP!E22</f>
        <v>140.376</v>
      </c>
      <c r="F16" s="67">
        <f>BSP!F22</f>
        <v>191.822</v>
      </c>
      <c r="G16" s="239">
        <f>BSP!G22</f>
        <v>223.113</v>
      </c>
      <c r="H16" s="129">
        <f ca="1">(H17/360)*ISP!H15</f>
        <v>218.01856054515099</v>
      </c>
      <c r="I16" s="129">
        <f ca="1">(I17/360)*ISP!I15</f>
        <v>223.00765515763118</v>
      </c>
      <c r="J16" s="129">
        <f ca="1">(J17/360)*ISP!J15</f>
        <v>227.25526511018964</v>
      </c>
      <c r="K16" s="129">
        <f ca="1">(K17/360)*ISP!K15</f>
        <v>232.50427066835832</v>
      </c>
      <c r="L16" s="129">
        <f ca="1">(L17/360)*ISP!L15</f>
        <v>243.33694730207407</v>
      </c>
      <c r="M16" s="129">
        <f ca="1">(M17/360)*ISP!M15</f>
        <v>249.62039583092744</v>
      </c>
      <c r="N16" s="129">
        <f ca="1">(N17/360)*ISP!N15</f>
        <v>253.1296468237137</v>
      </c>
      <c r="O16" s="129">
        <f ca="1">(O17/360)*ISP!O15</f>
        <v>253.65693890611553</v>
      </c>
      <c r="P16" s="129">
        <f ca="1">(P17/360)*ISP!P15</f>
        <v>255.99263799666119</v>
      </c>
      <c r="Q16" s="129">
        <f ca="1">(Q17/360)*ISP!Q15</f>
        <v>257.55397010532079</v>
      </c>
    </row>
    <row r="17" spans="1:17" ht="12.75" customHeight="1" x14ac:dyDescent="0.3">
      <c r="A17" s="60"/>
      <c r="B17" s="59"/>
      <c r="C17" s="139" t="s">
        <v>529</v>
      </c>
      <c r="D17" s="140">
        <f>(D16/ISP!D15)*360</f>
        <v>77.935968101325201</v>
      </c>
      <c r="E17" s="140">
        <f>(E16/ISP!E15)*360</f>
        <v>71.399309112230412</v>
      </c>
      <c r="F17" s="140">
        <f>(F16/ISP!F15)*360</f>
        <v>73.443508650276158</v>
      </c>
      <c r="G17" s="237">
        <f>(G16/ISP!G15)*360</f>
        <v>71.775838234071969</v>
      </c>
      <c r="H17" s="141">
        <f>AVERAGE(E17:G17)</f>
        <v>72.20621866552618</v>
      </c>
      <c r="I17" s="141">
        <f>H17</f>
        <v>72.20621866552618</v>
      </c>
      <c r="J17" s="141">
        <f>I17</f>
        <v>72.20621866552618</v>
      </c>
      <c r="K17" s="141">
        <f>J17</f>
        <v>72.20621866552618</v>
      </c>
      <c r="L17" s="141">
        <f>K17</f>
        <v>72.20621866552618</v>
      </c>
      <c r="M17" s="141">
        <f t="shared" ref="M17:N17" si="26">L17</f>
        <v>72.20621866552618</v>
      </c>
      <c r="N17" s="141">
        <f t="shared" si="26"/>
        <v>72.20621866552618</v>
      </c>
      <c r="O17" s="141">
        <f t="shared" ref="O17:Q17" si="27">N17</f>
        <v>72.20621866552618</v>
      </c>
      <c r="P17" s="141">
        <f t="shared" si="27"/>
        <v>72.20621866552618</v>
      </c>
      <c r="Q17" s="141">
        <f t="shared" si="27"/>
        <v>72.20621866552618</v>
      </c>
    </row>
    <row r="18" spans="1:17" ht="12.75" customHeight="1" x14ac:dyDescent="0.3">
      <c r="A18" s="60"/>
      <c r="B18" s="59" t="s">
        <v>530</v>
      </c>
      <c r="C18" s="139"/>
      <c r="D18" s="170">
        <f>BSP!D25</f>
        <v>5.0380000000000003</v>
      </c>
      <c r="E18" s="170">
        <f>BSP!E25</f>
        <v>16.279</v>
      </c>
      <c r="F18" s="170">
        <f>BSP!F25</f>
        <v>89.210999999999999</v>
      </c>
      <c r="G18" s="243">
        <f>BSP!G25</f>
        <v>65.951999999999998</v>
      </c>
      <c r="H18" s="129">
        <f ca="1">(H19/360)*ISP!H31</f>
        <v>62.373535826918271</v>
      </c>
      <c r="I18" s="129">
        <f ca="1">(I19/360)*ISP!I31</f>
        <v>64.404337397888241</v>
      </c>
      <c r="J18" s="129">
        <f ca="1">(J19/360)*ISP!J31</f>
        <v>65.320923551843777</v>
      </c>
      <c r="K18" s="129">
        <f ca="1">(K19/360)*ISP!K31</f>
        <v>65.039738523221757</v>
      </c>
      <c r="L18" s="129">
        <f ca="1">(L19/360)*ISP!L31</f>
        <v>66.770471882364021</v>
      </c>
      <c r="M18" s="129">
        <f ca="1">(M19/360)*ISP!M31</f>
        <v>66.651926611928531</v>
      </c>
      <c r="N18" s="129">
        <f ca="1">(N19/360)*ISP!N31</f>
        <v>65.38300707732428</v>
      </c>
      <c r="O18" s="129">
        <f ca="1">(O19/360)*ISP!O31</f>
        <v>68.309371262668776</v>
      </c>
      <c r="P18" s="129">
        <f ca="1">(P19/360)*ISP!P31</f>
        <v>67.90755107959717</v>
      </c>
      <c r="Q18" s="129">
        <f ca="1">(Q19/360)*ISP!Q31</f>
        <v>67.567155298223454</v>
      </c>
    </row>
    <row r="19" spans="1:17" ht="12.75" customHeight="1" x14ac:dyDescent="0.3">
      <c r="A19" s="60"/>
      <c r="B19" s="59"/>
      <c r="C19" s="139" t="s">
        <v>531</v>
      </c>
      <c r="D19" s="140">
        <f>(D18/ISP!D31)*360</f>
        <v>-17.126345609065154</v>
      </c>
      <c r="E19" s="140">
        <f>(E18/ISP!E31)*360</f>
        <v>-94.829126213592232</v>
      </c>
      <c r="F19" s="140">
        <f>(F18/ISP!F31)*360</f>
        <v>180.07367577053981</v>
      </c>
      <c r="G19" s="237">
        <f>(G18/ISP!G31)*360</f>
        <v>283.64418321267289</v>
      </c>
      <c r="H19" s="141">
        <f>AVERAGE(E19:G19)</f>
        <v>122.96291092320682</v>
      </c>
      <c r="I19" s="141">
        <f>H19</f>
        <v>122.96291092320682</v>
      </c>
      <c r="J19" s="141">
        <f>I19</f>
        <v>122.96291092320682</v>
      </c>
      <c r="K19" s="141">
        <f>J19</f>
        <v>122.96291092320682</v>
      </c>
      <c r="L19" s="141">
        <f>K19</f>
        <v>122.96291092320682</v>
      </c>
      <c r="M19" s="141">
        <f t="shared" ref="M19:N19" si="28">L19</f>
        <v>122.96291092320682</v>
      </c>
      <c r="N19" s="141">
        <f t="shared" si="28"/>
        <v>122.96291092320682</v>
      </c>
      <c r="O19" s="141">
        <f t="shared" ref="O19:Q19" si="29">N19</f>
        <v>122.96291092320682</v>
      </c>
      <c r="P19" s="141">
        <f t="shared" si="29"/>
        <v>122.96291092320682</v>
      </c>
      <c r="Q19" s="141">
        <f t="shared" si="29"/>
        <v>122.96291092320682</v>
      </c>
    </row>
    <row r="20" spans="1:17" ht="12.75" customHeight="1" x14ac:dyDescent="0.25">
      <c r="A20" s="59"/>
      <c r="B20" s="146" t="s">
        <v>453</v>
      </c>
      <c r="C20" s="127"/>
      <c r="D20" s="151">
        <f t="shared" ref="D20" si="30">D18+D16+D14</f>
        <v>224.88400000000001</v>
      </c>
      <c r="E20" s="151">
        <f t="shared" ref="E20:L20" si="31">E18+E16+E14</f>
        <v>318.8</v>
      </c>
      <c r="F20" s="151">
        <f t="shared" si="31"/>
        <v>511.85400000000004</v>
      </c>
      <c r="G20" s="244">
        <f t="shared" si="31"/>
        <v>550.04300000000001</v>
      </c>
      <c r="H20" s="151">
        <f t="shared" ca="1" si="31"/>
        <v>582.13663536746094</v>
      </c>
      <c r="I20" s="151">
        <f t="shared" ca="1" si="31"/>
        <v>597.67918512107963</v>
      </c>
      <c r="J20" s="151">
        <f t="shared" ca="1" si="31"/>
        <v>610.8436335472893</v>
      </c>
      <c r="K20" s="151">
        <f t="shared" ca="1" si="31"/>
        <v>626.59818942227389</v>
      </c>
      <c r="L20" s="151">
        <f t="shared" ca="1" si="31"/>
        <v>657.14638129377931</v>
      </c>
      <c r="M20" s="151">
        <f t="shared" ref="M20:N20" ca="1" si="32">M18+M16+M14</f>
        <v>675.21665128071663</v>
      </c>
      <c r="N20" s="151">
        <f t="shared" ca="1" si="32"/>
        <v>685.65063707346485</v>
      </c>
      <c r="O20" s="151">
        <f t="shared" ref="O20:Q20" ca="1" si="33">O18+O16+O14</f>
        <v>686.96151329931945</v>
      </c>
      <c r="P20" s="151">
        <f t="shared" ca="1" si="33"/>
        <v>693.77580805182333</v>
      </c>
      <c r="Q20" s="151">
        <f t="shared" ca="1" si="33"/>
        <v>698.36660390815564</v>
      </c>
    </row>
    <row r="21" spans="1:17" ht="21" customHeight="1" x14ac:dyDescent="0.25">
      <c r="A21" s="59"/>
      <c r="B21" s="60" t="s">
        <v>532</v>
      </c>
      <c r="C21" s="149"/>
      <c r="D21" s="58">
        <f>D12-D20</f>
        <v>130.613</v>
      </c>
      <c r="E21" s="58">
        <f>E12-E20</f>
        <v>134.50700000000001</v>
      </c>
      <c r="F21" s="58">
        <f>F12-F20</f>
        <v>322.14199999999994</v>
      </c>
      <c r="G21" s="245">
        <f t="shared" ref="G21:L21" si="34">G12-G20</f>
        <v>209.92599999999993</v>
      </c>
      <c r="H21" s="58">
        <f t="shared" ca="1" si="34"/>
        <v>291.39566014173761</v>
      </c>
      <c r="I21" s="58">
        <f t="shared" ca="1" si="34"/>
        <v>298.31127378212273</v>
      </c>
      <c r="J21" s="58">
        <f t="shared" ca="1" si="34"/>
        <v>305.40293907985847</v>
      </c>
      <c r="K21" s="58">
        <f t="shared" ca="1" si="34"/>
        <v>316.05395012514236</v>
      </c>
      <c r="L21" s="58">
        <f t="shared" ca="1" si="34"/>
        <v>333.47468646539619</v>
      </c>
      <c r="M21" s="58">
        <f t="shared" ref="M21:N21" ca="1" si="35">M12-M20</f>
        <v>345.47693270321884</v>
      </c>
      <c r="N21" s="58">
        <f t="shared" ca="1" si="35"/>
        <v>354.19523877012693</v>
      </c>
      <c r="O21" s="58">
        <f t="shared" ref="O21:Q21" ca="1" si="36">O12-O20</f>
        <v>350.61355799030775</v>
      </c>
      <c r="P21" s="58">
        <f t="shared" ca="1" si="36"/>
        <v>355.67210023497569</v>
      </c>
      <c r="Q21" s="58">
        <f t="shared" ca="1" si="36"/>
        <v>359.18187977959406</v>
      </c>
    </row>
    <row r="22" spans="1:17" ht="12.75" customHeight="1" x14ac:dyDescent="0.25">
      <c r="A22" s="59"/>
      <c r="B22" s="59" t="s">
        <v>533</v>
      </c>
      <c r="C22" s="152"/>
      <c r="D22" s="61"/>
      <c r="E22" s="61">
        <f t="shared" ref="E22:L22" si="37">E21-D21</f>
        <v>3.8940000000000055</v>
      </c>
      <c r="F22" s="61">
        <f t="shared" si="37"/>
        <v>187.63499999999993</v>
      </c>
      <c r="G22" s="246">
        <f t="shared" si="37"/>
        <v>-112.21600000000001</v>
      </c>
      <c r="H22" s="61">
        <f t="shared" ca="1" si="37"/>
        <v>81.469660141737677</v>
      </c>
      <c r="I22" s="61">
        <f t="shared" ca="1" si="37"/>
        <v>6.9156136403851178</v>
      </c>
      <c r="J22" s="61">
        <f t="shared" ca="1" si="37"/>
        <v>7.0916652977357444</v>
      </c>
      <c r="K22" s="61">
        <f t="shared" ca="1" si="37"/>
        <v>10.651011045283894</v>
      </c>
      <c r="L22" s="61">
        <f t="shared" ca="1" si="37"/>
        <v>17.420736340253825</v>
      </c>
      <c r="M22" s="61">
        <f t="shared" ref="M22" ca="1" si="38">M21-L21</f>
        <v>12.002246237822646</v>
      </c>
      <c r="N22" s="61">
        <f t="shared" ref="N22" ca="1" si="39">N21-M21</f>
        <v>8.7183060669080987</v>
      </c>
      <c r="O22" s="61">
        <f t="shared" ref="O22" ca="1" si="40">O21-N21</f>
        <v>-3.5816807798191803</v>
      </c>
      <c r="P22" s="61">
        <f t="shared" ref="P22" ca="1" si="41">P21-O21</f>
        <v>5.0585422446679331</v>
      </c>
      <c r="Q22" s="61">
        <f t="shared" ref="Q22" ca="1" si="42">Q21-P21</f>
        <v>3.5097795446183682</v>
      </c>
    </row>
    <row r="23" spans="1:17" ht="12.75" customHeight="1" x14ac:dyDescent="0.25">
      <c r="A23" s="70"/>
      <c r="B23" s="71" t="s">
        <v>534</v>
      </c>
      <c r="C23" s="70"/>
      <c r="D23" s="72"/>
      <c r="E23" s="72" t="str">
        <f>IF(ROUND(-E22-'[1]Cash Flow Statement'!D18,1)=0,"Y","N")</f>
        <v>N</v>
      </c>
      <c r="F23" s="72" t="str">
        <f>IF(ROUND(-F22-'[1]Cash Flow Statement'!E18,1)=0,"Y","N")</f>
        <v>N</v>
      </c>
      <c r="G23" s="247" t="str">
        <f>IF(ROUND(-G22-'[1]Cash Flow Statement'!F18,1)=0,"Y","N")</f>
        <v>N</v>
      </c>
      <c r="H23" s="72" t="str">
        <f ca="1">IF(ROUND(-H22-'[1]Cash Flow Statement'!G18,1)=0,"Y","N")</f>
        <v>N</v>
      </c>
      <c r="I23" s="72" t="str">
        <f ca="1">IF(ROUND(-I22-'[1]Cash Flow Statement'!H18,1)=0,"Y","N")</f>
        <v>N</v>
      </c>
      <c r="J23" s="72" t="str">
        <f ca="1">IF(ROUND(-J22-'[1]Cash Flow Statement'!I18,1)=0,"Y","N")</f>
        <v>N</v>
      </c>
      <c r="K23" s="72" t="str">
        <f ca="1">IF(ROUND(-K22-'[1]Cash Flow Statement'!J18,1)=0,"Y","N")</f>
        <v>N</v>
      </c>
      <c r="L23" s="72" t="str">
        <f ca="1">IF(ROUND(-L22-'[1]Cash Flow Statement'!K18,1)=0,"Y","N")</f>
        <v>N</v>
      </c>
      <c r="M23" s="72" t="str">
        <f ca="1">IF(ROUND(-M22-'[1]Cash Flow Statement'!L18,1)=0,"Y","N")</f>
        <v>N</v>
      </c>
      <c r="N23" s="72" t="str">
        <f ca="1">IF(ROUND(-N22-'[1]Cash Flow Statement'!M18,1)=0,"Y","N")</f>
        <v>N</v>
      </c>
      <c r="O23" s="72" t="str">
        <f ca="1">IF(ROUND(-O22-'[1]Cash Flow Statement'!N18,1)=0,"Y","N")</f>
        <v>N</v>
      </c>
      <c r="P23" s="72" t="str">
        <f ca="1">IF(ROUND(-P22-'[1]Cash Flow Statement'!O18,1)=0,"Y","N")</f>
        <v>N</v>
      </c>
      <c r="Q23" s="72" t="str">
        <f ca="1">IF(ROUND(-Q22-'[1]Cash Flow Statement'!P18,1)=0,"Y","N")</f>
        <v>N</v>
      </c>
    </row>
    <row r="24" spans="1:17" x14ac:dyDescent="0.25">
      <c r="A24" s="153"/>
      <c r="B24" s="154"/>
      <c r="C24" s="154"/>
      <c r="D24" s="154"/>
      <c r="E24" s="155"/>
      <c r="F24" s="155"/>
      <c r="G24" s="155"/>
      <c r="H24" s="155"/>
      <c r="I24" s="155"/>
      <c r="J24" s="155"/>
      <c r="K24" s="155"/>
      <c r="L24" s="155"/>
    </row>
    <row r="25" spans="1:17" x14ac:dyDescent="0.25">
      <c r="A25" s="153"/>
      <c r="B25" s="154"/>
      <c r="C25" s="154"/>
      <c r="D25" s="154"/>
      <c r="E25" s="156"/>
      <c r="F25" s="155"/>
      <c r="G25" s="155"/>
      <c r="H25" s="155"/>
      <c r="I25" s="155"/>
      <c r="J25" s="155"/>
      <c r="K25" s="155"/>
      <c r="L25" s="155"/>
    </row>
    <row r="26" spans="1:17" x14ac:dyDescent="0.25">
      <c r="A26" s="153"/>
      <c r="B26" s="154"/>
      <c r="C26" s="154"/>
      <c r="D26" s="154"/>
      <c r="E26" s="155"/>
      <c r="F26" s="155"/>
      <c r="G26" s="155"/>
      <c r="H26" s="155"/>
      <c r="I26" s="155"/>
      <c r="J26" s="155"/>
      <c r="K26" s="155"/>
      <c r="L26" s="155"/>
    </row>
    <row r="27" spans="1:17" x14ac:dyDescent="0.25">
      <c r="A27" s="153"/>
      <c r="B27" s="154"/>
      <c r="C27" s="154"/>
      <c r="D27" s="154"/>
      <c r="E27" s="157"/>
      <c r="F27" s="157"/>
      <c r="G27" s="157"/>
      <c r="H27" s="157"/>
      <c r="I27" s="157"/>
      <c r="J27" s="157"/>
      <c r="K27" s="157"/>
      <c r="L27" s="157"/>
    </row>
    <row r="28" spans="1:17" x14ac:dyDescent="0.25">
      <c r="A28" s="153"/>
      <c r="B28" s="153"/>
      <c r="C28" s="153"/>
      <c r="D28" s="153"/>
      <c r="E28" s="158"/>
      <c r="F28" s="158"/>
      <c r="G28" s="158"/>
      <c r="H28" s="158"/>
      <c r="I28" s="158"/>
      <c r="J28" s="158"/>
      <c r="K28" s="158"/>
      <c r="L28" s="158"/>
    </row>
    <row r="29" spans="1:17" ht="21" customHeight="1" x14ac:dyDescent="0.25">
      <c r="B29" s="153"/>
      <c r="C29" s="153"/>
      <c r="D29" s="153"/>
      <c r="E29" s="159"/>
      <c r="F29" s="159"/>
      <c r="G29" s="159"/>
      <c r="H29" s="160"/>
      <c r="I29" s="160"/>
      <c r="J29" s="160"/>
      <c r="K29" s="160"/>
      <c r="L29" s="160"/>
    </row>
    <row r="30" spans="1:17" x14ac:dyDescent="0.25">
      <c r="A30" s="153"/>
      <c r="B30" s="153"/>
      <c r="C30" s="153"/>
      <c r="D30" s="153"/>
      <c r="E30" s="161"/>
      <c r="F30" s="161"/>
      <c r="G30" s="161"/>
      <c r="H30" s="161"/>
      <c r="I30" s="161"/>
      <c r="J30" s="161"/>
      <c r="K30" s="161"/>
      <c r="L30" s="161"/>
    </row>
    <row r="31" spans="1:17" x14ac:dyDescent="0.25">
      <c r="A31" s="153"/>
      <c r="B31" s="154"/>
      <c r="C31" s="154"/>
      <c r="D31" s="154"/>
      <c r="E31" s="162"/>
      <c r="F31" s="162"/>
      <c r="G31" s="162"/>
      <c r="H31" s="162"/>
      <c r="I31" s="162"/>
      <c r="J31" s="162"/>
      <c r="K31" s="162"/>
      <c r="L31" s="162"/>
    </row>
    <row r="32" spans="1:17" x14ac:dyDescent="0.25">
      <c r="B32" s="154"/>
      <c r="C32" s="154"/>
      <c r="D32" s="154"/>
      <c r="E32" s="162"/>
      <c r="F32" s="162"/>
      <c r="G32" s="162"/>
      <c r="H32" s="162"/>
      <c r="I32" s="162"/>
      <c r="J32" s="162"/>
      <c r="K32" s="162"/>
      <c r="L32" s="162"/>
    </row>
    <row r="33" spans="1:12" x14ac:dyDescent="0.25">
      <c r="A33" s="153"/>
      <c r="B33" s="154"/>
      <c r="C33" s="154"/>
      <c r="D33" s="154"/>
      <c r="E33" s="156"/>
      <c r="F33" s="155"/>
      <c r="G33" s="155"/>
      <c r="H33" s="155"/>
      <c r="I33" s="155"/>
      <c r="J33" s="155"/>
      <c r="K33" s="155"/>
      <c r="L33" s="155"/>
    </row>
    <row r="34" spans="1:12" x14ac:dyDescent="0.25">
      <c r="A34" s="153"/>
      <c r="B34" s="154"/>
      <c r="C34" s="154"/>
      <c r="D34" s="154"/>
      <c r="E34" s="156"/>
      <c r="F34" s="155"/>
      <c r="G34" s="155"/>
      <c r="H34" s="155"/>
      <c r="I34" s="155"/>
      <c r="J34" s="155"/>
      <c r="K34" s="155"/>
      <c r="L34" s="155"/>
    </row>
    <row r="35" spans="1:12" x14ac:dyDescent="0.25">
      <c r="B35" s="154"/>
      <c r="C35" s="154"/>
      <c r="D35" s="154"/>
      <c r="E35" s="156"/>
      <c r="F35" s="155"/>
      <c r="G35" s="155"/>
      <c r="H35" s="155"/>
      <c r="I35" s="155"/>
      <c r="J35" s="155"/>
      <c r="K35" s="155"/>
      <c r="L35" s="155"/>
    </row>
    <row r="36" spans="1:12" x14ac:dyDescent="0.25">
      <c r="B36" s="154"/>
      <c r="C36" s="154"/>
      <c r="D36" s="154"/>
      <c r="E36" s="156"/>
      <c r="F36" s="155"/>
      <c r="G36" s="155"/>
      <c r="H36" s="155"/>
      <c r="I36" s="155"/>
      <c r="J36" s="155"/>
      <c r="K36" s="155"/>
      <c r="L36" s="155"/>
    </row>
    <row r="37" spans="1:12" x14ac:dyDescent="0.25">
      <c r="B37" s="154"/>
      <c r="C37" s="154"/>
      <c r="D37" s="154"/>
      <c r="E37" s="163"/>
      <c r="F37" s="163"/>
      <c r="G37" s="163"/>
      <c r="H37" s="163"/>
      <c r="I37" s="163"/>
      <c r="J37" s="155"/>
      <c r="K37" s="155"/>
      <c r="L37" s="155"/>
    </row>
    <row r="38" spans="1:12" x14ac:dyDescent="0.25">
      <c r="A38" s="153"/>
      <c r="B38" s="154"/>
      <c r="C38" s="154"/>
      <c r="D38" s="154"/>
      <c r="E38" s="155"/>
      <c r="F38" s="155"/>
      <c r="G38" s="155"/>
      <c r="H38" s="155"/>
      <c r="I38" s="155"/>
      <c r="J38" s="155"/>
      <c r="K38" s="155"/>
      <c r="L38" s="155"/>
    </row>
    <row r="39" spans="1:12" x14ac:dyDescent="0.25">
      <c r="B39" s="154"/>
      <c r="C39" s="154"/>
      <c r="D39" s="154"/>
      <c r="E39" s="156"/>
      <c r="F39" s="155"/>
      <c r="G39" s="155"/>
      <c r="H39" s="155"/>
      <c r="I39" s="155"/>
      <c r="J39" s="155"/>
      <c r="K39" s="155"/>
      <c r="L39" s="155"/>
    </row>
    <row r="40" spans="1:12" x14ac:dyDescent="0.25">
      <c r="B40" s="154"/>
      <c r="C40" s="154"/>
      <c r="D40" s="154"/>
      <c r="E40" s="155"/>
      <c r="F40" s="155"/>
      <c r="G40" s="155"/>
      <c r="H40" s="155"/>
      <c r="I40" s="155"/>
      <c r="J40" s="155"/>
      <c r="K40" s="155"/>
      <c r="L40" s="155"/>
    </row>
    <row r="41" spans="1:12" x14ac:dyDescent="0.25">
      <c r="B41" s="154"/>
      <c r="C41" s="154"/>
      <c r="D41" s="154"/>
      <c r="E41" s="157"/>
      <c r="F41" s="157"/>
      <c r="G41" s="157"/>
      <c r="H41" s="157"/>
      <c r="I41" s="157"/>
      <c r="J41" s="157"/>
      <c r="K41" s="157"/>
      <c r="L41" s="157"/>
    </row>
    <row r="42" spans="1:12" x14ac:dyDescent="0.25">
      <c r="A42" s="153"/>
      <c r="B42" s="153"/>
      <c r="C42" s="153"/>
      <c r="D42" s="153"/>
      <c r="E42" s="158"/>
      <c r="F42" s="158"/>
      <c r="G42" s="158"/>
      <c r="H42" s="158"/>
      <c r="I42" s="158"/>
      <c r="J42" s="158"/>
      <c r="K42" s="158"/>
      <c r="L42" s="158"/>
    </row>
    <row r="43" spans="1:12" ht="21" customHeight="1" x14ac:dyDescent="0.25">
      <c r="A43" s="153"/>
      <c r="E43" s="164"/>
      <c r="F43" s="164"/>
      <c r="G43" s="164"/>
      <c r="H43" s="164"/>
      <c r="I43" s="164"/>
      <c r="J43" s="164"/>
      <c r="K43" s="164"/>
      <c r="L43" s="164"/>
    </row>
    <row r="44" spans="1:12" ht="12" x14ac:dyDescent="0.3">
      <c r="B44" s="142"/>
      <c r="C44" s="142"/>
      <c r="D44" s="142"/>
      <c r="E44" s="165"/>
      <c r="F44" s="165"/>
      <c r="G44" s="165"/>
      <c r="H44" s="165"/>
      <c r="I44" s="165"/>
      <c r="J44" s="165"/>
      <c r="K44" s="165"/>
      <c r="L44" s="165"/>
    </row>
    <row r="45" spans="1:12" x14ac:dyDescent="0.25">
      <c r="B45" s="153"/>
      <c r="C45" s="153"/>
      <c r="D45" s="153"/>
      <c r="E45" s="158"/>
      <c r="F45" s="158"/>
      <c r="G45" s="158"/>
      <c r="H45" s="158"/>
      <c r="I45" s="158"/>
      <c r="J45" s="158"/>
      <c r="K45" s="158"/>
      <c r="L45" s="158"/>
    </row>
    <row r="46" spans="1:12" x14ac:dyDescent="0.25">
      <c r="E46" s="136"/>
      <c r="F46" s="136"/>
      <c r="G46" s="136"/>
      <c r="H46" s="136"/>
      <c r="I46" s="136"/>
      <c r="J46" s="136"/>
      <c r="K46" s="136"/>
      <c r="L46" s="136"/>
    </row>
    <row r="47" spans="1:12" x14ac:dyDescent="0.25">
      <c r="E47" s="136"/>
      <c r="F47" s="136"/>
      <c r="G47" s="136"/>
      <c r="H47" s="136"/>
      <c r="I47" s="136"/>
      <c r="J47" s="136"/>
      <c r="K47" s="136"/>
      <c r="L47" s="136"/>
    </row>
    <row r="48" spans="1:12" ht="20" customHeight="1" x14ac:dyDescent="0.25">
      <c r="A48" s="153"/>
      <c r="B48" s="153"/>
      <c r="C48" s="153"/>
      <c r="D48" s="153"/>
      <c r="E48" s="158"/>
      <c r="F48" s="158"/>
      <c r="G48" s="158"/>
      <c r="H48" s="158"/>
      <c r="I48" s="158"/>
      <c r="J48" s="158"/>
      <c r="K48" s="158"/>
      <c r="L48" s="158"/>
    </row>
    <row r="49" spans="1:12" ht="21" customHeight="1" x14ac:dyDescent="0.25">
      <c r="A49" s="153"/>
      <c r="B49" s="153"/>
      <c r="C49" s="153"/>
      <c r="D49" s="153"/>
      <c r="E49" s="158"/>
      <c r="F49" s="158"/>
      <c r="G49" s="158"/>
      <c r="H49" s="158"/>
      <c r="I49" s="158"/>
      <c r="J49" s="158"/>
      <c r="K49" s="158"/>
      <c r="L49" s="158"/>
    </row>
    <row r="50" spans="1:12" ht="21" customHeight="1" x14ac:dyDescent="0.25">
      <c r="A50" s="153"/>
      <c r="E50" s="166"/>
      <c r="F50" s="166"/>
      <c r="G50" s="166"/>
      <c r="H50" s="166"/>
      <c r="I50" s="166"/>
      <c r="J50" s="166"/>
      <c r="K50" s="166"/>
      <c r="L50" s="166"/>
    </row>
    <row r="51" spans="1:12" ht="20" customHeight="1" x14ac:dyDescent="0.25">
      <c r="E51" s="73"/>
      <c r="F51" s="73"/>
      <c r="G51" s="73"/>
      <c r="H51" s="73"/>
      <c r="I51" s="73"/>
      <c r="J51" s="73"/>
      <c r="K51" s="73"/>
      <c r="L51" s="73"/>
    </row>
    <row r="52" spans="1:12" ht="20" customHeight="1" x14ac:dyDescent="0.25">
      <c r="G52" s="74"/>
      <c r="H52" s="74"/>
      <c r="I52" s="74"/>
      <c r="J52" s="74"/>
      <c r="K52" s="74"/>
      <c r="L52" s="74"/>
    </row>
    <row r="53" spans="1:12" ht="20" customHeight="1" x14ac:dyDescent="0.25">
      <c r="G53" s="74"/>
      <c r="H53" s="74"/>
      <c r="I53" s="74"/>
      <c r="J53" s="74"/>
      <c r="K53" s="74"/>
      <c r="L53" s="7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FA756-D827-4EA7-8260-CDF237787369}">
  <sheetPr>
    <tabColor theme="0" tint="-4.9989318521683403E-2"/>
  </sheetPr>
  <dimension ref="B2:P70"/>
  <sheetViews>
    <sheetView zoomScale="175" zoomScaleNormal="175" workbookViewId="0">
      <selection activeCell="D8" sqref="D8"/>
    </sheetView>
  </sheetViews>
  <sheetFormatPr defaultRowHeight="10" x14ac:dyDescent="0.2"/>
  <cols>
    <col min="2" max="2" width="23.08984375" customWidth="1"/>
    <col min="3" max="3" width="2.36328125" customWidth="1"/>
    <col min="4" max="4" width="10" bestFit="1" customWidth="1"/>
  </cols>
  <sheetData>
    <row r="2" spans="2:4" x14ac:dyDescent="0.2">
      <c r="B2" s="201" t="s">
        <v>613</v>
      </c>
    </row>
    <row r="3" spans="2:4" x14ac:dyDescent="0.2">
      <c r="B3" t="s">
        <v>617</v>
      </c>
      <c r="D3" s="194">
        <v>0.25</v>
      </c>
    </row>
    <row r="4" spans="2:4" x14ac:dyDescent="0.2">
      <c r="B4" t="s">
        <v>618</v>
      </c>
      <c r="D4" s="194">
        <v>0.18</v>
      </c>
    </row>
    <row r="5" spans="2:4" x14ac:dyDescent="0.2">
      <c r="B5" t="s">
        <v>610</v>
      </c>
      <c r="D5" s="194">
        <v>0.25</v>
      </c>
    </row>
    <row r="6" spans="2:4" x14ac:dyDescent="0.2">
      <c r="B6" t="s">
        <v>596</v>
      </c>
      <c r="D6" s="194">
        <f ca="1">NORMINV(RAND(), 0.45,0.02)</f>
        <v>0.44107403351392482</v>
      </c>
    </row>
    <row r="7" spans="2:4" x14ac:dyDescent="0.2">
      <c r="B7" t="s">
        <v>620</v>
      </c>
      <c r="D7" s="194">
        <v>0.45</v>
      </c>
    </row>
    <row r="8" spans="2:4" x14ac:dyDescent="0.2">
      <c r="B8" t="s">
        <v>600</v>
      </c>
      <c r="D8" s="194">
        <f ca="1">NORMINV(RAND(), 0.28,0.02)</f>
        <v>0.26126399384443216</v>
      </c>
    </row>
    <row r="9" spans="2:4" x14ac:dyDescent="0.2">
      <c r="B9" t="s">
        <v>619</v>
      </c>
      <c r="D9" s="233">
        <f>1-D7</f>
        <v>0.55000000000000004</v>
      </c>
    </row>
    <row r="10" spans="2:4" x14ac:dyDescent="0.2">
      <c r="B10" t="s">
        <v>616</v>
      </c>
      <c r="D10" s="194">
        <f ca="1">NORMINV(RAND(), 0.09,0.01)</f>
        <v>9.4283117064734537E-2</v>
      </c>
    </row>
    <row r="11" spans="2:4" x14ac:dyDescent="0.2">
      <c r="B11" t="s">
        <v>595</v>
      </c>
      <c r="D11" s="194">
        <f ca="1">NORMINV(RAND(), 0.08,0.01)</f>
        <v>6.8770981155316657E-2</v>
      </c>
    </row>
    <row r="12" spans="2:4" x14ac:dyDescent="0.2">
      <c r="B12" t="s">
        <v>652</v>
      </c>
      <c r="D12" s="194">
        <f ca="1">NORMINV(RAND(), WACC!C25,0.005)</f>
        <v>0.10092386379200266</v>
      </c>
    </row>
    <row r="13" spans="2:4" x14ac:dyDescent="0.2">
      <c r="B13" t="s">
        <v>644</v>
      </c>
      <c r="D13" s="194">
        <f ca="1">NORMINV(RAND(), 0.09,0.01)</f>
        <v>0.10272531693765442</v>
      </c>
    </row>
    <row r="14" spans="2:4" x14ac:dyDescent="0.2">
      <c r="D14" s="233"/>
    </row>
    <row r="15" spans="2:4" x14ac:dyDescent="0.2">
      <c r="D15" s="206"/>
    </row>
    <row r="16" spans="2:4" x14ac:dyDescent="0.2">
      <c r="B16" s="201" t="s">
        <v>614</v>
      </c>
      <c r="D16" s="206"/>
    </row>
    <row r="17" spans="2:16" x14ac:dyDescent="0.2">
      <c r="D17" s="206"/>
      <c r="G17" s="189">
        <v>2024</v>
      </c>
      <c r="H17" s="189">
        <f>G17+1</f>
        <v>2025</v>
      </c>
      <c r="I17" s="189">
        <f t="shared" ref="I17:M17" si="0">H17+1</f>
        <v>2026</v>
      </c>
      <c r="J17" s="189">
        <f t="shared" si="0"/>
        <v>2027</v>
      </c>
      <c r="K17" s="189">
        <f t="shared" si="0"/>
        <v>2028</v>
      </c>
      <c r="L17" s="189">
        <f t="shared" si="0"/>
        <v>2029</v>
      </c>
      <c r="M17" s="189">
        <f t="shared" si="0"/>
        <v>2030</v>
      </c>
      <c r="N17" s="189">
        <f t="shared" ref="N17:P17" si="1">M17+1</f>
        <v>2031</v>
      </c>
      <c r="O17" s="189">
        <f t="shared" si="1"/>
        <v>2032</v>
      </c>
      <c r="P17" s="189">
        <f t="shared" si="1"/>
        <v>2033</v>
      </c>
    </row>
    <row r="18" spans="2:16" x14ac:dyDescent="0.2">
      <c r="B18" t="s">
        <v>622</v>
      </c>
      <c r="D18" s="206"/>
      <c r="G18" s="194">
        <v>0.05</v>
      </c>
      <c r="H18" s="187">
        <f ca="1">G40</f>
        <v>2.2883806773171259E-2</v>
      </c>
      <c r="I18" s="187">
        <f t="shared" ref="I18:K18" ca="1" si="2">H40</f>
        <v>1.9046924418608255E-2</v>
      </c>
      <c r="J18" s="187">
        <f t="shared" ca="1" si="2"/>
        <v>2.3097399110307028E-2</v>
      </c>
      <c r="K18" s="187">
        <f t="shared" ca="1" si="2"/>
        <v>4.6591301753623887E-2</v>
      </c>
      <c r="L18" s="187">
        <f t="shared" ref="L18:M18" ca="1" si="3">K40</f>
        <v>2.5822007707909836E-2</v>
      </c>
      <c r="M18" s="187">
        <f t="shared" ca="1" si="3"/>
        <v>1.405835040484082E-2</v>
      </c>
      <c r="N18" s="187">
        <f t="shared" ref="N18:P18" ca="1" si="4">M40</f>
        <v>2.0830909734136363E-3</v>
      </c>
      <c r="O18" s="187">
        <f t="shared" ca="1" si="4"/>
        <v>9.2081024892055503E-3</v>
      </c>
      <c r="P18" s="187">
        <f t="shared" ca="1" si="4"/>
        <v>6.0991289471378175E-3</v>
      </c>
    </row>
    <row r="19" spans="2:16" x14ac:dyDescent="0.2">
      <c r="B19" t="s">
        <v>595</v>
      </c>
      <c r="D19" s="206"/>
      <c r="G19" s="194">
        <v>0.02</v>
      </c>
      <c r="H19" s="194">
        <v>0.04</v>
      </c>
      <c r="I19" s="194">
        <v>0.05</v>
      </c>
      <c r="J19" s="194">
        <v>0.08</v>
      </c>
      <c r="K19" s="194">
        <f t="shared" ref="K19:P19" ca="1" si="5">$D$11</f>
        <v>6.8770981155316657E-2</v>
      </c>
      <c r="L19" s="194">
        <f t="shared" ca="1" si="5"/>
        <v>6.8770981155316657E-2</v>
      </c>
      <c r="M19" s="194">
        <f t="shared" ca="1" si="5"/>
        <v>6.8770981155316657E-2</v>
      </c>
      <c r="N19" s="194">
        <f t="shared" ca="1" si="5"/>
        <v>6.8770981155316657E-2</v>
      </c>
      <c r="O19" s="194">
        <f t="shared" ca="1" si="5"/>
        <v>6.8770981155316657E-2</v>
      </c>
      <c r="P19" s="194">
        <f t="shared" ca="1" si="5"/>
        <v>6.8770981155316657E-2</v>
      </c>
    </row>
    <row r="20" spans="2:16" x14ac:dyDescent="0.2">
      <c r="D20" s="187"/>
    </row>
    <row r="21" spans="2:16" x14ac:dyDescent="0.2">
      <c r="B21" s="201" t="s">
        <v>611</v>
      </c>
      <c r="C21" s="201"/>
      <c r="D21" s="201"/>
      <c r="E21" s="201"/>
      <c r="F21" s="201"/>
      <c r="G21" s="201"/>
      <c r="H21" s="201"/>
      <c r="I21" s="201"/>
      <c r="J21" s="201"/>
      <c r="K21" s="201"/>
      <c r="L21" s="201"/>
      <c r="M21" s="201"/>
      <c r="N21" s="201"/>
      <c r="O21" s="201"/>
      <c r="P21" s="201"/>
    </row>
    <row r="22" spans="2:16" x14ac:dyDescent="0.2">
      <c r="D22" s="195">
        <v>2021</v>
      </c>
      <c r="E22" s="195">
        <f>D22+1</f>
        <v>2022</v>
      </c>
      <c r="F22" s="248">
        <f t="shared" ref="F22:K22" si="6">E22+1</f>
        <v>2023</v>
      </c>
      <c r="G22" s="189">
        <f t="shared" si="6"/>
        <v>2024</v>
      </c>
      <c r="H22" s="189">
        <f t="shared" si="6"/>
        <v>2025</v>
      </c>
      <c r="I22" s="189">
        <f t="shared" si="6"/>
        <v>2026</v>
      </c>
      <c r="J22" s="189">
        <f t="shared" si="6"/>
        <v>2027</v>
      </c>
      <c r="K22" s="189">
        <f t="shared" si="6"/>
        <v>2028</v>
      </c>
      <c r="L22" s="189">
        <f t="shared" ref="L22" si="7">K22+1</f>
        <v>2029</v>
      </c>
      <c r="M22" s="189">
        <f t="shared" ref="M22" si="8">L22+1</f>
        <v>2030</v>
      </c>
      <c r="N22" s="189">
        <f t="shared" ref="N22" si="9">M22+1</f>
        <v>2031</v>
      </c>
      <c r="O22" s="189">
        <f t="shared" ref="O22" si="10">N22+1</f>
        <v>2032</v>
      </c>
      <c r="P22" s="189">
        <f t="shared" ref="P22" si="11">O22+1</f>
        <v>2033</v>
      </c>
    </row>
    <row r="23" spans="2:16" x14ac:dyDescent="0.2">
      <c r="B23" t="s">
        <v>96</v>
      </c>
      <c r="D23" s="196">
        <f>ISP!E5</f>
        <v>2313.4160000000002</v>
      </c>
      <c r="E23" s="196">
        <f>ISP!F5</f>
        <v>3554.9850000000001</v>
      </c>
      <c r="F23" s="196">
        <f>ISP!G5</f>
        <v>3962.3470000000002</v>
      </c>
      <c r="G23" s="196">
        <f>ISP!H5</f>
        <v>4160.4643500000002</v>
      </c>
      <c r="H23" s="196">
        <f ca="1">ISP!I5</f>
        <v>4255.6716122720682</v>
      </c>
      <c r="I23" s="196">
        <f ca="1">ISP!J5</f>
        <v>4336.7290678214313</v>
      </c>
      <c r="J23" s="196">
        <f ca="1">ISP!K5</f>
        <v>4436.896229934172</v>
      </c>
      <c r="K23" s="196">
        <f ca="1">ISP!L5</f>
        <v>4643.6170010325513</v>
      </c>
      <c r="L23" s="196">
        <f ca="1">ISP!M5</f>
        <v>4763.5245150257952</v>
      </c>
      <c r="M23" s="196">
        <f ca="1">ISP!N5</f>
        <v>4830.4918118200776</v>
      </c>
      <c r="N23" s="196">
        <f ca="1">ISP!O5</f>
        <v>4840.5541657104277</v>
      </c>
      <c r="O23" s="196">
        <f ca="1">ISP!P5</f>
        <v>4885.1264845728401</v>
      </c>
      <c r="P23" s="196">
        <f ca="1">ISP!Q5</f>
        <v>4914.9215009253276</v>
      </c>
    </row>
    <row r="24" spans="2:16" x14ac:dyDescent="0.2">
      <c r="B24" t="s">
        <v>33</v>
      </c>
      <c r="D24" s="196">
        <f>ISP!E20</f>
        <v>682.76400000000024</v>
      </c>
      <c r="E24" s="196">
        <f>ISP!F20</f>
        <v>883.60400000000016</v>
      </c>
      <c r="F24" s="249">
        <f>ISP!G20</f>
        <v>1045.6700000000003</v>
      </c>
      <c r="G24" s="196">
        <f ca="1">ISP!H20</f>
        <v>1130.4541273833743</v>
      </c>
      <c r="H24" s="196">
        <f ca="1">ISP!I20</f>
        <v>1134.4755853823904</v>
      </c>
      <c r="I24" s="196">
        <f ca="1">ISP!J20</f>
        <v>1127.6266712998017</v>
      </c>
      <c r="J24" s="196">
        <f ca="1">ISP!K20</f>
        <v>1106.7352408832335</v>
      </c>
      <c r="K24" s="196">
        <f ca="1">ISP!L20</f>
        <v>1122.6472823557331</v>
      </c>
      <c r="L24" s="196">
        <f ca="1">ISP!M20</f>
        <v>1111.5402959832711</v>
      </c>
      <c r="M24" s="196">
        <f ca="1">ISP!N20</f>
        <v>1084.0171048835939</v>
      </c>
      <c r="N24" s="196">
        <f ca="1">ISP!O20</f>
        <v>1126.451517518962</v>
      </c>
      <c r="O24" s="196">
        <f ca="1">ISP!P20</f>
        <v>1116.043562316615</v>
      </c>
      <c r="P24" s="196">
        <f ca="1">ISP!Q20</f>
        <v>1107.6027598691401</v>
      </c>
    </row>
    <row r="25" spans="2:16" x14ac:dyDescent="0.2">
      <c r="B25" t="s">
        <v>604</v>
      </c>
      <c r="D25" s="196">
        <f>ISP!E20*(1-$D$3)</f>
        <v>512.07300000000021</v>
      </c>
      <c r="E25" s="196">
        <f>ISP!F20*(1-$D$3)</f>
        <v>662.70300000000009</v>
      </c>
      <c r="F25" s="249">
        <f>ISP!G20*(1-$D$3)</f>
        <v>784.25250000000028</v>
      </c>
      <c r="G25" s="174">
        <f ca="1">ISP!H20*(1-$D$3)</f>
        <v>847.8405955375307</v>
      </c>
      <c r="H25" s="174">
        <f ca="1">ISP!I20*(1-$D$3)</f>
        <v>850.85668903679277</v>
      </c>
      <c r="I25" s="174">
        <f ca="1">ISP!J20*(1-$D$3)</f>
        <v>845.7200034748513</v>
      </c>
      <c r="J25" s="174">
        <f ca="1">ISP!K20*(1-$D$3)</f>
        <v>830.0514306624251</v>
      </c>
      <c r="K25" s="174">
        <f ca="1">ISP!L20*(1-$D$3)</f>
        <v>841.98546176679974</v>
      </c>
      <c r="L25" s="174">
        <f ca="1">ISP!M20*(1-$D$3)</f>
        <v>833.65522198745339</v>
      </c>
      <c r="M25" s="174">
        <f ca="1">ISP!N20*(1-$D$3)</f>
        <v>813.01282866269548</v>
      </c>
      <c r="N25" s="174">
        <f ca="1">ISP!O20*(1-$D$3)</f>
        <v>844.83863813922153</v>
      </c>
      <c r="O25" s="174">
        <f ca="1">ISP!P20*(1-$D$3)</f>
        <v>837.03267173746121</v>
      </c>
      <c r="P25" s="174">
        <f ca="1">ISP!Q20*(1-$D$3)</f>
        <v>830.70206990185511</v>
      </c>
    </row>
    <row r="26" spans="2:16" x14ac:dyDescent="0.2">
      <c r="B26" t="s">
        <v>586</v>
      </c>
      <c r="D26" s="196">
        <f>'Balance Sheet'!E31-'Balance Sheet'!D31</f>
        <v>41.718000000000018</v>
      </c>
      <c r="E26" s="196">
        <f>'Balance Sheet'!F31-'Balance Sheet'!E31</f>
        <v>165.65900000000005</v>
      </c>
      <c r="F26" s="249">
        <f>'Balance Sheet'!G31-'Balance Sheet'!F31</f>
        <v>127.69499999999994</v>
      </c>
      <c r="G26" s="174">
        <f>ISP!H5*G19</f>
        <v>83.209287000000003</v>
      </c>
      <c r="H26" s="174">
        <f ca="1">ISP!I5*H19</f>
        <v>170.22686449088272</v>
      </c>
      <c r="I26" s="174">
        <f ca="1">ISP!J5*I19</f>
        <v>216.83645339107159</v>
      </c>
      <c r="J26" s="174">
        <f ca="1">ISP!K5*J19</f>
        <v>354.95169839473374</v>
      </c>
      <c r="K26" s="174">
        <f ca="1">ISP!L5*K19</f>
        <v>319.34609727051765</v>
      </c>
      <c r="L26" s="174">
        <f ca="1">ISP!M5*L19</f>
        <v>327.59225465572786</v>
      </c>
      <c r="M26" s="174">
        <f ca="1">ISP!N5*M19</f>
        <v>332.19766136158995</v>
      </c>
      <c r="N26" s="174">
        <f ca="1">ISP!O5*N19</f>
        <v>332.88965931136136</v>
      </c>
      <c r="O26" s="174">
        <f ca="1">ISP!P5*O19</f>
        <v>335.9549414118971</v>
      </c>
      <c r="P26" s="174">
        <f ca="1">ISP!Q5*P19</f>
        <v>338.00397391999638</v>
      </c>
    </row>
    <row r="27" spans="2:16" x14ac:dyDescent="0.2">
      <c r="B27" t="s">
        <v>509</v>
      </c>
      <c r="D27" s="196">
        <f>('Balance Sheet'!E32-'Balance Sheet'!D32)*-1</f>
        <v>-2.5999999999999943</v>
      </c>
      <c r="E27" s="196">
        <f>('Balance Sheet'!F32-'Balance Sheet'!E32)*-1</f>
        <v>13.399999999999991</v>
      </c>
      <c r="F27" s="249">
        <f>('Balance Sheet'!G32-'Balance Sheet'!F32)*-1</f>
        <v>23.400000000000006</v>
      </c>
      <c r="G27" s="196">
        <f>DA!G23</f>
        <v>86.994898142857139</v>
      </c>
      <c r="H27" s="196">
        <f ca="1">DA!H23</f>
        <v>111.31302164155467</v>
      </c>
      <c r="I27" s="196">
        <f ca="1">DA!I23</f>
        <v>142.28965784027918</v>
      </c>
      <c r="J27" s="196">
        <f ca="1">DA!J23</f>
        <v>192.99704332524112</v>
      </c>
      <c r="K27" s="196">
        <f ca="1">DA!K23</f>
        <v>238.61791436388648</v>
      </c>
      <c r="L27" s="196">
        <f ca="1">DA!L23</f>
        <v>285.41680788613331</v>
      </c>
      <c r="M27" s="196">
        <f ca="1">DA!M23</f>
        <v>332.87361665207476</v>
      </c>
      <c r="N27" s="196">
        <f ca="1">DA!N23</f>
        <v>293.43438412512637</v>
      </c>
      <c r="O27" s="196">
        <f ca="1">DA!O23</f>
        <v>317.10982368527129</v>
      </c>
      <c r="P27" s="196">
        <f ca="1">DA!P23</f>
        <v>334.41946947511769</v>
      </c>
    </row>
    <row r="28" spans="2:16" x14ac:dyDescent="0.2">
      <c r="B28" t="s">
        <v>605</v>
      </c>
      <c r="D28" s="198">
        <f>OWC!E22</f>
        <v>3.8940000000000055</v>
      </c>
      <c r="E28" s="198">
        <f>OWC!F22</f>
        <v>187.63499999999993</v>
      </c>
      <c r="F28" s="250">
        <f>OWC!G22</f>
        <v>-112.21600000000001</v>
      </c>
      <c r="G28" s="198">
        <f ca="1">OWC!H22</f>
        <v>81.469660141737677</v>
      </c>
      <c r="H28" s="198">
        <f ca="1">OWC!I22</f>
        <v>6.9156136403851178</v>
      </c>
      <c r="I28" s="198">
        <f ca="1">OWC!J22</f>
        <v>7.0916652977357444</v>
      </c>
      <c r="J28" s="198">
        <f ca="1">OWC!K22</f>
        <v>10.651011045283894</v>
      </c>
      <c r="K28" s="198">
        <f ca="1">OWC!L22</f>
        <v>17.420736340253825</v>
      </c>
      <c r="L28" s="198">
        <f ca="1">OWC!M22</f>
        <v>12.002246237822646</v>
      </c>
      <c r="M28" s="198">
        <f ca="1">OWC!N22</f>
        <v>8.7183060669080987</v>
      </c>
      <c r="N28" s="198">
        <f ca="1">OWC!O22</f>
        <v>-3.5816807798191803</v>
      </c>
      <c r="O28" s="198">
        <f ca="1">OWC!P22</f>
        <v>5.0585422446679331</v>
      </c>
      <c r="P28" s="198">
        <f ca="1">OWC!Q22</f>
        <v>3.5097795446183682</v>
      </c>
    </row>
    <row r="29" spans="2:16" x14ac:dyDescent="0.2">
      <c r="B29" t="s">
        <v>606</v>
      </c>
      <c r="D29" s="230">
        <f>D26-D27+D28</f>
        <v>48.212000000000018</v>
      </c>
      <c r="E29" s="230">
        <f t="shared" ref="E29:F29" si="12">E26-E27+E28</f>
        <v>339.89400000000001</v>
      </c>
      <c r="F29" s="249">
        <f t="shared" si="12"/>
        <v>-7.9210000000000775</v>
      </c>
      <c r="G29" s="230">
        <f t="shared" ref="G29" ca="1" si="13">G26-G27+G28</f>
        <v>77.684048998880542</v>
      </c>
      <c r="H29" s="230">
        <f t="shared" ref="H29" ca="1" si="14">H26-H27+H28</f>
        <v>65.829456489713166</v>
      </c>
      <c r="I29" s="230">
        <f t="shared" ref="I29" ca="1" si="15">I26-I27+I28</f>
        <v>81.638460848528155</v>
      </c>
      <c r="J29" s="230">
        <f t="shared" ref="J29" ca="1" si="16">J26-J27+J28</f>
        <v>172.60566611477651</v>
      </c>
      <c r="K29" s="230">
        <f t="shared" ref="K29" ca="1" si="17">K26-K27+K28</f>
        <v>98.148919246884986</v>
      </c>
      <c r="L29" s="230">
        <f t="shared" ref="L29" ca="1" si="18">L26-L27+L28</f>
        <v>54.17769300741719</v>
      </c>
      <c r="M29" s="230">
        <f t="shared" ref="M29" ca="1" si="19">M26-M27+M28</f>
        <v>8.0423507764232909</v>
      </c>
      <c r="N29" s="230">
        <f t="shared" ref="N29" ca="1" si="20">N26-N27+N28</f>
        <v>35.873594406415805</v>
      </c>
      <c r="O29" s="230">
        <f t="shared" ref="O29" ca="1" si="21">O26-O27+O28</f>
        <v>23.903659971293735</v>
      </c>
      <c r="P29" s="230">
        <f t="shared" ref="P29" ca="1" si="22">P26-P27+P28</f>
        <v>7.0942839894970575</v>
      </c>
    </row>
    <row r="30" spans="2:16" x14ac:dyDescent="0.2">
      <c r="B30" t="s">
        <v>612</v>
      </c>
      <c r="D30" s="196">
        <f>D25-D29</f>
        <v>463.86100000000022</v>
      </c>
      <c r="E30" s="196">
        <f>E25-E29</f>
        <v>322.80900000000008</v>
      </c>
      <c r="F30" s="249">
        <f>F25-F29</f>
        <v>792.17350000000033</v>
      </c>
      <c r="G30" s="196">
        <f t="shared" ref="G30:K30" ca="1" si="23">G25-G29</f>
        <v>770.15654653865022</v>
      </c>
      <c r="H30" s="196">
        <f t="shared" ca="1" si="23"/>
        <v>785.02723254707962</v>
      </c>
      <c r="I30" s="196">
        <f t="shared" ca="1" si="23"/>
        <v>764.0815426263232</v>
      </c>
      <c r="J30" s="196">
        <f t="shared" ca="1" si="23"/>
        <v>657.44576454764865</v>
      </c>
      <c r="K30" s="196">
        <f t="shared" ca="1" si="23"/>
        <v>743.8365425199147</v>
      </c>
      <c r="L30" s="196">
        <f t="shared" ref="L30" ca="1" si="24">L25-L29</f>
        <v>779.47752898003614</v>
      </c>
      <c r="M30" s="196">
        <f t="shared" ref="M30" ca="1" si="25">M25-M29</f>
        <v>804.97047788627219</v>
      </c>
      <c r="N30" s="196">
        <f t="shared" ref="N30" ca="1" si="26">N25-N29</f>
        <v>808.96504373280573</v>
      </c>
      <c r="O30" s="196">
        <f t="shared" ref="O30" ca="1" si="27">O25-O29</f>
        <v>813.12901176616742</v>
      </c>
      <c r="P30" s="196">
        <f t="shared" ref="P30" ca="1" si="28">P25-P29</f>
        <v>823.60778591235805</v>
      </c>
    </row>
    <row r="31" spans="2:16" x14ac:dyDescent="0.2">
      <c r="B31" t="s">
        <v>621</v>
      </c>
      <c r="D31" s="196"/>
      <c r="E31" s="196"/>
      <c r="F31" s="249"/>
      <c r="G31" s="255">
        <f ca="1">(G30-F30)/F30</f>
        <v>-2.779309515068366E-2</v>
      </c>
      <c r="H31" s="255">
        <f t="shared" ref="H31:K31" ca="1" si="29">(H30-G30)/G30</f>
        <v>1.9308653643552609E-2</v>
      </c>
      <c r="I31" s="255">
        <f t="shared" ca="1" si="29"/>
        <v>-2.66814819312657E-2</v>
      </c>
      <c r="J31" s="255">
        <f t="shared" ca="1" si="29"/>
        <v>-0.13956073027512608</v>
      </c>
      <c r="K31" s="255">
        <f t="shared" ca="1" si="29"/>
        <v>0.13140365735218734</v>
      </c>
      <c r="L31" s="255">
        <f t="shared" ref="L31" ca="1" si="30">(L30-K30)/K30</f>
        <v>4.791507868029652E-2</v>
      </c>
      <c r="M31" s="255">
        <f t="shared" ref="M31" ca="1" si="31">(M30-L30)/L30</f>
        <v>3.2705174887586751E-2</v>
      </c>
      <c r="N31" s="255">
        <f t="shared" ref="N31" ca="1" si="32">(N30-M30)/M30</f>
        <v>4.9623755855278621E-3</v>
      </c>
      <c r="O31" s="255">
        <f t="shared" ref="O31" ca="1" si="33">(O30-N30)/N30</f>
        <v>5.1472780753886579E-3</v>
      </c>
      <c r="P31" s="255">
        <f t="shared" ref="P31" ca="1" si="34">(P30-O30)/O30</f>
        <v>1.288697610657142E-2</v>
      </c>
    </row>
    <row r="32" spans="2:16" x14ac:dyDescent="0.2">
      <c r="D32" s="196"/>
      <c r="E32" s="196"/>
      <c r="F32" s="249"/>
    </row>
    <row r="33" spans="2:16" x14ac:dyDescent="0.2">
      <c r="B33" t="s">
        <v>630</v>
      </c>
      <c r="D33" s="199">
        <f>D29/D23</f>
        <v>2.0840177469162492E-2</v>
      </c>
      <c r="E33" s="199">
        <f t="shared" ref="E33:K33" si="35">E29/E23</f>
        <v>9.5610530002236294E-2</v>
      </c>
      <c r="F33" s="199">
        <f t="shared" si="35"/>
        <v>-1.999067724255366E-3</v>
      </c>
      <c r="G33" s="199">
        <f t="shared" ca="1" si="35"/>
        <v>1.8671966026792306E-2</v>
      </c>
      <c r="H33" s="199">
        <f t="shared" ca="1" si="35"/>
        <v>1.5468641024810503E-2</v>
      </c>
      <c r="I33" s="199">
        <f t="shared" ca="1" si="35"/>
        <v>1.8824893040768044E-2</v>
      </c>
      <c r="J33" s="199">
        <f t="shared" ca="1" si="35"/>
        <v>3.8902344605282191E-2</v>
      </c>
      <c r="K33" s="199">
        <f t="shared" ca="1" si="35"/>
        <v>2.1136308017017911E-2</v>
      </c>
      <c r="L33" s="199">
        <f t="shared" ref="L33:M33" ca="1" si="36">L29/L23</f>
        <v>1.1373446874582487E-2</v>
      </c>
      <c r="M33" s="199">
        <f t="shared" ca="1" si="36"/>
        <v>1.6649134476832948E-3</v>
      </c>
      <c r="N33" s="199">
        <f t="shared" ref="N33:P33" ca="1" si="37">N29/N23</f>
        <v>7.4110511272733144E-3</v>
      </c>
      <c r="O33" s="199">
        <f t="shared" ca="1" si="37"/>
        <v>4.8931506782436754E-3</v>
      </c>
      <c r="P33" s="199">
        <f t="shared" ca="1" si="37"/>
        <v>1.4434175577700322E-3</v>
      </c>
    </row>
    <row r="34" spans="2:16" x14ac:dyDescent="0.2">
      <c r="D34" s="199"/>
      <c r="E34" s="199"/>
      <c r="F34" s="251"/>
    </row>
    <row r="35" spans="2:16" x14ac:dyDescent="0.2">
      <c r="B35" t="s">
        <v>608</v>
      </c>
      <c r="D35" s="197">
        <f>BSP!E40+BSP!E41</f>
        <v>76.682000000000073</v>
      </c>
      <c r="E35" s="197">
        <f>BSP!F40+BSP!F41</f>
        <v>888.12300000000027</v>
      </c>
      <c r="F35" s="252">
        <f>BSP!G40+BSP!G41</f>
        <v>1533.86</v>
      </c>
      <c r="G35" s="196">
        <f ca="1">BSP!H40+BSP!H41</f>
        <v>2365.7579925583418</v>
      </c>
      <c r="H35" s="196">
        <f ca="1">BSP!I40+BSP!I41</f>
        <v>3224.7415066888811</v>
      </c>
      <c r="I35" s="196">
        <f ca="1">BSP!J40+BSP!J41</f>
        <v>4095.9498557814522</v>
      </c>
      <c r="J35" s="196">
        <f ca="1">BSP!K40+BSP!K41</f>
        <v>4963.4079403147507</v>
      </c>
      <c r="K35" s="196">
        <f ca="1">BSP!L40+BSP!L41</f>
        <v>5853.9494301422374</v>
      </c>
      <c r="L35" s="196">
        <f ca="1">BSP!M40+BSP!M41</f>
        <v>6742.909839609355</v>
      </c>
      <c r="M35" s="196">
        <f ca="1">BSP!N40+BSP!N41</f>
        <v>7614.9462187235285</v>
      </c>
      <c r="N35" s="196">
        <f ca="1">BSP!O40+BSP!O41</f>
        <v>8526.0125559602966</v>
      </c>
      <c r="O35" s="196">
        <f ca="1">BSP!P40+BSP!P41</f>
        <v>9431.7196747523321</v>
      </c>
      <c r="P35" s="196">
        <f ca="1">BSP!Q40+BSP!Q41</f>
        <v>10332.886814153333</v>
      </c>
    </row>
    <row r="36" spans="2:16" x14ac:dyDescent="0.2">
      <c r="B36" t="s">
        <v>607</v>
      </c>
      <c r="D36" s="200">
        <f>BSP!E23+BSP!E24+BSP!E29+BSP!E30</f>
        <v>963.55899999999997</v>
      </c>
      <c r="E36" s="200">
        <f>BSP!F23+BSP!F24+BSP!F29+BSP!F30</f>
        <v>2594.9640000000004</v>
      </c>
      <c r="F36" s="253">
        <f>BSP!G23+BSP!G24+BSP!G29+BSP!G30</f>
        <v>1996.3600000000001</v>
      </c>
      <c r="G36" s="200">
        <f>BSP!H23+BSP!H24+BSP!H29+BSP!H30</f>
        <v>1522.212</v>
      </c>
      <c r="H36" s="200">
        <f>BSP!I23+BSP!I24+BSP!I29+BSP!I30</f>
        <v>1210.1512499999999</v>
      </c>
      <c r="I36" s="200">
        <f>BSP!J23+BSP!J24+BSP!J29+BSP!J30</f>
        <v>976.10568750000004</v>
      </c>
      <c r="J36" s="200">
        <f>BSP!K23+BSP!K24+BSP!K29+BSP!K30</f>
        <v>800.57151562500007</v>
      </c>
      <c r="K36" s="200">
        <f>BSP!L23+BSP!L24+BSP!L29+BSP!L30</f>
        <v>668.92088671875013</v>
      </c>
      <c r="L36" s="200">
        <f>BSP!M23+BSP!M24+BSP!M29+BSP!M30</f>
        <v>570.18291503906255</v>
      </c>
      <c r="M36" s="200">
        <f>BSP!N23+BSP!N24+BSP!N29+BSP!N30</f>
        <v>496.1294362792969</v>
      </c>
      <c r="N36" s="200">
        <f>BSP!O23+BSP!O24+BSP!O29+BSP!O30</f>
        <v>440.58932720947269</v>
      </c>
      <c r="O36" s="200">
        <f>BSP!P23+BSP!P24+BSP!P29+BSP!P30</f>
        <v>398.93424540710453</v>
      </c>
      <c r="P36" s="200">
        <f>BSP!Q23+BSP!Q24+BSP!Q29+BSP!Q30</f>
        <v>367.69293405532841</v>
      </c>
    </row>
    <row r="37" spans="2:16" x14ac:dyDescent="0.2">
      <c r="B37" t="s">
        <v>553</v>
      </c>
      <c r="D37" s="198">
        <f>BSP!E8</f>
        <v>213.197</v>
      </c>
      <c r="E37" s="198">
        <f>BSP!F8</f>
        <v>191.62899999999999</v>
      </c>
      <c r="F37" s="250">
        <f>BSP!G8</f>
        <v>149.28800000000001</v>
      </c>
      <c r="G37" s="198">
        <f ca="1">BSP!H8</f>
        <v>493.2529435594613</v>
      </c>
      <c r="H37" s="198">
        <f ca="1">BSP!I8</f>
        <v>978.72025120028775</v>
      </c>
      <c r="I37" s="198">
        <f ca="1">BSP!J8</f>
        <v>1537.5250769443296</v>
      </c>
      <c r="J37" s="198">
        <f ca="1">BSP!K8</f>
        <v>2059.3036984878522</v>
      </c>
      <c r="K37" s="198">
        <f ca="1">BSP!L8</f>
        <v>2721.8909214122027</v>
      </c>
      <c r="L37" s="198">
        <f ca="1">BSP!M8</f>
        <v>3459.3196271297174</v>
      </c>
      <c r="M37" s="198">
        <f ca="1">BSP!N8</f>
        <v>4250.2981474108255</v>
      </c>
      <c r="N37" s="198">
        <f ca="1">BSP!O8</f>
        <v>5070.7292591986952</v>
      </c>
      <c r="O37" s="198">
        <f ca="1">BSP!P8</f>
        <v>5911.4614947375776</v>
      </c>
      <c r="P37" s="198">
        <f ca="1">BSP!Q8</f>
        <v>6774.7309326876866</v>
      </c>
    </row>
    <row r="38" spans="2:16" x14ac:dyDescent="0.2">
      <c r="B38" t="s">
        <v>609</v>
      </c>
      <c r="D38" s="196">
        <f>D35+D36-D37</f>
        <v>827.04399999999998</v>
      </c>
      <c r="E38" s="196">
        <f t="shared" ref="E38:F38" si="38">E35+E36-E37</f>
        <v>3291.4580000000005</v>
      </c>
      <c r="F38" s="249">
        <f t="shared" si="38"/>
        <v>3380.9320000000002</v>
      </c>
      <c r="G38" s="196">
        <f t="shared" ref="G38:K38" ca="1" si="39">G35+G36-G37</f>
        <v>3394.7170489988803</v>
      </c>
      <c r="H38" s="196">
        <f t="shared" ca="1" si="39"/>
        <v>3456.1725054885937</v>
      </c>
      <c r="I38" s="196">
        <f t="shared" ca="1" si="39"/>
        <v>3534.530466337123</v>
      </c>
      <c r="J38" s="196">
        <f t="shared" ca="1" si="39"/>
        <v>3704.6757574518983</v>
      </c>
      <c r="K38" s="196">
        <f t="shared" ca="1" si="39"/>
        <v>3800.9793954487845</v>
      </c>
      <c r="L38" s="196">
        <f t="shared" ref="L38:M38" ca="1" si="40">L35+L36-L37</f>
        <v>3853.7731275186998</v>
      </c>
      <c r="M38" s="196">
        <f t="shared" ca="1" si="40"/>
        <v>3860.7775075919999</v>
      </c>
      <c r="N38" s="196">
        <f t="shared" ref="N38:P38" ca="1" si="41">N35+N36-N37</f>
        <v>3895.8726239710741</v>
      </c>
      <c r="O38" s="196">
        <f t="shared" ca="1" si="41"/>
        <v>3919.1924254218593</v>
      </c>
      <c r="P38" s="196">
        <f t="shared" ca="1" si="41"/>
        <v>3925.8488155209752</v>
      </c>
    </row>
    <row r="39" spans="2:16" x14ac:dyDescent="0.2">
      <c r="B39" t="s">
        <v>631</v>
      </c>
      <c r="D39" s="199">
        <f>D23/D38</f>
        <v>2.7972103056185649</v>
      </c>
      <c r="E39" s="199">
        <f>E23/E38</f>
        <v>1.0800639108869077</v>
      </c>
      <c r="F39" s="199">
        <f>F23/F38</f>
        <v>1.1719688535587229</v>
      </c>
      <c r="G39" s="199">
        <f ca="1">G23/G38</f>
        <v>1.225570287581683</v>
      </c>
      <c r="H39" s="199">
        <f ca="1">H23/H38</f>
        <v>1.2313250005645915</v>
      </c>
      <c r="I39" s="199">
        <f ca="1">I23/I38</f>
        <v>1.2269604432963443</v>
      </c>
      <c r="J39" s="199">
        <f ca="1">J23/J38</f>
        <v>1.1976476540516194</v>
      </c>
      <c r="K39" s="199">
        <f ca="1">K23/K38</f>
        <v>1.2216896009993434</v>
      </c>
      <c r="L39" s="199">
        <f t="shared" ref="L39:M39" ca="1" si="42">L23/L38</f>
        <v>1.2360677075178139</v>
      </c>
      <c r="M39" s="199">
        <f t="shared" ca="1" si="42"/>
        <v>1.2511707298131503</v>
      </c>
      <c r="N39" s="199">
        <f t="shared" ref="N39" ca="1" si="43">N23/N38</f>
        <v>1.2424826561132374</v>
      </c>
      <c r="O39" s="199">
        <f t="shared" ref="O39" ca="1" si="44">O23/O38</f>
        <v>1.2464625244949559</v>
      </c>
      <c r="P39" s="199">
        <f t="shared" ref="P39" ca="1" si="45">P23/P38</f>
        <v>1.2519385569546184</v>
      </c>
    </row>
    <row r="40" spans="2:16" x14ac:dyDescent="0.2">
      <c r="B40" t="s">
        <v>632</v>
      </c>
      <c r="D40" s="186">
        <f>D39*D33</f>
        <v>5.8294359187661141E-2</v>
      </c>
      <c r="E40" s="186">
        <f>E39*E33</f>
        <v>0.10326548295618536</v>
      </c>
      <c r="F40" s="186">
        <f>F39*F33</f>
        <v>-2.3428451089818063E-3</v>
      </c>
      <c r="G40" s="186">
        <f ca="1">G39*G33</f>
        <v>2.2883806773171259E-2</v>
      </c>
      <c r="H40" s="186">
        <f ca="1">H39*H33</f>
        <v>1.9046924418608255E-2</v>
      </c>
      <c r="I40" s="186">
        <f ca="1">I39*I33</f>
        <v>2.3097399110307028E-2</v>
      </c>
      <c r="J40" s="186">
        <f ca="1">J39*J33</f>
        <v>4.6591301753623887E-2</v>
      </c>
      <c r="K40" s="186">
        <f ca="1">K39*K33</f>
        <v>2.5822007707909836E-2</v>
      </c>
      <c r="L40" s="186">
        <f t="shared" ref="L40:M40" ca="1" si="46">L39*L33</f>
        <v>1.405835040484082E-2</v>
      </c>
      <c r="M40" s="186">
        <f t="shared" ca="1" si="46"/>
        <v>2.0830909734136363E-3</v>
      </c>
      <c r="N40" s="186">
        <f t="shared" ref="N40" ca="1" si="47">N39*N33</f>
        <v>9.2081024892055503E-3</v>
      </c>
      <c r="O40" s="186">
        <f t="shared" ref="O40" ca="1" si="48">O39*O33</f>
        <v>6.0991289471378175E-3</v>
      </c>
      <c r="P40" s="186">
        <f t="shared" ref="P40" ca="1" si="49">P39*P33</f>
        <v>1.8070700943575737E-3</v>
      </c>
    </row>
    <row r="41" spans="2:16" x14ac:dyDescent="0.2">
      <c r="E41" s="186"/>
      <c r="F41" s="186"/>
      <c r="G41" s="186"/>
    </row>
    <row r="42" spans="2:16" x14ac:dyDescent="0.2">
      <c r="D42" s="186"/>
      <c r="E42" s="174"/>
      <c r="F42" s="174"/>
    </row>
    <row r="43" spans="2:16" x14ac:dyDescent="0.2">
      <c r="B43" t="s">
        <v>624</v>
      </c>
      <c r="D43" s="187"/>
    </row>
    <row r="44" spans="2:16" x14ac:dyDescent="0.2">
      <c r="B44" t="s">
        <v>625</v>
      </c>
      <c r="D44" s="186"/>
    </row>
    <row r="45" spans="2:16" x14ac:dyDescent="0.2">
      <c r="B45" t="s">
        <v>626</v>
      </c>
    </row>
    <row r="46" spans="2:16" x14ac:dyDescent="0.2">
      <c r="B46" t="s">
        <v>629</v>
      </c>
    </row>
    <row r="47" spans="2:16" x14ac:dyDescent="0.2">
      <c r="B47" t="s">
        <v>627</v>
      </c>
    </row>
    <row r="48" spans="2:16" x14ac:dyDescent="0.2">
      <c r="B48" t="s">
        <v>628</v>
      </c>
    </row>
    <row r="49" spans="2:16" x14ac:dyDescent="0.2">
      <c r="B49" t="s">
        <v>651</v>
      </c>
    </row>
    <row r="51" spans="2:16" x14ac:dyDescent="0.2">
      <c r="B51" s="201" t="s">
        <v>638</v>
      </c>
    </row>
    <row r="52" spans="2:16" x14ac:dyDescent="0.2">
      <c r="F52" s="189">
        <f>F22</f>
        <v>2023</v>
      </c>
      <c r="G52" s="189">
        <f>G22</f>
        <v>2024</v>
      </c>
      <c r="H52" s="189">
        <f t="shared" ref="H52:P52" si="50">H22</f>
        <v>2025</v>
      </c>
      <c r="I52" s="189">
        <f t="shared" si="50"/>
        <v>2026</v>
      </c>
      <c r="J52" s="189">
        <f t="shared" si="50"/>
        <v>2027</v>
      </c>
      <c r="K52" s="189">
        <f t="shared" si="50"/>
        <v>2028</v>
      </c>
      <c r="L52" s="189">
        <f t="shared" si="50"/>
        <v>2029</v>
      </c>
      <c r="M52" s="189">
        <f t="shared" si="50"/>
        <v>2030</v>
      </c>
      <c r="N52" s="189">
        <f t="shared" si="50"/>
        <v>2031</v>
      </c>
      <c r="O52" s="189">
        <f t="shared" si="50"/>
        <v>2032</v>
      </c>
      <c r="P52" s="189">
        <f t="shared" si="50"/>
        <v>2033</v>
      </c>
    </row>
    <row r="53" spans="2:16" x14ac:dyDescent="0.2">
      <c r="B53" t="s">
        <v>612</v>
      </c>
      <c r="G53" s="174">
        <f ca="1">G30</f>
        <v>770.15654653865022</v>
      </c>
      <c r="H53" s="174">
        <f t="shared" ref="H53:P53" ca="1" si="51">H30</f>
        <v>785.02723254707962</v>
      </c>
      <c r="I53" s="174">
        <f t="shared" ca="1" si="51"/>
        <v>764.0815426263232</v>
      </c>
      <c r="J53" s="174">
        <f t="shared" ca="1" si="51"/>
        <v>657.44576454764865</v>
      </c>
      <c r="K53" s="174">
        <f t="shared" ca="1" si="51"/>
        <v>743.8365425199147</v>
      </c>
      <c r="L53" s="174">
        <f t="shared" ca="1" si="51"/>
        <v>779.47752898003614</v>
      </c>
      <c r="M53" s="174">
        <f t="shared" ca="1" si="51"/>
        <v>804.97047788627219</v>
      </c>
      <c r="N53" s="174">
        <f t="shared" ca="1" si="51"/>
        <v>808.96504373280573</v>
      </c>
      <c r="O53" s="174">
        <f t="shared" ca="1" si="51"/>
        <v>813.12901176616742</v>
      </c>
      <c r="P53" s="174">
        <f t="shared" ca="1" si="51"/>
        <v>823.60778591235805</v>
      </c>
    </row>
    <row r="54" spans="2:16" x14ac:dyDescent="0.2">
      <c r="B54" t="s">
        <v>641</v>
      </c>
      <c r="G54" s="174">
        <f ca="1">1/(1+$D$12)^(DCF!G52-DCF!$F$52)</f>
        <v>0.90832802602317808</v>
      </c>
      <c r="H54" s="174">
        <f ca="1">1/(1+$D$12)^(DCF!H52-DCF!$F$52)</f>
        <v>0.82505980285916336</v>
      </c>
      <c r="I54" s="174">
        <f ca="1">1/(1+$D$12)^(DCF!I52-DCF!$F$52)</f>
        <v>0.74942494208213628</v>
      </c>
      <c r="J54" s="174">
        <f ca="1">1/(1+$D$12)^(DCF!J52-DCF!$F$52)</f>
        <v>0.68072367829400149</v>
      </c>
      <c r="K54" s="174">
        <f ca="1">1/(1+$D$12)^(DCF!K52-DCF!$F$52)</f>
        <v>0.61832039497202729</v>
      </c>
      <c r="L54" s="174">
        <f ca="1">1/(1+$D$12)^(DCF!L52-DCF!$F$52)</f>
        <v>0.56163774381481335</v>
      </c>
      <c r="M54" s="174">
        <f ca="1">1/(1+$D$12)^(DCF!M52-DCF!$F$52)</f>
        <v>0.51015130317942081</v>
      </c>
      <c r="N54" s="174">
        <f ca="1">1/(1+$D$12)^(DCF!N52-DCF!$F$52)</f>
        <v>0.46338472619011523</v>
      </c>
      <c r="O54" s="174">
        <f ca="1">1/(1+$D$12)^(DCF!O52-DCF!$F$52)</f>
        <v>0.42090533362955823</v>
      </c>
      <c r="P54" s="174">
        <f ca="1">1/(1+$D$12)^(DCF!P52-DCF!$F$52)</f>
        <v>0.38232011083836387</v>
      </c>
    </row>
    <row r="55" spans="2:16" x14ac:dyDescent="0.2">
      <c r="B55" t="s">
        <v>642</v>
      </c>
      <c r="G55" s="174">
        <f ca="1">G53*G54</f>
        <v>699.55477564628006</v>
      </c>
      <c r="H55" s="174">
        <f t="shared" ref="H55:P55" ca="1" si="52">H53*H54</f>
        <v>647.69441372436813</v>
      </c>
      <c r="I55" s="174">
        <f t="shared" ca="1" si="52"/>
        <v>572.62176582876157</v>
      </c>
      <c r="J55" s="174">
        <f t="shared" ca="1" si="52"/>
        <v>447.53889912168745</v>
      </c>
      <c r="K55" s="174">
        <f t="shared" ca="1" si="52"/>
        <v>459.92930476554085</v>
      </c>
      <c r="L55" s="174">
        <f t="shared" ca="1" si="52"/>
        <v>437.78400073069326</v>
      </c>
      <c r="M55" s="174">
        <f t="shared" ca="1" si="52"/>
        <v>410.65673831464289</v>
      </c>
      <c r="N55" s="174">
        <f t="shared" ca="1" si="52"/>
        <v>374.86204528750079</v>
      </c>
      <c r="O55" s="174">
        <f t="shared" ca="1" si="52"/>
        <v>342.2503379813117</v>
      </c>
      <c r="P55" s="174">
        <f t="shared" ca="1" si="52"/>
        <v>314.88181999735218</v>
      </c>
    </row>
    <row r="56" spans="2:16" x14ac:dyDescent="0.2">
      <c r="B56" t="s">
        <v>602</v>
      </c>
      <c r="F56" s="174">
        <f ca="1">SUM(G55:P55)</f>
        <v>4707.7741013981386</v>
      </c>
    </row>
    <row r="59" spans="2:16" x14ac:dyDescent="0.2">
      <c r="B59" s="201" t="s">
        <v>643</v>
      </c>
    </row>
    <row r="60" spans="2:16" x14ac:dyDescent="0.2">
      <c r="B60" t="s">
        <v>612</v>
      </c>
      <c r="D60" s="174">
        <f ca="1">P53*(1+P31)</f>
        <v>834.22159977059687</v>
      </c>
    </row>
    <row r="61" spans="2:16" x14ac:dyDescent="0.2">
      <c r="B61" t="s">
        <v>645</v>
      </c>
      <c r="D61" s="174">
        <f ca="1">D60/(D13-P31)</f>
        <v>9285.8081755887251</v>
      </c>
    </row>
    <row r="62" spans="2:16" x14ac:dyDescent="0.2">
      <c r="B62" t="s">
        <v>646</v>
      </c>
      <c r="D62" s="174">
        <f ca="1">D61/(1+D12)^(DCF!P52-DCF!F52)</f>
        <v>3550.1512109148666</v>
      </c>
    </row>
    <row r="63" spans="2:16" x14ac:dyDescent="0.2">
      <c r="B63" t="s">
        <v>647</v>
      </c>
      <c r="D63" s="174">
        <f ca="1">D62+F56</f>
        <v>8257.9253123130056</v>
      </c>
    </row>
    <row r="64" spans="2:16" x14ac:dyDescent="0.2">
      <c r="B64" s="189" t="s">
        <v>648</v>
      </c>
      <c r="D64" s="186">
        <f ca="1">D62/D63</f>
        <v>0.42990837003834392</v>
      </c>
    </row>
    <row r="66" spans="2:4" x14ac:dyDescent="0.2">
      <c r="B66" s="201" t="s">
        <v>649</v>
      </c>
    </row>
    <row r="67" spans="2:4" x14ac:dyDescent="0.2">
      <c r="B67" t="s">
        <v>650</v>
      </c>
      <c r="D67" s="174">
        <f>F36</f>
        <v>1996.3600000000001</v>
      </c>
    </row>
    <row r="68" spans="2:4" x14ac:dyDescent="0.2">
      <c r="B68" t="s">
        <v>553</v>
      </c>
      <c r="D68" s="174">
        <f>F37</f>
        <v>149.28800000000001</v>
      </c>
    </row>
    <row r="69" spans="2:4" x14ac:dyDescent="0.2">
      <c r="B69" t="s">
        <v>649</v>
      </c>
      <c r="D69" s="174">
        <f ca="1">D63-D67+D68</f>
        <v>6410.8533123130055</v>
      </c>
    </row>
    <row r="70" spans="2:4" x14ac:dyDescent="0.2">
      <c r="B70" t="s">
        <v>603</v>
      </c>
      <c r="D70" s="174">
        <f ca="1">D69*1000000/ISP!E59</f>
        <v>104.60117011287095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155FC-168E-449D-BEB4-D82EEB65F29A}">
  <sheetPr>
    <tabColor theme="0" tint="-4.9989318521683403E-2"/>
  </sheetPr>
  <dimension ref="B2:M505"/>
  <sheetViews>
    <sheetView tabSelected="1" topLeftCell="D4" zoomScale="145" zoomScaleNormal="145" workbookViewId="0">
      <selection activeCell="M8" sqref="M8"/>
    </sheetView>
  </sheetViews>
  <sheetFormatPr defaultRowHeight="10" x14ac:dyDescent="0.2"/>
  <cols>
    <col min="4" max="4" width="18.26953125" customWidth="1"/>
    <col min="5" max="5" width="19.36328125" customWidth="1"/>
    <col min="6" max="6" width="10.26953125" customWidth="1"/>
    <col min="9" max="9" width="17.453125" customWidth="1"/>
  </cols>
  <sheetData>
    <row r="2" spans="2:13" x14ac:dyDescent="0.2">
      <c r="B2" t="s">
        <v>660</v>
      </c>
      <c r="D2" s="254">
        <f>3.5%</f>
        <v>3.5000000000000003E-2</v>
      </c>
    </row>
    <row r="4" spans="2:13" x14ac:dyDescent="0.2">
      <c r="B4" s="201" t="s">
        <v>653</v>
      </c>
      <c r="C4" t="s">
        <v>603</v>
      </c>
      <c r="D4" t="s">
        <v>659</v>
      </c>
      <c r="E4" t="s">
        <v>661</v>
      </c>
      <c r="F4" t="s">
        <v>662</v>
      </c>
      <c r="G4" t="s">
        <v>662</v>
      </c>
      <c r="I4" s="256" t="s">
        <v>654</v>
      </c>
      <c r="J4" s="256"/>
    </row>
    <row r="5" spans="2:13" x14ac:dyDescent="0.2">
      <c r="B5">
        <v>0</v>
      </c>
      <c r="C5" s="174">
        <f ca="1">DCF!D70</f>
        <v>104.60117011287095</v>
      </c>
      <c r="D5" s="186">
        <f ca="1">DCF!P31</f>
        <v>1.288697610657142E-2</v>
      </c>
      <c r="E5">
        <f ca="1">IF(AND(D5&gt;0,D5&lt;=$D$2),1,0)</f>
        <v>1</v>
      </c>
      <c r="F5" s="174">
        <f ca="1">IF(E5=1,C5,"")</f>
        <v>104.60117011287095</v>
      </c>
      <c r="G5" t="s">
        <v>663</v>
      </c>
      <c r="I5" t="s">
        <v>655</v>
      </c>
      <c r="J5" s="174">
        <f ca="1">AVERAGE(F5:F505)</f>
        <v>106.18796050695126</v>
      </c>
      <c r="M5" s="174"/>
    </row>
    <row r="6" spans="2:13" x14ac:dyDescent="0.2">
      <c r="B6">
        <f>B5+1</f>
        <v>1</v>
      </c>
      <c r="C6" s="174">
        <f t="dataTable" ref="C6:D505" dt2D="0" dtr="0" r1="P3" ca="1"/>
        <v>70.716731182108163</v>
      </c>
      <c r="D6" s="186">
        <v>1.3265066289331986E-2</v>
      </c>
      <c r="E6">
        <f t="shared" ref="E6:E69" si="0">IF(AND(D6&gt;0,D6&lt;=$D$2),1,0)</f>
        <v>1</v>
      </c>
      <c r="F6" s="174">
        <f t="shared" ref="F6:G69" si="1">IF(E6=1,C6,"")</f>
        <v>70.716731182108163</v>
      </c>
      <c r="G6" t="s">
        <v>663</v>
      </c>
      <c r="I6" t="s">
        <v>656</v>
      </c>
      <c r="J6" s="174">
        <f ca="1">_xlfn.STDEV.S(F5:F505)</f>
        <v>24.166988759676986</v>
      </c>
      <c r="M6" s="174"/>
    </row>
    <row r="7" spans="2:13" x14ac:dyDescent="0.2">
      <c r="B7">
        <f t="shared" ref="B7:B70" si="2">B6+1</f>
        <v>2</v>
      </c>
      <c r="C7" s="174">
        <v>84.335365192484318</v>
      </c>
      <c r="D7" s="186">
        <v>2.3324972312493628E-2</v>
      </c>
      <c r="E7">
        <f t="shared" si="0"/>
        <v>1</v>
      </c>
      <c r="F7" s="174">
        <f t="shared" si="1"/>
        <v>84.335365192484318</v>
      </c>
      <c r="G7" t="s">
        <v>663</v>
      </c>
      <c r="I7" t="s">
        <v>657</v>
      </c>
      <c r="J7" s="174">
        <f ca="1">MAX(F5:F505)</f>
        <v>209.82804349160685</v>
      </c>
      <c r="M7" s="174"/>
    </row>
    <row r="8" spans="2:13" x14ac:dyDescent="0.2">
      <c r="B8">
        <f t="shared" si="2"/>
        <v>3</v>
      </c>
      <c r="C8" s="174">
        <v>154.26144534922389</v>
      </c>
      <c r="D8" s="186">
        <v>3.2980660216736409E-2</v>
      </c>
      <c r="E8">
        <f t="shared" si="0"/>
        <v>1</v>
      </c>
      <c r="F8" s="174">
        <f t="shared" si="1"/>
        <v>154.26144534922389</v>
      </c>
      <c r="G8" t="s">
        <v>663</v>
      </c>
      <c r="I8" t="s">
        <v>658</v>
      </c>
      <c r="J8" s="174">
        <f ca="1">MIN(F5:F505)</f>
        <v>49.605222728256784</v>
      </c>
      <c r="M8" s="174"/>
    </row>
    <row r="9" spans="2:13" x14ac:dyDescent="0.2">
      <c r="B9">
        <f t="shared" si="2"/>
        <v>4</v>
      </c>
      <c r="C9" s="174">
        <v>77.610830080503618</v>
      </c>
      <c r="D9" s="186">
        <v>1.817061782584773E-2</v>
      </c>
      <c r="E9">
        <f t="shared" si="0"/>
        <v>1</v>
      </c>
      <c r="F9" s="174">
        <f t="shared" si="1"/>
        <v>77.610830080503618</v>
      </c>
      <c r="G9" t="s">
        <v>663</v>
      </c>
    </row>
    <row r="10" spans="2:13" x14ac:dyDescent="0.2">
      <c r="B10">
        <f t="shared" si="2"/>
        <v>5</v>
      </c>
      <c r="C10" s="174">
        <v>107.82965039506328</v>
      </c>
      <c r="D10" s="186">
        <v>2.9092171866256095E-2</v>
      </c>
      <c r="E10">
        <f t="shared" si="0"/>
        <v>1</v>
      </c>
      <c r="F10" s="174">
        <f t="shared" si="1"/>
        <v>107.82965039506328</v>
      </c>
      <c r="G10" t="s">
        <v>663</v>
      </c>
    </row>
    <row r="11" spans="2:13" x14ac:dyDescent="0.2">
      <c r="B11">
        <f t="shared" si="2"/>
        <v>6</v>
      </c>
      <c r="C11" s="174">
        <v>162.25738669035661</v>
      </c>
      <c r="D11" s="186">
        <v>3.2320892513695326E-2</v>
      </c>
      <c r="E11">
        <f t="shared" si="0"/>
        <v>1</v>
      </c>
      <c r="F11" s="174">
        <f t="shared" si="1"/>
        <v>162.25738669035661</v>
      </c>
      <c r="G11" t="s">
        <v>663</v>
      </c>
    </row>
    <row r="12" spans="2:13" x14ac:dyDescent="0.2">
      <c r="B12">
        <f t="shared" si="2"/>
        <v>7</v>
      </c>
      <c r="C12" s="174">
        <v>78.369631089372064</v>
      </c>
      <c r="D12" s="186">
        <v>2.2868544498283114E-2</v>
      </c>
      <c r="E12">
        <f t="shared" si="0"/>
        <v>1</v>
      </c>
      <c r="F12" s="174">
        <f t="shared" si="1"/>
        <v>78.369631089372064</v>
      </c>
      <c r="G12" t="s">
        <v>663</v>
      </c>
    </row>
    <row r="13" spans="2:13" x14ac:dyDescent="0.2">
      <c r="B13">
        <f t="shared" si="2"/>
        <v>8</v>
      </c>
      <c r="C13" s="174">
        <v>76.467113712034077</v>
      </c>
      <c r="D13" s="186">
        <v>1.5273503955727245E-2</v>
      </c>
      <c r="E13">
        <f t="shared" si="0"/>
        <v>1</v>
      </c>
      <c r="F13" s="174">
        <f t="shared" si="1"/>
        <v>76.467113712034077</v>
      </c>
      <c r="G13" t="s">
        <v>663</v>
      </c>
    </row>
    <row r="14" spans="2:13" x14ac:dyDescent="0.2">
      <c r="B14">
        <f t="shared" si="2"/>
        <v>9</v>
      </c>
      <c r="C14" s="174">
        <v>209.82804349160685</v>
      </c>
      <c r="D14" s="186">
        <v>3.195223447414744E-2</v>
      </c>
      <c r="E14">
        <f t="shared" si="0"/>
        <v>1</v>
      </c>
      <c r="F14" s="174">
        <f t="shared" si="1"/>
        <v>209.82804349160685</v>
      </c>
      <c r="G14" t="s">
        <v>663</v>
      </c>
    </row>
    <row r="15" spans="2:13" x14ac:dyDescent="0.2">
      <c r="B15">
        <f t="shared" si="2"/>
        <v>10</v>
      </c>
      <c r="C15" s="174">
        <v>116.42650658038761</v>
      </c>
      <c r="D15" s="186">
        <v>1.965682751427358E-2</v>
      </c>
      <c r="E15">
        <f t="shared" si="0"/>
        <v>1</v>
      </c>
      <c r="F15" s="174">
        <f t="shared" si="1"/>
        <v>116.42650658038761</v>
      </c>
      <c r="G15" t="s">
        <v>663</v>
      </c>
    </row>
    <row r="16" spans="2:13" x14ac:dyDescent="0.2">
      <c r="B16">
        <f t="shared" si="2"/>
        <v>11</v>
      </c>
      <c r="C16" s="174">
        <v>67.394765388468883</v>
      </c>
      <c r="D16" s="186">
        <v>3.1671369960650897E-2</v>
      </c>
      <c r="E16">
        <f t="shared" si="0"/>
        <v>1</v>
      </c>
      <c r="F16" s="174">
        <f t="shared" si="1"/>
        <v>67.394765388468883</v>
      </c>
      <c r="G16" t="s">
        <v>663</v>
      </c>
    </row>
    <row r="17" spans="2:7" x14ac:dyDescent="0.2">
      <c r="B17">
        <f t="shared" si="2"/>
        <v>12</v>
      </c>
      <c r="C17" s="174">
        <v>99.207316631512612</v>
      </c>
      <c r="D17" s="186">
        <v>3.0657758640477577E-2</v>
      </c>
      <c r="E17">
        <f t="shared" si="0"/>
        <v>1</v>
      </c>
      <c r="F17" s="174">
        <f t="shared" si="1"/>
        <v>99.207316631512612</v>
      </c>
      <c r="G17" t="s">
        <v>663</v>
      </c>
    </row>
    <row r="18" spans="2:7" x14ac:dyDescent="0.2">
      <c r="B18">
        <f t="shared" si="2"/>
        <v>13</v>
      </c>
      <c r="C18" s="174">
        <v>115.26245946402058</v>
      </c>
      <c r="D18" s="186">
        <v>2.461262558820107E-2</v>
      </c>
      <c r="E18">
        <f t="shared" si="0"/>
        <v>1</v>
      </c>
      <c r="F18" s="174">
        <f t="shared" si="1"/>
        <v>115.26245946402058</v>
      </c>
      <c r="G18" t="s">
        <v>663</v>
      </c>
    </row>
    <row r="19" spans="2:7" x14ac:dyDescent="0.2">
      <c r="B19">
        <f t="shared" si="2"/>
        <v>14</v>
      </c>
      <c r="C19" s="174">
        <v>115.76305879691246</v>
      </c>
      <c r="D19" s="186">
        <v>2.9167212036911448E-2</v>
      </c>
      <c r="E19">
        <f t="shared" si="0"/>
        <v>1</v>
      </c>
      <c r="F19" s="174">
        <f t="shared" si="1"/>
        <v>115.76305879691246</v>
      </c>
      <c r="G19" t="s">
        <v>663</v>
      </c>
    </row>
    <row r="20" spans="2:7" x14ac:dyDescent="0.2">
      <c r="B20">
        <f t="shared" si="2"/>
        <v>15</v>
      </c>
      <c r="C20" s="174">
        <v>135.39286323053105</v>
      </c>
      <c r="D20" s="186">
        <v>3.3702978341677153E-2</v>
      </c>
      <c r="E20">
        <f t="shared" si="0"/>
        <v>1</v>
      </c>
      <c r="F20" s="174">
        <f t="shared" si="1"/>
        <v>135.39286323053105</v>
      </c>
      <c r="G20" t="s">
        <v>663</v>
      </c>
    </row>
    <row r="21" spans="2:7" x14ac:dyDescent="0.2">
      <c r="B21">
        <f t="shared" si="2"/>
        <v>16</v>
      </c>
      <c r="C21" s="174">
        <v>146.10678315850967</v>
      </c>
      <c r="D21" s="186">
        <v>3.5839200925077426E-2</v>
      </c>
      <c r="E21">
        <f t="shared" si="0"/>
        <v>0</v>
      </c>
      <c r="F21" s="174" t="str">
        <f t="shared" si="1"/>
        <v/>
      </c>
      <c r="G21" t="s">
        <v>663</v>
      </c>
    </row>
    <row r="22" spans="2:7" x14ac:dyDescent="0.2">
      <c r="B22">
        <f t="shared" si="2"/>
        <v>17</v>
      </c>
      <c r="C22" s="174">
        <v>119.99329575192586</v>
      </c>
      <c r="D22" s="186">
        <v>2.3943176707098175E-2</v>
      </c>
      <c r="E22">
        <f t="shared" si="0"/>
        <v>1</v>
      </c>
      <c r="F22" s="174">
        <f t="shared" si="1"/>
        <v>119.99329575192586</v>
      </c>
      <c r="G22" t="s">
        <v>663</v>
      </c>
    </row>
    <row r="23" spans="2:7" x14ac:dyDescent="0.2">
      <c r="B23">
        <f t="shared" si="2"/>
        <v>18</v>
      </c>
      <c r="C23" s="174">
        <v>91.446424924229319</v>
      </c>
      <c r="D23" s="186">
        <v>1.8802482960477169E-2</v>
      </c>
      <c r="E23">
        <f t="shared" si="0"/>
        <v>1</v>
      </c>
      <c r="F23" s="174">
        <f t="shared" si="1"/>
        <v>91.446424924229319</v>
      </c>
      <c r="G23" t="s">
        <v>663</v>
      </c>
    </row>
    <row r="24" spans="2:7" x14ac:dyDescent="0.2">
      <c r="B24">
        <f t="shared" si="2"/>
        <v>19</v>
      </c>
      <c r="C24" s="174">
        <v>113.7422834387318</v>
      </c>
      <c r="D24" s="186">
        <v>3.8862978138478554E-2</v>
      </c>
      <c r="E24">
        <f t="shared" si="0"/>
        <v>0</v>
      </c>
      <c r="F24" s="174" t="str">
        <f t="shared" si="1"/>
        <v/>
      </c>
      <c r="G24" t="s">
        <v>663</v>
      </c>
    </row>
    <row r="25" spans="2:7" x14ac:dyDescent="0.2">
      <c r="B25">
        <f t="shared" si="2"/>
        <v>20</v>
      </c>
      <c r="C25" s="174">
        <v>86.716975941590803</v>
      </c>
      <c r="D25" s="186">
        <v>3.7894567016396277E-2</v>
      </c>
      <c r="E25">
        <f t="shared" si="0"/>
        <v>0</v>
      </c>
      <c r="F25" s="174" t="str">
        <f t="shared" si="1"/>
        <v/>
      </c>
      <c r="G25" t="s">
        <v>663</v>
      </c>
    </row>
    <row r="26" spans="2:7" x14ac:dyDescent="0.2">
      <c r="B26">
        <f t="shared" si="2"/>
        <v>21</v>
      </c>
      <c r="C26" s="174">
        <v>101.25299598269739</v>
      </c>
      <c r="D26" s="186">
        <v>2.9467410198467988E-2</v>
      </c>
      <c r="E26">
        <f t="shared" si="0"/>
        <v>1</v>
      </c>
      <c r="F26" s="174">
        <f t="shared" si="1"/>
        <v>101.25299598269739</v>
      </c>
      <c r="G26" t="s">
        <v>663</v>
      </c>
    </row>
    <row r="27" spans="2:7" x14ac:dyDescent="0.2">
      <c r="B27">
        <f t="shared" si="2"/>
        <v>22</v>
      </c>
      <c r="C27" s="174">
        <v>110.83011413087578</v>
      </c>
      <c r="D27" s="186">
        <v>2.2551999204275135E-2</v>
      </c>
      <c r="E27">
        <f t="shared" si="0"/>
        <v>1</v>
      </c>
      <c r="F27" s="174">
        <f t="shared" si="1"/>
        <v>110.83011413087578</v>
      </c>
      <c r="G27" t="s">
        <v>663</v>
      </c>
    </row>
    <row r="28" spans="2:7" x14ac:dyDescent="0.2">
      <c r="B28">
        <f t="shared" si="2"/>
        <v>23</v>
      </c>
      <c r="C28" s="174">
        <v>138.07130107199558</v>
      </c>
      <c r="D28" s="186">
        <v>1.8101521253417206E-2</v>
      </c>
      <c r="E28">
        <f t="shared" si="0"/>
        <v>1</v>
      </c>
      <c r="F28" s="174">
        <f t="shared" si="1"/>
        <v>138.07130107199558</v>
      </c>
      <c r="G28" t="s">
        <v>663</v>
      </c>
    </row>
    <row r="29" spans="2:7" x14ac:dyDescent="0.2">
      <c r="B29">
        <f t="shared" si="2"/>
        <v>24</v>
      </c>
      <c r="C29" s="174">
        <v>102.06103648948719</v>
      </c>
      <c r="D29" s="186">
        <v>2.2168365570815175E-2</v>
      </c>
      <c r="E29">
        <f t="shared" si="0"/>
        <v>1</v>
      </c>
      <c r="F29" s="174">
        <f t="shared" si="1"/>
        <v>102.06103648948719</v>
      </c>
      <c r="G29" t="s">
        <v>663</v>
      </c>
    </row>
    <row r="30" spans="2:7" x14ac:dyDescent="0.2">
      <c r="B30">
        <f t="shared" si="2"/>
        <v>25</v>
      </c>
      <c r="C30" s="174">
        <v>99.595082819753358</v>
      </c>
      <c r="D30" s="186">
        <v>3.8640237899488214E-2</v>
      </c>
      <c r="E30">
        <f t="shared" si="0"/>
        <v>0</v>
      </c>
      <c r="F30" s="174" t="str">
        <f t="shared" si="1"/>
        <v/>
      </c>
      <c r="G30" t="s">
        <v>663</v>
      </c>
    </row>
    <row r="31" spans="2:7" x14ac:dyDescent="0.2">
      <c r="B31">
        <f t="shared" si="2"/>
        <v>26</v>
      </c>
      <c r="C31" s="174">
        <v>78.98224419300719</v>
      </c>
      <c r="D31" s="186">
        <v>3.1526023396149357E-2</v>
      </c>
      <c r="E31">
        <f t="shared" si="0"/>
        <v>1</v>
      </c>
      <c r="F31" s="174">
        <f t="shared" si="1"/>
        <v>78.98224419300719</v>
      </c>
      <c r="G31" t="s">
        <v>663</v>
      </c>
    </row>
    <row r="32" spans="2:7" x14ac:dyDescent="0.2">
      <c r="B32">
        <f t="shared" si="2"/>
        <v>27</v>
      </c>
      <c r="C32" s="174">
        <v>78.051025991398433</v>
      </c>
      <c r="D32" s="186">
        <v>7.1357555957888988E-3</v>
      </c>
      <c r="E32">
        <f t="shared" si="0"/>
        <v>1</v>
      </c>
      <c r="F32" s="174">
        <f t="shared" si="1"/>
        <v>78.051025991398433</v>
      </c>
      <c r="G32" t="s">
        <v>663</v>
      </c>
    </row>
    <row r="33" spans="2:7" x14ac:dyDescent="0.2">
      <c r="B33">
        <f t="shared" si="2"/>
        <v>28</v>
      </c>
      <c r="C33" s="174">
        <v>89.922061700554167</v>
      </c>
      <c r="D33" s="186">
        <v>3.0933693421008452E-2</v>
      </c>
      <c r="E33">
        <f t="shared" si="0"/>
        <v>1</v>
      </c>
      <c r="F33" s="174">
        <f t="shared" si="1"/>
        <v>89.922061700554167</v>
      </c>
      <c r="G33" t="s">
        <v>663</v>
      </c>
    </row>
    <row r="34" spans="2:7" x14ac:dyDescent="0.2">
      <c r="B34">
        <f t="shared" si="2"/>
        <v>29</v>
      </c>
      <c r="C34" s="174">
        <v>96.263291272867207</v>
      </c>
      <c r="D34" s="186">
        <v>2.8842055418553617E-2</v>
      </c>
      <c r="E34">
        <f t="shared" si="0"/>
        <v>1</v>
      </c>
      <c r="F34" s="174">
        <f t="shared" si="1"/>
        <v>96.263291272867207</v>
      </c>
      <c r="G34" t="s">
        <v>663</v>
      </c>
    </row>
    <row r="35" spans="2:7" x14ac:dyDescent="0.2">
      <c r="B35">
        <f t="shared" si="2"/>
        <v>30</v>
      </c>
      <c r="C35" s="174">
        <v>44.195233991138998</v>
      </c>
      <c r="D35" s="186">
        <v>4.1103584425744015E-2</v>
      </c>
      <c r="E35">
        <f t="shared" si="0"/>
        <v>0</v>
      </c>
      <c r="F35" s="174" t="str">
        <f t="shared" si="1"/>
        <v/>
      </c>
      <c r="G35" t="s">
        <v>663</v>
      </c>
    </row>
    <row r="36" spans="2:7" x14ac:dyDescent="0.2">
      <c r="B36">
        <f t="shared" si="2"/>
        <v>31</v>
      </c>
      <c r="C36" s="174">
        <v>95.726251459479187</v>
      </c>
      <c r="D36" s="186">
        <v>2.4000425090317305E-2</v>
      </c>
      <c r="E36">
        <f t="shared" si="0"/>
        <v>1</v>
      </c>
      <c r="F36" s="174">
        <f t="shared" si="1"/>
        <v>95.726251459479187</v>
      </c>
      <c r="G36" t="s">
        <v>663</v>
      </c>
    </row>
    <row r="37" spans="2:7" x14ac:dyDescent="0.2">
      <c r="B37">
        <f t="shared" si="2"/>
        <v>32</v>
      </c>
      <c r="C37" s="174">
        <v>94.48842567654188</v>
      </c>
      <c r="D37" s="186">
        <v>2.2931374786415253E-2</v>
      </c>
      <c r="E37">
        <f t="shared" si="0"/>
        <v>1</v>
      </c>
      <c r="F37" s="174">
        <f t="shared" si="1"/>
        <v>94.48842567654188</v>
      </c>
      <c r="G37" t="s">
        <v>663</v>
      </c>
    </row>
    <row r="38" spans="2:7" x14ac:dyDescent="0.2">
      <c r="B38">
        <f t="shared" si="2"/>
        <v>33</v>
      </c>
      <c r="C38" s="174">
        <v>135.79649896546985</v>
      </c>
      <c r="D38" s="186">
        <v>5.3732289887117562E-2</v>
      </c>
      <c r="E38">
        <f t="shared" si="0"/>
        <v>0</v>
      </c>
      <c r="F38" s="174" t="str">
        <f t="shared" si="1"/>
        <v/>
      </c>
      <c r="G38" t="s">
        <v>663</v>
      </c>
    </row>
    <row r="39" spans="2:7" x14ac:dyDescent="0.2">
      <c r="B39">
        <f t="shared" si="2"/>
        <v>34</v>
      </c>
      <c r="C39" s="174">
        <v>98.066601156128925</v>
      </c>
      <c r="D39" s="186">
        <v>2.5702907154653818E-2</v>
      </c>
      <c r="E39">
        <f t="shared" si="0"/>
        <v>1</v>
      </c>
      <c r="F39" s="174">
        <f t="shared" si="1"/>
        <v>98.066601156128925</v>
      </c>
      <c r="G39" t="s">
        <v>663</v>
      </c>
    </row>
    <row r="40" spans="2:7" x14ac:dyDescent="0.2">
      <c r="B40">
        <f t="shared" si="2"/>
        <v>35</v>
      </c>
      <c r="C40" s="174">
        <v>151.37623576581294</v>
      </c>
      <c r="D40" s="186">
        <v>3.522210455099245E-2</v>
      </c>
      <c r="E40">
        <f t="shared" si="0"/>
        <v>0</v>
      </c>
      <c r="F40" s="174" t="str">
        <f t="shared" si="1"/>
        <v/>
      </c>
      <c r="G40" t="s">
        <v>663</v>
      </c>
    </row>
    <row r="41" spans="2:7" x14ac:dyDescent="0.2">
      <c r="B41">
        <f t="shared" si="2"/>
        <v>36</v>
      </c>
      <c r="C41" s="174">
        <v>95.060376695695368</v>
      </c>
      <c r="D41" s="186">
        <v>4.3547549723763124E-2</v>
      </c>
      <c r="E41">
        <f t="shared" si="0"/>
        <v>0</v>
      </c>
      <c r="F41" s="174" t="str">
        <f t="shared" si="1"/>
        <v/>
      </c>
      <c r="G41" t="s">
        <v>663</v>
      </c>
    </row>
    <row r="42" spans="2:7" x14ac:dyDescent="0.2">
      <c r="B42">
        <f t="shared" si="2"/>
        <v>37</v>
      </c>
      <c r="C42" s="174">
        <v>139.08234415001922</v>
      </c>
      <c r="D42" s="186">
        <v>1.7380225008175251E-2</v>
      </c>
      <c r="E42">
        <f t="shared" si="0"/>
        <v>1</v>
      </c>
      <c r="F42" s="174">
        <f t="shared" si="1"/>
        <v>139.08234415001922</v>
      </c>
      <c r="G42" t="s">
        <v>663</v>
      </c>
    </row>
    <row r="43" spans="2:7" x14ac:dyDescent="0.2">
      <c r="B43">
        <f t="shared" si="2"/>
        <v>38</v>
      </c>
      <c r="C43" s="174">
        <v>89.315608808947417</v>
      </c>
      <c r="D43" s="186">
        <v>1.5729250026009878E-2</v>
      </c>
      <c r="E43">
        <f t="shared" si="0"/>
        <v>1</v>
      </c>
      <c r="F43" s="174">
        <f t="shared" si="1"/>
        <v>89.315608808947417</v>
      </c>
      <c r="G43" t="s">
        <v>663</v>
      </c>
    </row>
    <row r="44" spans="2:7" x14ac:dyDescent="0.2">
      <c r="B44">
        <f t="shared" si="2"/>
        <v>39</v>
      </c>
      <c r="C44" s="174">
        <v>104.52880552115617</v>
      </c>
      <c r="D44" s="186">
        <v>3.363587486707826E-2</v>
      </c>
      <c r="E44">
        <f t="shared" si="0"/>
        <v>1</v>
      </c>
      <c r="F44" s="174">
        <f t="shared" si="1"/>
        <v>104.52880552115617</v>
      </c>
      <c r="G44" t="s">
        <v>663</v>
      </c>
    </row>
    <row r="45" spans="2:7" x14ac:dyDescent="0.2">
      <c r="B45">
        <f t="shared" si="2"/>
        <v>40</v>
      </c>
      <c r="C45" s="174">
        <v>127.26814024363725</v>
      </c>
      <c r="D45" s="186">
        <v>1.864124186542921E-2</v>
      </c>
      <c r="E45">
        <f t="shared" si="0"/>
        <v>1</v>
      </c>
      <c r="F45" s="174">
        <f t="shared" si="1"/>
        <v>127.26814024363725</v>
      </c>
      <c r="G45" t="s">
        <v>663</v>
      </c>
    </row>
    <row r="46" spans="2:7" x14ac:dyDescent="0.2">
      <c r="B46">
        <f t="shared" si="2"/>
        <v>41</v>
      </c>
      <c r="C46" s="174">
        <v>134.4732564816095</v>
      </c>
      <c r="D46" s="186">
        <v>5.3602655964865957E-2</v>
      </c>
      <c r="E46">
        <f t="shared" si="0"/>
        <v>0</v>
      </c>
      <c r="F46" s="174" t="str">
        <f t="shared" si="1"/>
        <v/>
      </c>
      <c r="G46" t="s">
        <v>663</v>
      </c>
    </row>
    <row r="47" spans="2:7" x14ac:dyDescent="0.2">
      <c r="B47">
        <f t="shared" si="2"/>
        <v>42</v>
      </c>
      <c r="C47" s="174">
        <v>83.181057366729888</v>
      </c>
      <c r="D47" s="186">
        <v>2.1320628951854537E-2</v>
      </c>
      <c r="E47">
        <f t="shared" si="0"/>
        <v>1</v>
      </c>
      <c r="F47" s="174">
        <f t="shared" si="1"/>
        <v>83.181057366729888</v>
      </c>
      <c r="G47" t="s">
        <v>663</v>
      </c>
    </row>
    <row r="48" spans="2:7" x14ac:dyDescent="0.2">
      <c r="B48">
        <f t="shared" si="2"/>
        <v>43</v>
      </c>
      <c r="C48" s="174">
        <v>89.165722785949086</v>
      </c>
      <c r="D48" s="186">
        <v>2.7267200995810963E-2</v>
      </c>
      <c r="E48">
        <f t="shared" si="0"/>
        <v>1</v>
      </c>
      <c r="F48" s="174">
        <f t="shared" si="1"/>
        <v>89.165722785949086</v>
      </c>
      <c r="G48" t="s">
        <v>663</v>
      </c>
    </row>
    <row r="49" spans="2:7" x14ac:dyDescent="0.2">
      <c r="B49">
        <f t="shared" si="2"/>
        <v>44</v>
      </c>
      <c r="C49" s="174">
        <v>123.43357838017137</v>
      </c>
      <c r="D49" s="186">
        <v>3.9334887364646194E-2</v>
      </c>
      <c r="E49">
        <f t="shared" si="0"/>
        <v>0</v>
      </c>
      <c r="F49" s="174" t="str">
        <f t="shared" si="1"/>
        <v/>
      </c>
      <c r="G49" t="s">
        <v>663</v>
      </c>
    </row>
    <row r="50" spans="2:7" x14ac:dyDescent="0.2">
      <c r="B50">
        <f t="shared" si="2"/>
        <v>45</v>
      </c>
      <c r="C50" s="174">
        <v>101.36674937181374</v>
      </c>
      <c r="D50" s="186">
        <v>3.577781004559704E-2</v>
      </c>
      <c r="E50">
        <f t="shared" si="0"/>
        <v>0</v>
      </c>
      <c r="F50" s="174" t="str">
        <f t="shared" si="1"/>
        <v/>
      </c>
      <c r="G50" t="s">
        <v>663</v>
      </c>
    </row>
    <row r="51" spans="2:7" x14ac:dyDescent="0.2">
      <c r="B51">
        <f t="shared" si="2"/>
        <v>46</v>
      </c>
      <c r="C51" s="174">
        <v>153.28725564021531</v>
      </c>
      <c r="D51" s="186">
        <v>2.9656251192445113E-2</v>
      </c>
      <c r="E51">
        <f t="shared" si="0"/>
        <v>1</v>
      </c>
      <c r="F51" s="174">
        <f t="shared" si="1"/>
        <v>153.28725564021531</v>
      </c>
      <c r="G51" t="s">
        <v>663</v>
      </c>
    </row>
    <row r="52" spans="2:7" x14ac:dyDescent="0.2">
      <c r="B52">
        <f t="shared" si="2"/>
        <v>47</v>
      </c>
      <c r="C52" s="174">
        <v>126.12104868535276</v>
      </c>
      <c r="D52" s="186">
        <v>2.6220980208064529E-2</v>
      </c>
      <c r="E52">
        <f t="shared" si="0"/>
        <v>1</v>
      </c>
      <c r="F52" s="174">
        <f t="shared" si="1"/>
        <v>126.12104868535276</v>
      </c>
      <c r="G52" t="s">
        <v>663</v>
      </c>
    </row>
    <row r="53" spans="2:7" x14ac:dyDescent="0.2">
      <c r="B53">
        <f t="shared" si="2"/>
        <v>48</v>
      </c>
      <c r="C53" s="174">
        <v>83.31391551462147</v>
      </c>
      <c r="D53" s="186">
        <v>2.0427000342653458E-2</v>
      </c>
      <c r="E53">
        <f t="shared" si="0"/>
        <v>1</v>
      </c>
      <c r="F53" s="174">
        <f t="shared" si="1"/>
        <v>83.31391551462147</v>
      </c>
      <c r="G53" t="s">
        <v>663</v>
      </c>
    </row>
    <row r="54" spans="2:7" x14ac:dyDescent="0.2">
      <c r="B54">
        <f t="shared" si="2"/>
        <v>49</v>
      </c>
      <c r="C54" s="174">
        <v>94.442678083654201</v>
      </c>
      <c r="D54" s="186">
        <v>4.8336081995673449E-2</v>
      </c>
      <c r="E54">
        <f t="shared" si="0"/>
        <v>0</v>
      </c>
      <c r="F54" s="174" t="str">
        <f t="shared" si="1"/>
        <v/>
      </c>
      <c r="G54" t="s">
        <v>663</v>
      </c>
    </row>
    <row r="55" spans="2:7" x14ac:dyDescent="0.2">
      <c r="B55">
        <f t="shared" si="2"/>
        <v>50</v>
      </c>
      <c r="C55" s="174">
        <v>110.40740227766703</v>
      </c>
      <c r="D55" s="186">
        <v>2.3315324183983997E-2</v>
      </c>
      <c r="E55">
        <f t="shared" si="0"/>
        <v>1</v>
      </c>
      <c r="F55" s="174">
        <f t="shared" si="1"/>
        <v>110.40740227766703</v>
      </c>
      <c r="G55" t="s">
        <v>663</v>
      </c>
    </row>
    <row r="56" spans="2:7" x14ac:dyDescent="0.2">
      <c r="B56">
        <f t="shared" si="2"/>
        <v>51</v>
      </c>
      <c r="C56" s="174">
        <v>95.189616013874414</v>
      </c>
      <c r="D56" s="186">
        <v>3.013153357069993E-2</v>
      </c>
      <c r="E56">
        <f t="shared" si="0"/>
        <v>1</v>
      </c>
      <c r="F56" s="174">
        <f t="shared" si="1"/>
        <v>95.189616013874414</v>
      </c>
      <c r="G56" t="s">
        <v>663</v>
      </c>
    </row>
    <row r="57" spans="2:7" x14ac:dyDescent="0.2">
      <c r="B57">
        <f t="shared" si="2"/>
        <v>52</v>
      </c>
      <c r="C57" s="174">
        <v>94.282481556388134</v>
      </c>
      <c r="D57" s="186">
        <v>4.7998536375334026E-3</v>
      </c>
      <c r="E57">
        <f t="shared" si="0"/>
        <v>1</v>
      </c>
      <c r="F57" s="174">
        <f t="shared" si="1"/>
        <v>94.282481556388134</v>
      </c>
      <c r="G57" t="s">
        <v>663</v>
      </c>
    </row>
    <row r="58" spans="2:7" x14ac:dyDescent="0.2">
      <c r="B58">
        <f t="shared" si="2"/>
        <v>53</v>
      </c>
      <c r="C58" s="174">
        <v>98.661973704225076</v>
      </c>
      <c r="D58" s="186">
        <v>1.3144692253679837E-2</v>
      </c>
      <c r="E58">
        <f t="shared" si="0"/>
        <v>1</v>
      </c>
      <c r="F58" s="174">
        <f t="shared" si="1"/>
        <v>98.661973704225076</v>
      </c>
      <c r="G58" t="s">
        <v>663</v>
      </c>
    </row>
    <row r="59" spans="2:7" x14ac:dyDescent="0.2">
      <c r="B59">
        <f t="shared" si="2"/>
        <v>54</v>
      </c>
      <c r="C59" s="174">
        <v>83.004194188227402</v>
      </c>
      <c r="D59" s="186">
        <v>3.764339373873854E-2</v>
      </c>
      <c r="E59">
        <f t="shared" si="0"/>
        <v>0</v>
      </c>
      <c r="F59" s="174" t="str">
        <f t="shared" si="1"/>
        <v/>
      </c>
      <c r="G59" t="s">
        <v>663</v>
      </c>
    </row>
    <row r="60" spans="2:7" x14ac:dyDescent="0.2">
      <c r="B60">
        <f t="shared" si="2"/>
        <v>55</v>
      </c>
      <c r="C60" s="174">
        <v>92.361715842033902</v>
      </c>
      <c r="D60" s="186">
        <v>1.7128897360265079E-2</v>
      </c>
      <c r="E60">
        <f t="shared" si="0"/>
        <v>1</v>
      </c>
      <c r="F60" s="174">
        <f t="shared" si="1"/>
        <v>92.361715842033902</v>
      </c>
      <c r="G60" t="s">
        <v>663</v>
      </c>
    </row>
    <row r="61" spans="2:7" x14ac:dyDescent="0.2">
      <c r="B61">
        <f t="shared" si="2"/>
        <v>56</v>
      </c>
      <c r="C61" s="174">
        <v>83.082681335059092</v>
      </c>
      <c r="D61" s="186">
        <v>2.2578162679551237E-2</v>
      </c>
      <c r="E61">
        <f t="shared" si="0"/>
        <v>1</v>
      </c>
      <c r="F61" s="174">
        <f t="shared" si="1"/>
        <v>83.082681335059092</v>
      </c>
      <c r="G61" t="s">
        <v>663</v>
      </c>
    </row>
    <row r="62" spans="2:7" x14ac:dyDescent="0.2">
      <c r="B62">
        <f t="shared" si="2"/>
        <v>57</v>
      </c>
      <c r="C62" s="174">
        <v>104.05951940636423</v>
      </c>
      <c r="D62" s="186">
        <v>3.3027990408933915E-2</v>
      </c>
      <c r="E62">
        <f t="shared" si="0"/>
        <v>1</v>
      </c>
      <c r="F62" s="174">
        <f t="shared" si="1"/>
        <v>104.05951940636423</v>
      </c>
      <c r="G62" t="s">
        <v>663</v>
      </c>
    </row>
    <row r="63" spans="2:7" x14ac:dyDescent="0.2">
      <c r="B63">
        <f t="shared" si="2"/>
        <v>58</v>
      </c>
      <c r="C63" s="174">
        <v>89.595708686993305</v>
      </c>
      <c r="D63" s="186">
        <v>3.9138191401181847E-2</v>
      </c>
      <c r="E63">
        <f t="shared" si="0"/>
        <v>0</v>
      </c>
      <c r="F63" s="174" t="str">
        <f t="shared" si="1"/>
        <v/>
      </c>
      <c r="G63" t="s">
        <v>663</v>
      </c>
    </row>
    <row r="64" spans="2:7" x14ac:dyDescent="0.2">
      <c r="B64">
        <f t="shared" si="2"/>
        <v>59</v>
      </c>
      <c r="C64" s="174">
        <v>165.43441925461559</v>
      </c>
      <c r="D64" s="186">
        <v>3.1736819440783721E-2</v>
      </c>
      <c r="E64">
        <f t="shared" si="0"/>
        <v>1</v>
      </c>
      <c r="F64" s="174">
        <f t="shared" si="1"/>
        <v>165.43441925461559</v>
      </c>
      <c r="G64" t="s">
        <v>663</v>
      </c>
    </row>
    <row r="65" spans="2:7" x14ac:dyDescent="0.2">
      <c r="B65">
        <f t="shared" si="2"/>
        <v>60</v>
      </c>
      <c r="C65" s="174">
        <v>61.428912550957385</v>
      </c>
      <c r="D65" s="186">
        <v>2.3903333040041178E-2</v>
      </c>
      <c r="E65">
        <f t="shared" si="0"/>
        <v>1</v>
      </c>
      <c r="F65" s="174">
        <f t="shared" si="1"/>
        <v>61.428912550957385</v>
      </c>
      <c r="G65" t="s">
        <v>663</v>
      </c>
    </row>
    <row r="66" spans="2:7" x14ac:dyDescent="0.2">
      <c r="B66">
        <f t="shared" si="2"/>
        <v>61</v>
      </c>
      <c r="C66" s="174">
        <v>78.468188889696449</v>
      </c>
      <c r="D66" s="186">
        <v>3.438465881214909E-2</v>
      </c>
      <c r="E66">
        <f t="shared" si="0"/>
        <v>1</v>
      </c>
      <c r="F66" s="174">
        <f t="shared" si="1"/>
        <v>78.468188889696449</v>
      </c>
      <c r="G66" t="s">
        <v>663</v>
      </c>
    </row>
    <row r="67" spans="2:7" x14ac:dyDescent="0.2">
      <c r="B67">
        <f t="shared" si="2"/>
        <v>62</v>
      </c>
      <c r="C67" s="174">
        <v>92.575843210999963</v>
      </c>
      <c r="D67" s="186">
        <v>2.5989904189751264E-2</v>
      </c>
      <c r="E67">
        <f t="shared" si="0"/>
        <v>1</v>
      </c>
      <c r="F67" s="174">
        <f t="shared" si="1"/>
        <v>92.575843210999963</v>
      </c>
      <c r="G67" t="s">
        <v>663</v>
      </c>
    </row>
    <row r="68" spans="2:7" x14ac:dyDescent="0.2">
      <c r="B68">
        <f t="shared" si="2"/>
        <v>63</v>
      </c>
      <c r="C68" s="174">
        <v>125.17898328326179</v>
      </c>
      <c r="D68" s="186">
        <v>4.4748285976027195E-2</v>
      </c>
      <c r="E68">
        <f t="shared" si="0"/>
        <v>0</v>
      </c>
      <c r="F68" s="174" t="str">
        <f t="shared" si="1"/>
        <v/>
      </c>
      <c r="G68" t="s">
        <v>663</v>
      </c>
    </row>
    <row r="69" spans="2:7" x14ac:dyDescent="0.2">
      <c r="B69">
        <f t="shared" si="2"/>
        <v>64</v>
      </c>
      <c r="C69" s="174">
        <v>129.07201077065051</v>
      </c>
      <c r="D69" s="186">
        <v>2.7937217170323481E-2</v>
      </c>
      <c r="E69">
        <f t="shared" si="0"/>
        <v>1</v>
      </c>
      <c r="F69" s="174">
        <f t="shared" si="1"/>
        <v>129.07201077065051</v>
      </c>
      <c r="G69" t="s">
        <v>663</v>
      </c>
    </row>
    <row r="70" spans="2:7" x14ac:dyDescent="0.2">
      <c r="B70">
        <f t="shared" si="2"/>
        <v>65</v>
      </c>
      <c r="C70" s="174">
        <v>107.1089457784764</v>
      </c>
      <c r="D70" s="186">
        <v>1.2479736765219849E-2</v>
      </c>
      <c r="E70">
        <f t="shared" ref="E70:E133" si="3">IF(AND(D70&gt;0,D70&lt;=$D$2),1,0)</f>
        <v>1</v>
      </c>
      <c r="F70" s="174">
        <f t="shared" ref="F70:G133" si="4">IF(E70=1,C70,"")</f>
        <v>107.1089457784764</v>
      </c>
      <c r="G70" t="s">
        <v>663</v>
      </c>
    </row>
    <row r="71" spans="2:7" x14ac:dyDescent="0.2">
      <c r="B71">
        <f t="shared" ref="B71:B134" si="5">B70+1</f>
        <v>66</v>
      </c>
      <c r="C71" s="174">
        <v>172.08900137200115</v>
      </c>
      <c r="D71" s="186">
        <v>3.3742211674494288E-2</v>
      </c>
      <c r="E71">
        <f t="shared" si="3"/>
        <v>1</v>
      </c>
      <c r="F71" s="174">
        <f t="shared" si="4"/>
        <v>172.08900137200115</v>
      </c>
      <c r="G71" t="s">
        <v>663</v>
      </c>
    </row>
    <row r="72" spans="2:7" x14ac:dyDescent="0.2">
      <c r="B72">
        <f t="shared" si="5"/>
        <v>67</v>
      </c>
      <c r="C72" s="174">
        <v>76.973335419637678</v>
      </c>
      <c r="D72" s="186">
        <v>4.3460177867242489E-2</v>
      </c>
      <c r="E72">
        <f t="shared" si="3"/>
        <v>0</v>
      </c>
      <c r="F72" s="174" t="str">
        <f t="shared" si="4"/>
        <v/>
      </c>
      <c r="G72" t="s">
        <v>663</v>
      </c>
    </row>
    <row r="73" spans="2:7" x14ac:dyDescent="0.2">
      <c r="B73">
        <f t="shared" si="5"/>
        <v>68</v>
      </c>
      <c r="C73" s="174">
        <v>97.357153274376671</v>
      </c>
      <c r="D73" s="186">
        <v>3.4070668153837684E-2</v>
      </c>
      <c r="E73">
        <f t="shared" si="3"/>
        <v>1</v>
      </c>
      <c r="F73" s="174">
        <f t="shared" si="4"/>
        <v>97.357153274376671</v>
      </c>
      <c r="G73" t="s">
        <v>663</v>
      </c>
    </row>
    <row r="74" spans="2:7" x14ac:dyDescent="0.2">
      <c r="B74">
        <f t="shared" si="5"/>
        <v>69</v>
      </c>
      <c r="C74" s="174">
        <v>101.8520982202044</v>
      </c>
      <c r="D74" s="186">
        <v>2.5812652145891762E-2</v>
      </c>
      <c r="E74">
        <f t="shared" si="3"/>
        <v>1</v>
      </c>
      <c r="F74" s="174">
        <f t="shared" si="4"/>
        <v>101.8520982202044</v>
      </c>
      <c r="G74" t="s">
        <v>663</v>
      </c>
    </row>
    <row r="75" spans="2:7" x14ac:dyDescent="0.2">
      <c r="B75">
        <f t="shared" si="5"/>
        <v>70</v>
      </c>
      <c r="C75" s="174">
        <v>118.94664501787095</v>
      </c>
      <c r="D75" s="186">
        <v>2.9682386121363947E-3</v>
      </c>
      <c r="E75">
        <f t="shared" si="3"/>
        <v>1</v>
      </c>
      <c r="F75" s="174">
        <f t="shared" si="4"/>
        <v>118.94664501787095</v>
      </c>
      <c r="G75" t="s">
        <v>663</v>
      </c>
    </row>
    <row r="76" spans="2:7" x14ac:dyDescent="0.2">
      <c r="B76">
        <f t="shared" si="5"/>
        <v>71</v>
      </c>
      <c r="C76" s="174">
        <v>94.280640535736396</v>
      </c>
      <c r="D76" s="186">
        <v>3.9215447894321846E-2</v>
      </c>
      <c r="E76">
        <f t="shared" si="3"/>
        <v>0</v>
      </c>
      <c r="F76" s="174" t="str">
        <f t="shared" si="4"/>
        <v/>
      </c>
      <c r="G76" t="s">
        <v>663</v>
      </c>
    </row>
    <row r="77" spans="2:7" x14ac:dyDescent="0.2">
      <c r="B77">
        <f t="shared" si="5"/>
        <v>72</v>
      </c>
      <c r="C77" s="174">
        <v>109.91032568122321</v>
      </c>
      <c r="D77" s="186">
        <v>2.5621402791030708E-2</v>
      </c>
      <c r="E77">
        <f t="shared" si="3"/>
        <v>1</v>
      </c>
      <c r="F77" s="174">
        <f t="shared" si="4"/>
        <v>109.91032568122321</v>
      </c>
      <c r="G77" t="s">
        <v>663</v>
      </c>
    </row>
    <row r="78" spans="2:7" x14ac:dyDescent="0.2">
      <c r="B78">
        <f t="shared" si="5"/>
        <v>73</v>
      </c>
      <c r="C78" s="174">
        <v>96.404276602025135</v>
      </c>
      <c r="D78" s="186">
        <v>2.0584039520800738E-2</v>
      </c>
      <c r="E78">
        <f t="shared" si="3"/>
        <v>1</v>
      </c>
      <c r="F78" s="174">
        <f t="shared" si="4"/>
        <v>96.404276602025135</v>
      </c>
      <c r="G78" t="s">
        <v>663</v>
      </c>
    </row>
    <row r="79" spans="2:7" x14ac:dyDescent="0.2">
      <c r="B79">
        <f t="shared" si="5"/>
        <v>74</v>
      </c>
      <c r="C79" s="174">
        <v>96.062169076849955</v>
      </c>
      <c r="D79" s="186">
        <v>2.4549884041861973E-2</v>
      </c>
      <c r="E79">
        <f t="shared" si="3"/>
        <v>1</v>
      </c>
      <c r="F79" s="174">
        <f t="shared" si="4"/>
        <v>96.062169076849955</v>
      </c>
      <c r="G79" t="s">
        <v>663</v>
      </c>
    </row>
    <row r="80" spans="2:7" x14ac:dyDescent="0.2">
      <c r="B80">
        <f t="shared" si="5"/>
        <v>75</v>
      </c>
      <c r="C80" s="174">
        <v>72.447674424450398</v>
      </c>
      <c r="D80" s="186">
        <v>1.5648929206820945E-2</v>
      </c>
      <c r="E80">
        <f t="shared" si="3"/>
        <v>1</v>
      </c>
      <c r="F80" s="174">
        <f t="shared" si="4"/>
        <v>72.447674424450398</v>
      </c>
      <c r="G80" t="s">
        <v>663</v>
      </c>
    </row>
    <row r="81" spans="2:7" x14ac:dyDescent="0.2">
      <c r="B81">
        <f t="shared" si="5"/>
        <v>76</v>
      </c>
      <c r="C81" s="174">
        <v>116.27587781428812</v>
      </c>
      <c r="D81" s="186">
        <v>3.5546803702953392E-2</v>
      </c>
      <c r="E81">
        <f t="shared" si="3"/>
        <v>0</v>
      </c>
      <c r="F81" s="174" t="str">
        <f t="shared" si="4"/>
        <v/>
      </c>
      <c r="G81" t="s">
        <v>663</v>
      </c>
    </row>
    <row r="82" spans="2:7" x14ac:dyDescent="0.2">
      <c r="B82">
        <f t="shared" si="5"/>
        <v>77</v>
      </c>
      <c r="C82" s="174">
        <v>82.516412910229377</v>
      </c>
      <c r="D82" s="186">
        <v>1.6495578282973235E-2</v>
      </c>
      <c r="E82">
        <f t="shared" si="3"/>
        <v>1</v>
      </c>
      <c r="F82" s="174">
        <f t="shared" si="4"/>
        <v>82.516412910229377</v>
      </c>
      <c r="G82" t="s">
        <v>663</v>
      </c>
    </row>
    <row r="83" spans="2:7" x14ac:dyDescent="0.2">
      <c r="B83">
        <f t="shared" si="5"/>
        <v>78</v>
      </c>
      <c r="C83" s="174">
        <v>96.168276871447659</v>
      </c>
      <c r="D83" s="186">
        <v>1.7285224873090581E-2</v>
      </c>
      <c r="E83">
        <f t="shared" si="3"/>
        <v>1</v>
      </c>
      <c r="F83" s="174">
        <f t="shared" si="4"/>
        <v>96.168276871447659</v>
      </c>
      <c r="G83" t="s">
        <v>663</v>
      </c>
    </row>
    <row r="84" spans="2:7" x14ac:dyDescent="0.2">
      <c r="B84">
        <f t="shared" si="5"/>
        <v>79</v>
      </c>
      <c r="C84" s="174">
        <v>97.298316119853126</v>
      </c>
      <c r="D84" s="186">
        <v>3.1188247412243408E-2</v>
      </c>
      <c r="E84">
        <f t="shared" si="3"/>
        <v>1</v>
      </c>
      <c r="F84" s="174">
        <f t="shared" si="4"/>
        <v>97.298316119853126</v>
      </c>
      <c r="G84" t="s">
        <v>663</v>
      </c>
    </row>
    <row r="85" spans="2:7" x14ac:dyDescent="0.2">
      <c r="B85">
        <f t="shared" si="5"/>
        <v>80</v>
      </c>
      <c r="C85" s="174">
        <v>75.874615695095812</v>
      </c>
      <c r="D85" s="186">
        <v>4.3482801716206686E-2</v>
      </c>
      <c r="E85">
        <f t="shared" si="3"/>
        <v>0</v>
      </c>
      <c r="F85" s="174" t="str">
        <f t="shared" si="4"/>
        <v/>
      </c>
      <c r="G85" t="s">
        <v>663</v>
      </c>
    </row>
    <row r="86" spans="2:7" x14ac:dyDescent="0.2">
      <c r="B86">
        <f t="shared" si="5"/>
        <v>81</v>
      </c>
      <c r="C86" s="174">
        <v>92.956902044480117</v>
      </c>
      <c r="D86" s="186">
        <v>2.9047588018390656E-2</v>
      </c>
      <c r="E86">
        <f t="shared" si="3"/>
        <v>1</v>
      </c>
      <c r="F86" s="174">
        <f t="shared" si="4"/>
        <v>92.956902044480117</v>
      </c>
      <c r="G86" t="s">
        <v>663</v>
      </c>
    </row>
    <row r="87" spans="2:7" x14ac:dyDescent="0.2">
      <c r="B87">
        <f t="shared" si="5"/>
        <v>82</v>
      </c>
      <c r="C87" s="174">
        <v>142.27817895909536</v>
      </c>
      <c r="D87" s="186">
        <v>2.925337324134868E-2</v>
      </c>
      <c r="E87">
        <f t="shared" si="3"/>
        <v>1</v>
      </c>
      <c r="F87" s="174">
        <f t="shared" si="4"/>
        <v>142.27817895909536</v>
      </c>
      <c r="G87" t="s">
        <v>663</v>
      </c>
    </row>
    <row r="88" spans="2:7" x14ac:dyDescent="0.2">
      <c r="B88">
        <f t="shared" si="5"/>
        <v>83</v>
      </c>
      <c r="C88" s="174">
        <v>75.201972616453887</v>
      </c>
      <c r="D88" s="186">
        <v>1.5773813571522945E-2</v>
      </c>
      <c r="E88">
        <f t="shared" si="3"/>
        <v>1</v>
      </c>
      <c r="F88" s="174">
        <f t="shared" si="4"/>
        <v>75.201972616453887</v>
      </c>
      <c r="G88" t="s">
        <v>663</v>
      </c>
    </row>
    <row r="89" spans="2:7" x14ac:dyDescent="0.2">
      <c r="B89">
        <f t="shared" si="5"/>
        <v>84</v>
      </c>
      <c r="C89" s="174">
        <v>108.50597046096732</v>
      </c>
      <c r="D89" s="186">
        <v>2.8581383820922335E-2</v>
      </c>
      <c r="E89">
        <f t="shared" si="3"/>
        <v>1</v>
      </c>
      <c r="F89" s="174">
        <f t="shared" si="4"/>
        <v>108.50597046096732</v>
      </c>
      <c r="G89" t="s">
        <v>663</v>
      </c>
    </row>
    <row r="90" spans="2:7" x14ac:dyDescent="0.2">
      <c r="B90">
        <f t="shared" si="5"/>
        <v>85</v>
      </c>
      <c r="C90" s="174">
        <v>68.482257589819653</v>
      </c>
      <c r="D90" s="186">
        <v>1.7916218881533181E-2</v>
      </c>
      <c r="E90">
        <f t="shared" si="3"/>
        <v>1</v>
      </c>
      <c r="F90" s="174">
        <f t="shared" si="4"/>
        <v>68.482257589819653</v>
      </c>
      <c r="G90" t="s">
        <v>663</v>
      </c>
    </row>
    <row r="91" spans="2:7" x14ac:dyDescent="0.2">
      <c r="B91">
        <f t="shared" si="5"/>
        <v>86</v>
      </c>
      <c r="C91" s="174">
        <v>111.10954715850451</v>
      </c>
      <c r="D91" s="186">
        <v>2.4777487715129581E-2</v>
      </c>
      <c r="E91">
        <f t="shared" si="3"/>
        <v>1</v>
      </c>
      <c r="F91" s="174">
        <f t="shared" si="4"/>
        <v>111.10954715850451</v>
      </c>
      <c r="G91" t="s">
        <v>663</v>
      </c>
    </row>
    <row r="92" spans="2:7" x14ac:dyDescent="0.2">
      <c r="B92">
        <f t="shared" si="5"/>
        <v>87</v>
      </c>
      <c r="C92" s="174">
        <v>90.808430785025806</v>
      </c>
      <c r="D92" s="186">
        <v>7.6402357680616199E-3</v>
      </c>
      <c r="E92">
        <f t="shared" si="3"/>
        <v>1</v>
      </c>
      <c r="F92" s="174">
        <f t="shared" si="4"/>
        <v>90.808430785025806</v>
      </c>
      <c r="G92">
        <v>194.5603750126995</v>
      </c>
    </row>
    <row r="93" spans="2:7" x14ac:dyDescent="0.2">
      <c r="B93">
        <f t="shared" si="5"/>
        <v>88</v>
      </c>
      <c r="C93" s="174">
        <v>50.997625054711804</v>
      </c>
      <c r="D93" s="186">
        <v>1.7246035945943407E-2</v>
      </c>
      <c r="E93">
        <f t="shared" si="3"/>
        <v>1</v>
      </c>
      <c r="F93" s="174">
        <f t="shared" si="4"/>
        <v>50.997625054711804</v>
      </c>
      <c r="G93">
        <v>194.37460285037747</v>
      </c>
    </row>
    <row r="94" spans="2:7" x14ac:dyDescent="0.2">
      <c r="B94">
        <f t="shared" si="5"/>
        <v>89</v>
      </c>
      <c r="C94" s="174">
        <v>100.73142075848719</v>
      </c>
      <c r="D94" s="186">
        <v>2.2596614298833681E-2</v>
      </c>
      <c r="E94">
        <f t="shared" si="3"/>
        <v>1</v>
      </c>
      <c r="F94" s="174">
        <f t="shared" si="4"/>
        <v>100.73142075848719</v>
      </c>
      <c r="G94">
        <v>183.45056467544575</v>
      </c>
    </row>
    <row r="95" spans="2:7" x14ac:dyDescent="0.2">
      <c r="B95">
        <f t="shared" si="5"/>
        <v>90</v>
      </c>
      <c r="C95" s="174">
        <v>112.68751705330327</v>
      </c>
      <c r="D95" s="186">
        <v>3.7917564936702279E-2</v>
      </c>
      <c r="E95">
        <f t="shared" si="3"/>
        <v>0</v>
      </c>
      <c r="F95" s="174" t="str">
        <f t="shared" si="4"/>
        <v/>
      </c>
      <c r="G95">
        <v>176.61016735929502</v>
      </c>
    </row>
    <row r="96" spans="2:7" x14ac:dyDescent="0.2">
      <c r="B96">
        <f t="shared" si="5"/>
        <v>91</v>
      </c>
      <c r="C96" s="174">
        <v>109.82860305425456</v>
      </c>
      <c r="D96" s="186">
        <v>2.6480898102022081E-2</v>
      </c>
      <c r="E96">
        <f t="shared" si="3"/>
        <v>1</v>
      </c>
      <c r="F96" s="174">
        <f t="shared" si="4"/>
        <v>109.82860305425456</v>
      </c>
      <c r="G96">
        <v>172.78335595186459</v>
      </c>
    </row>
    <row r="97" spans="2:7" x14ac:dyDescent="0.2">
      <c r="B97">
        <f t="shared" si="5"/>
        <v>92</v>
      </c>
      <c r="C97" s="174">
        <v>94.234212574530659</v>
      </c>
      <c r="D97" s="186">
        <v>1.9694487843485042E-2</v>
      </c>
      <c r="E97">
        <f t="shared" si="3"/>
        <v>1</v>
      </c>
      <c r="F97" s="174">
        <f t="shared" si="4"/>
        <v>94.234212574530659</v>
      </c>
      <c r="G97">
        <v>172.47630163885427</v>
      </c>
    </row>
    <row r="98" spans="2:7" x14ac:dyDescent="0.2">
      <c r="B98">
        <f t="shared" si="5"/>
        <v>93</v>
      </c>
      <c r="C98" s="174">
        <v>114.35548043312957</v>
      </c>
      <c r="D98" s="186">
        <v>2.0724878212356617E-2</v>
      </c>
      <c r="E98">
        <f t="shared" si="3"/>
        <v>1</v>
      </c>
      <c r="F98" s="174">
        <f t="shared" si="4"/>
        <v>114.35548043312957</v>
      </c>
      <c r="G98">
        <v>167.77320600688924</v>
      </c>
    </row>
    <row r="99" spans="2:7" x14ac:dyDescent="0.2">
      <c r="B99">
        <f t="shared" si="5"/>
        <v>94</v>
      </c>
      <c r="C99" s="174">
        <v>64.516295557672663</v>
      </c>
      <c r="D99" s="186">
        <v>1.4237629440495909E-2</v>
      </c>
      <c r="E99">
        <f t="shared" si="3"/>
        <v>1</v>
      </c>
      <c r="F99" s="174">
        <f t="shared" si="4"/>
        <v>64.516295557672663</v>
      </c>
      <c r="G99">
        <v>163.62627958954647</v>
      </c>
    </row>
    <row r="100" spans="2:7" x14ac:dyDescent="0.2">
      <c r="B100">
        <f t="shared" si="5"/>
        <v>95</v>
      </c>
      <c r="C100" s="174">
        <v>88.626895994363167</v>
      </c>
      <c r="D100" s="186">
        <v>3.9009466719652927E-2</v>
      </c>
      <c r="E100">
        <f t="shared" si="3"/>
        <v>0</v>
      </c>
      <c r="F100" s="174" t="str">
        <f t="shared" si="4"/>
        <v/>
      </c>
      <c r="G100">
        <v>162.3936866454965</v>
      </c>
    </row>
    <row r="101" spans="2:7" x14ac:dyDescent="0.2">
      <c r="B101">
        <f t="shared" si="5"/>
        <v>96</v>
      </c>
      <c r="C101" s="174">
        <v>103.27623838769536</v>
      </c>
      <c r="D101" s="186">
        <v>1.9944162245405572E-2</v>
      </c>
      <c r="E101">
        <f t="shared" si="3"/>
        <v>1</v>
      </c>
      <c r="F101" s="174">
        <f t="shared" si="4"/>
        <v>103.27623838769536</v>
      </c>
      <c r="G101">
        <v>157.85500763857809</v>
      </c>
    </row>
    <row r="102" spans="2:7" x14ac:dyDescent="0.2">
      <c r="B102">
        <f t="shared" si="5"/>
        <v>97</v>
      </c>
      <c r="C102" s="174">
        <v>150.12914597467338</v>
      </c>
      <c r="D102" s="186">
        <v>3.5140570404105724E-2</v>
      </c>
      <c r="E102">
        <f t="shared" si="3"/>
        <v>0</v>
      </c>
      <c r="F102" s="174" t="str">
        <f t="shared" si="4"/>
        <v/>
      </c>
      <c r="G102">
        <v>155.81781997717582</v>
      </c>
    </row>
    <row r="103" spans="2:7" x14ac:dyDescent="0.2">
      <c r="B103">
        <f t="shared" si="5"/>
        <v>98</v>
      </c>
      <c r="C103" s="174">
        <v>91.293985481444025</v>
      </c>
      <c r="D103" s="186">
        <v>1.140002308726819E-2</v>
      </c>
      <c r="E103">
        <f t="shared" si="3"/>
        <v>1</v>
      </c>
      <c r="F103" s="174">
        <f t="shared" si="4"/>
        <v>91.293985481444025</v>
      </c>
      <c r="G103">
        <v>154.85378122002805</v>
      </c>
    </row>
    <row r="104" spans="2:7" x14ac:dyDescent="0.2">
      <c r="B104">
        <f t="shared" si="5"/>
        <v>99</v>
      </c>
      <c r="C104" s="174">
        <v>89.71180719675715</v>
      </c>
      <c r="D104" s="186">
        <v>7.9165411536226971E-3</v>
      </c>
      <c r="E104">
        <f t="shared" si="3"/>
        <v>1</v>
      </c>
      <c r="F104" s="174">
        <f t="shared" si="4"/>
        <v>89.71180719675715</v>
      </c>
      <c r="G104">
        <v>154.32225992697659</v>
      </c>
    </row>
    <row r="105" spans="2:7" x14ac:dyDescent="0.2">
      <c r="B105">
        <f t="shared" si="5"/>
        <v>100</v>
      </c>
      <c r="C105" s="174">
        <v>116.48137248817902</v>
      </c>
      <c r="D105" s="186">
        <v>1.7748228687624646E-2</v>
      </c>
      <c r="E105">
        <f t="shared" si="3"/>
        <v>1</v>
      </c>
      <c r="F105" s="174">
        <f t="shared" si="4"/>
        <v>116.48137248817902</v>
      </c>
      <c r="G105">
        <v>152.89898180103279</v>
      </c>
    </row>
    <row r="106" spans="2:7" x14ac:dyDescent="0.2">
      <c r="B106">
        <f t="shared" si="5"/>
        <v>101</v>
      </c>
      <c r="C106" s="174">
        <v>103.7289644193884</v>
      </c>
      <c r="D106" s="186">
        <v>1.8471161222705357E-2</v>
      </c>
      <c r="E106">
        <f t="shared" si="3"/>
        <v>1</v>
      </c>
      <c r="F106" s="174">
        <f t="shared" si="4"/>
        <v>103.7289644193884</v>
      </c>
      <c r="G106">
        <v>150.50930944050933</v>
      </c>
    </row>
    <row r="107" spans="2:7" x14ac:dyDescent="0.2">
      <c r="B107">
        <f t="shared" si="5"/>
        <v>102</v>
      </c>
      <c r="C107" s="174">
        <v>85.563489595720981</v>
      </c>
      <c r="D107" s="186">
        <v>2.3257666077468517E-2</v>
      </c>
      <c r="E107">
        <f t="shared" si="3"/>
        <v>1</v>
      </c>
      <c r="F107" s="174">
        <f t="shared" si="4"/>
        <v>85.563489595720981</v>
      </c>
      <c r="G107">
        <v>149.76162808506061</v>
      </c>
    </row>
    <row r="108" spans="2:7" x14ac:dyDescent="0.2">
      <c r="B108">
        <f t="shared" si="5"/>
        <v>103</v>
      </c>
      <c r="C108" s="174">
        <v>63.069570027986451</v>
      </c>
      <c r="D108" s="186">
        <v>2.750406602671053E-2</v>
      </c>
      <c r="E108">
        <f t="shared" si="3"/>
        <v>1</v>
      </c>
      <c r="F108" s="174">
        <f t="shared" si="4"/>
        <v>63.069570027986451</v>
      </c>
      <c r="G108">
        <v>148.59138266562135</v>
      </c>
    </row>
    <row r="109" spans="2:7" x14ac:dyDescent="0.2">
      <c r="B109">
        <f t="shared" si="5"/>
        <v>104</v>
      </c>
      <c r="C109" s="174">
        <v>108.33199332423045</v>
      </c>
      <c r="D109" s="186">
        <v>2.9953071092822945E-2</v>
      </c>
      <c r="E109">
        <f t="shared" si="3"/>
        <v>1</v>
      </c>
      <c r="F109" s="174">
        <f t="shared" si="4"/>
        <v>108.33199332423045</v>
      </c>
      <c r="G109">
        <v>148.37751940857356</v>
      </c>
    </row>
    <row r="110" spans="2:7" x14ac:dyDescent="0.2">
      <c r="B110">
        <f t="shared" si="5"/>
        <v>105</v>
      </c>
      <c r="C110" s="174">
        <v>93.063939213614901</v>
      </c>
      <c r="D110" s="186">
        <v>1.5182711018030988E-2</v>
      </c>
      <c r="E110">
        <f t="shared" si="3"/>
        <v>1</v>
      </c>
      <c r="F110" s="174">
        <f t="shared" si="4"/>
        <v>93.063939213614901</v>
      </c>
      <c r="G110">
        <v>147.78082324066557</v>
      </c>
    </row>
    <row r="111" spans="2:7" x14ac:dyDescent="0.2">
      <c r="B111">
        <f t="shared" si="5"/>
        <v>106</v>
      </c>
      <c r="C111" s="174">
        <v>123.12975311881279</v>
      </c>
      <c r="D111" s="186">
        <v>3.4382144326962162E-2</v>
      </c>
      <c r="E111">
        <f t="shared" si="3"/>
        <v>1</v>
      </c>
      <c r="F111" s="174">
        <f t="shared" si="4"/>
        <v>123.12975311881279</v>
      </c>
      <c r="G111">
        <v>147.72745804378769</v>
      </c>
    </row>
    <row r="112" spans="2:7" x14ac:dyDescent="0.2">
      <c r="B112">
        <f t="shared" si="5"/>
        <v>107</v>
      </c>
      <c r="C112" s="174">
        <v>53.259194959938775</v>
      </c>
      <c r="D112" s="186">
        <v>3.3954762739579501E-2</v>
      </c>
      <c r="E112">
        <f t="shared" si="3"/>
        <v>1</v>
      </c>
      <c r="F112" s="174">
        <f t="shared" si="4"/>
        <v>53.259194959938775</v>
      </c>
      <c r="G112">
        <v>147.63082799771314</v>
      </c>
    </row>
    <row r="113" spans="2:7" x14ac:dyDescent="0.2">
      <c r="B113">
        <f t="shared" si="5"/>
        <v>108</v>
      </c>
      <c r="C113" s="174">
        <v>92.304333796328009</v>
      </c>
      <c r="D113" s="186">
        <v>1.9753349680268706E-2</v>
      </c>
      <c r="E113">
        <f t="shared" si="3"/>
        <v>1</v>
      </c>
      <c r="F113" s="174">
        <f t="shared" si="4"/>
        <v>92.304333796328009</v>
      </c>
      <c r="G113">
        <v>147.3986357648665</v>
      </c>
    </row>
    <row r="114" spans="2:7" x14ac:dyDescent="0.2">
      <c r="B114">
        <f t="shared" si="5"/>
        <v>109</v>
      </c>
      <c r="C114" s="174">
        <v>123.58485724015675</v>
      </c>
      <c r="D114" s="186">
        <v>2.7619499757784053E-2</v>
      </c>
      <c r="E114">
        <f t="shared" si="3"/>
        <v>1</v>
      </c>
      <c r="F114" s="174">
        <f t="shared" si="4"/>
        <v>123.58485724015675</v>
      </c>
      <c r="G114">
        <v>147.3553179455557</v>
      </c>
    </row>
    <row r="115" spans="2:7" x14ac:dyDescent="0.2">
      <c r="B115">
        <f t="shared" si="5"/>
        <v>110</v>
      </c>
      <c r="C115" s="174">
        <v>105.65778239964119</v>
      </c>
      <c r="D115" s="186">
        <v>3.1029771945965449E-2</v>
      </c>
      <c r="E115">
        <f t="shared" si="3"/>
        <v>1</v>
      </c>
      <c r="F115" s="174">
        <f t="shared" si="4"/>
        <v>105.65778239964119</v>
      </c>
      <c r="G115">
        <v>147.16910892404633</v>
      </c>
    </row>
    <row r="116" spans="2:7" x14ac:dyDescent="0.2">
      <c r="B116">
        <f t="shared" si="5"/>
        <v>111</v>
      </c>
      <c r="C116" s="174">
        <v>109.1293139636303</v>
      </c>
      <c r="D116" s="186">
        <v>1.2096307983932313E-2</v>
      </c>
      <c r="E116">
        <f t="shared" si="3"/>
        <v>1</v>
      </c>
      <c r="F116" s="174">
        <f t="shared" si="4"/>
        <v>109.1293139636303</v>
      </c>
      <c r="G116">
        <v>146.87230011802549</v>
      </c>
    </row>
    <row r="117" spans="2:7" x14ac:dyDescent="0.2">
      <c r="B117">
        <f t="shared" si="5"/>
        <v>112</v>
      </c>
      <c r="C117" s="174">
        <v>122.24750569448503</v>
      </c>
      <c r="D117" s="186">
        <v>1.1579886197743637E-2</v>
      </c>
      <c r="E117">
        <f t="shared" si="3"/>
        <v>1</v>
      </c>
      <c r="F117" s="174">
        <f t="shared" si="4"/>
        <v>122.24750569448503</v>
      </c>
      <c r="G117">
        <v>146.76479894248149</v>
      </c>
    </row>
    <row r="118" spans="2:7" x14ac:dyDescent="0.2">
      <c r="B118">
        <f t="shared" si="5"/>
        <v>113</v>
      </c>
      <c r="C118" s="174">
        <v>155.61618657015836</v>
      </c>
      <c r="D118" s="186">
        <v>4.0620331963088667E-2</v>
      </c>
      <c r="E118">
        <f t="shared" si="3"/>
        <v>0</v>
      </c>
      <c r="F118" s="174" t="str">
        <f t="shared" si="4"/>
        <v/>
      </c>
      <c r="G118">
        <v>145.85402097411833</v>
      </c>
    </row>
    <row r="119" spans="2:7" x14ac:dyDescent="0.2">
      <c r="B119">
        <f t="shared" si="5"/>
        <v>114</v>
      </c>
      <c r="C119" s="174">
        <v>90.817825526191228</v>
      </c>
      <c r="D119" s="186">
        <v>4.4302389031884479E-2</v>
      </c>
      <c r="E119">
        <f t="shared" si="3"/>
        <v>0</v>
      </c>
      <c r="F119" s="174" t="str">
        <f t="shared" si="4"/>
        <v/>
      </c>
      <c r="G119">
        <v>145.8137269639931</v>
      </c>
    </row>
    <row r="120" spans="2:7" x14ac:dyDescent="0.2">
      <c r="B120">
        <f t="shared" si="5"/>
        <v>115</v>
      </c>
      <c r="C120" s="174">
        <v>136.31609795140349</v>
      </c>
      <c r="D120" s="186">
        <v>4.3778419575761555E-2</v>
      </c>
      <c r="E120">
        <f t="shared" si="3"/>
        <v>0</v>
      </c>
      <c r="F120" s="174" t="str">
        <f t="shared" si="4"/>
        <v/>
      </c>
      <c r="G120">
        <v>145.02866544248607</v>
      </c>
    </row>
    <row r="121" spans="2:7" x14ac:dyDescent="0.2">
      <c r="B121">
        <f t="shared" si="5"/>
        <v>116</v>
      </c>
      <c r="C121" s="174">
        <v>105.45830958371489</v>
      </c>
      <c r="D121" s="186">
        <v>1.4457199785968633E-2</v>
      </c>
      <c r="E121">
        <f t="shared" si="3"/>
        <v>1</v>
      </c>
      <c r="F121" s="174">
        <f t="shared" si="4"/>
        <v>105.45830958371489</v>
      </c>
      <c r="G121">
        <v>144.89325485127571</v>
      </c>
    </row>
    <row r="122" spans="2:7" x14ac:dyDescent="0.2">
      <c r="B122">
        <f t="shared" si="5"/>
        <v>117</v>
      </c>
      <c r="C122" s="174">
        <v>89.346037248354662</v>
      </c>
      <c r="D122" s="186">
        <v>2.1100513887852723E-2</v>
      </c>
      <c r="E122">
        <f t="shared" si="3"/>
        <v>1</v>
      </c>
      <c r="F122" s="174">
        <f t="shared" si="4"/>
        <v>89.346037248354662</v>
      </c>
      <c r="G122">
        <v>144.65471754291974</v>
      </c>
    </row>
    <row r="123" spans="2:7" x14ac:dyDescent="0.2">
      <c r="B123">
        <f t="shared" si="5"/>
        <v>118</v>
      </c>
      <c r="C123" s="174">
        <v>127.02604211186123</v>
      </c>
      <c r="D123" s="186">
        <v>1.1385631689481639E-2</v>
      </c>
      <c r="E123">
        <f t="shared" si="3"/>
        <v>1</v>
      </c>
      <c r="F123" s="174">
        <f t="shared" si="4"/>
        <v>127.02604211186123</v>
      </c>
      <c r="G123">
        <v>144.5707959103616</v>
      </c>
    </row>
    <row r="124" spans="2:7" x14ac:dyDescent="0.2">
      <c r="B124">
        <f t="shared" si="5"/>
        <v>119</v>
      </c>
      <c r="C124" s="174">
        <v>91.292614382637183</v>
      </c>
      <c r="D124" s="186">
        <v>3.0485444065964897E-2</v>
      </c>
      <c r="E124">
        <f t="shared" si="3"/>
        <v>1</v>
      </c>
      <c r="F124" s="174">
        <f t="shared" si="4"/>
        <v>91.292614382637183</v>
      </c>
      <c r="G124">
        <v>144.13482253162252</v>
      </c>
    </row>
    <row r="125" spans="2:7" x14ac:dyDescent="0.2">
      <c r="B125">
        <f t="shared" si="5"/>
        <v>120</v>
      </c>
      <c r="C125" s="174">
        <v>69.938928297662471</v>
      </c>
      <c r="D125" s="186">
        <v>8.6763130625271082E-3</v>
      </c>
      <c r="E125">
        <f t="shared" si="3"/>
        <v>1</v>
      </c>
      <c r="F125" s="174">
        <f t="shared" si="4"/>
        <v>69.938928297662471</v>
      </c>
      <c r="G125">
        <v>143.92661616612781</v>
      </c>
    </row>
    <row r="126" spans="2:7" x14ac:dyDescent="0.2">
      <c r="B126">
        <f t="shared" si="5"/>
        <v>121</v>
      </c>
      <c r="C126" s="174">
        <v>122.648999611574</v>
      </c>
      <c r="D126" s="186">
        <v>1.6346655258431955E-2</v>
      </c>
      <c r="E126">
        <f t="shared" si="3"/>
        <v>1</v>
      </c>
      <c r="F126" s="174">
        <f t="shared" si="4"/>
        <v>122.648999611574</v>
      </c>
      <c r="G126">
        <v>143.3107562295786</v>
      </c>
    </row>
    <row r="127" spans="2:7" x14ac:dyDescent="0.2">
      <c r="B127">
        <f t="shared" si="5"/>
        <v>122</v>
      </c>
      <c r="C127" s="174">
        <v>141.17631255861019</v>
      </c>
      <c r="D127" s="186">
        <v>2.8212058463766933E-2</v>
      </c>
      <c r="E127">
        <f t="shared" si="3"/>
        <v>1</v>
      </c>
      <c r="F127" s="174">
        <f t="shared" si="4"/>
        <v>141.17631255861019</v>
      </c>
      <c r="G127">
        <v>143.08613605333764</v>
      </c>
    </row>
    <row r="128" spans="2:7" x14ac:dyDescent="0.2">
      <c r="B128">
        <f t="shared" si="5"/>
        <v>123</v>
      </c>
      <c r="C128" s="174">
        <v>76.201384797851219</v>
      </c>
      <c r="D128" s="186">
        <v>2.11976122428379E-2</v>
      </c>
      <c r="E128">
        <f t="shared" si="3"/>
        <v>1</v>
      </c>
      <c r="F128" s="174">
        <f t="shared" si="4"/>
        <v>76.201384797851219</v>
      </c>
      <c r="G128">
        <v>143.0757899485701</v>
      </c>
    </row>
    <row r="129" spans="2:7" x14ac:dyDescent="0.2">
      <c r="B129">
        <f t="shared" si="5"/>
        <v>124</v>
      </c>
      <c r="C129" s="174">
        <v>84.122792022108243</v>
      </c>
      <c r="D129" s="186">
        <v>2.0683123393941256E-2</v>
      </c>
      <c r="E129">
        <f t="shared" si="3"/>
        <v>1</v>
      </c>
      <c r="F129" s="174">
        <f t="shared" si="4"/>
        <v>84.122792022108243</v>
      </c>
      <c r="G129">
        <v>142.79732224531318</v>
      </c>
    </row>
    <row r="130" spans="2:7" x14ac:dyDescent="0.2">
      <c r="B130">
        <f t="shared" si="5"/>
        <v>125</v>
      </c>
      <c r="C130" s="174">
        <v>114.88378255767211</v>
      </c>
      <c r="D130" s="186">
        <v>1.679044336022098E-2</v>
      </c>
      <c r="E130">
        <f t="shared" si="3"/>
        <v>1</v>
      </c>
      <c r="F130" s="174">
        <f t="shared" si="4"/>
        <v>114.88378255767211</v>
      </c>
      <c r="G130">
        <v>142.57463230369089</v>
      </c>
    </row>
    <row r="131" spans="2:7" x14ac:dyDescent="0.2">
      <c r="B131">
        <f t="shared" si="5"/>
        <v>126</v>
      </c>
      <c r="C131" s="174">
        <v>87.20548695715749</v>
      </c>
      <c r="D131" s="186">
        <v>2.2433050446754518E-2</v>
      </c>
      <c r="E131">
        <f t="shared" si="3"/>
        <v>1</v>
      </c>
      <c r="F131" s="174">
        <f t="shared" si="4"/>
        <v>87.20548695715749</v>
      </c>
      <c r="G131">
        <v>141.1658979690427</v>
      </c>
    </row>
    <row r="132" spans="2:7" x14ac:dyDescent="0.2">
      <c r="B132">
        <f t="shared" si="5"/>
        <v>127</v>
      </c>
      <c r="C132" s="174">
        <v>127.86400779131681</v>
      </c>
      <c r="D132" s="186">
        <v>2.6242346661774808E-2</v>
      </c>
      <c r="E132">
        <f t="shared" si="3"/>
        <v>1</v>
      </c>
      <c r="F132" s="174">
        <f t="shared" si="4"/>
        <v>127.86400779131681</v>
      </c>
      <c r="G132">
        <v>140.32882381024152</v>
      </c>
    </row>
    <row r="133" spans="2:7" x14ac:dyDescent="0.2">
      <c r="B133">
        <f t="shared" si="5"/>
        <v>128</v>
      </c>
      <c r="C133" s="174">
        <v>122.91541299966397</v>
      </c>
      <c r="D133" s="186">
        <v>3.3360867909703481E-3</v>
      </c>
      <c r="E133">
        <f t="shared" si="3"/>
        <v>1</v>
      </c>
      <c r="F133" s="174">
        <f t="shared" si="4"/>
        <v>122.91541299966397</v>
      </c>
      <c r="G133">
        <v>139.91080416643098</v>
      </c>
    </row>
    <row r="134" spans="2:7" x14ac:dyDescent="0.2">
      <c r="B134">
        <f t="shared" si="5"/>
        <v>129</v>
      </c>
      <c r="C134" s="174">
        <v>91.464963342504191</v>
      </c>
      <c r="D134" s="186">
        <v>2.5496160475597475E-2</v>
      </c>
      <c r="E134">
        <f t="shared" ref="E134:E197" si="6">IF(AND(D134&gt;0,D134&lt;=$D$2),1,0)</f>
        <v>1</v>
      </c>
      <c r="F134" s="174">
        <f t="shared" ref="F134:G197" si="7">IF(E134=1,C134,"")</f>
        <v>91.464963342504191</v>
      </c>
      <c r="G134">
        <v>139.74141546493425</v>
      </c>
    </row>
    <row r="135" spans="2:7" x14ac:dyDescent="0.2">
      <c r="B135">
        <f t="shared" ref="B135:B198" si="8">B134+1</f>
        <v>130</v>
      </c>
      <c r="C135" s="174">
        <v>97.561416387038946</v>
      </c>
      <c r="D135" s="186">
        <v>3.1464644601546951E-2</v>
      </c>
      <c r="E135">
        <f t="shared" si="6"/>
        <v>1</v>
      </c>
      <c r="F135" s="174">
        <f t="shared" si="7"/>
        <v>97.561416387038946</v>
      </c>
      <c r="G135">
        <v>138.79708868236807</v>
      </c>
    </row>
    <row r="136" spans="2:7" x14ac:dyDescent="0.2">
      <c r="B136">
        <f t="shared" si="8"/>
        <v>131</v>
      </c>
      <c r="C136" s="174">
        <v>88.311833626621478</v>
      </c>
      <c r="D136" s="186">
        <v>1.9721237235377668E-2</v>
      </c>
      <c r="E136">
        <f t="shared" si="6"/>
        <v>1</v>
      </c>
      <c r="F136" s="174">
        <f t="shared" si="7"/>
        <v>88.311833626621478</v>
      </c>
      <c r="G136">
        <v>137.75895106267129</v>
      </c>
    </row>
    <row r="137" spans="2:7" x14ac:dyDescent="0.2">
      <c r="B137">
        <f t="shared" si="8"/>
        <v>132</v>
      </c>
      <c r="C137" s="174">
        <v>114.08264802785077</v>
      </c>
      <c r="D137" s="186">
        <v>3.8520165758002073E-2</v>
      </c>
      <c r="E137">
        <f t="shared" si="6"/>
        <v>0</v>
      </c>
      <c r="F137" s="174" t="str">
        <f t="shared" si="7"/>
        <v/>
      </c>
      <c r="G137">
        <v>137.74956795923555</v>
      </c>
    </row>
    <row r="138" spans="2:7" x14ac:dyDescent="0.2">
      <c r="B138">
        <f t="shared" si="8"/>
        <v>133</v>
      </c>
      <c r="C138" s="174">
        <v>107.66849254556027</v>
      </c>
      <c r="D138" s="186">
        <v>1.128032761883057E-2</v>
      </c>
      <c r="E138">
        <f t="shared" si="6"/>
        <v>1</v>
      </c>
      <c r="F138" s="174">
        <f t="shared" si="7"/>
        <v>107.66849254556027</v>
      </c>
      <c r="G138">
        <v>136.90764102232816</v>
      </c>
    </row>
    <row r="139" spans="2:7" x14ac:dyDescent="0.2">
      <c r="B139">
        <f t="shared" si="8"/>
        <v>134</v>
      </c>
      <c r="C139" s="174">
        <v>95.25725877263406</v>
      </c>
      <c r="D139" s="186">
        <v>3.6305378339419617E-2</v>
      </c>
      <c r="E139">
        <f t="shared" si="6"/>
        <v>0</v>
      </c>
      <c r="F139" s="174" t="str">
        <f t="shared" si="7"/>
        <v/>
      </c>
      <c r="G139">
        <v>136.86165148714957</v>
      </c>
    </row>
    <row r="140" spans="2:7" x14ac:dyDescent="0.2">
      <c r="B140">
        <f t="shared" si="8"/>
        <v>135</v>
      </c>
      <c r="C140" s="174">
        <v>93.778314842770754</v>
      </c>
      <c r="D140" s="186">
        <v>2.8474262024725982E-2</v>
      </c>
      <c r="E140">
        <f t="shared" si="6"/>
        <v>1</v>
      </c>
      <c r="F140" s="174">
        <f t="shared" si="7"/>
        <v>93.778314842770754</v>
      </c>
      <c r="G140">
        <v>136.57507417550778</v>
      </c>
    </row>
    <row r="141" spans="2:7" x14ac:dyDescent="0.2">
      <c r="B141">
        <f t="shared" si="8"/>
        <v>136</v>
      </c>
      <c r="C141" s="174">
        <v>177.60153863526202</v>
      </c>
      <c r="D141" s="186">
        <v>3.9719238991420998E-2</v>
      </c>
      <c r="E141">
        <f t="shared" si="6"/>
        <v>0</v>
      </c>
      <c r="F141" s="174" t="str">
        <f t="shared" si="7"/>
        <v/>
      </c>
      <c r="G141">
        <v>136.54465662117221</v>
      </c>
    </row>
    <row r="142" spans="2:7" x14ac:dyDescent="0.2">
      <c r="B142">
        <f t="shared" si="8"/>
        <v>137</v>
      </c>
      <c r="C142" s="174">
        <v>151.25862055711011</v>
      </c>
      <c r="D142" s="186">
        <v>2.1069348675346999E-2</v>
      </c>
      <c r="E142">
        <f t="shared" si="6"/>
        <v>1</v>
      </c>
      <c r="F142" s="174">
        <f t="shared" si="7"/>
        <v>151.25862055711011</v>
      </c>
      <c r="G142">
        <v>136.50919326733725</v>
      </c>
    </row>
    <row r="143" spans="2:7" x14ac:dyDescent="0.2">
      <c r="B143">
        <f t="shared" si="8"/>
        <v>138</v>
      </c>
      <c r="C143" s="174">
        <v>108.66440797625457</v>
      </c>
      <c r="D143" s="186">
        <v>2.5976188501456405E-2</v>
      </c>
      <c r="E143">
        <f t="shared" si="6"/>
        <v>1</v>
      </c>
      <c r="F143" s="174">
        <f t="shared" si="7"/>
        <v>108.66440797625457</v>
      </c>
      <c r="G143">
        <v>135.71493894163658</v>
      </c>
    </row>
    <row r="144" spans="2:7" x14ac:dyDescent="0.2">
      <c r="B144">
        <f t="shared" si="8"/>
        <v>139</v>
      </c>
      <c r="C144" s="174">
        <v>142.61705296868897</v>
      </c>
      <c r="D144" s="186">
        <v>3.633697976606988E-2</v>
      </c>
      <c r="E144">
        <f t="shared" si="6"/>
        <v>0</v>
      </c>
      <c r="F144" s="174" t="str">
        <f t="shared" si="7"/>
        <v/>
      </c>
      <c r="G144">
        <v>135.60183068136823</v>
      </c>
    </row>
    <row r="145" spans="2:7" x14ac:dyDescent="0.2">
      <c r="B145">
        <f t="shared" si="8"/>
        <v>140</v>
      </c>
      <c r="C145" s="174">
        <v>88.911972702863153</v>
      </c>
      <c r="D145" s="186">
        <v>1.8115662466166302E-3</v>
      </c>
      <c r="E145">
        <f t="shared" si="6"/>
        <v>1</v>
      </c>
      <c r="F145" s="174">
        <f t="shared" si="7"/>
        <v>88.911972702863153</v>
      </c>
      <c r="G145">
        <v>134.97571099391334</v>
      </c>
    </row>
    <row r="146" spans="2:7" x14ac:dyDescent="0.2">
      <c r="B146">
        <f t="shared" si="8"/>
        <v>141</v>
      </c>
      <c r="C146" s="174">
        <v>116.9000091782469</v>
      </c>
      <c r="D146" s="186">
        <v>1.1290053956529104E-2</v>
      </c>
      <c r="E146">
        <f t="shared" si="6"/>
        <v>1</v>
      </c>
      <c r="F146" s="174">
        <f t="shared" si="7"/>
        <v>116.9000091782469</v>
      </c>
      <c r="G146">
        <v>134.78628396243991</v>
      </c>
    </row>
    <row r="147" spans="2:7" x14ac:dyDescent="0.2">
      <c r="B147">
        <f t="shared" si="8"/>
        <v>142</v>
      </c>
      <c r="C147" s="174">
        <v>104.57228630444358</v>
      </c>
      <c r="D147" s="186">
        <v>-8.2839902261282715E-4</v>
      </c>
      <c r="E147">
        <f t="shared" si="6"/>
        <v>0</v>
      </c>
      <c r="F147" s="174" t="str">
        <f t="shared" si="7"/>
        <v/>
      </c>
      <c r="G147">
        <v>134.04842883743825</v>
      </c>
    </row>
    <row r="148" spans="2:7" x14ac:dyDescent="0.2">
      <c r="B148">
        <f t="shared" si="8"/>
        <v>143</v>
      </c>
      <c r="C148" s="174">
        <v>81.432280396178115</v>
      </c>
      <c r="D148" s="186">
        <v>2.0070604002974141E-2</v>
      </c>
      <c r="E148">
        <f t="shared" si="6"/>
        <v>1</v>
      </c>
      <c r="F148" s="174">
        <f t="shared" si="7"/>
        <v>81.432280396178115</v>
      </c>
      <c r="G148">
        <v>133.84703767841634</v>
      </c>
    </row>
    <row r="149" spans="2:7" x14ac:dyDescent="0.2">
      <c r="B149">
        <f t="shared" si="8"/>
        <v>144</v>
      </c>
      <c r="C149" s="174">
        <v>121.38891590913448</v>
      </c>
      <c r="D149" s="186">
        <v>2.2874916431234481E-2</v>
      </c>
      <c r="E149">
        <f t="shared" si="6"/>
        <v>1</v>
      </c>
      <c r="F149" s="174">
        <f t="shared" si="7"/>
        <v>121.38891590913448</v>
      </c>
      <c r="G149">
        <v>133.67851405230331</v>
      </c>
    </row>
    <row r="150" spans="2:7" x14ac:dyDescent="0.2">
      <c r="B150">
        <f t="shared" si="8"/>
        <v>145</v>
      </c>
      <c r="C150" s="174">
        <v>106.17144190629004</v>
      </c>
      <c r="D150" s="186">
        <v>1.3280704217811148E-2</v>
      </c>
      <c r="E150">
        <f t="shared" si="6"/>
        <v>1</v>
      </c>
      <c r="F150" s="174">
        <f t="shared" si="7"/>
        <v>106.17144190629004</v>
      </c>
      <c r="G150">
        <v>133.59753985972517</v>
      </c>
    </row>
    <row r="151" spans="2:7" x14ac:dyDescent="0.2">
      <c r="B151">
        <f t="shared" si="8"/>
        <v>146</v>
      </c>
      <c r="C151" s="174">
        <v>201.86654340424386</v>
      </c>
      <c r="D151" s="186">
        <v>3.004703291171457E-2</v>
      </c>
      <c r="E151">
        <f t="shared" si="6"/>
        <v>1</v>
      </c>
      <c r="F151" s="174">
        <f t="shared" si="7"/>
        <v>201.86654340424386</v>
      </c>
      <c r="G151">
        <v>133.5365721110293</v>
      </c>
    </row>
    <row r="152" spans="2:7" x14ac:dyDescent="0.2">
      <c r="B152">
        <f t="shared" si="8"/>
        <v>147</v>
      </c>
      <c r="C152" s="174">
        <v>127.51069927859608</v>
      </c>
      <c r="D152" s="186">
        <v>2.9878632969472161E-2</v>
      </c>
      <c r="E152">
        <f t="shared" si="6"/>
        <v>1</v>
      </c>
      <c r="F152" s="174">
        <f t="shared" si="7"/>
        <v>127.51069927859608</v>
      </c>
      <c r="G152">
        <v>133.44005177543477</v>
      </c>
    </row>
    <row r="153" spans="2:7" x14ac:dyDescent="0.2">
      <c r="B153">
        <f t="shared" si="8"/>
        <v>148</v>
      </c>
      <c r="C153" s="174">
        <v>77.453344369367514</v>
      </c>
      <c r="D153" s="186">
        <v>1.1319661036731139E-2</v>
      </c>
      <c r="E153">
        <f t="shared" si="6"/>
        <v>1</v>
      </c>
      <c r="F153" s="174">
        <f t="shared" si="7"/>
        <v>77.453344369367514</v>
      </c>
      <c r="G153">
        <v>133.36852463057713</v>
      </c>
    </row>
    <row r="154" spans="2:7" x14ac:dyDescent="0.2">
      <c r="B154">
        <f t="shared" si="8"/>
        <v>149</v>
      </c>
      <c r="C154" s="174">
        <v>150.96915697240664</v>
      </c>
      <c r="D154" s="186">
        <v>3.0353858666409297E-2</v>
      </c>
      <c r="E154">
        <f t="shared" si="6"/>
        <v>1</v>
      </c>
      <c r="F154" s="174">
        <f t="shared" si="7"/>
        <v>150.96915697240664</v>
      </c>
      <c r="G154">
        <v>133.20779610013059</v>
      </c>
    </row>
    <row r="155" spans="2:7" x14ac:dyDescent="0.2">
      <c r="B155">
        <f t="shared" si="8"/>
        <v>150</v>
      </c>
      <c r="C155" s="174">
        <v>98.807315352644778</v>
      </c>
      <c r="D155" s="186">
        <v>2.3136119393713961E-2</v>
      </c>
      <c r="E155">
        <f t="shared" si="6"/>
        <v>1</v>
      </c>
      <c r="F155" s="174">
        <f t="shared" si="7"/>
        <v>98.807315352644778</v>
      </c>
      <c r="G155">
        <v>132.86302473473035</v>
      </c>
    </row>
    <row r="156" spans="2:7" x14ac:dyDescent="0.2">
      <c r="B156">
        <f t="shared" si="8"/>
        <v>151</v>
      </c>
      <c r="C156" s="174">
        <v>111.75388415957592</v>
      </c>
      <c r="D156" s="186">
        <v>2.4672578294378796E-2</v>
      </c>
      <c r="E156">
        <f t="shared" si="6"/>
        <v>1</v>
      </c>
      <c r="F156" s="174">
        <f t="shared" si="7"/>
        <v>111.75388415957592</v>
      </c>
      <c r="G156">
        <v>132.75358611744255</v>
      </c>
    </row>
    <row r="157" spans="2:7" x14ac:dyDescent="0.2">
      <c r="B157">
        <f t="shared" si="8"/>
        <v>152</v>
      </c>
      <c r="C157" s="174">
        <v>78.283593081786165</v>
      </c>
      <c r="D157" s="186">
        <v>1.5253033496466267E-2</v>
      </c>
      <c r="E157">
        <f t="shared" si="6"/>
        <v>1</v>
      </c>
      <c r="F157" s="174">
        <f t="shared" si="7"/>
        <v>78.283593081786165</v>
      </c>
      <c r="G157">
        <v>132.33645569871291</v>
      </c>
    </row>
    <row r="158" spans="2:7" x14ac:dyDescent="0.2">
      <c r="B158">
        <f t="shared" si="8"/>
        <v>153</v>
      </c>
      <c r="C158" s="174">
        <v>105.74516383421054</v>
      </c>
      <c r="D158" s="186">
        <v>2.5672946776943265E-2</v>
      </c>
      <c r="E158">
        <f t="shared" si="6"/>
        <v>1</v>
      </c>
      <c r="F158" s="174">
        <f t="shared" si="7"/>
        <v>105.74516383421054</v>
      </c>
      <c r="G158">
        <v>131.67352019274711</v>
      </c>
    </row>
    <row r="159" spans="2:7" x14ac:dyDescent="0.2">
      <c r="B159">
        <f t="shared" si="8"/>
        <v>154</v>
      </c>
      <c r="C159" s="174">
        <v>93.296187636761118</v>
      </c>
      <c r="D159" s="186">
        <v>1.8725783730072457E-2</v>
      </c>
      <c r="E159">
        <f t="shared" si="6"/>
        <v>1</v>
      </c>
      <c r="F159" s="174">
        <f t="shared" si="7"/>
        <v>93.296187636761118</v>
      </c>
      <c r="G159">
        <v>131.47094491827531</v>
      </c>
    </row>
    <row r="160" spans="2:7" x14ac:dyDescent="0.2">
      <c r="B160">
        <f t="shared" si="8"/>
        <v>155</v>
      </c>
      <c r="C160" s="174">
        <v>74.286931581729959</v>
      </c>
      <c r="D160" s="186">
        <v>1.2434427040935836E-2</v>
      </c>
      <c r="E160">
        <f t="shared" si="6"/>
        <v>1</v>
      </c>
      <c r="F160" s="174">
        <f t="shared" si="7"/>
        <v>74.286931581729959</v>
      </c>
      <c r="G160">
        <v>131.28058699588954</v>
      </c>
    </row>
    <row r="161" spans="2:7" x14ac:dyDescent="0.2">
      <c r="B161">
        <f t="shared" si="8"/>
        <v>156</v>
      </c>
      <c r="C161" s="174">
        <v>93.445755052100878</v>
      </c>
      <c r="D161" s="186">
        <v>9.5837469226653683E-3</v>
      </c>
      <c r="E161">
        <f t="shared" si="6"/>
        <v>1</v>
      </c>
      <c r="F161" s="174">
        <f t="shared" si="7"/>
        <v>93.445755052100878</v>
      </c>
      <c r="G161">
        <v>130.90857102581768</v>
      </c>
    </row>
    <row r="162" spans="2:7" x14ac:dyDescent="0.2">
      <c r="B162">
        <f t="shared" si="8"/>
        <v>157</v>
      </c>
      <c r="C162" s="174">
        <v>131.73878837166822</v>
      </c>
      <c r="D162" s="186">
        <v>1.6672375715898084E-2</v>
      </c>
      <c r="E162">
        <f t="shared" si="6"/>
        <v>1</v>
      </c>
      <c r="F162" s="174">
        <f t="shared" si="7"/>
        <v>131.73878837166822</v>
      </c>
      <c r="G162">
        <v>130.63914036968339</v>
      </c>
    </row>
    <row r="163" spans="2:7" x14ac:dyDescent="0.2">
      <c r="B163">
        <f t="shared" si="8"/>
        <v>158</v>
      </c>
      <c r="C163" s="174">
        <v>113.42840223478063</v>
      </c>
      <c r="D163" s="186">
        <v>2.2706331739108784E-2</v>
      </c>
      <c r="E163">
        <f t="shared" si="6"/>
        <v>1</v>
      </c>
      <c r="F163" s="174">
        <f t="shared" si="7"/>
        <v>113.42840223478063</v>
      </c>
      <c r="G163">
        <v>130.33057062575563</v>
      </c>
    </row>
    <row r="164" spans="2:7" x14ac:dyDescent="0.2">
      <c r="B164">
        <f t="shared" si="8"/>
        <v>159</v>
      </c>
      <c r="C164" s="174">
        <v>96.894889039283981</v>
      </c>
      <c r="D164" s="186">
        <v>1.2267130397933713E-2</v>
      </c>
      <c r="E164">
        <f t="shared" si="6"/>
        <v>1</v>
      </c>
      <c r="F164" s="174">
        <f t="shared" si="7"/>
        <v>96.894889039283981</v>
      </c>
      <c r="G164">
        <v>129.96379040999267</v>
      </c>
    </row>
    <row r="165" spans="2:7" x14ac:dyDescent="0.2">
      <c r="B165">
        <f t="shared" si="8"/>
        <v>160</v>
      </c>
      <c r="C165" s="174">
        <v>94.126070752539448</v>
      </c>
      <c r="D165" s="186">
        <v>3.3850822298694516E-2</v>
      </c>
      <c r="E165">
        <f t="shared" si="6"/>
        <v>1</v>
      </c>
      <c r="F165" s="174">
        <f t="shared" si="7"/>
        <v>94.126070752539448</v>
      </c>
      <c r="G165">
        <v>129.00002892466415</v>
      </c>
    </row>
    <row r="166" spans="2:7" x14ac:dyDescent="0.2">
      <c r="B166">
        <f t="shared" si="8"/>
        <v>161</v>
      </c>
      <c r="C166" s="174">
        <v>92.231370273183614</v>
      </c>
      <c r="D166" s="186">
        <v>2.9523612083623481E-2</v>
      </c>
      <c r="E166">
        <f t="shared" si="6"/>
        <v>1</v>
      </c>
      <c r="F166" s="174">
        <f t="shared" si="7"/>
        <v>92.231370273183614</v>
      </c>
      <c r="G166">
        <v>128.35520057431663</v>
      </c>
    </row>
    <row r="167" spans="2:7" x14ac:dyDescent="0.2">
      <c r="B167">
        <f t="shared" si="8"/>
        <v>162</v>
      </c>
      <c r="C167" s="174">
        <v>49.605222728256784</v>
      </c>
      <c r="D167" s="186">
        <v>6.0157800422546825E-3</v>
      </c>
      <c r="E167">
        <f t="shared" si="6"/>
        <v>1</v>
      </c>
      <c r="F167" s="174">
        <f t="shared" si="7"/>
        <v>49.605222728256784</v>
      </c>
      <c r="G167">
        <v>127.78807658886319</v>
      </c>
    </row>
    <row r="168" spans="2:7" x14ac:dyDescent="0.2">
      <c r="B168">
        <f t="shared" si="8"/>
        <v>163</v>
      </c>
      <c r="C168" s="174">
        <v>124.05392024927923</v>
      </c>
      <c r="D168" s="186">
        <v>9.4994478437249643E-3</v>
      </c>
      <c r="E168">
        <f t="shared" si="6"/>
        <v>1</v>
      </c>
      <c r="F168" s="174">
        <f t="shared" si="7"/>
        <v>124.05392024927923</v>
      </c>
      <c r="G168">
        <v>127.74969332014248</v>
      </c>
    </row>
    <row r="169" spans="2:7" x14ac:dyDescent="0.2">
      <c r="B169">
        <f t="shared" si="8"/>
        <v>164</v>
      </c>
      <c r="C169" s="174">
        <v>131.97492639173061</v>
      </c>
      <c r="D169" s="186">
        <v>1.6774659298780255E-2</v>
      </c>
      <c r="E169">
        <f t="shared" si="6"/>
        <v>1</v>
      </c>
      <c r="F169" s="174">
        <f t="shared" si="7"/>
        <v>131.97492639173061</v>
      </c>
      <c r="G169">
        <v>127.67895808819647</v>
      </c>
    </row>
    <row r="170" spans="2:7" x14ac:dyDescent="0.2">
      <c r="B170">
        <f t="shared" si="8"/>
        <v>165</v>
      </c>
      <c r="C170" s="174">
        <v>102.68636566764049</v>
      </c>
      <c r="D170" s="186">
        <v>1.4384437308200835E-2</v>
      </c>
      <c r="E170">
        <f t="shared" si="6"/>
        <v>1</v>
      </c>
      <c r="F170" s="174">
        <f t="shared" si="7"/>
        <v>102.68636566764049</v>
      </c>
      <c r="G170">
        <v>127.57865592850514</v>
      </c>
    </row>
    <row r="171" spans="2:7" x14ac:dyDescent="0.2">
      <c r="B171">
        <f t="shared" si="8"/>
        <v>166</v>
      </c>
      <c r="C171" s="174">
        <v>118.41316363076264</v>
      </c>
      <c r="D171" s="186">
        <v>2.6102769143813435E-2</v>
      </c>
      <c r="E171">
        <f t="shared" si="6"/>
        <v>1</v>
      </c>
      <c r="F171" s="174">
        <f t="shared" si="7"/>
        <v>118.41316363076264</v>
      </c>
      <c r="G171">
        <v>127.52650342536012</v>
      </c>
    </row>
    <row r="172" spans="2:7" x14ac:dyDescent="0.2">
      <c r="B172">
        <f t="shared" si="8"/>
        <v>167</v>
      </c>
      <c r="C172" s="174">
        <v>146.74593209366023</v>
      </c>
      <c r="D172" s="186">
        <v>2.6378833983272846E-2</v>
      </c>
      <c r="E172">
        <f t="shared" si="6"/>
        <v>1</v>
      </c>
      <c r="F172" s="174">
        <f t="shared" si="7"/>
        <v>146.74593209366023</v>
      </c>
      <c r="G172">
        <v>127.44534923406692</v>
      </c>
    </row>
    <row r="173" spans="2:7" x14ac:dyDescent="0.2">
      <c r="B173">
        <f t="shared" si="8"/>
        <v>168</v>
      </c>
      <c r="C173" s="174">
        <v>175.71373401085143</v>
      </c>
      <c r="D173" s="186">
        <v>3.3437279686499156E-2</v>
      </c>
      <c r="E173">
        <f t="shared" si="6"/>
        <v>1</v>
      </c>
      <c r="F173" s="174">
        <f t="shared" si="7"/>
        <v>175.71373401085143</v>
      </c>
      <c r="G173">
        <v>126.76243974047026</v>
      </c>
    </row>
    <row r="174" spans="2:7" x14ac:dyDescent="0.2">
      <c r="B174">
        <f t="shared" si="8"/>
        <v>169</v>
      </c>
      <c r="C174" s="174">
        <v>87.207130339312613</v>
      </c>
      <c r="D174" s="186">
        <v>2.4466560501669937E-2</v>
      </c>
      <c r="E174">
        <f t="shared" si="6"/>
        <v>1</v>
      </c>
      <c r="F174" s="174">
        <f t="shared" si="7"/>
        <v>87.207130339312613</v>
      </c>
      <c r="G174">
        <v>126.28814297269275</v>
      </c>
    </row>
    <row r="175" spans="2:7" x14ac:dyDescent="0.2">
      <c r="B175">
        <f t="shared" si="8"/>
        <v>170</v>
      </c>
      <c r="C175" s="174">
        <v>121.59809763200521</v>
      </c>
      <c r="D175" s="186">
        <v>3.6514061238681117E-2</v>
      </c>
      <c r="E175">
        <f t="shared" si="6"/>
        <v>0</v>
      </c>
      <c r="F175" s="174" t="str">
        <f t="shared" si="7"/>
        <v/>
      </c>
      <c r="G175">
        <v>126.15080855219966</v>
      </c>
    </row>
    <row r="176" spans="2:7" x14ac:dyDescent="0.2">
      <c r="B176">
        <f t="shared" si="8"/>
        <v>171</v>
      </c>
      <c r="C176" s="174">
        <v>112.41071800360142</v>
      </c>
      <c r="D176" s="186">
        <v>1.2366865402421158E-2</v>
      </c>
      <c r="E176">
        <f t="shared" si="6"/>
        <v>1</v>
      </c>
      <c r="F176" s="174">
        <f t="shared" si="7"/>
        <v>112.41071800360142</v>
      </c>
      <c r="G176">
        <v>126.08070215090268</v>
      </c>
    </row>
    <row r="177" spans="2:7" x14ac:dyDescent="0.2">
      <c r="B177">
        <f t="shared" si="8"/>
        <v>172</v>
      </c>
      <c r="C177" s="174">
        <v>80.836499903214104</v>
      </c>
      <c r="D177" s="186">
        <v>2.9221899334779592E-2</v>
      </c>
      <c r="E177">
        <f t="shared" si="6"/>
        <v>1</v>
      </c>
      <c r="F177" s="174">
        <f t="shared" si="7"/>
        <v>80.836499903214104</v>
      </c>
      <c r="G177">
        <v>125.96239797470814</v>
      </c>
    </row>
    <row r="178" spans="2:7" x14ac:dyDescent="0.2">
      <c r="B178">
        <f t="shared" si="8"/>
        <v>173</v>
      </c>
      <c r="C178" s="174">
        <v>91.652678070486388</v>
      </c>
      <c r="D178" s="186">
        <v>2.7314322192726861E-2</v>
      </c>
      <c r="E178">
        <f t="shared" si="6"/>
        <v>1</v>
      </c>
      <c r="F178" s="174">
        <f t="shared" si="7"/>
        <v>91.652678070486388</v>
      </c>
      <c r="G178">
        <v>125.8827127784965</v>
      </c>
    </row>
    <row r="179" spans="2:7" x14ac:dyDescent="0.2">
      <c r="B179">
        <f t="shared" si="8"/>
        <v>174</v>
      </c>
      <c r="C179" s="174">
        <v>118.91501340140718</v>
      </c>
      <c r="D179" s="186">
        <v>1.8892662243080342E-2</v>
      </c>
      <c r="E179">
        <f t="shared" si="6"/>
        <v>1</v>
      </c>
      <c r="F179" s="174">
        <f t="shared" si="7"/>
        <v>118.91501340140718</v>
      </c>
      <c r="G179">
        <v>125.58016861598816</v>
      </c>
    </row>
    <row r="180" spans="2:7" x14ac:dyDescent="0.2">
      <c r="B180">
        <f t="shared" si="8"/>
        <v>175</v>
      </c>
      <c r="C180" s="174">
        <v>89.946259475589116</v>
      </c>
      <c r="D180" s="186">
        <v>1.6024467507526591E-2</v>
      </c>
      <c r="E180">
        <f t="shared" si="6"/>
        <v>1</v>
      </c>
      <c r="F180" s="174">
        <f t="shared" si="7"/>
        <v>89.946259475589116</v>
      </c>
      <c r="G180">
        <v>125.22548332433354</v>
      </c>
    </row>
    <row r="181" spans="2:7" x14ac:dyDescent="0.2">
      <c r="B181">
        <f t="shared" si="8"/>
        <v>176</v>
      </c>
      <c r="C181" s="174">
        <v>133.31316651049318</v>
      </c>
      <c r="D181" s="186">
        <v>2.5219490789446637E-2</v>
      </c>
      <c r="E181">
        <f t="shared" si="6"/>
        <v>1</v>
      </c>
      <c r="F181" s="174">
        <f t="shared" si="7"/>
        <v>133.31316651049318</v>
      </c>
      <c r="G181">
        <v>124.85002341014972</v>
      </c>
    </row>
    <row r="182" spans="2:7" x14ac:dyDescent="0.2">
      <c r="B182">
        <f t="shared" si="8"/>
        <v>177</v>
      </c>
      <c r="C182" s="174">
        <v>110.11676216218738</v>
      </c>
      <c r="D182" s="186">
        <v>3.2833832712654012E-2</v>
      </c>
      <c r="E182">
        <f t="shared" si="6"/>
        <v>1</v>
      </c>
      <c r="F182" s="174">
        <f t="shared" si="7"/>
        <v>110.11676216218738</v>
      </c>
      <c r="G182">
        <v>124.83083991662608</v>
      </c>
    </row>
    <row r="183" spans="2:7" x14ac:dyDescent="0.2">
      <c r="B183">
        <f t="shared" si="8"/>
        <v>178</v>
      </c>
      <c r="C183" s="174">
        <v>130.35785142167799</v>
      </c>
      <c r="D183" s="186">
        <v>2.9444855940056233E-2</v>
      </c>
      <c r="E183">
        <f t="shared" si="6"/>
        <v>1</v>
      </c>
      <c r="F183" s="174">
        <f t="shared" si="7"/>
        <v>130.35785142167799</v>
      </c>
      <c r="G183">
        <v>124.8155471198793</v>
      </c>
    </row>
    <row r="184" spans="2:7" x14ac:dyDescent="0.2">
      <c r="B184">
        <f t="shared" si="8"/>
        <v>179</v>
      </c>
      <c r="C184" s="174">
        <v>142.07710918416413</v>
      </c>
      <c r="D184" s="186">
        <v>1.7565880331406932E-2</v>
      </c>
      <c r="E184">
        <f t="shared" si="6"/>
        <v>1</v>
      </c>
      <c r="F184" s="174">
        <f t="shared" si="7"/>
        <v>142.07710918416413</v>
      </c>
      <c r="G184">
        <v>124.5509331934157</v>
      </c>
    </row>
    <row r="185" spans="2:7" x14ac:dyDescent="0.2">
      <c r="B185">
        <f t="shared" si="8"/>
        <v>180</v>
      </c>
      <c r="C185" s="174">
        <v>106.72664176997661</v>
      </c>
      <c r="D185" s="186">
        <v>5.8453239905362575E-3</v>
      </c>
      <c r="E185">
        <f t="shared" si="6"/>
        <v>1</v>
      </c>
      <c r="F185" s="174">
        <f t="shared" si="7"/>
        <v>106.72664176997661</v>
      </c>
      <c r="G185">
        <v>124.52362833634837</v>
      </c>
    </row>
    <row r="186" spans="2:7" x14ac:dyDescent="0.2">
      <c r="B186">
        <f t="shared" si="8"/>
        <v>181</v>
      </c>
      <c r="C186" s="174">
        <v>119.89461985711802</v>
      </c>
      <c r="D186" s="186">
        <v>2.5147845027781487E-2</v>
      </c>
      <c r="E186">
        <f t="shared" si="6"/>
        <v>1</v>
      </c>
      <c r="F186" s="174">
        <f t="shared" si="7"/>
        <v>119.89461985711802</v>
      </c>
      <c r="G186">
        <v>124.36169214008251</v>
      </c>
    </row>
    <row r="187" spans="2:7" x14ac:dyDescent="0.2">
      <c r="B187">
        <f t="shared" si="8"/>
        <v>182</v>
      </c>
      <c r="C187" s="174">
        <v>140.25363188817602</v>
      </c>
      <c r="D187" s="186">
        <v>4.2984352550785761E-2</v>
      </c>
      <c r="E187">
        <f t="shared" si="6"/>
        <v>0</v>
      </c>
      <c r="F187" s="174" t="str">
        <f t="shared" si="7"/>
        <v/>
      </c>
      <c r="G187">
        <v>124.06580360067278</v>
      </c>
    </row>
    <row r="188" spans="2:7" x14ac:dyDescent="0.2">
      <c r="B188">
        <f t="shared" si="8"/>
        <v>183</v>
      </c>
      <c r="C188" s="174">
        <v>85.134445605095905</v>
      </c>
      <c r="D188" s="186">
        <v>3.059113687126187E-2</v>
      </c>
      <c r="E188">
        <f t="shared" si="6"/>
        <v>1</v>
      </c>
      <c r="F188" s="174">
        <f t="shared" si="7"/>
        <v>85.134445605095905</v>
      </c>
      <c r="G188">
        <v>123.9872668046508</v>
      </c>
    </row>
    <row r="189" spans="2:7" x14ac:dyDescent="0.2">
      <c r="B189">
        <f t="shared" si="8"/>
        <v>184</v>
      </c>
      <c r="C189" s="174">
        <v>73.811046466846165</v>
      </c>
      <c r="D189" s="186">
        <v>2.8135686152649216E-2</v>
      </c>
      <c r="E189">
        <f t="shared" si="6"/>
        <v>1</v>
      </c>
      <c r="F189" s="174">
        <f t="shared" si="7"/>
        <v>73.811046466846165</v>
      </c>
      <c r="G189">
        <v>122.64978107475595</v>
      </c>
    </row>
    <row r="190" spans="2:7" x14ac:dyDescent="0.2">
      <c r="B190">
        <f t="shared" si="8"/>
        <v>185</v>
      </c>
      <c r="C190" s="174">
        <v>91.242911629492653</v>
      </c>
      <c r="D190" s="186">
        <v>7.3749384580353832E-3</v>
      </c>
      <c r="E190">
        <f t="shared" si="6"/>
        <v>1</v>
      </c>
      <c r="F190" s="174">
        <f t="shared" si="7"/>
        <v>91.242911629492653</v>
      </c>
      <c r="G190">
        <v>122.40001637711728</v>
      </c>
    </row>
    <row r="191" spans="2:7" x14ac:dyDescent="0.2">
      <c r="B191">
        <f t="shared" si="8"/>
        <v>186</v>
      </c>
      <c r="C191" s="174">
        <v>106.51383138037511</v>
      </c>
      <c r="D191" s="186">
        <v>1.0707304917165724E-3</v>
      </c>
      <c r="E191">
        <f t="shared" si="6"/>
        <v>1</v>
      </c>
      <c r="F191" s="174">
        <f t="shared" si="7"/>
        <v>106.51383138037511</v>
      </c>
      <c r="G191">
        <v>121.93678390474277</v>
      </c>
    </row>
    <row r="192" spans="2:7" x14ac:dyDescent="0.2">
      <c r="B192">
        <f t="shared" si="8"/>
        <v>187</v>
      </c>
      <c r="C192" s="174">
        <v>117.26078587569401</v>
      </c>
      <c r="D192" s="186">
        <v>3.2504125630623243E-2</v>
      </c>
      <c r="E192">
        <f t="shared" si="6"/>
        <v>1</v>
      </c>
      <c r="F192" s="174">
        <f t="shared" si="7"/>
        <v>117.26078587569401</v>
      </c>
      <c r="G192">
        <v>121.75287399630224</v>
      </c>
    </row>
    <row r="193" spans="2:7" x14ac:dyDescent="0.2">
      <c r="B193">
        <f t="shared" si="8"/>
        <v>188</v>
      </c>
      <c r="C193" s="174">
        <v>175.16201194095353</v>
      </c>
      <c r="D193" s="186">
        <v>2.6844031593201614E-2</v>
      </c>
      <c r="E193">
        <f t="shared" si="6"/>
        <v>1</v>
      </c>
      <c r="F193" s="174">
        <f t="shared" si="7"/>
        <v>175.16201194095353</v>
      </c>
      <c r="G193">
        <v>121.58689742299725</v>
      </c>
    </row>
    <row r="194" spans="2:7" x14ac:dyDescent="0.2">
      <c r="B194">
        <f t="shared" si="8"/>
        <v>189</v>
      </c>
      <c r="C194" s="174">
        <v>135.84317741951563</v>
      </c>
      <c r="D194" s="186">
        <v>3.1038459492591514E-2</v>
      </c>
      <c r="E194">
        <f t="shared" si="6"/>
        <v>1</v>
      </c>
      <c r="F194" s="174">
        <f t="shared" si="7"/>
        <v>135.84317741951563</v>
      </c>
      <c r="G194">
        <v>121.57307566413186</v>
      </c>
    </row>
    <row r="195" spans="2:7" x14ac:dyDescent="0.2">
      <c r="B195">
        <f t="shared" si="8"/>
        <v>190</v>
      </c>
      <c r="C195" s="174">
        <v>105.96958263966144</v>
      </c>
      <c r="D195" s="186">
        <v>4.0406228187240212E-2</v>
      </c>
      <c r="E195">
        <f t="shared" si="6"/>
        <v>0</v>
      </c>
      <c r="F195" s="174" t="str">
        <f t="shared" si="7"/>
        <v/>
      </c>
      <c r="G195">
        <v>121.46389766810719</v>
      </c>
    </row>
    <row r="196" spans="2:7" x14ac:dyDescent="0.2">
      <c r="B196">
        <f t="shared" si="8"/>
        <v>191</v>
      </c>
      <c r="C196" s="174">
        <v>97.325633567643123</v>
      </c>
      <c r="D196" s="186">
        <v>1.172540687152223E-2</v>
      </c>
      <c r="E196">
        <f t="shared" si="6"/>
        <v>1</v>
      </c>
      <c r="F196" s="174">
        <f t="shared" si="7"/>
        <v>97.325633567643123</v>
      </c>
      <c r="G196">
        <v>120.94807563722269</v>
      </c>
    </row>
    <row r="197" spans="2:7" x14ac:dyDescent="0.2">
      <c r="B197">
        <f t="shared" si="8"/>
        <v>192</v>
      </c>
      <c r="C197" s="174">
        <v>86.481940789217859</v>
      </c>
      <c r="D197" s="186">
        <v>5.4742139243036383E-3</v>
      </c>
      <c r="E197">
        <f t="shared" si="6"/>
        <v>1</v>
      </c>
      <c r="F197" s="174">
        <f t="shared" si="7"/>
        <v>86.481940789217859</v>
      </c>
      <c r="G197">
        <v>120.93526281807519</v>
      </c>
    </row>
    <row r="198" spans="2:7" x14ac:dyDescent="0.2">
      <c r="B198">
        <f t="shared" si="8"/>
        <v>193</v>
      </c>
      <c r="C198" s="174">
        <v>93.214440861666333</v>
      </c>
      <c r="D198" s="186">
        <v>2.7162337407205417E-2</v>
      </c>
      <c r="E198">
        <f t="shared" ref="E198:E261" si="9">IF(AND(D198&gt;0,D198&lt;=$D$2),1,0)</f>
        <v>1</v>
      </c>
      <c r="F198" s="174">
        <f t="shared" ref="F198:G261" si="10">IF(E198=1,C198,"")</f>
        <v>93.214440861666333</v>
      </c>
      <c r="G198">
        <v>120.6125660962211</v>
      </c>
    </row>
    <row r="199" spans="2:7" x14ac:dyDescent="0.2">
      <c r="B199">
        <f t="shared" ref="B199:B262" si="11">B198+1</f>
        <v>194</v>
      </c>
      <c r="C199" s="174">
        <v>108.57045505609329</v>
      </c>
      <c r="D199" s="186">
        <v>1.6538021962940914E-2</v>
      </c>
      <c r="E199">
        <f t="shared" si="9"/>
        <v>1</v>
      </c>
      <c r="F199" s="174">
        <f t="shared" si="10"/>
        <v>108.57045505609329</v>
      </c>
      <c r="G199">
        <v>120.10341743642566</v>
      </c>
    </row>
    <row r="200" spans="2:7" x14ac:dyDescent="0.2">
      <c r="B200">
        <f t="shared" si="11"/>
        <v>195</v>
      </c>
      <c r="C200" s="174">
        <v>83.739431658379715</v>
      </c>
      <c r="D200" s="186">
        <v>2.0287978745740249E-2</v>
      </c>
      <c r="E200">
        <f t="shared" si="9"/>
        <v>1</v>
      </c>
      <c r="F200" s="174">
        <f t="shared" si="10"/>
        <v>83.739431658379715</v>
      </c>
      <c r="G200">
        <v>120.05854567963594</v>
      </c>
    </row>
    <row r="201" spans="2:7" x14ac:dyDescent="0.2">
      <c r="B201">
        <f t="shared" si="11"/>
        <v>196</v>
      </c>
      <c r="C201" s="174">
        <v>251.94265909643488</v>
      </c>
      <c r="D201" s="186">
        <v>3.8358511793213645E-2</v>
      </c>
      <c r="E201">
        <f t="shared" si="9"/>
        <v>0</v>
      </c>
      <c r="F201" s="174" t="str">
        <f t="shared" si="10"/>
        <v/>
      </c>
      <c r="G201">
        <v>119.52619259374184</v>
      </c>
    </row>
    <row r="202" spans="2:7" x14ac:dyDescent="0.2">
      <c r="B202">
        <f t="shared" si="11"/>
        <v>197</v>
      </c>
      <c r="C202" s="174">
        <v>109.49176095920616</v>
      </c>
      <c r="D202" s="186">
        <v>3.2091024310190168E-2</v>
      </c>
      <c r="E202">
        <f t="shared" si="9"/>
        <v>1</v>
      </c>
      <c r="F202" s="174">
        <f t="shared" si="10"/>
        <v>109.49176095920616</v>
      </c>
      <c r="G202">
        <v>119.51768493642805</v>
      </c>
    </row>
    <row r="203" spans="2:7" x14ac:dyDescent="0.2">
      <c r="B203">
        <f t="shared" si="11"/>
        <v>198</v>
      </c>
      <c r="C203" s="174">
        <v>70.349880813266225</v>
      </c>
      <c r="D203" s="186">
        <v>2.7954134610256032E-2</v>
      </c>
      <c r="E203">
        <f t="shared" si="9"/>
        <v>1</v>
      </c>
      <c r="F203" s="174">
        <f t="shared" si="10"/>
        <v>70.349880813266225</v>
      </c>
      <c r="G203">
        <v>119.4216156524551</v>
      </c>
    </row>
    <row r="204" spans="2:7" x14ac:dyDescent="0.2">
      <c r="B204">
        <f t="shared" si="11"/>
        <v>199</v>
      </c>
      <c r="C204" s="174">
        <v>88.419043582635396</v>
      </c>
      <c r="D204" s="186">
        <v>2.9940588570527442E-2</v>
      </c>
      <c r="E204">
        <f t="shared" si="9"/>
        <v>1</v>
      </c>
      <c r="F204" s="174">
        <f t="shared" si="10"/>
        <v>88.419043582635396</v>
      </c>
      <c r="G204">
        <v>119.11098778890316</v>
      </c>
    </row>
    <row r="205" spans="2:7" x14ac:dyDescent="0.2">
      <c r="B205">
        <f t="shared" si="11"/>
        <v>200</v>
      </c>
      <c r="C205" s="174">
        <v>98.862076970034934</v>
      </c>
      <c r="D205" s="186">
        <v>2.3848292930840273E-2</v>
      </c>
      <c r="E205">
        <f t="shared" si="9"/>
        <v>1</v>
      </c>
      <c r="F205" s="174">
        <f t="shared" si="10"/>
        <v>98.862076970034934</v>
      </c>
      <c r="G205">
        <v>119.08589543998752</v>
      </c>
    </row>
    <row r="206" spans="2:7" x14ac:dyDescent="0.2">
      <c r="B206">
        <f t="shared" si="11"/>
        <v>201</v>
      </c>
      <c r="C206" s="174">
        <v>65.677288600992441</v>
      </c>
      <c r="D206" s="186">
        <v>1.6816977504475167E-2</v>
      </c>
      <c r="E206">
        <f t="shared" si="9"/>
        <v>1</v>
      </c>
      <c r="F206" s="174">
        <f t="shared" si="10"/>
        <v>65.677288600992441</v>
      </c>
      <c r="G206">
        <v>119.07631967604445</v>
      </c>
    </row>
    <row r="207" spans="2:7" x14ac:dyDescent="0.2">
      <c r="B207">
        <f t="shared" si="11"/>
        <v>202</v>
      </c>
      <c r="C207" s="174">
        <v>150.7856805005726</v>
      </c>
      <c r="D207" s="186">
        <v>3.1758871377800903E-2</v>
      </c>
      <c r="E207">
        <f t="shared" si="9"/>
        <v>1</v>
      </c>
      <c r="F207" s="174">
        <f t="shared" si="10"/>
        <v>150.7856805005726</v>
      </c>
      <c r="G207">
        <v>119.06816961476454</v>
      </c>
    </row>
    <row r="208" spans="2:7" x14ac:dyDescent="0.2">
      <c r="B208">
        <f t="shared" si="11"/>
        <v>203</v>
      </c>
      <c r="C208" s="174">
        <v>77.344040104628434</v>
      </c>
      <c r="D208" s="186">
        <v>2.5254664293503471E-2</v>
      </c>
      <c r="E208">
        <f t="shared" si="9"/>
        <v>1</v>
      </c>
      <c r="F208" s="174">
        <f t="shared" si="10"/>
        <v>77.344040104628434</v>
      </c>
      <c r="G208">
        <v>119.06530122567932</v>
      </c>
    </row>
    <row r="209" spans="2:7" x14ac:dyDescent="0.2">
      <c r="B209">
        <f t="shared" si="11"/>
        <v>204</v>
      </c>
      <c r="C209" s="174">
        <v>121.90614511708579</v>
      </c>
      <c r="D209" s="186">
        <v>1.9061747677330363E-3</v>
      </c>
      <c r="E209">
        <f t="shared" si="9"/>
        <v>1</v>
      </c>
      <c r="F209" s="174">
        <f t="shared" si="10"/>
        <v>121.90614511708579</v>
      </c>
      <c r="G209">
        <v>118.93611601529553</v>
      </c>
    </row>
    <row r="210" spans="2:7" x14ac:dyDescent="0.2">
      <c r="B210">
        <f t="shared" si="11"/>
        <v>205</v>
      </c>
      <c r="C210" s="174">
        <v>121.81935004398822</v>
      </c>
      <c r="D210" s="186">
        <v>4.3423363642233793E-2</v>
      </c>
      <c r="E210">
        <f t="shared" si="9"/>
        <v>0</v>
      </c>
      <c r="F210" s="174" t="str">
        <f t="shared" si="10"/>
        <v/>
      </c>
      <c r="G210">
        <v>118.68422832275165</v>
      </c>
    </row>
    <row r="211" spans="2:7" x14ac:dyDescent="0.2">
      <c r="B211">
        <f t="shared" si="11"/>
        <v>206</v>
      </c>
      <c r="C211" s="174">
        <v>80.21857179405788</v>
      </c>
      <c r="D211" s="186">
        <v>2.6084365983831698E-2</v>
      </c>
      <c r="E211">
        <f t="shared" si="9"/>
        <v>1</v>
      </c>
      <c r="F211" s="174">
        <f t="shared" si="10"/>
        <v>80.21857179405788</v>
      </c>
      <c r="G211">
        <v>118.54233532011692</v>
      </c>
    </row>
    <row r="212" spans="2:7" x14ac:dyDescent="0.2">
      <c r="B212">
        <f t="shared" si="11"/>
        <v>207</v>
      </c>
      <c r="C212" s="174">
        <v>111.03169413006874</v>
      </c>
      <c r="D212" s="186">
        <v>3.7543784898083465E-2</v>
      </c>
      <c r="E212">
        <f t="shared" si="9"/>
        <v>0</v>
      </c>
      <c r="F212" s="174" t="str">
        <f t="shared" si="10"/>
        <v/>
      </c>
      <c r="G212">
        <v>118.53346218160638</v>
      </c>
    </row>
    <row r="213" spans="2:7" x14ac:dyDescent="0.2">
      <c r="B213">
        <f t="shared" si="11"/>
        <v>208</v>
      </c>
      <c r="C213" s="174">
        <v>111.69248732214261</v>
      </c>
      <c r="D213" s="186">
        <v>2.1756643589212903E-2</v>
      </c>
      <c r="E213">
        <f t="shared" si="9"/>
        <v>1</v>
      </c>
      <c r="F213" s="174">
        <f t="shared" si="10"/>
        <v>111.69248732214261</v>
      </c>
      <c r="G213">
        <v>118.35660373575378</v>
      </c>
    </row>
    <row r="214" spans="2:7" x14ac:dyDescent="0.2">
      <c r="B214">
        <f t="shared" si="11"/>
        <v>209</v>
      </c>
      <c r="C214" s="174">
        <v>104.81565496471121</v>
      </c>
      <c r="D214" s="186">
        <v>3.0414782497741818E-2</v>
      </c>
      <c r="E214">
        <f t="shared" si="9"/>
        <v>1</v>
      </c>
      <c r="F214" s="174">
        <f t="shared" si="10"/>
        <v>104.81565496471121</v>
      </c>
      <c r="G214">
        <v>118.35101940664332</v>
      </c>
    </row>
    <row r="215" spans="2:7" x14ac:dyDescent="0.2">
      <c r="B215">
        <f t="shared" si="11"/>
        <v>210</v>
      </c>
      <c r="C215" s="174">
        <v>79.717011653270944</v>
      </c>
      <c r="D215" s="186">
        <v>2.4492748653195021E-2</v>
      </c>
      <c r="E215">
        <f t="shared" si="9"/>
        <v>1</v>
      </c>
      <c r="F215" s="174">
        <f t="shared" si="10"/>
        <v>79.717011653270944</v>
      </c>
      <c r="G215">
        <v>118.22368550657312</v>
      </c>
    </row>
    <row r="216" spans="2:7" x14ac:dyDescent="0.2">
      <c r="B216">
        <f t="shared" si="11"/>
        <v>211</v>
      </c>
      <c r="C216" s="174">
        <v>77.353590377208434</v>
      </c>
      <c r="D216" s="186">
        <v>1.7204124355664402E-2</v>
      </c>
      <c r="E216">
        <f t="shared" si="9"/>
        <v>1</v>
      </c>
      <c r="F216" s="174">
        <f t="shared" si="10"/>
        <v>77.353590377208434</v>
      </c>
      <c r="G216">
        <v>118.16421780332335</v>
      </c>
    </row>
    <row r="217" spans="2:7" x14ac:dyDescent="0.2">
      <c r="B217">
        <f t="shared" si="11"/>
        <v>212</v>
      </c>
      <c r="C217" s="174">
        <v>91.718784359551492</v>
      </c>
      <c r="D217" s="186">
        <v>1.7589750198013166E-2</v>
      </c>
      <c r="E217">
        <f t="shared" si="9"/>
        <v>1</v>
      </c>
      <c r="F217" s="174">
        <f t="shared" si="10"/>
        <v>91.718784359551492</v>
      </c>
      <c r="G217">
        <v>118.07370490742663</v>
      </c>
    </row>
    <row r="218" spans="2:7" x14ac:dyDescent="0.2">
      <c r="B218">
        <f t="shared" si="11"/>
        <v>213</v>
      </c>
      <c r="C218" s="174">
        <v>119.6614197643398</v>
      </c>
      <c r="D218" s="186">
        <v>2.4016575489636649E-2</v>
      </c>
      <c r="E218">
        <f t="shared" si="9"/>
        <v>1</v>
      </c>
      <c r="F218" s="174">
        <f t="shared" si="10"/>
        <v>119.6614197643398</v>
      </c>
      <c r="G218">
        <v>117.81182084141</v>
      </c>
    </row>
    <row r="219" spans="2:7" x14ac:dyDescent="0.2">
      <c r="B219">
        <f t="shared" si="11"/>
        <v>214</v>
      </c>
      <c r="C219" s="174">
        <v>136.6367333011537</v>
      </c>
      <c r="D219" s="186">
        <v>4.2571615555937387E-2</v>
      </c>
      <c r="E219">
        <f t="shared" si="9"/>
        <v>0</v>
      </c>
      <c r="F219" s="174" t="str">
        <f t="shared" si="10"/>
        <v/>
      </c>
      <c r="G219">
        <v>117.42301873188177</v>
      </c>
    </row>
    <row r="220" spans="2:7" x14ac:dyDescent="0.2">
      <c r="B220">
        <f t="shared" si="11"/>
        <v>215</v>
      </c>
      <c r="C220" s="174">
        <v>132.35469862988552</v>
      </c>
      <c r="D220" s="186">
        <v>4.2917407662563481E-2</v>
      </c>
      <c r="E220">
        <f t="shared" si="9"/>
        <v>0</v>
      </c>
      <c r="F220" s="174" t="str">
        <f t="shared" si="10"/>
        <v/>
      </c>
      <c r="G220">
        <v>117.33988012642013</v>
      </c>
    </row>
    <row r="221" spans="2:7" x14ac:dyDescent="0.2">
      <c r="B221">
        <f t="shared" si="11"/>
        <v>216</v>
      </c>
      <c r="C221" s="174">
        <v>123.51565537777336</v>
      </c>
      <c r="D221" s="186">
        <v>2.0501546007918155E-2</v>
      </c>
      <c r="E221">
        <f t="shared" si="9"/>
        <v>1</v>
      </c>
      <c r="F221" s="174">
        <f t="shared" si="10"/>
        <v>123.51565537777336</v>
      </c>
      <c r="G221">
        <v>117.06414382019561</v>
      </c>
    </row>
    <row r="222" spans="2:7" x14ac:dyDescent="0.2">
      <c r="B222">
        <f t="shared" si="11"/>
        <v>217</v>
      </c>
      <c r="C222" s="174">
        <v>114.3493736207197</v>
      </c>
      <c r="D222" s="186">
        <v>1.6740686519940907E-2</v>
      </c>
      <c r="E222">
        <f t="shared" si="9"/>
        <v>1</v>
      </c>
      <c r="F222" s="174">
        <f t="shared" si="10"/>
        <v>114.3493736207197</v>
      </c>
      <c r="G222">
        <v>116.84943919858068</v>
      </c>
    </row>
    <row r="223" spans="2:7" x14ac:dyDescent="0.2">
      <c r="B223">
        <f t="shared" si="11"/>
        <v>218</v>
      </c>
      <c r="C223" s="174">
        <v>115.94900809762728</v>
      </c>
      <c r="D223" s="186">
        <v>1.5776484843899242E-2</v>
      </c>
      <c r="E223">
        <f t="shared" si="9"/>
        <v>1</v>
      </c>
      <c r="F223" s="174">
        <f t="shared" si="10"/>
        <v>115.94900809762728</v>
      </c>
      <c r="G223">
        <v>116.71684772429624</v>
      </c>
    </row>
    <row r="224" spans="2:7" x14ac:dyDescent="0.2">
      <c r="B224">
        <f t="shared" si="11"/>
        <v>219</v>
      </c>
      <c r="C224" s="174">
        <v>86.984941091930168</v>
      </c>
      <c r="D224" s="186">
        <v>3.6102795275602367E-2</v>
      </c>
      <c r="E224">
        <f t="shared" si="9"/>
        <v>0</v>
      </c>
      <c r="F224" s="174" t="str">
        <f t="shared" si="10"/>
        <v/>
      </c>
      <c r="G224">
        <v>116.65979936346932</v>
      </c>
    </row>
    <row r="225" spans="2:7" x14ac:dyDescent="0.2">
      <c r="B225">
        <f t="shared" si="11"/>
        <v>220</v>
      </c>
      <c r="C225" s="174">
        <v>77.998765387673657</v>
      </c>
      <c r="D225" s="186">
        <v>1.4525521436804285E-2</v>
      </c>
      <c r="E225">
        <f t="shared" si="9"/>
        <v>1</v>
      </c>
      <c r="F225" s="174">
        <f t="shared" si="10"/>
        <v>77.998765387673657</v>
      </c>
      <c r="G225">
        <v>116.55602271573622</v>
      </c>
    </row>
    <row r="226" spans="2:7" x14ac:dyDescent="0.2">
      <c r="B226">
        <f t="shared" si="11"/>
        <v>221</v>
      </c>
      <c r="C226" s="174">
        <v>136.26145272670882</v>
      </c>
      <c r="D226" s="186">
        <v>3.5094043327190259E-2</v>
      </c>
      <c r="E226">
        <f t="shared" si="9"/>
        <v>0</v>
      </c>
      <c r="F226" s="174" t="str">
        <f t="shared" si="10"/>
        <v/>
      </c>
      <c r="G226">
        <v>116.41200808162436</v>
      </c>
    </row>
    <row r="227" spans="2:7" x14ac:dyDescent="0.2">
      <c r="B227">
        <f t="shared" si="11"/>
        <v>222</v>
      </c>
      <c r="C227" s="174">
        <v>107.11904220617103</v>
      </c>
      <c r="D227" s="186">
        <v>3.2065927410915261E-2</v>
      </c>
      <c r="E227">
        <f t="shared" si="9"/>
        <v>1</v>
      </c>
      <c r="F227" s="174">
        <f t="shared" si="10"/>
        <v>107.11904220617103</v>
      </c>
      <c r="G227">
        <v>116.3423955081545</v>
      </c>
    </row>
    <row r="228" spans="2:7" x14ac:dyDescent="0.2">
      <c r="B228">
        <f t="shared" si="11"/>
        <v>223</v>
      </c>
      <c r="C228" s="174">
        <v>120.59949498993102</v>
      </c>
      <c r="D228" s="186">
        <v>1.7998357077265284E-2</v>
      </c>
      <c r="E228">
        <f t="shared" si="9"/>
        <v>1</v>
      </c>
      <c r="F228" s="174">
        <f t="shared" si="10"/>
        <v>120.59949498993102</v>
      </c>
      <c r="G228">
        <v>116.15338084642811</v>
      </c>
    </row>
    <row r="229" spans="2:7" x14ac:dyDescent="0.2">
      <c r="B229">
        <f t="shared" si="11"/>
        <v>224</v>
      </c>
      <c r="C229" s="174">
        <v>68.924776290828532</v>
      </c>
      <c r="D229" s="186">
        <v>2.0672764331264196E-2</v>
      </c>
      <c r="E229">
        <f t="shared" si="9"/>
        <v>1</v>
      </c>
      <c r="F229" s="174">
        <f t="shared" si="10"/>
        <v>68.924776290828532</v>
      </c>
      <c r="G229">
        <v>116.10898976634417</v>
      </c>
    </row>
    <row r="230" spans="2:7" x14ac:dyDescent="0.2">
      <c r="B230">
        <f t="shared" si="11"/>
        <v>225</v>
      </c>
      <c r="C230" s="174">
        <v>101.0617888555081</v>
      </c>
      <c r="D230" s="186">
        <v>3.7351484340397242E-2</v>
      </c>
      <c r="E230">
        <f t="shared" si="9"/>
        <v>0</v>
      </c>
      <c r="F230" s="174" t="str">
        <f t="shared" si="10"/>
        <v/>
      </c>
      <c r="G230">
        <v>115.55131860773342</v>
      </c>
    </row>
    <row r="231" spans="2:7" x14ac:dyDescent="0.2">
      <c r="B231">
        <f t="shared" si="11"/>
        <v>226</v>
      </c>
      <c r="C231" s="174">
        <v>65.473121700871644</v>
      </c>
      <c r="D231" s="186">
        <v>3.7295896692830267E-2</v>
      </c>
      <c r="E231">
        <f t="shared" si="9"/>
        <v>0</v>
      </c>
      <c r="F231" s="174" t="str">
        <f t="shared" si="10"/>
        <v/>
      </c>
      <c r="G231">
        <v>115.44713663101841</v>
      </c>
    </row>
    <row r="232" spans="2:7" x14ac:dyDescent="0.2">
      <c r="B232">
        <f t="shared" si="11"/>
        <v>227</v>
      </c>
      <c r="C232" s="174">
        <v>73.2340153599324</v>
      </c>
      <c r="D232" s="186">
        <v>3.9300228213515628E-2</v>
      </c>
      <c r="E232">
        <f t="shared" si="9"/>
        <v>0</v>
      </c>
      <c r="F232" s="174" t="str">
        <f t="shared" si="10"/>
        <v/>
      </c>
      <c r="G232">
        <v>115.41721678995306</v>
      </c>
    </row>
    <row r="233" spans="2:7" x14ac:dyDescent="0.2">
      <c r="B233">
        <f t="shared" si="11"/>
        <v>228</v>
      </c>
      <c r="C233" s="174">
        <v>112.21250727417411</v>
      </c>
      <c r="D233" s="186">
        <v>2.0585322127439069E-2</v>
      </c>
      <c r="E233">
        <f t="shared" si="9"/>
        <v>1</v>
      </c>
      <c r="F233" s="174">
        <f t="shared" si="10"/>
        <v>112.21250727417411</v>
      </c>
      <c r="G233">
        <v>115.32814600393056</v>
      </c>
    </row>
    <row r="234" spans="2:7" x14ac:dyDescent="0.2">
      <c r="B234">
        <f t="shared" si="11"/>
        <v>229</v>
      </c>
      <c r="C234" s="174">
        <v>119.47284598310661</v>
      </c>
      <c r="D234" s="186">
        <v>1.2883329284253555E-2</v>
      </c>
      <c r="E234">
        <f t="shared" si="9"/>
        <v>1</v>
      </c>
      <c r="F234" s="174">
        <f t="shared" si="10"/>
        <v>119.47284598310661</v>
      </c>
      <c r="G234">
        <v>115.07173827946814</v>
      </c>
    </row>
    <row r="235" spans="2:7" x14ac:dyDescent="0.2">
      <c r="B235">
        <f t="shared" si="11"/>
        <v>230</v>
      </c>
      <c r="C235" s="174">
        <v>156.12974188572417</v>
      </c>
      <c r="D235" s="186">
        <v>2.9302948424749266E-2</v>
      </c>
      <c r="E235">
        <f t="shared" si="9"/>
        <v>1</v>
      </c>
      <c r="F235" s="174">
        <f t="shared" si="10"/>
        <v>156.12974188572417</v>
      </c>
      <c r="G235">
        <v>114.68713958326975</v>
      </c>
    </row>
    <row r="236" spans="2:7" x14ac:dyDescent="0.2">
      <c r="B236">
        <f t="shared" si="11"/>
        <v>231</v>
      </c>
      <c r="C236" s="174">
        <v>108.4881853516754</v>
      </c>
      <c r="D236" s="186">
        <v>9.6138686163600197E-3</v>
      </c>
      <c r="E236">
        <f t="shared" si="9"/>
        <v>1</v>
      </c>
      <c r="F236" s="174">
        <f t="shared" si="10"/>
        <v>108.4881853516754</v>
      </c>
      <c r="G236">
        <v>114.51986682163667</v>
      </c>
    </row>
    <row r="237" spans="2:7" x14ac:dyDescent="0.2">
      <c r="B237">
        <f t="shared" si="11"/>
        <v>232</v>
      </c>
      <c r="C237" s="174">
        <v>110.84089251473239</v>
      </c>
      <c r="D237" s="186">
        <v>2.6112846582433867E-2</v>
      </c>
      <c r="E237">
        <f t="shared" si="9"/>
        <v>1</v>
      </c>
      <c r="F237" s="174">
        <f t="shared" si="10"/>
        <v>110.84089251473239</v>
      </c>
      <c r="G237">
        <v>114.38990534330846</v>
      </c>
    </row>
    <row r="238" spans="2:7" x14ac:dyDescent="0.2">
      <c r="B238">
        <f t="shared" si="11"/>
        <v>233</v>
      </c>
      <c r="C238" s="174">
        <v>94.877727243796201</v>
      </c>
      <c r="D238" s="186">
        <v>2.563377655391948E-2</v>
      </c>
      <c r="E238">
        <f t="shared" si="9"/>
        <v>1</v>
      </c>
      <c r="F238" s="174">
        <f t="shared" si="10"/>
        <v>94.877727243796201</v>
      </c>
      <c r="G238">
        <v>114.12278555246097</v>
      </c>
    </row>
    <row r="239" spans="2:7" x14ac:dyDescent="0.2">
      <c r="B239">
        <f t="shared" si="11"/>
        <v>234</v>
      </c>
      <c r="C239" s="174">
        <v>124.20008027954596</v>
      </c>
      <c r="D239" s="186">
        <v>3.6769918327090707E-2</v>
      </c>
      <c r="E239">
        <f t="shared" si="9"/>
        <v>0</v>
      </c>
      <c r="F239" s="174" t="str">
        <f t="shared" si="10"/>
        <v/>
      </c>
      <c r="G239">
        <v>113.93614751794685</v>
      </c>
    </row>
    <row r="240" spans="2:7" x14ac:dyDescent="0.2">
      <c r="B240">
        <f t="shared" si="11"/>
        <v>235</v>
      </c>
      <c r="C240" s="174">
        <v>75.919471486903248</v>
      </c>
      <c r="D240" s="186">
        <v>1.2887729241116237E-2</v>
      </c>
      <c r="E240">
        <f t="shared" si="9"/>
        <v>1</v>
      </c>
      <c r="F240" s="174">
        <f t="shared" si="10"/>
        <v>75.919471486903248</v>
      </c>
      <c r="G240">
        <v>113.76264652680756</v>
      </c>
    </row>
    <row r="241" spans="2:7" x14ac:dyDescent="0.2">
      <c r="B241">
        <f t="shared" si="11"/>
        <v>236</v>
      </c>
      <c r="C241" s="174">
        <v>107.37464656188017</v>
      </c>
      <c r="D241" s="186">
        <v>2.3053660129370466E-2</v>
      </c>
      <c r="E241">
        <f t="shared" si="9"/>
        <v>1</v>
      </c>
      <c r="F241" s="174">
        <f t="shared" si="10"/>
        <v>107.37464656188017</v>
      </c>
      <c r="G241">
        <v>113.71542017560905</v>
      </c>
    </row>
    <row r="242" spans="2:7" x14ac:dyDescent="0.2">
      <c r="B242">
        <f t="shared" si="11"/>
        <v>237</v>
      </c>
      <c r="C242" s="174">
        <v>179.54556226800233</v>
      </c>
      <c r="D242" s="186">
        <v>4.6384746466108955E-2</v>
      </c>
      <c r="E242">
        <f t="shared" si="9"/>
        <v>0</v>
      </c>
      <c r="F242" s="174" t="str">
        <f t="shared" si="10"/>
        <v/>
      </c>
      <c r="G242">
        <v>113.64542134906728</v>
      </c>
    </row>
    <row r="243" spans="2:7" x14ac:dyDescent="0.2">
      <c r="B243">
        <f t="shared" si="11"/>
        <v>238</v>
      </c>
      <c r="C243" s="174">
        <v>129.09676633675309</v>
      </c>
      <c r="D243" s="186">
        <v>3.0453217578872895E-2</v>
      </c>
      <c r="E243">
        <f t="shared" si="9"/>
        <v>1</v>
      </c>
      <c r="F243" s="174">
        <f t="shared" si="10"/>
        <v>129.09676633675309</v>
      </c>
      <c r="G243">
        <v>113.51869108263128</v>
      </c>
    </row>
    <row r="244" spans="2:7" x14ac:dyDescent="0.2">
      <c r="B244">
        <f t="shared" si="11"/>
        <v>239</v>
      </c>
      <c r="C244" s="174">
        <v>120.59429112627704</v>
      </c>
      <c r="D244" s="186">
        <v>1.4217482013192371E-2</v>
      </c>
      <c r="E244">
        <f t="shared" si="9"/>
        <v>1</v>
      </c>
      <c r="F244" s="174">
        <f t="shared" si="10"/>
        <v>120.59429112627704</v>
      </c>
      <c r="G244">
        <v>113.45673232160895</v>
      </c>
    </row>
    <row r="245" spans="2:7" x14ac:dyDescent="0.2">
      <c r="B245">
        <f t="shared" si="11"/>
        <v>240</v>
      </c>
      <c r="C245" s="174">
        <v>109.76268337274236</v>
      </c>
      <c r="D245" s="186">
        <v>2.1948258816719475E-2</v>
      </c>
      <c r="E245">
        <f t="shared" si="9"/>
        <v>1</v>
      </c>
      <c r="F245" s="174">
        <f t="shared" si="10"/>
        <v>109.76268337274236</v>
      </c>
      <c r="G245">
        <v>113.38897585976795</v>
      </c>
    </row>
    <row r="246" spans="2:7" x14ac:dyDescent="0.2">
      <c r="B246">
        <f t="shared" si="11"/>
        <v>241</v>
      </c>
      <c r="C246" s="174">
        <v>105.6521211783148</v>
      </c>
      <c r="D246" s="186">
        <v>3.5797192854096202E-2</v>
      </c>
      <c r="E246">
        <f t="shared" si="9"/>
        <v>0</v>
      </c>
      <c r="F246" s="174" t="str">
        <f t="shared" si="10"/>
        <v/>
      </c>
      <c r="G246">
        <v>112.77364518759515</v>
      </c>
    </row>
    <row r="247" spans="2:7" x14ac:dyDescent="0.2">
      <c r="B247">
        <f t="shared" si="11"/>
        <v>242</v>
      </c>
      <c r="C247" s="174">
        <v>102.79699293615322</v>
      </c>
      <c r="D247" s="186">
        <v>3.2585705124620064E-2</v>
      </c>
      <c r="E247">
        <f t="shared" si="9"/>
        <v>1</v>
      </c>
      <c r="F247" s="174">
        <f t="shared" si="10"/>
        <v>102.79699293615322</v>
      </c>
      <c r="G247">
        <v>112.58683463484206</v>
      </c>
    </row>
    <row r="248" spans="2:7" x14ac:dyDescent="0.2">
      <c r="B248">
        <f t="shared" si="11"/>
        <v>243</v>
      </c>
      <c r="C248" s="174">
        <v>97.660268457234693</v>
      </c>
      <c r="D248" s="186">
        <v>2.6275550260369894E-2</v>
      </c>
      <c r="E248">
        <f t="shared" si="9"/>
        <v>1</v>
      </c>
      <c r="F248" s="174">
        <f t="shared" si="10"/>
        <v>97.660268457234693</v>
      </c>
      <c r="G248">
        <v>112.55668579739661</v>
      </c>
    </row>
    <row r="249" spans="2:7" x14ac:dyDescent="0.2">
      <c r="B249">
        <f t="shared" si="11"/>
        <v>244</v>
      </c>
      <c r="C249" s="174">
        <v>162.16798461248425</v>
      </c>
      <c r="D249" s="186">
        <v>3.5571757924862203E-2</v>
      </c>
      <c r="E249">
        <f t="shared" si="9"/>
        <v>0</v>
      </c>
      <c r="F249" s="174" t="str">
        <f t="shared" si="10"/>
        <v/>
      </c>
      <c r="G249">
        <v>112.54920958753638</v>
      </c>
    </row>
    <row r="250" spans="2:7" x14ac:dyDescent="0.2">
      <c r="B250">
        <f t="shared" si="11"/>
        <v>245</v>
      </c>
      <c r="C250" s="174">
        <v>114.90837408389682</v>
      </c>
      <c r="D250" s="186">
        <v>3.3480490207626841E-2</v>
      </c>
      <c r="E250">
        <f t="shared" si="9"/>
        <v>1</v>
      </c>
      <c r="F250" s="174">
        <f t="shared" si="10"/>
        <v>114.90837408389682</v>
      </c>
      <c r="G250">
        <v>112.14332498276296</v>
      </c>
    </row>
    <row r="251" spans="2:7" x14ac:dyDescent="0.2">
      <c r="B251">
        <f t="shared" si="11"/>
        <v>246</v>
      </c>
      <c r="C251" s="174">
        <v>130.42865589693031</v>
      </c>
      <c r="D251" s="186">
        <v>3.4236135505187885E-2</v>
      </c>
      <c r="E251">
        <f t="shared" si="9"/>
        <v>1</v>
      </c>
      <c r="F251" s="174">
        <f t="shared" si="10"/>
        <v>130.42865589693031</v>
      </c>
      <c r="G251">
        <v>111.8102342721424</v>
      </c>
    </row>
    <row r="252" spans="2:7" x14ac:dyDescent="0.2">
      <c r="B252">
        <f t="shared" si="11"/>
        <v>247</v>
      </c>
      <c r="C252" s="174">
        <v>110.1698618883416</v>
      </c>
      <c r="D252" s="186">
        <v>5.6406269107470978E-2</v>
      </c>
      <c r="E252">
        <f t="shared" si="9"/>
        <v>0</v>
      </c>
      <c r="F252" s="174" t="str">
        <f t="shared" si="10"/>
        <v/>
      </c>
      <c r="G252">
        <v>111.6722543343076</v>
      </c>
    </row>
    <row r="253" spans="2:7" x14ac:dyDescent="0.2">
      <c r="B253">
        <f t="shared" si="11"/>
        <v>248</v>
      </c>
      <c r="C253" s="174">
        <v>113.91280648130599</v>
      </c>
      <c r="D253" s="186">
        <v>2.1328317393792328E-2</v>
      </c>
      <c r="E253">
        <f t="shared" si="9"/>
        <v>1</v>
      </c>
      <c r="F253" s="174">
        <f t="shared" si="10"/>
        <v>113.91280648130599</v>
      </c>
      <c r="G253">
        <v>111.60094171144371</v>
      </c>
    </row>
    <row r="254" spans="2:7" x14ac:dyDescent="0.2">
      <c r="B254">
        <f t="shared" si="11"/>
        <v>249</v>
      </c>
      <c r="C254" s="174">
        <v>114.62766801132435</v>
      </c>
      <c r="D254" s="186">
        <v>1.8552454360732159E-3</v>
      </c>
      <c r="E254">
        <f t="shared" si="9"/>
        <v>1</v>
      </c>
      <c r="F254" s="174">
        <f t="shared" si="10"/>
        <v>114.62766801132435</v>
      </c>
      <c r="G254">
        <v>111.57788503444199</v>
      </c>
    </row>
    <row r="255" spans="2:7" x14ac:dyDescent="0.2">
      <c r="B255">
        <f t="shared" si="11"/>
        <v>250</v>
      </c>
      <c r="C255" s="174">
        <v>121.89745880273317</v>
      </c>
      <c r="D255" s="186">
        <v>2.6915537213455919E-2</v>
      </c>
      <c r="E255">
        <f t="shared" si="9"/>
        <v>1</v>
      </c>
      <c r="F255" s="174">
        <f t="shared" si="10"/>
        <v>121.89745880273317</v>
      </c>
      <c r="G255">
        <v>111.22073813507184</v>
      </c>
    </row>
    <row r="256" spans="2:7" x14ac:dyDescent="0.2">
      <c r="B256">
        <f t="shared" si="11"/>
        <v>251</v>
      </c>
      <c r="C256" s="174">
        <v>116.14395392167738</v>
      </c>
      <c r="D256" s="186">
        <v>2.1512609303113356E-2</v>
      </c>
      <c r="E256">
        <f t="shared" si="9"/>
        <v>1</v>
      </c>
      <c r="F256" s="174">
        <f t="shared" si="10"/>
        <v>116.14395392167738</v>
      </c>
      <c r="G256">
        <v>111.01618638739448</v>
      </c>
    </row>
    <row r="257" spans="2:7" x14ac:dyDescent="0.2">
      <c r="B257">
        <f t="shared" si="11"/>
        <v>252</v>
      </c>
      <c r="C257" s="174">
        <v>91.234482945528285</v>
      </c>
      <c r="D257" s="186">
        <v>1.6460294533601916E-2</v>
      </c>
      <c r="E257">
        <f t="shared" si="9"/>
        <v>1</v>
      </c>
      <c r="F257" s="174">
        <f t="shared" si="10"/>
        <v>91.234482945528285</v>
      </c>
      <c r="G257">
        <v>110.75560271902148</v>
      </c>
    </row>
    <row r="258" spans="2:7" x14ac:dyDescent="0.2">
      <c r="B258">
        <f t="shared" si="11"/>
        <v>253</v>
      </c>
      <c r="C258" s="174">
        <v>150.77497123183224</v>
      </c>
      <c r="D258" s="186">
        <v>2.6628670929547921E-2</v>
      </c>
      <c r="E258">
        <f t="shared" si="9"/>
        <v>1</v>
      </c>
      <c r="F258" s="174">
        <f t="shared" si="10"/>
        <v>150.77497123183224</v>
      </c>
      <c r="G258">
        <v>110.39704458694658</v>
      </c>
    </row>
    <row r="259" spans="2:7" x14ac:dyDescent="0.2">
      <c r="B259">
        <f t="shared" si="11"/>
        <v>254</v>
      </c>
      <c r="C259" s="174">
        <v>82.622746848974018</v>
      </c>
      <c r="D259" s="186">
        <v>2.6830362011296426E-2</v>
      </c>
      <c r="E259">
        <f t="shared" si="9"/>
        <v>1</v>
      </c>
      <c r="F259" s="174">
        <f t="shared" si="10"/>
        <v>82.622746848974018</v>
      </c>
      <c r="G259">
        <v>109.91914354770202</v>
      </c>
    </row>
    <row r="260" spans="2:7" x14ac:dyDescent="0.2">
      <c r="B260">
        <f t="shared" si="11"/>
        <v>255</v>
      </c>
      <c r="C260" s="174">
        <v>137.56699705458493</v>
      </c>
      <c r="D260" s="186">
        <v>1.3702997308986187E-2</v>
      </c>
      <c r="E260">
        <f t="shared" si="9"/>
        <v>1</v>
      </c>
      <c r="F260" s="174">
        <f t="shared" si="10"/>
        <v>137.56699705458493</v>
      </c>
      <c r="G260">
        <v>109.82100195496565</v>
      </c>
    </row>
    <row r="261" spans="2:7" x14ac:dyDescent="0.2">
      <c r="B261">
        <f t="shared" si="11"/>
        <v>256</v>
      </c>
      <c r="C261" s="174">
        <v>109.0788568214768</v>
      </c>
      <c r="D261" s="186">
        <v>2.7763411093453351E-2</v>
      </c>
      <c r="E261">
        <f t="shared" si="9"/>
        <v>1</v>
      </c>
      <c r="F261" s="174">
        <f t="shared" si="10"/>
        <v>109.0788568214768</v>
      </c>
      <c r="G261">
        <v>109.69693016821211</v>
      </c>
    </row>
    <row r="262" spans="2:7" x14ac:dyDescent="0.2">
      <c r="B262">
        <f t="shared" si="11"/>
        <v>257</v>
      </c>
      <c r="C262" s="174">
        <v>103.72999266351808</v>
      </c>
      <c r="D262" s="186">
        <v>1.3151141303842132E-2</v>
      </c>
      <c r="E262">
        <f t="shared" ref="E262:E325" si="12">IF(AND(D262&gt;0,D262&lt;=$D$2),1,0)</f>
        <v>1</v>
      </c>
      <c r="F262" s="174">
        <f t="shared" ref="F262:G325" si="13">IF(E262=1,C262,"")</f>
        <v>103.72999266351808</v>
      </c>
      <c r="G262">
        <v>109.39719307024235</v>
      </c>
    </row>
    <row r="263" spans="2:7" x14ac:dyDescent="0.2">
      <c r="B263">
        <f t="shared" ref="B263:B326" si="14">B262+1</f>
        <v>258</v>
      </c>
      <c r="C263" s="174">
        <v>112.05718470939601</v>
      </c>
      <c r="D263" s="186">
        <v>1.8692761523768944E-2</v>
      </c>
      <c r="E263">
        <f t="shared" si="12"/>
        <v>1</v>
      </c>
      <c r="F263" s="174">
        <f t="shared" si="13"/>
        <v>112.05718470939601</v>
      </c>
      <c r="G263">
        <v>109.32883768706165</v>
      </c>
    </row>
    <row r="264" spans="2:7" x14ac:dyDescent="0.2">
      <c r="B264">
        <f t="shared" si="14"/>
        <v>259</v>
      </c>
      <c r="C264" s="174">
        <v>83.947431728571203</v>
      </c>
      <c r="D264" s="186">
        <v>2.3515238648803172E-2</v>
      </c>
      <c r="E264">
        <f t="shared" si="12"/>
        <v>1</v>
      </c>
      <c r="F264" s="174">
        <f t="shared" si="13"/>
        <v>83.947431728571203</v>
      </c>
      <c r="G264">
        <v>109.25199195411865</v>
      </c>
    </row>
    <row r="265" spans="2:7" x14ac:dyDescent="0.2">
      <c r="B265">
        <f t="shared" si="14"/>
        <v>260</v>
      </c>
      <c r="C265" s="174">
        <v>132.32223628240408</v>
      </c>
      <c r="D265" s="186">
        <v>3.1752242674286946E-2</v>
      </c>
      <c r="E265">
        <f t="shared" si="12"/>
        <v>1</v>
      </c>
      <c r="F265" s="174">
        <f t="shared" si="13"/>
        <v>132.32223628240408</v>
      </c>
      <c r="G265">
        <v>109.0023741107323</v>
      </c>
    </row>
    <row r="266" spans="2:7" x14ac:dyDescent="0.2">
      <c r="B266">
        <f t="shared" si="14"/>
        <v>261</v>
      </c>
      <c r="C266" s="174">
        <v>126.04603933689856</v>
      </c>
      <c r="D266" s="186">
        <v>1.8611863206263974E-2</v>
      </c>
      <c r="E266">
        <f t="shared" si="12"/>
        <v>1</v>
      </c>
      <c r="F266" s="174">
        <f t="shared" si="13"/>
        <v>126.04603933689856</v>
      </c>
      <c r="G266">
        <v>108.73598164113827</v>
      </c>
    </row>
    <row r="267" spans="2:7" x14ac:dyDescent="0.2">
      <c r="B267">
        <f t="shared" si="14"/>
        <v>262</v>
      </c>
      <c r="C267" s="174">
        <v>138.34328925556957</v>
      </c>
      <c r="D267" s="186">
        <v>1.9426632590967725E-2</v>
      </c>
      <c r="E267">
        <f t="shared" si="12"/>
        <v>1</v>
      </c>
      <c r="F267" s="174">
        <f t="shared" si="13"/>
        <v>138.34328925556957</v>
      </c>
      <c r="G267">
        <v>108.33348884370017</v>
      </c>
    </row>
    <row r="268" spans="2:7" x14ac:dyDescent="0.2">
      <c r="B268">
        <f t="shared" si="14"/>
        <v>263</v>
      </c>
      <c r="C268" s="174">
        <v>75.784180363574308</v>
      </c>
      <c r="D268" s="186">
        <v>1.5073475247127615E-2</v>
      </c>
      <c r="E268">
        <f t="shared" si="12"/>
        <v>1</v>
      </c>
      <c r="F268" s="174">
        <f t="shared" si="13"/>
        <v>75.784180363574308</v>
      </c>
      <c r="G268">
        <v>107.99806186911975</v>
      </c>
    </row>
    <row r="269" spans="2:7" x14ac:dyDescent="0.2">
      <c r="B269">
        <f t="shared" si="14"/>
        <v>264</v>
      </c>
      <c r="C269" s="174">
        <v>95.038904826268066</v>
      </c>
      <c r="D269" s="186">
        <v>4.6512261874882929E-2</v>
      </c>
      <c r="E269">
        <f t="shared" si="12"/>
        <v>0</v>
      </c>
      <c r="F269" s="174" t="str">
        <f t="shared" si="13"/>
        <v/>
      </c>
      <c r="G269">
        <v>107.98835400309986</v>
      </c>
    </row>
    <row r="270" spans="2:7" x14ac:dyDescent="0.2">
      <c r="B270">
        <f t="shared" si="14"/>
        <v>265</v>
      </c>
      <c r="C270" s="174">
        <v>94.581259487813711</v>
      </c>
      <c r="D270" s="186">
        <v>2.4580061759172413E-2</v>
      </c>
      <c r="E270">
        <f t="shared" si="12"/>
        <v>1</v>
      </c>
      <c r="F270" s="174">
        <f t="shared" si="13"/>
        <v>94.581259487813711</v>
      </c>
      <c r="G270">
        <v>107.78208524729665</v>
      </c>
    </row>
    <row r="271" spans="2:7" x14ac:dyDescent="0.2">
      <c r="B271">
        <f t="shared" si="14"/>
        <v>266</v>
      </c>
      <c r="C271" s="174">
        <v>83.883672026488242</v>
      </c>
      <c r="D271" s="186">
        <v>1.6854971970422423E-2</v>
      </c>
      <c r="E271">
        <f t="shared" si="12"/>
        <v>1</v>
      </c>
      <c r="F271" s="174">
        <f t="shared" si="13"/>
        <v>83.883672026488242</v>
      </c>
      <c r="G271">
        <v>107.73092551267361</v>
      </c>
    </row>
    <row r="272" spans="2:7" x14ac:dyDescent="0.2">
      <c r="B272">
        <f t="shared" si="14"/>
        <v>267</v>
      </c>
      <c r="C272" s="174">
        <v>94.499714574307276</v>
      </c>
      <c r="D272" s="186">
        <v>2.288289663666555E-2</v>
      </c>
      <c r="E272">
        <f t="shared" si="12"/>
        <v>1</v>
      </c>
      <c r="F272" s="174">
        <f t="shared" si="13"/>
        <v>94.499714574307276</v>
      </c>
      <c r="G272">
        <v>107.70057056566003</v>
      </c>
    </row>
    <row r="273" spans="2:7" x14ac:dyDescent="0.2">
      <c r="B273">
        <f t="shared" si="14"/>
        <v>268</v>
      </c>
      <c r="C273" s="174">
        <v>120.46991713656116</v>
      </c>
      <c r="D273" s="186">
        <v>2.0092613580159985E-2</v>
      </c>
      <c r="E273">
        <f t="shared" si="12"/>
        <v>1</v>
      </c>
      <c r="F273" s="174">
        <f t="shared" si="13"/>
        <v>120.46991713656116</v>
      </c>
      <c r="G273">
        <v>107.46779543823557</v>
      </c>
    </row>
    <row r="274" spans="2:7" x14ac:dyDescent="0.2">
      <c r="B274">
        <f t="shared" si="14"/>
        <v>269</v>
      </c>
      <c r="C274" s="174">
        <v>111.36148789566047</v>
      </c>
      <c r="D274" s="186">
        <v>2.6083038057573275E-2</v>
      </c>
      <c r="E274">
        <f t="shared" si="12"/>
        <v>1</v>
      </c>
      <c r="F274" s="174">
        <f t="shared" si="13"/>
        <v>111.36148789566047</v>
      </c>
      <c r="G274">
        <v>107.34993443056402</v>
      </c>
    </row>
    <row r="275" spans="2:7" x14ac:dyDescent="0.2">
      <c r="B275">
        <f t="shared" si="14"/>
        <v>270</v>
      </c>
      <c r="C275" s="174">
        <v>99.623805255896656</v>
      </c>
      <c r="D275" s="186">
        <v>3.2209781524184869E-2</v>
      </c>
      <c r="E275">
        <f t="shared" si="12"/>
        <v>1</v>
      </c>
      <c r="F275" s="174">
        <f t="shared" si="13"/>
        <v>99.623805255896656</v>
      </c>
      <c r="G275">
        <v>107.28833866662205</v>
      </c>
    </row>
    <row r="276" spans="2:7" x14ac:dyDescent="0.2">
      <c r="B276">
        <f t="shared" si="14"/>
        <v>271</v>
      </c>
      <c r="C276" s="174">
        <v>110.3508872428568</v>
      </c>
      <c r="D276" s="186">
        <v>7.8937367191884815E-3</v>
      </c>
      <c r="E276">
        <f t="shared" si="12"/>
        <v>1</v>
      </c>
      <c r="F276" s="174">
        <f t="shared" si="13"/>
        <v>110.3508872428568</v>
      </c>
      <c r="G276">
        <v>107.2404030248138</v>
      </c>
    </row>
    <row r="277" spans="2:7" x14ac:dyDescent="0.2">
      <c r="B277">
        <f t="shared" si="14"/>
        <v>272</v>
      </c>
      <c r="C277" s="174">
        <v>147.77431871502768</v>
      </c>
      <c r="D277" s="186">
        <v>2.0774470031598682E-2</v>
      </c>
      <c r="E277">
        <f t="shared" si="12"/>
        <v>1</v>
      </c>
      <c r="F277" s="174">
        <f t="shared" si="13"/>
        <v>147.77431871502768</v>
      </c>
      <c r="G277">
        <v>107.09062372258049</v>
      </c>
    </row>
    <row r="278" spans="2:7" x14ac:dyDescent="0.2">
      <c r="B278">
        <f t="shared" si="14"/>
        <v>273</v>
      </c>
      <c r="C278" s="174">
        <v>106.65667259890888</v>
      </c>
      <c r="D278" s="186">
        <v>2.5370841219642327E-2</v>
      </c>
      <c r="E278">
        <f t="shared" si="12"/>
        <v>1</v>
      </c>
      <c r="F278" s="174">
        <f t="shared" si="13"/>
        <v>106.65667259890888</v>
      </c>
      <c r="G278">
        <v>107.02841165641622</v>
      </c>
    </row>
    <row r="279" spans="2:7" x14ac:dyDescent="0.2">
      <c r="B279">
        <f t="shared" si="14"/>
        <v>274</v>
      </c>
      <c r="C279" s="174">
        <v>102.01590896213358</v>
      </c>
      <c r="D279" s="186">
        <v>6.7119513475806646E-3</v>
      </c>
      <c r="E279">
        <f t="shared" si="12"/>
        <v>1</v>
      </c>
      <c r="F279" s="174">
        <f t="shared" si="13"/>
        <v>102.01590896213358</v>
      </c>
      <c r="G279">
        <v>106.73131208969492</v>
      </c>
    </row>
    <row r="280" spans="2:7" x14ac:dyDescent="0.2">
      <c r="B280">
        <f t="shared" si="14"/>
        <v>275</v>
      </c>
      <c r="C280" s="174">
        <v>113.38780981792868</v>
      </c>
      <c r="D280" s="186">
        <v>1.5398344586564186E-2</v>
      </c>
      <c r="E280">
        <f t="shared" si="12"/>
        <v>1</v>
      </c>
      <c r="F280" s="174">
        <f t="shared" si="13"/>
        <v>113.38780981792868</v>
      </c>
      <c r="G280">
        <v>106.72909542640126</v>
      </c>
    </row>
    <row r="281" spans="2:7" x14ac:dyDescent="0.2">
      <c r="B281">
        <f t="shared" si="14"/>
        <v>276</v>
      </c>
      <c r="C281" s="174">
        <v>143.77506598500514</v>
      </c>
      <c r="D281" s="186">
        <v>3.4357927402258057E-2</v>
      </c>
      <c r="E281">
        <f t="shared" si="12"/>
        <v>1</v>
      </c>
      <c r="F281" s="174">
        <f t="shared" si="13"/>
        <v>143.77506598500514</v>
      </c>
      <c r="G281">
        <v>106.38558168126713</v>
      </c>
    </row>
    <row r="282" spans="2:7" x14ac:dyDescent="0.2">
      <c r="B282">
        <f t="shared" si="14"/>
        <v>277</v>
      </c>
      <c r="C282" s="174">
        <v>102.34741513154508</v>
      </c>
      <c r="D282" s="186">
        <v>3.2756515417082951E-2</v>
      </c>
      <c r="E282">
        <f t="shared" si="12"/>
        <v>1</v>
      </c>
      <c r="F282" s="174">
        <f t="shared" si="13"/>
        <v>102.34741513154508</v>
      </c>
      <c r="G282">
        <v>106.32073736173989</v>
      </c>
    </row>
    <row r="283" spans="2:7" x14ac:dyDescent="0.2">
      <c r="B283">
        <f t="shared" si="14"/>
        <v>278</v>
      </c>
      <c r="C283" s="174">
        <v>104.2186055385305</v>
      </c>
      <c r="D283" s="186">
        <v>2.6342865869113701E-2</v>
      </c>
      <c r="E283">
        <f t="shared" si="12"/>
        <v>1</v>
      </c>
      <c r="F283" s="174">
        <f t="shared" si="13"/>
        <v>104.2186055385305</v>
      </c>
      <c r="G283">
        <v>106.29724486480039</v>
      </c>
    </row>
    <row r="284" spans="2:7" x14ac:dyDescent="0.2">
      <c r="B284">
        <f t="shared" si="14"/>
        <v>279</v>
      </c>
      <c r="C284" s="174">
        <v>66.759671059187582</v>
      </c>
      <c r="D284" s="186">
        <v>3.203121218030125E-3</v>
      </c>
      <c r="E284">
        <f t="shared" si="12"/>
        <v>1</v>
      </c>
      <c r="F284" s="174">
        <f t="shared" si="13"/>
        <v>66.759671059187582</v>
      </c>
      <c r="G284">
        <v>106.14882773875365</v>
      </c>
    </row>
    <row r="285" spans="2:7" x14ac:dyDescent="0.2">
      <c r="B285">
        <f t="shared" si="14"/>
        <v>280</v>
      </c>
      <c r="C285" s="174">
        <v>115.37528670199001</v>
      </c>
      <c r="D285" s="186">
        <v>1.9050086601161295E-2</v>
      </c>
      <c r="E285">
        <f t="shared" si="12"/>
        <v>1</v>
      </c>
      <c r="F285" s="174">
        <f t="shared" si="13"/>
        <v>115.37528670199001</v>
      </c>
      <c r="G285">
        <v>105.67171693493053</v>
      </c>
    </row>
    <row r="286" spans="2:7" x14ac:dyDescent="0.2">
      <c r="B286">
        <f t="shared" si="14"/>
        <v>281</v>
      </c>
      <c r="C286" s="174">
        <v>123.06628291325906</v>
      </c>
      <c r="D286" s="186">
        <v>2.3217633930898471E-2</v>
      </c>
      <c r="E286">
        <f t="shared" si="12"/>
        <v>1</v>
      </c>
      <c r="F286" s="174">
        <f t="shared" si="13"/>
        <v>123.06628291325906</v>
      </c>
      <c r="G286">
        <v>105.59502348868378</v>
      </c>
    </row>
    <row r="287" spans="2:7" x14ac:dyDescent="0.2">
      <c r="B287">
        <f t="shared" si="14"/>
        <v>282</v>
      </c>
      <c r="C287" s="174">
        <v>69.951485855057328</v>
      </c>
      <c r="D287" s="186">
        <v>1.4057022509496872E-2</v>
      </c>
      <c r="E287">
        <f t="shared" si="12"/>
        <v>1</v>
      </c>
      <c r="F287" s="174">
        <f t="shared" si="13"/>
        <v>69.951485855057328</v>
      </c>
      <c r="G287">
        <v>105.48633823848539</v>
      </c>
    </row>
    <row r="288" spans="2:7" x14ac:dyDescent="0.2">
      <c r="B288">
        <f t="shared" si="14"/>
        <v>283</v>
      </c>
      <c r="C288" s="174">
        <v>102.26387466989937</v>
      </c>
      <c r="D288" s="186">
        <v>1.9120858586166953E-2</v>
      </c>
      <c r="E288">
        <f t="shared" si="12"/>
        <v>1</v>
      </c>
      <c r="F288" s="174">
        <f t="shared" si="13"/>
        <v>102.26387466989937</v>
      </c>
      <c r="G288">
        <v>105.45800118552526</v>
      </c>
    </row>
    <row r="289" spans="2:7" x14ac:dyDescent="0.2">
      <c r="B289">
        <f t="shared" si="14"/>
        <v>284</v>
      </c>
      <c r="C289" s="174">
        <v>104.83574375130324</v>
      </c>
      <c r="D289" s="186">
        <v>2.8222073089990408E-2</v>
      </c>
      <c r="E289">
        <f t="shared" si="12"/>
        <v>1</v>
      </c>
      <c r="F289" s="174">
        <f t="shared" si="13"/>
        <v>104.83574375130324</v>
      </c>
      <c r="G289">
        <v>105.40018303517196</v>
      </c>
    </row>
    <row r="290" spans="2:7" x14ac:dyDescent="0.2">
      <c r="B290">
        <f t="shared" si="14"/>
        <v>285</v>
      </c>
      <c r="C290" s="174">
        <v>119.98334886477198</v>
      </c>
      <c r="D290" s="186">
        <v>2.4295754725007224E-2</v>
      </c>
      <c r="E290">
        <f t="shared" si="12"/>
        <v>1</v>
      </c>
      <c r="F290" s="174">
        <f t="shared" si="13"/>
        <v>119.98334886477198</v>
      </c>
      <c r="G290">
        <v>105.33781476231452</v>
      </c>
    </row>
    <row r="291" spans="2:7" x14ac:dyDescent="0.2">
      <c r="B291">
        <f t="shared" si="14"/>
        <v>286</v>
      </c>
      <c r="C291" s="174">
        <v>97.359754160666938</v>
      </c>
      <c r="D291" s="186">
        <v>1.3806320848919744E-2</v>
      </c>
      <c r="E291">
        <f t="shared" si="12"/>
        <v>1</v>
      </c>
      <c r="F291" s="174">
        <f t="shared" si="13"/>
        <v>97.359754160666938</v>
      </c>
      <c r="G291">
        <v>105.33112705549189</v>
      </c>
    </row>
    <row r="292" spans="2:7" x14ac:dyDescent="0.2">
      <c r="B292">
        <f t="shared" si="14"/>
        <v>287</v>
      </c>
      <c r="C292" s="174">
        <v>81.101201076908168</v>
      </c>
      <c r="D292" s="186">
        <v>3.1278312985133457E-2</v>
      </c>
      <c r="E292">
        <f t="shared" si="12"/>
        <v>1</v>
      </c>
      <c r="F292" s="174">
        <f t="shared" si="13"/>
        <v>81.101201076908168</v>
      </c>
      <c r="G292">
        <v>105.17082195893198</v>
      </c>
    </row>
    <row r="293" spans="2:7" x14ac:dyDescent="0.2">
      <c r="B293">
        <f t="shared" si="14"/>
        <v>288</v>
      </c>
      <c r="C293" s="174">
        <v>153.1652160104897</v>
      </c>
      <c r="D293" s="186">
        <v>1.5687075593574233E-2</v>
      </c>
      <c r="E293">
        <f t="shared" si="12"/>
        <v>1</v>
      </c>
      <c r="F293" s="174">
        <f t="shared" si="13"/>
        <v>153.1652160104897</v>
      </c>
      <c r="G293">
        <v>104.93224230143407</v>
      </c>
    </row>
    <row r="294" spans="2:7" x14ac:dyDescent="0.2">
      <c r="B294">
        <f t="shared" si="14"/>
        <v>289</v>
      </c>
      <c r="C294" s="174">
        <v>130.30445512877964</v>
      </c>
      <c r="D294" s="186">
        <v>2.531378563372973E-2</v>
      </c>
      <c r="E294">
        <f t="shared" si="12"/>
        <v>1</v>
      </c>
      <c r="F294" s="174">
        <f t="shared" si="13"/>
        <v>130.30445512877964</v>
      </c>
      <c r="G294">
        <v>104.92028599357293</v>
      </c>
    </row>
    <row r="295" spans="2:7" x14ac:dyDescent="0.2">
      <c r="B295">
        <f t="shared" si="14"/>
        <v>290</v>
      </c>
      <c r="C295" s="174">
        <v>65.023938031484832</v>
      </c>
      <c r="D295" s="186">
        <v>1.8432827604691952E-2</v>
      </c>
      <c r="E295">
        <f t="shared" si="12"/>
        <v>1</v>
      </c>
      <c r="F295" s="174">
        <f t="shared" si="13"/>
        <v>65.023938031484832</v>
      </c>
      <c r="G295">
        <v>104.81385370717767</v>
      </c>
    </row>
    <row r="296" spans="2:7" x14ac:dyDescent="0.2">
      <c r="B296">
        <f t="shared" si="14"/>
        <v>291</v>
      </c>
      <c r="C296" s="174">
        <v>104.85426173447979</v>
      </c>
      <c r="D296" s="186">
        <v>2.9024990018575895E-2</v>
      </c>
      <c r="E296">
        <f t="shared" si="12"/>
        <v>1</v>
      </c>
      <c r="F296" s="174">
        <f t="shared" si="13"/>
        <v>104.85426173447979</v>
      </c>
      <c r="G296">
        <v>104.74095332352812</v>
      </c>
    </row>
    <row r="297" spans="2:7" x14ac:dyDescent="0.2">
      <c r="B297">
        <f t="shared" si="14"/>
        <v>292</v>
      </c>
      <c r="C297" s="174">
        <v>76.948757019246159</v>
      </c>
      <c r="D297" s="186">
        <v>2.17935334949689E-2</v>
      </c>
      <c r="E297">
        <f t="shared" si="12"/>
        <v>1</v>
      </c>
      <c r="F297" s="174">
        <f t="shared" si="13"/>
        <v>76.948757019246159</v>
      </c>
      <c r="G297">
        <v>104.61876600053317</v>
      </c>
    </row>
    <row r="298" spans="2:7" x14ac:dyDescent="0.2">
      <c r="B298">
        <f t="shared" si="14"/>
        <v>293</v>
      </c>
      <c r="C298" s="174">
        <v>141.16030254508706</v>
      </c>
      <c r="D298" s="186">
        <v>4.1289960005851771E-2</v>
      </c>
      <c r="E298">
        <f t="shared" si="12"/>
        <v>0</v>
      </c>
      <c r="F298" s="174" t="str">
        <f t="shared" si="13"/>
        <v/>
      </c>
      <c r="G298">
        <v>104.37259380275566</v>
      </c>
    </row>
    <row r="299" spans="2:7" x14ac:dyDescent="0.2">
      <c r="B299">
        <f t="shared" si="14"/>
        <v>294</v>
      </c>
      <c r="C299" s="174">
        <v>110.70860206735732</v>
      </c>
      <c r="D299" s="186">
        <v>3.0279388219382249E-3</v>
      </c>
      <c r="E299">
        <f t="shared" si="12"/>
        <v>1</v>
      </c>
      <c r="F299" s="174">
        <f t="shared" si="13"/>
        <v>110.70860206735732</v>
      </c>
      <c r="G299">
        <v>104.29944335862302</v>
      </c>
    </row>
    <row r="300" spans="2:7" x14ac:dyDescent="0.2">
      <c r="B300">
        <f t="shared" si="14"/>
        <v>295</v>
      </c>
      <c r="C300" s="174">
        <v>75.950379071220141</v>
      </c>
      <c r="D300" s="186">
        <v>1.7304965307712465E-2</v>
      </c>
      <c r="E300">
        <f t="shared" si="12"/>
        <v>1</v>
      </c>
      <c r="F300" s="174">
        <f t="shared" si="13"/>
        <v>75.950379071220141</v>
      </c>
      <c r="G300">
        <v>104.01960553482169</v>
      </c>
    </row>
    <row r="301" spans="2:7" x14ac:dyDescent="0.2">
      <c r="B301">
        <f t="shared" si="14"/>
        <v>296</v>
      </c>
      <c r="C301" s="174">
        <v>86.136738514117965</v>
      </c>
      <c r="D301" s="186">
        <v>2.1798945587880609E-2</v>
      </c>
      <c r="E301">
        <f t="shared" si="12"/>
        <v>1</v>
      </c>
      <c r="F301" s="174">
        <f t="shared" si="13"/>
        <v>86.136738514117965</v>
      </c>
      <c r="G301">
        <v>103.80609781298742</v>
      </c>
    </row>
    <row r="302" spans="2:7" x14ac:dyDescent="0.2">
      <c r="B302">
        <f t="shared" si="14"/>
        <v>297</v>
      </c>
      <c r="C302" s="174">
        <v>94.384573423413542</v>
      </c>
      <c r="D302" s="186">
        <v>2.5660802907236178E-2</v>
      </c>
      <c r="E302">
        <f t="shared" si="12"/>
        <v>1</v>
      </c>
      <c r="F302" s="174">
        <f t="shared" si="13"/>
        <v>94.384573423413542</v>
      </c>
      <c r="G302">
        <v>103.45876644225299</v>
      </c>
    </row>
    <row r="303" spans="2:7" x14ac:dyDescent="0.2">
      <c r="B303">
        <f t="shared" si="14"/>
        <v>298</v>
      </c>
      <c r="C303" s="174">
        <v>88.717583218908885</v>
      </c>
      <c r="D303" s="186">
        <v>2.2674559074548191E-2</v>
      </c>
      <c r="E303">
        <f t="shared" si="12"/>
        <v>1</v>
      </c>
      <c r="F303" s="174">
        <f t="shared" si="13"/>
        <v>88.717583218908885</v>
      </c>
      <c r="G303">
        <v>103.34119066611271</v>
      </c>
    </row>
    <row r="304" spans="2:7" x14ac:dyDescent="0.2">
      <c r="B304">
        <f t="shared" si="14"/>
        <v>299</v>
      </c>
      <c r="C304" s="174">
        <v>98.539233462744278</v>
      </c>
      <c r="D304" s="186">
        <v>2.7518211463087063E-2</v>
      </c>
      <c r="E304">
        <f t="shared" si="12"/>
        <v>1</v>
      </c>
      <c r="F304" s="174">
        <f t="shared" si="13"/>
        <v>98.539233462744278</v>
      </c>
      <c r="G304">
        <v>103.19011103701324</v>
      </c>
    </row>
    <row r="305" spans="2:7" x14ac:dyDescent="0.2">
      <c r="B305">
        <f t="shared" si="14"/>
        <v>300</v>
      </c>
      <c r="C305" s="174">
        <v>133.13668635820795</v>
      </c>
      <c r="D305" s="186">
        <v>2.032986254015888E-2</v>
      </c>
      <c r="E305">
        <f t="shared" si="12"/>
        <v>1</v>
      </c>
      <c r="F305" s="174">
        <f t="shared" si="13"/>
        <v>133.13668635820795</v>
      </c>
      <c r="G305">
        <v>103.11749805365982</v>
      </c>
    </row>
    <row r="306" spans="2:7" x14ac:dyDescent="0.2">
      <c r="B306">
        <f t="shared" si="14"/>
        <v>301</v>
      </c>
      <c r="C306" s="174">
        <v>99.961153009301313</v>
      </c>
      <c r="D306" s="186">
        <v>3.0000405527696932E-2</v>
      </c>
      <c r="E306">
        <f t="shared" si="12"/>
        <v>1</v>
      </c>
      <c r="F306" s="174">
        <f t="shared" si="13"/>
        <v>99.961153009301313</v>
      </c>
      <c r="G306">
        <v>102.89150436407066</v>
      </c>
    </row>
    <row r="307" spans="2:7" x14ac:dyDescent="0.2">
      <c r="B307">
        <f t="shared" si="14"/>
        <v>302</v>
      </c>
      <c r="C307" s="174">
        <v>92.375849640582004</v>
      </c>
      <c r="D307" s="186">
        <v>2.3423296741078903E-2</v>
      </c>
      <c r="E307">
        <f t="shared" si="12"/>
        <v>1</v>
      </c>
      <c r="F307" s="174">
        <f t="shared" si="13"/>
        <v>92.375849640582004</v>
      </c>
      <c r="G307">
        <v>102.79755906087266</v>
      </c>
    </row>
    <row r="308" spans="2:7" x14ac:dyDescent="0.2">
      <c r="B308">
        <f t="shared" si="14"/>
        <v>303</v>
      </c>
      <c r="C308" s="174">
        <v>157.31397200110447</v>
      </c>
      <c r="D308" s="186">
        <v>4.1959291778830031E-2</v>
      </c>
      <c r="E308">
        <f t="shared" si="12"/>
        <v>0</v>
      </c>
      <c r="F308" s="174" t="str">
        <f t="shared" si="13"/>
        <v/>
      </c>
      <c r="G308">
        <v>102.26361495466759</v>
      </c>
    </row>
    <row r="309" spans="2:7" x14ac:dyDescent="0.2">
      <c r="B309">
        <f t="shared" si="14"/>
        <v>304</v>
      </c>
      <c r="C309" s="174">
        <v>125.00967496905596</v>
      </c>
      <c r="D309" s="186">
        <v>2.4012304281728816E-2</v>
      </c>
      <c r="E309">
        <f t="shared" si="12"/>
        <v>1</v>
      </c>
      <c r="F309" s="174">
        <f t="shared" si="13"/>
        <v>125.00967496905596</v>
      </c>
      <c r="G309">
        <v>102.02815849648255</v>
      </c>
    </row>
    <row r="310" spans="2:7" x14ac:dyDescent="0.2">
      <c r="B310">
        <f t="shared" si="14"/>
        <v>305</v>
      </c>
      <c r="C310" s="174">
        <v>144.94783557744844</v>
      </c>
      <c r="D310" s="186">
        <v>4.677067045088483E-2</v>
      </c>
      <c r="E310">
        <f t="shared" si="12"/>
        <v>0</v>
      </c>
      <c r="F310" s="174" t="str">
        <f t="shared" si="13"/>
        <v/>
      </c>
      <c r="G310">
        <v>102.0191379590409</v>
      </c>
    </row>
    <row r="311" spans="2:7" x14ac:dyDescent="0.2">
      <c r="B311">
        <f t="shared" si="14"/>
        <v>306</v>
      </c>
      <c r="C311" s="174">
        <v>89.435302281924564</v>
      </c>
      <c r="D311" s="186">
        <v>2.4251470747519096E-2</v>
      </c>
      <c r="E311">
        <f t="shared" si="12"/>
        <v>1</v>
      </c>
      <c r="F311" s="174">
        <f t="shared" si="13"/>
        <v>89.435302281924564</v>
      </c>
      <c r="G311">
        <v>101.9018019613664</v>
      </c>
    </row>
    <row r="312" spans="2:7" x14ac:dyDescent="0.2">
      <c r="B312">
        <f t="shared" si="14"/>
        <v>307</v>
      </c>
      <c r="C312" s="174">
        <v>91.915039569727199</v>
      </c>
      <c r="D312" s="186">
        <v>9.380223197084871E-3</v>
      </c>
      <c r="E312">
        <f t="shared" si="12"/>
        <v>1</v>
      </c>
      <c r="F312" s="174">
        <f t="shared" si="13"/>
        <v>91.915039569727199</v>
      </c>
      <c r="G312">
        <v>101.65421996160114</v>
      </c>
    </row>
    <row r="313" spans="2:7" x14ac:dyDescent="0.2">
      <c r="B313">
        <f t="shared" si="14"/>
        <v>308</v>
      </c>
      <c r="C313" s="174">
        <v>67.683682558648641</v>
      </c>
      <c r="D313" s="186">
        <v>1.563829473113559E-2</v>
      </c>
      <c r="E313">
        <f t="shared" si="12"/>
        <v>1</v>
      </c>
      <c r="F313" s="174">
        <f t="shared" si="13"/>
        <v>67.683682558648641</v>
      </c>
      <c r="G313">
        <v>101.56852321465996</v>
      </c>
    </row>
    <row r="314" spans="2:7" x14ac:dyDescent="0.2">
      <c r="B314">
        <f t="shared" si="14"/>
        <v>309</v>
      </c>
      <c r="C314" s="174">
        <v>101.97084988691229</v>
      </c>
      <c r="D314" s="186">
        <v>3.2241168848984647E-2</v>
      </c>
      <c r="E314">
        <f t="shared" si="12"/>
        <v>1</v>
      </c>
      <c r="F314" s="174">
        <f t="shared" si="13"/>
        <v>101.97084988691229</v>
      </c>
      <c r="G314">
        <v>101.52275398245608</v>
      </c>
    </row>
    <row r="315" spans="2:7" x14ac:dyDescent="0.2">
      <c r="B315">
        <f t="shared" si="14"/>
        <v>310</v>
      </c>
      <c r="C315" s="174">
        <v>119.70482746109693</v>
      </c>
      <c r="D315" s="186">
        <v>4.7553256016306542E-2</v>
      </c>
      <c r="E315">
        <f t="shared" si="12"/>
        <v>0</v>
      </c>
      <c r="F315" s="174" t="str">
        <f t="shared" si="13"/>
        <v/>
      </c>
      <c r="G315">
        <v>101.39095315557671</v>
      </c>
    </row>
    <row r="316" spans="2:7" x14ac:dyDescent="0.2">
      <c r="B316">
        <f t="shared" si="14"/>
        <v>311</v>
      </c>
      <c r="C316" s="174">
        <v>105.2031537390635</v>
      </c>
      <c r="D316" s="186">
        <v>2.5018566131549163E-2</v>
      </c>
      <c r="E316">
        <f t="shared" si="12"/>
        <v>1</v>
      </c>
      <c r="F316" s="174">
        <f t="shared" si="13"/>
        <v>105.2031537390635</v>
      </c>
      <c r="G316">
        <v>101.07673828400345</v>
      </c>
    </row>
    <row r="317" spans="2:7" x14ac:dyDescent="0.2">
      <c r="B317">
        <f t="shared" si="14"/>
        <v>312</v>
      </c>
      <c r="C317" s="174">
        <v>79.428540978766563</v>
      </c>
      <c r="D317" s="186">
        <v>1.2751713908988433E-2</v>
      </c>
      <c r="E317">
        <f t="shared" si="12"/>
        <v>1</v>
      </c>
      <c r="F317" s="174">
        <f t="shared" si="13"/>
        <v>79.428540978766563</v>
      </c>
      <c r="G317">
        <v>101.03413706308845</v>
      </c>
    </row>
    <row r="318" spans="2:7" x14ac:dyDescent="0.2">
      <c r="B318">
        <f t="shared" si="14"/>
        <v>313</v>
      </c>
      <c r="C318" s="174">
        <v>105.0698086316099</v>
      </c>
      <c r="D318" s="186">
        <v>2.9903838355455997E-2</v>
      </c>
      <c r="E318">
        <f t="shared" si="12"/>
        <v>1</v>
      </c>
      <c r="F318" s="174">
        <f t="shared" si="13"/>
        <v>105.0698086316099</v>
      </c>
      <c r="G318">
        <v>101.02322939869296</v>
      </c>
    </row>
    <row r="319" spans="2:7" x14ac:dyDescent="0.2">
      <c r="B319">
        <f t="shared" si="14"/>
        <v>314</v>
      </c>
      <c r="C319" s="174">
        <v>114.26976471419148</v>
      </c>
      <c r="D319" s="186">
        <v>2.5644555963048241E-2</v>
      </c>
      <c r="E319">
        <f t="shared" si="12"/>
        <v>1</v>
      </c>
      <c r="F319" s="174">
        <f t="shared" si="13"/>
        <v>114.26976471419148</v>
      </c>
      <c r="G319">
        <v>100.87944520783023</v>
      </c>
    </row>
    <row r="320" spans="2:7" x14ac:dyDescent="0.2">
      <c r="B320">
        <f t="shared" si="14"/>
        <v>315</v>
      </c>
      <c r="C320" s="174">
        <v>114.70907293384811</v>
      </c>
      <c r="D320" s="186">
        <v>4.9736514359387238E-2</v>
      </c>
      <c r="E320">
        <f t="shared" si="12"/>
        <v>0</v>
      </c>
      <c r="F320" s="174" t="str">
        <f t="shared" si="13"/>
        <v/>
      </c>
      <c r="G320">
        <v>100.72409177738399</v>
      </c>
    </row>
    <row r="321" spans="2:7" x14ac:dyDescent="0.2">
      <c r="B321">
        <f t="shared" si="14"/>
        <v>316</v>
      </c>
      <c r="C321" s="174">
        <v>142.67323708837745</v>
      </c>
      <c r="D321" s="186">
        <v>1.8728315940498931E-2</v>
      </c>
      <c r="E321">
        <f t="shared" si="12"/>
        <v>1</v>
      </c>
      <c r="F321" s="174">
        <f t="shared" si="13"/>
        <v>142.67323708837745</v>
      </c>
      <c r="G321">
        <v>100.48073502287603</v>
      </c>
    </row>
    <row r="322" spans="2:7" x14ac:dyDescent="0.2">
      <c r="B322">
        <f t="shared" si="14"/>
        <v>317</v>
      </c>
      <c r="C322" s="174">
        <v>84.072755216763511</v>
      </c>
      <c r="D322" s="186">
        <v>3.3178723104935443E-2</v>
      </c>
      <c r="E322">
        <f t="shared" si="12"/>
        <v>1</v>
      </c>
      <c r="F322" s="174">
        <f t="shared" si="13"/>
        <v>84.072755216763511</v>
      </c>
      <c r="G322">
        <v>100.28286637836514</v>
      </c>
    </row>
    <row r="323" spans="2:7" x14ac:dyDescent="0.2">
      <c r="B323">
        <f t="shared" si="14"/>
        <v>318</v>
      </c>
      <c r="C323" s="174">
        <v>90.510482923229731</v>
      </c>
      <c r="D323" s="186">
        <v>3.6007497966881276E-2</v>
      </c>
      <c r="E323">
        <f t="shared" si="12"/>
        <v>0</v>
      </c>
      <c r="F323" s="174" t="str">
        <f t="shared" si="13"/>
        <v/>
      </c>
      <c r="G323">
        <v>100.21066773085788</v>
      </c>
    </row>
    <row r="324" spans="2:7" x14ac:dyDescent="0.2">
      <c r="B324">
        <f t="shared" si="14"/>
        <v>319</v>
      </c>
      <c r="C324" s="174">
        <v>118.88540164578063</v>
      </c>
      <c r="D324" s="186">
        <v>3.4867677129744833E-2</v>
      </c>
      <c r="E324">
        <f t="shared" si="12"/>
        <v>1</v>
      </c>
      <c r="F324" s="174">
        <f t="shared" si="13"/>
        <v>118.88540164578063</v>
      </c>
      <c r="G324">
        <v>100.16201758435201</v>
      </c>
    </row>
    <row r="325" spans="2:7" x14ac:dyDescent="0.2">
      <c r="B325">
        <f t="shared" si="14"/>
        <v>320</v>
      </c>
      <c r="C325" s="174">
        <v>93.657519680727077</v>
      </c>
      <c r="D325" s="186">
        <v>3.8235649208496973E-2</v>
      </c>
      <c r="E325">
        <f t="shared" si="12"/>
        <v>0</v>
      </c>
      <c r="F325" s="174" t="str">
        <f t="shared" si="13"/>
        <v/>
      </c>
      <c r="G325">
        <v>100.14723504050068</v>
      </c>
    </row>
    <row r="326" spans="2:7" x14ac:dyDescent="0.2">
      <c r="B326">
        <f t="shared" si="14"/>
        <v>321</v>
      </c>
      <c r="C326" s="174">
        <v>81.634625099696265</v>
      </c>
      <c r="D326" s="186">
        <v>2.0890018771392509E-2</v>
      </c>
      <c r="E326">
        <f t="shared" ref="E326:E389" si="15">IF(AND(D326&gt;0,D326&lt;=$D$2),1,0)</f>
        <v>1</v>
      </c>
      <c r="F326" s="174">
        <f t="shared" ref="F326:G389" si="16">IF(E326=1,C326,"")</f>
        <v>81.634625099696265</v>
      </c>
      <c r="G326">
        <v>100.00163197413579</v>
      </c>
    </row>
    <row r="327" spans="2:7" x14ac:dyDescent="0.2">
      <c r="B327">
        <f t="shared" ref="B327:B390" si="17">B326+1</f>
        <v>322</v>
      </c>
      <c r="C327" s="174">
        <v>103.08940710745838</v>
      </c>
      <c r="D327" s="186">
        <v>1.5192071228048906E-2</v>
      </c>
      <c r="E327">
        <f t="shared" si="15"/>
        <v>1</v>
      </c>
      <c r="F327" s="174">
        <f t="shared" si="16"/>
        <v>103.08940710745838</v>
      </c>
      <c r="G327">
        <v>99.796523590084718</v>
      </c>
    </row>
    <row r="328" spans="2:7" x14ac:dyDescent="0.2">
      <c r="B328">
        <f t="shared" si="17"/>
        <v>323</v>
      </c>
      <c r="C328" s="174">
        <v>136.48374566047772</v>
      </c>
      <c r="D328" s="186">
        <v>2.1107082485961232E-2</v>
      </c>
      <c r="E328">
        <f t="shared" si="15"/>
        <v>1</v>
      </c>
      <c r="F328" s="174">
        <f t="shared" si="16"/>
        <v>136.48374566047772</v>
      </c>
      <c r="G328">
        <v>99.393724585881358</v>
      </c>
    </row>
    <row r="329" spans="2:7" x14ac:dyDescent="0.2">
      <c r="B329">
        <f t="shared" si="17"/>
        <v>324</v>
      </c>
      <c r="C329" s="174">
        <v>118.25877775783154</v>
      </c>
      <c r="D329" s="186">
        <v>1.457083824824534E-2</v>
      </c>
      <c r="E329">
        <f t="shared" si="15"/>
        <v>1</v>
      </c>
      <c r="F329" s="174">
        <f t="shared" si="16"/>
        <v>118.25877775783154</v>
      </c>
      <c r="G329">
        <v>99.322060841928504</v>
      </c>
    </row>
    <row r="330" spans="2:7" x14ac:dyDescent="0.2">
      <c r="B330">
        <f t="shared" si="17"/>
        <v>325</v>
      </c>
      <c r="C330" s="174">
        <v>72.442693409886601</v>
      </c>
      <c r="D330" s="186">
        <v>2.5201638970057838E-2</v>
      </c>
      <c r="E330">
        <f t="shared" si="15"/>
        <v>1</v>
      </c>
      <c r="F330" s="174">
        <f t="shared" si="16"/>
        <v>72.442693409886601</v>
      </c>
      <c r="G330">
        <v>99.231572486748377</v>
      </c>
    </row>
    <row r="331" spans="2:7" x14ac:dyDescent="0.2">
      <c r="B331">
        <f t="shared" si="17"/>
        <v>326</v>
      </c>
      <c r="C331" s="174">
        <v>82.643884739152114</v>
      </c>
      <c r="D331" s="186">
        <v>1.0790221174677142E-2</v>
      </c>
      <c r="E331">
        <f t="shared" si="15"/>
        <v>1</v>
      </c>
      <c r="F331" s="174">
        <f t="shared" si="16"/>
        <v>82.643884739152114</v>
      </c>
      <c r="G331">
        <v>99.052027571360966</v>
      </c>
    </row>
    <row r="332" spans="2:7" x14ac:dyDescent="0.2">
      <c r="B332">
        <f t="shared" si="17"/>
        <v>327</v>
      </c>
      <c r="C332" s="174">
        <v>97.550172029999061</v>
      </c>
      <c r="D332" s="186">
        <v>3.0092224965700853E-2</v>
      </c>
      <c r="E332">
        <f t="shared" si="15"/>
        <v>1</v>
      </c>
      <c r="F332" s="174">
        <f t="shared" si="16"/>
        <v>97.550172029999061</v>
      </c>
      <c r="G332">
        <v>98.724319545116941</v>
      </c>
    </row>
    <row r="333" spans="2:7" x14ac:dyDescent="0.2">
      <c r="B333">
        <f t="shared" si="17"/>
        <v>328</v>
      </c>
      <c r="C333" s="174">
        <v>60.491410610977887</v>
      </c>
      <c r="D333" s="186">
        <v>4.3557118332422089E-2</v>
      </c>
      <c r="E333">
        <f t="shared" si="15"/>
        <v>0</v>
      </c>
      <c r="F333" s="174" t="str">
        <f t="shared" si="16"/>
        <v/>
      </c>
      <c r="G333">
        <v>98.405575045373183</v>
      </c>
    </row>
    <row r="334" spans="2:7" x14ac:dyDescent="0.2">
      <c r="B334">
        <f t="shared" si="17"/>
        <v>329</v>
      </c>
      <c r="C334" s="174">
        <v>93.008112652786309</v>
      </c>
      <c r="D334" s="186">
        <v>2.2979555604382234E-2</v>
      </c>
      <c r="E334">
        <f t="shared" si="15"/>
        <v>1</v>
      </c>
      <c r="F334" s="174">
        <f t="shared" si="16"/>
        <v>93.008112652786309</v>
      </c>
      <c r="G334">
        <v>98.276106119242428</v>
      </c>
    </row>
    <row r="335" spans="2:7" x14ac:dyDescent="0.2">
      <c r="B335">
        <f t="shared" si="17"/>
        <v>330</v>
      </c>
      <c r="C335" s="174">
        <v>116.09349269947064</v>
      </c>
      <c r="D335" s="186">
        <v>3.3413026427075734E-2</v>
      </c>
      <c r="E335">
        <f t="shared" si="15"/>
        <v>1</v>
      </c>
      <c r="F335" s="174">
        <f t="shared" si="16"/>
        <v>116.09349269947064</v>
      </c>
      <c r="G335">
        <v>98.23431676410577</v>
      </c>
    </row>
    <row r="336" spans="2:7" x14ac:dyDescent="0.2">
      <c r="B336">
        <f t="shared" si="17"/>
        <v>331</v>
      </c>
      <c r="C336" s="174">
        <v>125.58804621259524</v>
      </c>
      <c r="D336" s="186">
        <v>3.5115143471395223E-2</v>
      </c>
      <c r="E336">
        <f t="shared" si="15"/>
        <v>0</v>
      </c>
      <c r="F336" s="174" t="str">
        <f t="shared" si="16"/>
        <v/>
      </c>
      <c r="G336">
        <v>98.194189196963791</v>
      </c>
    </row>
    <row r="337" spans="2:7" x14ac:dyDescent="0.2">
      <c r="B337">
        <f t="shared" si="17"/>
        <v>332</v>
      </c>
      <c r="C337" s="174">
        <v>75.475534435036522</v>
      </c>
      <c r="D337" s="186">
        <v>1.733036943676745E-2</v>
      </c>
      <c r="E337">
        <f t="shared" si="15"/>
        <v>1</v>
      </c>
      <c r="F337" s="174">
        <f t="shared" si="16"/>
        <v>75.475534435036522</v>
      </c>
      <c r="G337">
        <v>98.125461025518575</v>
      </c>
    </row>
    <row r="338" spans="2:7" x14ac:dyDescent="0.2">
      <c r="B338">
        <f t="shared" si="17"/>
        <v>333</v>
      </c>
      <c r="C338" s="174">
        <v>137.44140529487223</v>
      </c>
      <c r="D338" s="186">
        <v>3.0618932545273394E-2</v>
      </c>
      <c r="E338">
        <f t="shared" si="15"/>
        <v>1</v>
      </c>
      <c r="F338" s="174">
        <f t="shared" si="16"/>
        <v>137.44140529487223</v>
      </c>
      <c r="G338">
        <v>97.834422664796321</v>
      </c>
    </row>
    <row r="339" spans="2:7" x14ac:dyDescent="0.2">
      <c r="B339">
        <f t="shared" si="17"/>
        <v>334</v>
      </c>
      <c r="C339" s="174">
        <v>100.56981139318577</v>
      </c>
      <c r="D339" s="186">
        <v>1.819745694435598E-2</v>
      </c>
      <c r="E339">
        <f t="shared" si="15"/>
        <v>1</v>
      </c>
      <c r="F339" s="174">
        <f t="shared" si="16"/>
        <v>100.56981139318577</v>
      </c>
      <c r="G339">
        <v>97.709782676678117</v>
      </c>
    </row>
    <row r="340" spans="2:7" x14ac:dyDescent="0.2">
      <c r="B340">
        <f t="shared" si="17"/>
        <v>335</v>
      </c>
      <c r="C340" s="174">
        <v>105.97022188889977</v>
      </c>
      <c r="D340" s="186">
        <v>2.3227861459344603E-2</v>
      </c>
      <c r="E340">
        <f t="shared" si="15"/>
        <v>1</v>
      </c>
      <c r="F340" s="174">
        <f t="shared" si="16"/>
        <v>105.97022188889977</v>
      </c>
      <c r="G340">
        <v>97.183899115175123</v>
      </c>
    </row>
    <row r="341" spans="2:7" x14ac:dyDescent="0.2">
      <c r="B341">
        <f t="shared" si="17"/>
        <v>336</v>
      </c>
      <c r="C341" s="174">
        <v>89.47385690244198</v>
      </c>
      <c r="D341" s="186">
        <v>1.8801991556027617E-2</v>
      </c>
      <c r="E341">
        <f t="shared" si="15"/>
        <v>1</v>
      </c>
      <c r="F341" s="174">
        <f t="shared" si="16"/>
        <v>89.47385690244198</v>
      </c>
      <c r="G341">
        <v>97.10734694984005</v>
      </c>
    </row>
    <row r="342" spans="2:7" x14ac:dyDescent="0.2">
      <c r="B342">
        <f t="shared" si="17"/>
        <v>337</v>
      </c>
      <c r="C342" s="174">
        <v>61.766883905430774</v>
      </c>
      <c r="D342" s="186">
        <v>2.2670491448377773E-2</v>
      </c>
      <c r="E342">
        <f t="shared" si="15"/>
        <v>1</v>
      </c>
      <c r="F342" s="174">
        <f t="shared" si="16"/>
        <v>61.766883905430774</v>
      </c>
      <c r="G342">
        <v>97.072267740397578</v>
      </c>
    </row>
    <row r="343" spans="2:7" x14ac:dyDescent="0.2">
      <c r="B343">
        <f t="shared" si="17"/>
        <v>338</v>
      </c>
      <c r="C343" s="174">
        <v>73.072869756967407</v>
      </c>
      <c r="D343" s="186">
        <v>3.1939314249240625E-2</v>
      </c>
      <c r="E343">
        <f t="shared" si="15"/>
        <v>1</v>
      </c>
      <c r="F343" s="174">
        <f t="shared" si="16"/>
        <v>73.072869756967407</v>
      </c>
      <c r="G343">
        <v>96.957797410205302</v>
      </c>
    </row>
    <row r="344" spans="2:7" x14ac:dyDescent="0.2">
      <c r="B344">
        <f t="shared" si="17"/>
        <v>339</v>
      </c>
      <c r="C344" s="174">
        <v>85.796565293649067</v>
      </c>
      <c r="D344" s="186">
        <v>2.9687246080361572E-2</v>
      </c>
      <c r="E344">
        <f t="shared" si="15"/>
        <v>1</v>
      </c>
      <c r="F344" s="174">
        <f t="shared" si="16"/>
        <v>85.796565293649067</v>
      </c>
      <c r="G344">
        <v>96.763890940163023</v>
      </c>
    </row>
    <row r="345" spans="2:7" x14ac:dyDescent="0.2">
      <c r="B345">
        <f t="shared" si="17"/>
        <v>340</v>
      </c>
      <c r="C345" s="174">
        <v>133.08006813354049</v>
      </c>
      <c r="D345" s="186">
        <v>2.1537014795567529E-2</v>
      </c>
      <c r="E345">
        <f t="shared" si="15"/>
        <v>1</v>
      </c>
      <c r="F345" s="174">
        <f t="shared" si="16"/>
        <v>133.08006813354049</v>
      </c>
      <c r="G345">
        <v>96.522165910942846</v>
      </c>
    </row>
    <row r="346" spans="2:7" x14ac:dyDescent="0.2">
      <c r="B346">
        <f t="shared" si="17"/>
        <v>341</v>
      </c>
      <c r="C346" s="174">
        <v>104.26886704471984</v>
      </c>
      <c r="D346" s="186">
        <v>2.3905306546393328E-2</v>
      </c>
      <c r="E346">
        <f t="shared" si="15"/>
        <v>1</v>
      </c>
      <c r="F346" s="174">
        <f t="shared" si="16"/>
        <v>104.26886704471984</v>
      </c>
      <c r="G346">
        <v>96.238996969904207</v>
      </c>
    </row>
    <row r="347" spans="2:7" x14ac:dyDescent="0.2">
      <c r="B347">
        <f t="shared" si="17"/>
        <v>342</v>
      </c>
      <c r="C347" s="174">
        <v>96.921292288270834</v>
      </c>
      <c r="D347" s="186">
        <v>1.4476827087206035E-2</v>
      </c>
      <c r="E347">
        <f t="shared" si="15"/>
        <v>1</v>
      </c>
      <c r="F347" s="174">
        <f t="shared" si="16"/>
        <v>96.921292288270834</v>
      </c>
      <c r="G347">
        <v>95.981370137092455</v>
      </c>
    </row>
    <row r="348" spans="2:7" x14ac:dyDescent="0.2">
      <c r="B348">
        <f t="shared" si="17"/>
        <v>343</v>
      </c>
      <c r="C348" s="174">
        <v>112.87692260890387</v>
      </c>
      <c r="D348" s="186">
        <v>1.062146655511095E-2</v>
      </c>
      <c r="E348">
        <f t="shared" si="15"/>
        <v>1</v>
      </c>
      <c r="F348" s="174">
        <f t="shared" si="16"/>
        <v>112.87692260890387</v>
      </c>
      <c r="G348">
        <v>95.973779397060071</v>
      </c>
    </row>
    <row r="349" spans="2:7" x14ac:dyDescent="0.2">
      <c r="B349">
        <f t="shared" si="17"/>
        <v>344</v>
      </c>
      <c r="C349" s="174">
        <v>113.8489925584125</v>
      </c>
      <c r="D349" s="186">
        <v>2.2470385164550317E-2</v>
      </c>
      <c r="E349">
        <f t="shared" si="15"/>
        <v>1</v>
      </c>
      <c r="F349" s="174">
        <f t="shared" si="16"/>
        <v>113.8489925584125</v>
      </c>
      <c r="G349">
        <v>95.958303629066066</v>
      </c>
    </row>
    <row r="350" spans="2:7" x14ac:dyDescent="0.2">
      <c r="B350">
        <f t="shared" si="17"/>
        <v>345</v>
      </c>
      <c r="C350" s="174">
        <v>92.160883478756674</v>
      </c>
      <c r="D350" s="186">
        <v>2.6462912204094278E-2</v>
      </c>
      <c r="E350">
        <f t="shared" si="15"/>
        <v>1</v>
      </c>
      <c r="F350" s="174">
        <f t="shared" si="16"/>
        <v>92.160883478756674</v>
      </c>
      <c r="G350">
        <v>95.957583307268322</v>
      </c>
    </row>
    <row r="351" spans="2:7" x14ac:dyDescent="0.2">
      <c r="B351">
        <f t="shared" si="17"/>
        <v>346</v>
      </c>
      <c r="C351" s="174">
        <v>133.80435732473367</v>
      </c>
      <c r="D351" s="186">
        <v>3.2612204754934954E-2</v>
      </c>
      <c r="E351">
        <f t="shared" si="15"/>
        <v>1</v>
      </c>
      <c r="F351" s="174">
        <f t="shared" si="16"/>
        <v>133.80435732473367</v>
      </c>
      <c r="G351">
        <v>95.537972064093935</v>
      </c>
    </row>
    <row r="352" spans="2:7" x14ac:dyDescent="0.2">
      <c r="B352">
        <f t="shared" si="17"/>
        <v>347</v>
      </c>
      <c r="C352" s="174">
        <v>113.65025156812867</v>
      </c>
      <c r="D352" s="186">
        <v>3.9235272206606643E-2</v>
      </c>
      <c r="E352">
        <f t="shared" si="15"/>
        <v>0</v>
      </c>
      <c r="F352" s="174" t="str">
        <f t="shared" si="16"/>
        <v/>
      </c>
      <c r="G352">
        <v>95.503655978557305</v>
      </c>
    </row>
    <row r="353" spans="2:7" x14ac:dyDescent="0.2">
      <c r="B353">
        <f t="shared" si="17"/>
        <v>348</v>
      </c>
      <c r="C353" s="174">
        <v>107.75709747409293</v>
      </c>
      <c r="D353" s="186">
        <v>2.4292665818578182E-2</v>
      </c>
      <c r="E353">
        <f t="shared" si="15"/>
        <v>1</v>
      </c>
      <c r="F353" s="174">
        <f t="shared" si="16"/>
        <v>107.75709747409293</v>
      </c>
      <c r="G353">
        <v>95.32227918332643</v>
      </c>
    </row>
    <row r="354" spans="2:7" x14ac:dyDescent="0.2">
      <c r="B354">
        <f t="shared" si="17"/>
        <v>349</v>
      </c>
      <c r="C354" s="174">
        <v>112.07460785699881</v>
      </c>
      <c r="D354" s="186">
        <v>5.0406277680084162E-2</v>
      </c>
      <c r="E354">
        <f t="shared" si="15"/>
        <v>0</v>
      </c>
      <c r="F354" s="174" t="str">
        <f t="shared" si="16"/>
        <v/>
      </c>
      <c r="G354">
        <v>95.165430911386935</v>
      </c>
    </row>
    <row r="355" spans="2:7" x14ac:dyDescent="0.2">
      <c r="B355">
        <f t="shared" si="17"/>
        <v>350</v>
      </c>
      <c r="C355" s="174">
        <v>111.40565513744004</v>
      </c>
      <c r="D355" s="186">
        <v>3.4871519220932311E-2</v>
      </c>
      <c r="E355">
        <f t="shared" si="15"/>
        <v>1</v>
      </c>
      <c r="F355" s="174">
        <f t="shared" si="16"/>
        <v>111.40565513744004</v>
      </c>
      <c r="G355">
        <v>94.836768883026039</v>
      </c>
    </row>
    <row r="356" spans="2:7" x14ac:dyDescent="0.2">
      <c r="B356">
        <f t="shared" si="17"/>
        <v>351</v>
      </c>
      <c r="C356" s="174">
        <v>187.99921185652275</v>
      </c>
      <c r="D356" s="186">
        <v>3.9730744346405229E-2</v>
      </c>
      <c r="E356">
        <f t="shared" si="15"/>
        <v>0</v>
      </c>
      <c r="F356" s="174" t="str">
        <f t="shared" si="16"/>
        <v/>
      </c>
      <c r="G356">
        <v>94.397691335259495</v>
      </c>
    </row>
    <row r="357" spans="2:7" x14ac:dyDescent="0.2">
      <c r="B357">
        <f t="shared" si="17"/>
        <v>352</v>
      </c>
      <c r="C357" s="174">
        <v>117.60616108352669</v>
      </c>
      <c r="D357" s="186">
        <v>3.1250270802358295E-2</v>
      </c>
      <c r="E357">
        <f t="shared" si="15"/>
        <v>1</v>
      </c>
      <c r="F357" s="174">
        <f t="shared" si="16"/>
        <v>117.60616108352669</v>
      </c>
      <c r="G357">
        <v>94.062470239956539</v>
      </c>
    </row>
    <row r="358" spans="2:7" x14ac:dyDescent="0.2">
      <c r="B358">
        <f t="shared" si="17"/>
        <v>353</v>
      </c>
      <c r="C358" s="174">
        <v>101.95615701662291</v>
      </c>
      <c r="D358" s="186">
        <v>2.477201637737992E-2</v>
      </c>
      <c r="E358">
        <f t="shared" si="15"/>
        <v>1</v>
      </c>
      <c r="F358" s="174">
        <f t="shared" si="16"/>
        <v>101.95615701662291</v>
      </c>
      <c r="G358">
        <v>93.839535545138318</v>
      </c>
    </row>
    <row r="359" spans="2:7" x14ac:dyDescent="0.2">
      <c r="B359">
        <f t="shared" si="17"/>
        <v>354</v>
      </c>
      <c r="C359" s="174">
        <v>116.38771814570407</v>
      </c>
      <c r="D359" s="186">
        <v>2.1360235682046556E-2</v>
      </c>
      <c r="E359">
        <f t="shared" si="15"/>
        <v>1</v>
      </c>
      <c r="F359" s="174">
        <f t="shared" si="16"/>
        <v>116.38771814570407</v>
      </c>
      <c r="G359">
        <v>93.68386448774919</v>
      </c>
    </row>
    <row r="360" spans="2:7" x14ac:dyDescent="0.2">
      <c r="B360">
        <f t="shared" si="17"/>
        <v>355</v>
      </c>
      <c r="C360" s="174">
        <v>86.29141772842712</v>
      </c>
      <c r="D360" s="186">
        <v>2.4308327914695727E-2</v>
      </c>
      <c r="E360">
        <f t="shared" si="15"/>
        <v>1</v>
      </c>
      <c r="F360" s="174">
        <f t="shared" si="16"/>
        <v>86.29141772842712</v>
      </c>
      <c r="G360">
        <v>93.303059715709253</v>
      </c>
    </row>
    <row r="361" spans="2:7" x14ac:dyDescent="0.2">
      <c r="B361">
        <f t="shared" si="17"/>
        <v>356</v>
      </c>
      <c r="C361" s="174">
        <v>98.588637278195435</v>
      </c>
      <c r="D361" s="186">
        <v>4.0286838034394902E-2</v>
      </c>
      <c r="E361">
        <f t="shared" si="15"/>
        <v>0</v>
      </c>
      <c r="F361" s="174" t="str">
        <f t="shared" si="16"/>
        <v/>
      </c>
      <c r="G361">
        <v>93.119540399294138</v>
      </c>
    </row>
    <row r="362" spans="2:7" x14ac:dyDescent="0.2">
      <c r="B362">
        <f t="shared" si="17"/>
        <v>357</v>
      </c>
      <c r="C362" s="174">
        <v>67.724953702821281</v>
      </c>
      <c r="D362" s="186">
        <v>1.9403082026438687E-2</v>
      </c>
      <c r="E362">
        <f t="shared" si="15"/>
        <v>1</v>
      </c>
      <c r="F362" s="174">
        <f t="shared" si="16"/>
        <v>67.724953702821281</v>
      </c>
      <c r="G362">
        <v>92.907572154083169</v>
      </c>
    </row>
    <row r="363" spans="2:7" x14ac:dyDescent="0.2">
      <c r="B363">
        <f t="shared" si="17"/>
        <v>358</v>
      </c>
      <c r="C363" s="174">
        <v>194.15959542067674</v>
      </c>
      <c r="D363" s="186">
        <v>3.8452534476989944E-2</v>
      </c>
      <c r="E363">
        <f t="shared" si="15"/>
        <v>0</v>
      </c>
      <c r="F363" s="174" t="str">
        <f t="shared" si="16"/>
        <v/>
      </c>
      <c r="G363">
        <v>92.733339492434666</v>
      </c>
    </row>
    <row r="364" spans="2:7" x14ac:dyDescent="0.2">
      <c r="B364">
        <f t="shared" si="17"/>
        <v>359</v>
      </c>
      <c r="C364" s="174">
        <v>93.047425090436349</v>
      </c>
      <c r="D364" s="186">
        <v>1.6483216445486708E-2</v>
      </c>
      <c r="E364">
        <f t="shared" si="15"/>
        <v>1</v>
      </c>
      <c r="F364" s="174">
        <f t="shared" si="16"/>
        <v>93.047425090436349</v>
      </c>
      <c r="G364">
        <v>92.594055558072768</v>
      </c>
    </row>
    <row r="365" spans="2:7" x14ac:dyDescent="0.2">
      <c r="B365">
        <f t="shared" si="17"/>
        <v>360</v>
      </c>
      <c r="C365" s="174">
        <v>130.56617530260229</v>
      </c>
      <c r="D365" s="186">
        <v>1.7608356353576021E-2</v>
      </c>
      <c r="E365">
        <f t="shared" si="15"/>
        <v>1</v>
      </c>
      <c r="F365" s="174">
        <f t="shared" si="16"/>
        <v>130.56617530260229</v>
      </c>
      <c r="G365">
        <v>92.584136047412031</v>
      </c>
    </row>
    <row r="366" spans="2:7" x14ac:dyDescent="0.2">
      <c r="B366">
        <f t="shared" si="17"/>
        <v>361</v>
      </c>
      <c r="C366" s="174">
        <v>176.51274498224049</v>
      </c>
      <c r="D366" s="186">
        <v>3.5527403432322704E-2</v>
      </c>
      <c r="E366">
        <f t="shared" si="15"/>
        <v>0</v>
      </c>
      <c r="F366" s="174" t="str">
        <f t="shared" si="16"/>
        <v/>
      </c>
      <c r="G366">
        <v>92.57639296507611</v>
      </c>
    </row>
    <row r="367" spans="2:7" x14ac:dyDescent="0.2">
      <c r="B367">
        <f t="shared" si="17"/>
        <v>362</v>
      </c>
      <c r="C367" s="174">
        <v>117.14622533245218</v>
      </c>
      <c r="D367" s="186">
        <v>1.8594527413043134E-2</v>
      </c>
      <c r="E367">
        <f t="shared" si="15"/>
        <v>1</v>
      </c>
      <c r="F367" s="174">
        <f t="shared" si="16"/>
        <v>117.14622533245218</v>
      </c>
      <c r="G367">
        <v>92.390862298299254</v>
      </c>
    </row>
    <row r="368" spans="2:7" x14ac:dyDescent="0.2">
      <c r="B368">
        <f t="shared" si="17"/>
        <v>363</v>
      </c>
      <c r="C368" s="174">
        <v>69.741400315512195</v>
      </c>
      <c r="D368" s="186">
        <v>1.6341223095024136E-2</v>
      </c>
      <c r="E368">
        <f t="shared" si="15"/>
        <v>1</v>
      </c>
      <c r="F368" s="174">
        <f t="shared" si="16"/>
        <v>69.741400315512195</v>
      </c>
      <c r="G368">
        <v>92.21951866290847</v>
      </c>
    </row>
    <row r="369" spans="2:7" x14ac:dyDescent="0.2">
      <c r="B369">
        <f t="shared" si="17"/>
        <v>364</v>
      </c>
      <c r="C369" s="174">
        <v>107.86337785817663</v>
      </c>
      <c r="D369" s="186">
        <v>1.7013651588934229E-2</v>
      </c>
      <c r="E369">
        <f t="shared" si="15"/>
        <v>1</v>
      </c>
      <c r="F369" s="174">
        <f t="shared" si="16"/>
        <v>107.86337785817663</v>
      </c>
      <c r="G369">
        <v>92.103670829241921</v>
      </c>
    </row>
    <row r="370" spans="2:7" x14ac:dyDescent="0.2">
      <c r="B370">
        <f t="shared" si="17"/>
        <v>365</v>
      </c>
      <c r="C370" s="174">
        <v>111.29476990543539</v>
      </c>
      <c r="D370" s="186">
        <v>2.1174603165226978E-2</v>
      </c>
      <c r="E370">
        <f t="shared" si="15"/>
        <v>1</v>
      </c>
      <c r="F370" s="174">
        <f t="shared" si="16"/>
        <v>111.29476990543539</v>
      </c>
      <c r="G370">
        <v>92.003157856555902</v>
      </c>
    </row>
    <row r="371" spans="2:7" x14ac:dyDescent="0.2">
      <c r="B371">
        <f t="shared" si="17"/>
        <v>366</v>
      </c>
      <c r="C371" s="174">
        <v>99.971946287833134</v>
      </c>
      <c r="D371" s="186">
        <v>3.0193978636439356E-2</v>
      </c>
      <c r="E371">
        <f t="shared" si="15"/>
        <v>1</v>
      </c>
      <c r="F371" s="174">
        <f t="shared" si="16"/>
        <v>99.971946287833134</v>
      </c>
      <c r="G371">
        <v>91.48750451779992</v>
      </c>
    </row>
    <row r="372" spans="2:7" x14ac:dyDescent="0.2">
      <c r="B372">
        <f t="shared" si="17"/>
        <v>367</v>
      </c>
      <c r="C372" s="174">
        <v>71.883401818083925</v>
      </c>
      <c r="D372" s="186">
        <v>-1.8247811584678466E-3</v>
      </c>
      <c r="E372">
        <f t="shared" si="15"/>
        <v>0</v>
      </c>
      <c r="F372" s="174" t="str">
        <f t="shared" si="16"/>
        <v/>
      </c>
      <c r="G372">
        <v>91.441400542688584</v>
      </c>
    </row>
    <row r="373" spans="2:7" x14ac:dyDescent="0.2">
      <c r="B373">
        <f t="shared" si="17"/>
        <v>368</v>
      </c>
      <c r="C373" s="174">
        <v>90.22093902218333</v>
      </c>
      <c r="D373" s="186">
        <v>2.5596906592252885E-2</v>
      </c>
      <c r="E373">
        <f t="shared" si="15"/>
        <v>1</v>
      </c>
      <c r="F373" s="174">
        <f t="shared" si="16"/>
        <v>90.22093902218333</v>
      </c>
      <c r="G373">
        <v>91.318993827756714</v>
      </c>
    </row>
    <row r="374" spans="2:7" x14ac:dyDescent="0.2">
      <c r="B374">
        <f t="shared" si="17"/>
        <v>369</v>
      </c>
      <c r="C374" s="174">
        <v>128.92989747736564</v>
      </c>
      <c r="D374" s="186">
        <v>2.1103095917240872E-2</v>
      </c>
      <c r="E374">
        <f t="shared" si="15"/>
        <v>1</v>
      </c>
      <c r="F374" s="174">
        <f t="shared" si="16"/>
        <v>128.92989747736564</v>
      </c>
      <c r="G374">
        <v>91.149912285522987</v>
      </c>
    </row>
    <row r="375" spans="2:7" x14ac:dyDescent="0.2">
      <c r="B375">
        <f t="shared" si="17"/>
        <v>370</v>
      </c>
      <c r="C375" s="174">
        <v>95.263714861898308</v>
      </c>
      <c r="D375" s="186">
        <v>2.3057557824788789E-2</v>
      </c>
      <c r="E375">
        <f t="shared" si="15"/>
        <v>1</v>
      </c>
      <c r="F375" s="174">
        <f t="shared" si="16"/>
        <v>95.263714861898308</v>
      </c>
      <c r="G375">
        <v>91.064743439238157</v>
      </c>
    </row>
    <row r="376" spans="2:7" x14ac:dyDescent="0.2">
      <c r="B376">
        <f t="shared" si="17"/>
        <v>371</v>
      </c>
      <c r="C376" s="174">
        <v>86.290681186468831</v>
      </c>
      <c r="D376" s="186">
        <v>7.8020450615557463E-3</v>
      </c>
      <c r="E376">
        <f t="shared" si="15"/>
        <v>1</v>
      </c>
      <c r="F376" s="174">
        <f t="shared" si="16"/>
        <v>86.290681186468831</v>
      </c>
      <c r="G376">
        <v>90.938651589651855</v>
      </c>
    </row>
    <row r="377" spans="2:7" x14ac:dyDescent="0.2">
      <c r="B377">
        <f t="shared" si="17"/>
        <v>372</v>
      </c>
      <c r="C377" s="174">
        <v>151.04939721906152</v>
      </c>
      <c r="D377" s="186">
        <v>3.4397694883302334E-2</v>
      </c>
      <c r="E377">
        <f t="shared" si="15"/>
        <v>1</v>
      </c>
      <c r="F377" s="174">
        <f t="shared" si="16"/>
        <v>151.04939721906152</v>
      </c>
      <c r="G377">
        <v>90.880750213504228</v>
      </c>
    </row>
    <row r="378" spans="2:7" x14ac:dyDescent="0.2">
      <c r="B378">
        <f t="shared" si="17"/>
        <v>373</v>
      </c>
      <c r="C378" s="174">
        <v>101.75781809696618</v>
      </c>
      <c r="D378" s="186">
        <v>3.125951455802177E-2</v>
      </c>
      <c r="E378">
        <f t="shared" si="15"/>
        <v>1</v>
      </c>
      <c r="F378" s="174">
        <f t="shared" si="16"/>
        <v>101.75781809696618</v>
      </c>
      <c r="G378">
        <v>90.859488386374949</v>
      </c>
    </row>
    <row r="379" spans="2:7" x14ac:dyDescent="0.2">
      <c r="B379">
        <f t="shared" si="17"/>
        <v>374</v>
      </c>
      <c r="C379" s="174">
        <v>126.81436428381429</v>
      </c>
      <c r="D379" s="186">
        <v>3.6321086231970751E-2</v>
      </c>
      <c r="E379">
        <f t="shared" si="15"/>
        <v>0</v>
      </c>
      <c r="F379" s="174" t="str">
        <f t="shared" si="16"/>
        <v/>
      </c>
      <c r="G379">
        <v>90.850608050293474</v>
      </c>
    </row>
    <row r="380" spans="2:7" x14ac:dyDescent="0.2">
      <c r="B380">
        <f t="shared" si="17"/>
        <v>375</v>
      </c>
      <c r="C380" s="174">
        <v>95.394995599453054</v>
      </c>
      <c r="D380" s="186">
        <v>2.6776730188105211E-2</v>
      </c>
      <c r="E380">
        <f t="shared" si="15"/>
        <v>1</v>
      </c>
      <c r="F380" s="174">
        <f t="shared" si="16"/>
        <v>95.394995599453054</v>
      </c>
      <c r="G380">
        <v>90.48471562676086</v>
      </c>
    </row>
    <row r="381" spans="2:7" x14ac:dyDescent="0.2">
      <c r="B381">
        <f t="shared" si="17"/>
        <v>376</v>
      </c>
      <c r="C381" s="174">
        <v>142.15203092987082</v>
      </c>
      <c r="D381" s="186">
        <v>2.0925146594468098E-2</v>
      </c>
      <c r="E381">
        <f t="shared" si="15"/>
        <v>1</v>
      </c>
      <c r="F381" s="174">
        <f t="shared" si="16"/>
        <v>142.15203092987082</v>
      </c>
      <c r="G381">
        <v>90.444001190591607</v>
      </c>
    </row>
    <row r="382" spans="2:7" x14ac:dyDescent="0.2">
      <c r="B382">
        <f t="shared" si="17"/>
        <v>377</v>
      </c>
      <c r="C382" s="174">
        <v>103.04204053974286</v>
      </c>
      <c r="D382" s="186">
        <v>1.2477106010640877E-2</v>
      </c>
      <c r="E382">
        <f t="shared" si="15"/>
        <v>1</v>
      </c>
      <c r="F382" s="174">
        <f t="shared" si="16"/>
        <v>103.04204053974286</v>
      </c>
      <c r="G382">
        <v>90.38062437551902</v>
      </c>
    </row>
    <row r="383" spans="2:7" x14ac:dyDescent="0.2">
      <c r="B383">
        <f t="shared" si="17"/>
        <v>378</v>
      </c>
      <c r="C383" s="174">
        <v>70.54868277594376</v>
      </c>
      <c r="D383" s="186">
        <v>3.7930703781413236E-2</v>
      </c>
      <c r="E383">
        <f t="shared" si="15"/>
        <v>0</v>
      </c>
      <c r="F383" s="174" t="str">
        <f t="shared" si="16"/>
        <v/>
      </c>
      <c r="G383">
        <v>90.077282857109537</v>
      </c>
    </row>
    <row r="384" spans="2:7" x14ac:dyDescent="0.2">
      <c r="B384">
        <f t="shared" si="17"/>
        <v>379</v>
      </c>
      <c r="C384" s="174">
        <v>69.002609141095746</v>
      </c>
      <c r="D384" s="186">
        <v>2.5464728198411144E-2</v>
      </c>
      <c r="E384">
        <f t="shared" si="15"/>
        <v>1</v>
      </c>
      <c r="F384" s="174">
        <f t="shared" si="16"/>
        <v>69.002609141095746</v>
      </c>
      <c r="G384">
        <v>89.996538018645509</v>
      </c>
    </row>
    <row r="385" spans="2:7" x14ac:dyDescent="0.2">
      <c r="B385">
        <f t="shared" si="17"/>
        <v>380</v>
      </c>
      <c r="C385" s="174">
        <v>79.353902288013018</v>
      </c>
      <c r="D385" s="186">
        <v>1.6860061902116072E-2</v>
      </c>
      <c r="E385">
        <f t="shared" si="15"/>
        <v>1</v>
      </c>
      <c r="F385" s="174">
        <f t="shared" si="16"/>
        <v>79.353902288013018</v>
      </c>
      <c r="G385">
        <v>89.836239678532365</v>
      </c>
    </row>
    <row r="386" spans="2:7" x14ac:dyDescent="0.2">
      <c r="B386">
        <f t="shared" si="17"/>
        <v>381</v>
      </c>
      <c r="C386" s="174">
        <v>100.2898640159562</v>
      </c>
      <c r="D386" s="186">
        <v>2.5627268270076727E-2</v>
      </c>
      <c r="E386">
        <f t="shared" si="15"/>
        <v>1</v>
      </c>
      <c r="F386" s="174">
        <f t="shared" si="16"/>
        <v>100.2898640159562</v>
      </c>
      <c r="G386">
        <v>89.799878506767058</v>
      </c>
    </row>
    <row r="387" spans="2:7" x14ac:dyDescent="0.2">
      <c r="B387">
        <f t="shared" si="17"/>
        <v>382</v>
      </c>
      <c r="C387" s="174">
        <v>89.582080564228534</v>
      </c>
      <c r="D387" s="186">
        <v>2.776084576352698E-2</v>
      </c>
      <c r="E387">
        <f t="shared" si="15"/>
        <v>1</v>
      </c>
      <c r="F387" s="174">
        <f t="shared" si="16"/>
        <v>89.582080564228534</v>
      </c>
      <c r="G387">
        <v>89.470421689758496</v>
      </c>
    </row>
    <row r="388" spans="2:7" x14ac:dyDescent="0.2">
      <c r="B388">
        <f t="shared" si="17"/>
        <v>383</v>
      </c>
      <c r="C388" s="174">
        <v>112.71303873525996</v>
      </c>
      <c r="D388" s="186">
        <v>3.5062709569522711E-2</v>
      </c>
      <c r="E388">
        <f t="shared" si="15"/>
        <v>0</v>
      </c>
      <c r="F388" s="174" t="str">
        <f t="shared" si="16"/>
        <v/>
      </c>
      <c r="G388">
        <v>89.465027549738764</v>
      </c>
    </row>
    <row r="389" spans="2:7" x14ac:dyDescent="0.2">
      <c r="B389">
        <f t="shared" si="17"/>
        <v>384</v>
      </c>
      <c r="C389" s="174">
        <v>86.245945138043353</v>
      </c>
      <c r="D389" s="186">
        <v>2.340463294361279E-2</v>
      </c>
      <c r="E389">
        <f t="shared" si="15"/>
        <v>1</v>
      </c>
      <c r="F389" s="174">
        <f t="shared" si="16"/>
        <v>86.245945138043353</v>
      </c>
      <c r="G389">
        <v>89.341966357568481</v>
      </c>
    </row>
    <row r="390" spans="2:7" x14ac:dyDescent="0.2">
      <c r="B390">
        <f t="shared" si="17"/>
        <v>385</v>
      </c>
      <c r="C390" s="174">
        <v>109.98230539535142</v>
      </c>
      <c r="D390" s="186">
        <v>3.120927006483739E-2</v>
      </c>
      <c r="E390">
        <f t="shared" ref="E390:E453" si="18">IF(AND(D390&gt;0,D390&lt;=$D$2),1,0)</f>
        <v>1</v>
      </c>
      <c r="F390" s="174">
        <f t="shared" ref="F390:G453" si="19">IF(E390=1,C390,"")</f>
        <v>109.98230539535142</v>
      </c>
      <c r="G390">
        <v>89.314563490640467</v>
      </c>
    </row>
    <row r="391" spans="2:7" x14ac:dyDescent="0.2">
      <c r="B391">
        <f t="shared" ref="B391:B454" si="20">B390+1</f>
        <v>386</v>
      </c>
      <c r="C391" s="174">
        <v>129.09155287293598</v>
      </c>
      <c r="D391" s="186">
        <v>2.5599213805153256E-2</v>
      </c>
      <c r="E391">
        <f t="shared" si="18"/>
        <v>1</v>
      </c>
      <c r="F391" s="174">
        <f t="shared" si="19"/>
        <v>129.09155287293598</v>
      </c>
      <c r="G391">
        <v>89.244634120085863</v>
      </c>
    </row>
    <row r="392" spans="2:7" x14ac:dyDescent="0.2">
      <c r="B392">
        <f t="shared" si="20"/>
        <v>387</v>
      </c>
      <c r="C392" s="174">
        <v>63.84315150783425</v>
      </c>
      <c r="D392" s="186">
        <v>2.1822539655160674E-2</v>
      </c>
      <c r="E392">
        <f t="shared" si="18"/>
        <v>1</v>
      </c>
      <c r="F392" s="174">
        <f t="shared" si="19"/>
        <v>63.84315150783425</v>
      </c>
      <c r="G392">
        <v>89.188466651151714</v>
      </c>
    </row>
    <row r="393" spans="2:7" x14ac:dyDescent="0.2">
      <c r="B393">
        <f t="shared" si="20"/>
        <v>388</v>
      </c>
      <c r="C393" s="174">
        <v>124.15371430014299</v>
      </c>
      <c r="D393" s="186">
        <v>3.532141664251779E-2</v>
      </c>
      <c r="E393">
        <f t="shared" si="18"/>
        <v>0</v>
      </c>
      <c r="F393" s="174" t="str">
        <f t="shared" si="19"/>
        <v/>
      </c>
      <c r="G393">
        <v>89.115842044387833</v>
      </c>
    </row>
    <row r="394" spans="2:7" x14ac:dyDescent="0.2">
      <c r="B394">
        <f t="shared" si="20"/>
        <v>389</v>
      </c>
      <c r="C394" s="174">
        <v>121.27049454958119</v>
      </c>
      <c r="D394" s="186">
        <v>2.4583810057731467E-2</v>
      </c>
      <c r="E394">
        <f t="shared" si="18"/>
        <v>1</v>
      </c>
      <c r="F394" s="174">
        <f t="shared" si="19"/>
        <v>121.27049454958119</v>
      </c>
      <c r="G394">
        <v>89.007478317570389</v>
      </c>
    </row>
    <row r="395" spans="2:7" x14ac:dyDescent="0.2">
      <c r="B395">
        <f t="shared" si="20"/>
        <v>390</v>
      </c>
      <c r="C395" s="174">
        <v>103.32682000138996</v>
      </c>
      <c r="D395" s="186">
        <v>3.1026921823515217E-2</v>
      </c>
      <c r="E395">
        <f t="shared" si="18"/>
        <v>1</v>
      </c>
      <c r="F395" s="174">
        <f t="shared" si="19"/>
        <v>103.32682000138996</v>
      </c>
      <c r="G395">
        <v>88.842964628864237</v>
      </c>
    </row>
    <row r="396" spans="2:7" x14ac:dyDescent="0.2">
      <c r="B396">
        <f t="shared" si="20"/>
        <v>391</v>
      </c>
      <c r="C396" s="174">
        <v>136.97319400142689</v>
      </c>
      <c r="D396" s="186">
        <v>3.3058766794887645E-2</v>
      </c>
      <c r="E396">
        <f t="shared" si="18"/>
        <v>1</v>
      </c>
      <c r="F396" s="174">
        <f t="shared" si="19"/>
        <v>136.97319400142689</v>
      </c>
      <c r="G396">
        <v>88.695561361191409</v>
      </c>
    </row>
    <row r="397" spans="2:7" x14ac:dyDescent="0.2">
      <c r="B397">
        <f t="shared" si="20"/>
        <v>392</v>
      </c>
      <c r="C397" s="174">
        <v>132.71458701527325</v>
      </c>
      <c r="D397" s="186">
        <v>2.3784116187869915E-2</v>
      </c>
      <c r="E397">
        <f t="shared" si="18"/>
        <v>1</v>
      </c>
      <c r="F397" s="174">
        <f t="shared" si="19"/>
        <v>132.71458701527325</v>
      </c>
      <c r="G397">
        <v>88.330413192238225</v>
      </c>
    </row>
    <row r="398" spans="2:7" x14ac:dyDescent="0.2">
      <c r="B398">
        <f t="shared" si="20"/>
        <v>393</v>
      </c>
      <c r="C398" s="174">
        <v>119.25229407395761</v>
      </c>
      <c r="D398" s="186">
        <v>3.3455838428147686E-2</v>
      </c>
      <c r="E398">
        <f t="shared" si="18"/>
        <v>1</v>
      </c>
      <c r="F398" s="174">
        <f t="shared" si="19"/>
        <v>119.25229407395761</v>
      </c>
      <c r="G398">
        <v>88.092983155072673</v>
      </c>
    </row>
    <row r="399" spans="2:7" x14ac:dyDescent="0.2">
      <c r="B399">
        <f t="shared" si="20"/>
        <v>394</v>
      </c>
      <c r="C399" s="174">
        <v>114.22920106836146</v>
      </c>
      <c r="D399" s="186">
        <v>3.1438140698044952E-2</v>
      </c>
      <c r="E399">
        <f t="shared" si="18"/>
        <v>1</v>
      </c>
      <c r="F399" s="174">
        <f t="shared" si="19"/>
        <v>114.22920106836146</v>
      </c>
      <c r="G399">
        <v>87.752002139137531</v>
      </c>
    </row>
    <row r="400" spans="2:7" x14ac:dyDescent="0.2">
      <c r="B400">
        <f t="shared" si="20"/>
        <v>395</v>
      </c>
      <c r="C400" s="174">
        <v>143.04254188446802</v>
      </c>
      <c r="D400" s="186">
        <v>1.2143170739005142E-2</v>
      </c>
      <c r="E400">
        <f t="shared" si="18"/>
        <v>1</v>
      </c>
      <c r="F400" s="174">
        <f t="shared" si="19"/>
        <v>143.04254188446802</v>
      </c>
      <c r="G400">
        <v>87.592881261757967</v>
      </c>
    </row>
    <row r="401" spans="2:7" x14ac:dyDescent="0.2">
      <c r="B401">
        <f t="shared" si="20"/>
        <v>396</v>
      </c>
      <c r="C401" s="174">
        <v>89.519508794915723</v>
      </c>
      <c r="D401" s="186">
        <v>1.3674289426562132E-2</v>
      </c>
      <c r="E401">
        <f t="shared" si="18"/>
        <v>1</v>
      </c>
      <c r="F401" s="174">
        <f t="shared" si="19"/>
        <v>89.519508794915723</v>
      </c>
      <c r="G401">
        <v>87.433864289450284</v>
      </c>
    </row>
    <row r="402" spans="2:7" x14ac:dyDescent="0.2">
      <c r="B402">
        <f t="shared" si="20"/>
        <v>397</v>
      </c>
      <c r="C402" s="174">
        <v>76.647038419247977</v>
      </c>
      <c r="D402" s="186">
        <v>3.9578031865745385E-2</v>
      </c>
      <c r="E402">
        <f t="shared" si="18"/>
        <v>0</v>
      </c>
      <c r="F402" s="174" t="str">
        <f t="shared" si="19"/>
        <v/>
      </c>
      <c r="G402">
        <v>87.214299802924302</v>
      </c>
    </row>
    <row r="403" spans="2:7" x14ac:dyDescent="0.2">
      <c r="B403">
        <f t="shared" si="20"/>
        <v>398</v>
      </c>
      <c r="C403" s="174">
        <v>129.03148727353826</v>
      </c>
      <c r="D403" s="186">
        <v>3.6616159112697298E-2</v>
      </c>
      <c r="E403">
        <f t="shared" si="18"/>
        <v>0</v>
      </c>
      <c r="F403" s="174" t="str">
        <f t="shared" si="19"/>
        <v/>
      </c>
      <c r="G403">
        <v>86.979815331372691</v>
      </c>
    </row>
    <row r="404" spans="2:7" x14ac:dyDescent="0.2">
      <c r="B404">
        <f t="shared" si="20"/>
        <v>399</v>
      </c>
      <c r="C404" s="174">
        <v>103.28360251786751</v>
      </c>
      <c r="D404" s="186">
        <v>5.5141828525193233E-2</v>
      </c>
      <c r="E404">
        <f t="shared" si="18"/>
        <v>0</v>
      </c>
      <c r="F404" s="174" t="str">
        <f t="shared" si="19"/>
        <v/>
      </c>
      <c r="G404">
        <v>86.768568331728844</v>
      </c>
    </row>
    <row r="405" spans="2:7" x14ac:dyDescent="0.2">
      <c r="B405">
        <f t="shared" si="20"/>
        <v>400</v>
      </c>
      <c r="C405" s="174">
        <v>127.22985710074398</v>
      </c>
      <c r="D405" s="186">
        <v>3.5455106848797727E-2</v>
      </c>
      <c r="E405">
        <f t="shared" si="18"/>
        <v>0</v>
      </c>
      <c r="F405" s="174" t="str">
        <f t="shared" si="19"/>
        <v/>
      </c>
      <c r="G405">
        <v>86.73710639068787</v>
      </c>
    </row>
    <row r="406" spans="2:7" x14ac:dyDescent="0.2">
      <c r="B406">
        <f t="shared" si="20"/>
        <v>401</v>
      </c>
      <c r="C406" s="174">
        <v>140.64942778537238</v>
      </c>
      <c r="D406" s="186">
        <v>3.2153559070083729E-2</v>
      </c>
      <c r="E406">
        <f t="shared" si="18"/>
        <v>1</v>
      </c>
      <c r="F406" s="174">
        <f t="shared" si="19"/>
        <v>140.64942778537238</v>
      </c>
      <c r="G406">
        <v>86.359043097913755</v>
      </c>
    </row>
    <row r="407" spans="2:7" x14ac:dyDescent="0.2">
      <c r="B407">
        <f t="shared" si="20"/>
        <v>402</v>
      </c>
      <c r="C407" s="174">
        <v>100.00940940541997</v>
      </c>
      <c r="D407" s="186">
        <v>1.4013339564457309E-2</v>
      </c>
      <c r="E407">
        <f t="shared" si="18"/>
        <v>1</v>
      </c>
      <c r="F407" s="174">
        <f t="shared" si="19"/>
        <v>100.00940940541997</v>
      </c>
      <c r="G407">
        <v>86.188426933077992</v>
      </c>
    </row>
    <row r="408" spans="2:7" x14ac:dyDescent="0.2">
      <c r="B408">
        <f t="shared" si="20"/>
        <v>403</v>
      </c>
      <c r="C408" s="174">
        <v>148.9666456695864</v>
      </c>
      <c r="D408" s="186">
        <v>2.5799863106034122E-2</v>
      </c>
      <c r="E408">
        <f t="shared" si="18"/>
        <v>1</v>
      </c>
      <c r="F408" s="174">
        <f t="shared" si="19"/>
        <v>148.9666456695864</v>
      </c>
      <c r="G408">
        <v>85.810661900321577</v>
      </c>
    </row>
    <row r="409" spans="2:7" x14ac:dyDescent="0.2">
      <c r="B409">
        <f t="shared" si="20"/>
        <v>404</v>
      </c>
      <c r="C409" s="174">
        <v>105.23555062074587</v>
      </c>
      <c r="D409" s="186">
        <v>3.3310540959675485E-2</v>
      </c>
      <c r="E409">
        <f t="shared" si="18"/>
        <v>1</v>
      </c>
      <c r="F409" s="174">
        <f t="shared" si="19"/>
        <v>105.23555062074587</v>
      </c>
      <c r="G409">
        <v>85.754699274712507</v>
      </c>
    </row>
    <row r="410" spans="2:7" x14ac:dyDescent="0.2">
      <c r="B410">
        <f t="shared" si="20"/>
        <v>405</v>
      </c>
      <c r="C410" s="174">
        <v>104.48046794513935</v>
      </c>
      <c r="D410" s="186">
        <v>2.6441453224673863E-2</v>
      </c>
      <c r="E410">
        <f t="shared" si="18"/>
        <v>1</v>
      </c>
      <c r="F410" s="174">
        <f t="shared" si="19"/>
        <v>104.48046794513935</v>
      </c>
      <c r="G410">
        <v>85.527305789359673</v>
      </c>
    </row>
    <row r="411" spans="2:7" x14ac:dyDescent="0.2">
      <c r="B411">
        <f t="shared" si="20"/>
        <v>406</v>
      </c>
      <c r="C411" s="174">
        <v>138.39615938159324</v>
      </c>
      <c r="D411" s="186">
        <v>1.8093685213389343E-2</v>
      </c>
      <c r="E411">
        <f t="shared" si="18"/>
        <v>1</v>
      </c>
      <c r="F411" s="174">
        <f t="shared" si="19"/>
        <v>138.39615938159324</v>
      </c>
      <c r="G411">
        <v>85.414517683096037</v>
      </c>
    </row>
    <row r="412" spans="2:7" x14ac:dyDescent="0.2">
      <c r="B412">
        <f t="shared" si="20"/>
        <v>407</v>
      </c>
      <c r="C412" s="174">
        <v>124.24545541537572</v>
      </c>
      <c r="D412" s="186">
        <v>2.7640307084293891E-2</v>
      </c>
      <c r="E412">
        <f t="shared" si="18"/>
        <v>1</v>
      </c>
      <c r="F412" s="174">
        <f t="shared" si="19"/>
        <v>124.24545541537572</v>
      </c>
      <c r="G412">
        <v>85.397579719666211</v>
      </c>
    </row>
    <row r="413" spans="2:7" x14ac:dyDescent="0.2">
      <c r="B413">
        <f t="shared" si="20"/>
        <v>408</v>
      </c>
      <c r="C413" s="174">
        <v>102.40905639290439</v>
      </c>
      <c r="D413" s="186">
        <v>2.6346297201867905E-2</v>
      </c>
      <c r="E413">
        <f t="shared" si="18"/>
        <v>1</v>
      </c>
      <c r="F413" s="174">
        <f t="shared" si="19"/>
        <v>102.40905639290439</v>
      </c>
      <c r="G413">
        <v>85.388072602961458</v>
      </c>
    </row>
    <row r="414" spans="2:7" x14ac:dyDescent="0.2">
      <c r="B414">
        <f t="shared" si="20"/>
        <v>409</v>
      </c>
      <c r="C414" s="174">
        <v>100.36644632944972</v>
      </c>
      <c r="D414" s="186">
        <v>3.319165984195669E-2</v>
      </c>
      <c r="E414">
        <f t="shared" si="18"/>
        <v>1</v>
      </c>
      <c r="F414" s="174">
        <f t="shared" si="19"/>
        <v>100.36644632944972</v>
      </c>
      <c r="G414">
        <v>85.302495937611809</v>
      </c>
    </row>
    <row r="415" spans="2:7" x14ac:dyDescent="0.2">
      <c r="B415">
        <f t="shared" si="20"/>
        <v>410</v>
      </c>
      <c r="C415" s="174">
        <v>105.35904686802883</v>
      </c>
      <c r="D415" s="186">
        <v>2.7172038543038173E-2</v>
      </c>
      <c r="E415">
        <f t="shared" si="18"/>
        <v>1</v>
      </c>
      <c r="F415" s="174">
        <f t="shared" si="19"/>
        <v>105.35904686802883</v>
      </c>
      <c r="G415">
        <v>84.554292368866356</v>
      </c>
    </row>
    <row r="416" spans="2:7" x14ac:dyDescent="0.2">
      <c r="B416">
        <f t="shared" si="20"/>
        <v>411</v>
      </c>
      <c r="C416" s="174">
        <v>-686.19260572055214</v>
      </c>
      <c r="D416" s="186">
        <v>5.8226596832437069E-2</v>
      </c>
      <c r="E416">
        <f t="shared" si="18"/>
        <v>0</v>
      </c>
      <c r="F416" s="174" t="str">
        <f t="shared" si="19"/>
        <v/>
      </c>
      <c r="G416">
        <v>84.277832684460392</v>
      </c>
    </row>
    <row r="417" spans="2:7" x14ac:dyDescent="0.2">
      <c r="B417">
        <f t="shared" si="20"/>
        <v>412</v>
      </c>
      <c r="C417" s="174">
        <v>140.37125830832085</v>
      </c>
      <c r="D417" s="186">
        <v>2.6304870221974294E-2</v>
      </c>
      <c r="E417">
        <f t="shared" si="18"/>
        <v>1</v>
      </c>
      <c r="F417" s="174">
        <f t="shared" si="19"/>
        <v>140.37125830832085</v>
      </c>
      <c r="G417">
        <v>84.085997400671971</v>
      </c>
    </row>
    <row r="418" spans="2:7" x14ac:dyDescent="0.2">
      <c r="B418">
        <f t="shared" si="20"/>
        <v>413</v>
      </c>
      <c r="C418" s="174">
        <v>143.49150688923726</v>
      </c>
      <c r="D418" s="186">
        <v>2.4989380445050398E-2</v>
      </c>
      <c r="E418">
        <f t="shared" si="18"/>
        <v>1</v>
      </c>
      <c r="F418" s="174">
        <f t="shared" si="19"/>
        <v>143.49150688923726</v>
      </c>
      <c r="G418">
        <v>83.917250144725742</v>
      </c>
    </row>
    <row r="419" spans="2:7" x14ac:dyDescent="0.2">
      <c r="B419">
        <f t="shared" si="20"/>
        <v>414</v>
      </c>
      <c r="C419" s="174">
        <v>122.43585136130531</v>
      </c>
      <c r="D419" s="186">
        <v>2.5821186540679993E-2</v>
      </c>
      <c r="E419">
        <f t="shared" si="18"/>
        <v>1</v>
      </c>
      <c r="F419" s="174">
        <f t="shared" si="19"/>
        <v>122.43585136130531</v>
      </c>
      <c r="G419">
        <v>83.833938478339022</v>
      </c>
    </row>
    <row r="420" spans="2:7" x14ac:dyDescent="0.2">
      <c r="B420">
        <f t="shared" si="20"/>
        <v>415</v>
      </c>
      <c r="C420" s="174">
        <v>101.57635898099508</v>
      </c>
      <c r="D420" s="186">
        <v>1.0079719472578177E-2</v>
      </c>
      <c r="E420">
        <f t="shared" si="18"/>
        <v>1</v>
      </c>
      <c r="F420" s="174">
        <f t="shared" si="19"/>
        <v>101.57635898099508</v>
      </c>
      <c r="G420">
        <v>83.748983658891831</v>
      </c>
    </row>
    <row r="421" spans="2:7" x14ac:dyDescent="0.2">
      <c r="B421">
        <f t="shared" si="20"/>
        <v>416</v>
      </c>
      <c r="C421" s="174">
        <v>101.22866669864824</v>
      </c>
      <c r="D421" s="186">
        <v>1.6700617759765505E-2</v>
      </c>
      <c r="E421">
        <f t="shared" si="18"/>
        <v>1</v>
      </c>
      <c r="F421" s="174">
        <f t="shared" si="19"/>
        <v>101.22866669864824</v>
      </c>
      <c r="G421">
        <v>83.697577809160435</v>
      </c>
    </row>
    <row r="422" spans="2:7" x14ac:dyDescent="0.2">
      <c r="B422">
        <f t="shared" si="20"/>
        <v>417</v>
      </c>
      <c r="C422" s="174">
        <v>118.57488162958363</v>
      </c>
      <c r="D422" s="186">
        <v>3.3075232941533673E-2</v>
      </c>
      <c r="E422">
        <f t="shared" si="18"/>
        <v>1</v>
      </c>
      <c r="F422" s="174">
        <f t="shared" si="19"/>
        <v>118.57488162958363</v>
      </c>
      <c r="G422">
        <v>83.460193646814858</v>
      </c>
    </row>
    <row r="423" spans="2:7" x14ac:dyDescent="0.2">
      <c r="B423">
        <f t="shared" si="20"/>
        <v>418</v>
      </c>
      <c r="C423" s="174">
        <v>99.924485936064357</v>
      </c>
      <c r="D423" s="186">
        <v>3.9454389388459021E-2</v>
      </c>
      <c r="E423">
        <f t="shared" si="18"/>
        <v>0</v>
      </c>
      <c r="F423" s="174" t="str">
        <f t="shared" si="19"/>
        <v/>
      </c>
      <c r="G423">
        <v>83.284939755032838</v>
      </c>
    </row>
    <row r="424" spans="2:7" x14ac:dyDescent="0.2">
      <c r="B424">
        <f t="shared" si="20"/>
        <v>419</v>
      </c>
      <c r="C424" s="174">
        <v>112.98435632297358</v>
      </c>
      <c r="D424" s="186">
        <v>3.9222515514698165E-2</v>
      </c>
      <c r="E424">
        <f t="shared" si="18"/>
        <v>0</v>
      </c>
      <c r="F424" s="174" t="str">
        <f t="shared" si="19"/>
        <v/>
      </c>
      <c r="G424">
        <v>83.268944904488734</v>
      </c>
    </row>
    <row r="425" spans="2:7" x14ac:dyDescent="0.2">
      <c r="B425">
        <f t="shared" si="20"/>
        <v>420</v>
      </c>
      <c r="C425" s="174">
        <v>105.90017339713883</v>
      </c>
      <c r="D425" s="186">
        <v>3.0017557527012569E-2</v>
      </c>
      <c r="E425">
        <f t="shared" si="18"/>
        <v>1</v>
      </c>
      <c r="F425" s="174">
        <f t="shared" si="19"/>
        <v>105.90017339713883</v>
      </c>
      <c r="G425">
        <v>83.178424416465745</v>
      </c>
    </row>
    <row r="426" spans="2:7" x14ac:dyDescent="0.2">
      <c r="B426">
        <f t="shared" si="20"/>
        <v>421</v>
      </c>
      <c r="C426" s="174">
        <v>134.37843993514397</v>
      </c>
      <c r="D426" s="186">
        <v>2.3450176150326869E-2</v>
      </c>
      <c r="E426">
        <f t="shared" si="18"/>
        <v>1</v>
      </c>
      <c r="F426" s="174">
        <f t="shared" si="19"/>
        <v>134.37843993514397</v>
      </c>
      <c r="G426">
        <v>83.061787482966977</v>
      </c>
    </row>
    <row r="427" spans="2:7" x14ac:dyDescent="0.2">
      <c r="B427">
        <f t="shared" si="20"/>
        <v>422</v>
      </c>
      <c r="C427" s="174">
        <v>113.46141451065679</v>
      </c>
      <c r="D427" s="186">
        <v>1.8825341355005007E-2</v>
      </c>
      <c r="E427">
        <f t="shared" si="18"/>
        <v>1</v>
      </c>
      <c r="F427" s="174">
        <f t="shared" si="19"/>
        <v>113.46141451065679</v>
      </c>
      <c r="G427">
        <v>83.015301282085161</v>
      </c>
    </row>
    <row r="428" spans="2:7" x14ac:dyDescent="0.2">
      <c r="B428">
        <f t="shared" si="20"/>
        <v>423</v>
      </c>
      <c r="C428" s="174">
        <v>76.590111721080646</v>
      </c>
      <c r="D428" s="186">
        <v>1.8198393094356634E-2</v>
      </c>
      <c r="E428">
        <f t="shared" si="18"/>
        <v>1</v>
      </c>
      <c r="F428" s="174">
        <f t="shared" si="19"/>
        <v>76.590111721080646</v>
      </c>
      <c r="G428">
        <v>82.97917660201685</v>
      </c>
    </row>
    <row r="429" spans="2:7" x14ac:dyDescent="0.2">
      <c r="B429">
        <f t="shared" si="20"/>
        <v>424</v>
      </c>
      <c r="C429" s="174">
        <v>88.441836778234858</v>
      </c>
      <c r="D429" s="186">
        <v>2.6484496284449741E-2</v>
      </c>
      <c r="E429">
        <f t="shared" si="18"/>
        <v>1</v>
      </c>
      <c r="F429" s="174">
        <f t="shared" si="19"/>
        <v>88.441836778234858</v>
      </c>
      <c r="G429">
        <v>82.508160351408918</v>
      </c>
    </row>
    <row r="430" spans="2:7" x14ac:dyDescent="0.2">
      <c r="B430">
        <f t="shared" si="20"/>
        <v>425</v>
      </c>
      <c r="C430" s="174">
        <v>101.78980649514405</v>
      </c>
      <c r="D430" s="186">
        <v>3.9238636056640193E-2</v>
      </c>
      <c r="E430">
        <f t="shared" si="18"/>
        <v>0</v>
      </c>
      <c r="F430" s="174" t="str">
        <f t="shared" si="19"/>
        <v/>
      </c>
      <c r="G430">
        <v>82.399828558576374</v>
      </c>
    </row>
    <row r="431" spans="2:7" x14ac:dyDescent="0.2">
      <c r="B431">
        <f t="shared" si="20"/>
        <v>426</v>
      </c>
      <c r="C431" s="174">
        <v>95.568933442921818</v>
      </c>
      <c r="D431" s="186">
        <v>8.1351059971394822E-3</v>
      </c>
      <c r="E431">
        <f t="shared" si="18"/>
        <v>1</v>
      </c>
      <c r="F431" s="174">
        <f t="shared" si="19"/>
        <v>95.568933442921818</v>
      </c>
      <c r="G431">
        <v>82.324860176118236</v>
      </c>
    </row>
    <row r="432" spans="2:7" x14ac:dyDescent="0.2">
      <c r="B432">
        <f t="shared" si="20"/>
        <v>427</v>
      </c>
      <c r="C432" s="174">
        <v>138.34639565311591</v>
      </c>
      <c r="D432" s="186">
        <v>3.1108605368131214E-2</v>
      </c>
      <c r="E432">
        <f t="shared" si="18"/>
        <v>1</v>
      </c>
      <c r="F432" s="174">
        <f t="shared" si="19"/>
        <v>138.34639565311591</v>
      </c>
      <c r="G432">
        <v>82.213990986447882</v>
      </c>
    </row>
    <row r="433" spans="2:7" x14ac:dyDescent="0.2">
      <c r="B433">
        <f t="shared" si="20"/>
        <v>428</v>
      </c>
      <c r="C433" s="174">
        <v>131.87855588008435</v>
      </c>
      <c r="D433" s="186">
        <v>1.9204806816352823E-2</v>
      </c>
      <c r="E433">
        <f t="shared" si="18"/>
        <v>1</v>
      </c>
      <c r="F433" s="174">
        <f t="shared" si="19"/>
        <v>131.87855588008435</v>
      </c>
      <c r="G433">
        <v>82.007063802930716</v>
      </c>
    </row>
    <row r="434" spans="2:7" x14ac:dyDescent="0.2">
      <c r="B434">
        <f t="shared" si="20"/>
        <v>429</v>
      </c>
      <c r="C434" s="174">
        <v>99.230503743766192</v>
      </c>
      <c r="D434" s="186">
        <v>1.7572390585083E-2</v>
      </c>
      <c r="E434">
        <f t="shared" si="18"/>
        <v>1</v>
      </c>
      <c r="F434" s="174">
        <f t="shared" si="19"/>
        <v>99.230503743766192</v>
      </c>
      <c r="G434">
        <v>81.635333937373943</v>
      </c>
    </row>
    <row r="435" spans="2:7" x14ac:dyDescent="0.2">
      <c r="B435">
        <f t="shared" si="20"/>
        <v>430</v>
      </c>
      <c r="C435" s="174">
        <v>109.30911864588914</v>
      </c>
      <c r="D435" s="186">
        <v>4.6784708748345241E-2</v>
      </c>
      <c r="E435">
        <f t="shared" si="18"/>
        <v>0</v>
      </c>
      <c r="F435" s="174" t="str">
        <f t="shared" si="19"/>
        <v/>
      </c>
      <c r="G435">
        <v>80.954602613914886</v>
      </c>
    </row>
    <row r="436" spans="2:7" x14ac:dyDescent="0.2">
      <c r="B436">
        <f t="shared" si="20"/>
        <v>431</v>
      </c>
      <c r="C436" s="174">
        <v>166.76241279216975</v>
      </c>
      <c r="D436" s="186">
        <v>3.3871796853129174E-2</v>
      </c>
      <c r="E436">
        <f t="shared" si="18"/>
        <v>1</v>
      </c>
      <c r="F436" s="174">
        <f t="shared" si="19"/>
        <v>166.76241279216975</v>
      </c>
      <c r="G436">
        <v>80.519852634236571</v>
      </c>
    </row>
    <row r="437" spans="2:7" x14ac:dyDescent="0.2">
      <c r="B437">
        <f t="shared" si="20"/>
        <v>432</v>
      </c>
      <c r="C437" s="174">
        <v>105.92913597638972</v>
      </c>
      <c r="D437" s="186">
        <v>1.3771844213246088E-2</v>
      </c>
      <c r="E437">
        <f t="shared" si="18"/>
        <v>1</v>
      </c>
      <c r="F437" s="174">
        <f t="shared" si="19"/>
        <v>105.92913597638972</v>
      </c>
      <c r="G437">
        <v>80.476320648263197</v>
      </c>
    </row>
    <row r="438" spans="2:7" x14ac:dyDescent="0.2">
      <c r="B438">
        <f t="shared" si="20"/>
        <v>433</v>
      </c>
      <c r="C438" s="174">
        <v>146.39071448416325</v>
      </c>
      <c r="D438" s="186">
        <v>3.180083521485938E-2</v>
      </c>
      <c r="E438">
        <f t="shared" si="18"/>
        <v>1</v>
      </c>
      <c r="F438" s="174">
        <f t="shared" si="19"/>
        <v>146.39071448416325</v>
      </c>
      <c r="G438">
        <v>80.30041614270182</v>
      </c>
    </row>
    <row r="439" spans="2:7" x14ac:dyDescent="0.2">
      <c r="B439">
        <f t="shared" si="20"/>
        <v>434</v>
      </c>
      <c r="C439" s="174">
        <v>114.26132984898256</v>
      </c>
      <c r="D439" s="186">
        <v>2.5427753672134398E-2</v>
      </c>
      <c r="E439">
        <f t="shared" si="18"/>
        <v>1</v>
      </c>
      <c r="F439" s="174">
        <f t="shared" si="19"/>
        <v>114.26132984898256</v>
      </c>
      <c r="G439">
        <v>80.059238866673169</v>
      </c>
    </row>
    <row r="440" spans="2:7" x14ac:dyDescent="0.2">
      <c r="B440">
        <f t="shared" si="20"/>
        <v>435</v>
      </c>
      <c r="C440" s="174">
        <v>169.5062463920051</v>
      </c>
      <c r="D440" s="186">
        <v>5.4500372225190899E-2</v>
      </c>
      <c r="E440">
        <f t="shared" si="18"/>
        <v>0</v>
      </c>
      <c r="F440" s="174" t="str">
        <f t="shared" si="19"/>
        <v/>
      </c>
      <c r="G440">
        <v>79.912417304631546</v>
      </c>
    </row>
    <row r="441" spans="2:7" x14ac:dyDescent="0.2">
      <c r="B441">
        <f t="shared" si="20"/>
        <v>436</v>
      </c>
      <c r="C441" s="174">
        <v>143.83494497695051</v>
      </c>
      <c r="D441" s="186">
        <v>2.3927368828185549E-2</v>
      </c>
      <c r="E441">
        <f t="shared" si="18"/>
        <v>1</v>
      </c>
      <c r="F441" s="174">
        <f t="shared" si="19"/>
        <v>143.83494497695051</v>
      </c>
      <c r="G441">
        <v>79.674315659924545</v>
      </c>
    </row>
    <row r="442" spans="2:7" x14ac:dyDescent="0.2">
      <c r="B442">
        <f t="shared" si="20"/>
        <v>437</v>
      </c>
      <c r="C442" s="174">
        <v>85.241056287541483</v>
      </c>
      <c r="D442" s="186">
        <v>3.0844741967008978E-2</v>
      </c>
      <c r="E442">
        <f t="shared" si="18"/>
        <v>1</v>
      </c>
      <c r="F442" s="174">
        <f t="shared" si="19"/>
        <v>85.241056287541483</v>
      </c>
      <c r="G442">
        <v>79.637157952386062</v>
      </c>
    </row>
    <row r="443" spans="2:7" x14ac:dyDescent="0.2">
      <c r="B443">
        <f t="shared" si="20"/>
        <v>438</v>
      </c>
      <c r="C443" s="174">
        <v>64.800766854388172</v>
      </c>
      <c r="D443" s="186">
        <v>2.1620918281743E-2</v>
      </c>
      <c r="E443">
        <f t="shared" si="18"/>
        <v>1</v>
      </c>
      <c r="F443" s="174">
        <f t="shared" si="19"/>
        <v>64.800766854388172</v>
      </c>
      <c r="G443">
        <v>79.479516573648226</v>
      </c>
    </row>
    <row r="444" spans="2:7" x14ac:dyDescent="0.2">
      <c r="B444">
        <f t="shared" si="20"/>
        <v>439</v>
      </c>
      <c r="C444" s="174">
        <v>105.38377526838936</v>
      </c>
      <c r="D444" s="186">
        <v>3.7085396199620445E-2</v>
      </c>
      <c r="E444">
        <f t="shared" si="18"/>
        <v>0</v>
      </c>
      <c r="F444" s="174" t="str">
        <f t="shared" si="19"/>
        <v/>
      </c>
      <c r="G444">
        <v>79.447622237205366</v>
      </c>
    </row>
    <row r="445" spans="2:7" x14ac:dyDescent="0.2">
      <c r="B445">
        <f t="shared" si="20"/>
        <v>440</v>
      </c>
      <c r="C445" s="174">
        <v>79.441911298086737</v>
      </c>
      <c r="D445" s="186">
        <v>2.1358411397747308E-2</v>
      </c>
      <c r="E445">
        <f t="shared" si="18"/>
        <v>1</v>
      </c>
      <c r="F445" s="174">
        <f t="shared" si="19"/>
        <v>79.441911298086737</v>
      </c>
      <c r="G445">
        <v>79.3935797059778</v>
      </c>
    </row>
    <row r="446" spans="2:7" x14ac:dyDescent="0.2">
      <c r="B446">
        <f t="shared" si="20"/>
        <v>441</v>
      </c>
      <c r="C446" s="174">
        <v>108.67076149719253</v>
      </c>
      <c r="D446" s="186">
        <v>3.2296899815279431E-2</v>
      </c>
      <c r="E446">
        <f t="shared" si="18"/>
        <v>1</v>
      </c>
      <c r="F446" s="174">
        <f t="shared" si="19"/>
        <v>108.67076149719253</v>
      </c>
      <c r="G446">
        <v>79.330554442377888</v>
      </c>
    </row>
    <row r="447" spans="2:7" x14ac:dyDescent="0.2">
      <c r="B447">
        <f t="shared" si="20"/>
        <v>442</v>
      </c>
      <c r="C447" s="174">
        <v>159.96962879125496</v>
      </c>
      <c r="D447" s="186">
        <v>2.9884894967947641E-2</v>
      </c>
      <c r="E447">
        <f t="shared" si="18"/>
        <v>1</v>
      </c>
      <c r="F447" s="174">
        <f t="shared" si="19"/>
        <v>159.96962879125496</v>
      </c>
      <c r="G447">
        <v>79.314195466356949</v>
      </c>
    </row>
    <row r="448" spans="2:7" x14ac:dyDescent="0.2">
      <c r="B448">
        <f t="shared" si="20"/>
        <v>443</v>
      </c>
      <c r="C448" s="174">
        <v>87.97571007848785</v>
      </c>
      <c r="D448" s="186">
        <v>2.1745363062003215E-2</v>
      </c>
      <c r="E448">
        <f t="shared" si="18"/>
        <v>1</v>
      </c>
      <c r="F448" s="174">
        <f t="shared" si="19"/>
        <v>87.97571007848785</v>
      </c>
      <c r="G448">
        <v>79.161908152318503</v>
      </c>
    </row>
    <row r="449" spans="2:7" x14ac:dyDescent="0.2">
      <c r="B449">
        <f t="shared" si="20"/>
        <v>444</v>
      </c>
      <c r="C449" s="174">
        <v>120.17464213534564</v>
      </c>
      <c r="D449" s="186">
        <v>3.7308613397837385E-2</v>
      </c>
      <c r="E449">
        <f t="shared" si="18"/>
        <v>0</v>
      </c>
      <c r="F449" s="174" t="str">
        <f t="shared" si="19"/>
        <v/>
      </c>
      <c r="G449">
        <v>79.137539650346014</v>
      </c>
    </row>
    <row r="450" spans="2:7" x14ac:dyDescent="0.2">
      <c r="B450">
        <f t="shared" si="20"/>
        <v>445</v>
      </c>
      <c r="C450" s="174">
        <v>92.211076772150506</v>
      </c>
      <c r="D450" s="186">
        <v>1.582018613043569E-2</v>
      </c>
      <c r="E450">
        <f t="shared" si="18"/>
        <v>1</v>
      </c>
      <c r="F450" s="174">
        <f t="shared" si="19"/>
        <v>92.211076772150506</v>
      </c>
      <c r="G450">
        <v>78.983936757356432</v>
      </c>
    </row>
    <row r="451" spans="2:7" x14ac:dyDescent="0.2">
      <c r="B451">
        <f t="shared" si="20"/>
        <v>446</v>
      </c>
      <c r="C451" s="174">
        <v>109.05303400087961</v>
      </c>
      <c r="D451" s="186">
        <v>1.7829681687618348E-2</v>
      </c>
      <c r="E451">
        <f t="shared" si="18"/>
        <v>1</v>
      </c>
      <c r="F451" s="174">
        <f t="shared" si="19"/>
        <v>109.05303400087961</v>
      </c>
      <c r="G451">
        <v>78.523967044110563</v>
      </c>
    </row>
    <row r="452" spans="2:7" x14ac:dyDescent="0.2">
      <c r="B452">
        <f t="shared" si="20"/>
        <v>447</v>
      </c>
      <c r="C452" s="174">
        <v>135.84278198586614</v>
      </c>
      <c r="D452" s="186">
        <v>3.0893262626980601E-2</v>
      </c>
      <c r="E452">
        <f t="shared" si="18"/>
        <v>1</v>
      </c>
      <c r="F452" s="174">
        <f t="shared" si="19"/>
        <v>135.84278198586614</v>
      </c>
      <c r="G452">
        <v>78.146490860066478</v>
      </c>
    </row>
    <row r="453" spans="2:7" x14ac:dyDescent="0.2">
      <c r="B453">
        <f t="shared" si="20"/>
        <v>448</v>
      </c>
      <c r="C453" s="174">
        <v>89.841228379453852</v>
      </c>
      <c r="D453" s="186">
        <v>2.4302597794077976E-2</v>
      </c>
      <c r="E453">
        <f t="shared" si="18"/>
        <v>1</v>
      </c>
      <c r="F453" s="174">
        <f t="shared" si="19"/>
        <v>89.841228379453852</v>
      </c>
      <c r="G453">
        <v>78.05981852970919</v>
      </c>
    </row>
    <row r="454" spans="2:7" x14ac:dyDescent="0.2">
      <c r="B454">
        <f t="shared" si="20"/>
        <v>449</v>
      </c>
      <c r="C454" s="174">
        <v>90.362454862088029</v>
      </c>
      <c r="D454" s="186">
        <v>2.9275778276235304E-2</v>
      </c>
      <c r="E454">
        <f t="shared" ref="E454:E505" si="21">IF(AND(D454&gt;0,D454&lt;=$D$2),1,0)</f>
        <v>1</v>
      </c>
      <c r="F454" s="174">
        <f t="shared" ref="F454:G505" si="22">IF(E454=1,C454,"")</f>
        <v>90.362454862088029</v>
      </c>
      <c r="G454">
        <v>77.824019257479847</v>
      </c>
    </row>
    <row r="455" spans="2:7" x14ac:dyDescent="0.2">
      <c r="B455">
        <f t="shared" ref="B455:B502" si="23">B454+1</f>
        <v>450</v>
      </c>
      <c r="C455" s="174">
        <v>100.94388201902841</v>
      </c>
      <c r="D455" s="186">
        <v>4.8461589778883742E-2</v>
      </c>
      <c r="E455">
        <f t="shared" si="21"/>
        <v>0</v>
      </c>
      <c r="F455" s="174" t="str">
        <f t="shared" si="22"/>
        <v/>
      </c>
      <c r="G455">
        <v>77.761839159652737</v>
      </c>
    </row>
    <row r="456" spans="2:7" x14ac:dyDescent="0.2">
      <c r="B456">
        <f t="shared" si="23"/>
        <v>451</v>
      </c>
      <c r="C456" s="174">
        <v>106.06932734651546</v>
      </c>
      <c r="D456" s="186">
        <v>2.7408689781236024E-2</v>
      </c>
      <c r="E456">
        <f t="shared" si="21"/>
        <v>1</v>
      </c>
      <c r="F456" s="174">
        <f t="shared" si="22"/>
        <v>106.06932734651546</v>
      </c>
      <c r="G456">
        <v>77.656792096149317</v>
      </c>
    </row>
    <row r="457" spans="2:7" x14ac:dyDescent="0.2">
      <c r="B457">
        <f t="shared" si="23"/>
        <v>452</v>
      </c>
      <c r="C457" s="174">
        <v>155.81050301702027</v>
      </c>
      <c r="D457" s="186">
        <v>3.7825436022114321E-2</v>
      </c>
      <c r="E457">
        <f t="shared" si="21"/>
        <v>0</v>
      </c>
      <c r="F457" s="174" t="str">
        <f t="shared" si="22"/>
        <v/>
      </c>
      <c r="G457">
        <v>77.621698442179365</v>
      </c>
    </row>
    <row r="458" spans="2:7" x14ac:dyDescent="0.2">
      <c r="B458">
        <f t="shared" si="23"/>
        <v>453</v>
      </c>
      <c r="C458" s="174">
        <v>136.49713793540562</v>
      </c>
      <c r="D458" s="186">
        <v>1.8054184519361253E-2</v>
      </c>
      <c r="E458">
        <f t="shared" si="21"/>
        <v>1</v>
      </c>
      <c r="F458" s="174">
        <f t="shared" si="22"/>
        <v>136.49713793540562</v>
      </c>
      <c r="G458">
        <v>77.508845858130954</v>
      </c>
    </row>
    <row r="459" spans="2:7" x14ac:dyDescent="0.2">
      <c r="B459">
        <f t="shared" si="23"/>
        <v>454</v>
      </c>
      <c r="C459" s="174">
        <v>112.6536796288739</v>
      </c>
      <c r="D459" s="186">
        <v>2.3656766668151492E-2</v>
      </c>
      <c r="E459">
        <f t="shared" si="21"/>
        <v>1</v>
      </c>
      <c r="F459" s="174">
        <f t="shared" si="22"/>
        <v>112.6536796288739</v>
      </c>
      <c r="G459">
        <v>77.498124520717568</v>
      </c>
    </row>
    <row r="460" spans="2:7" x14ac:dyDescent="0.2">
      <c r="B460">
        <f t="shared" si="23"/>
        <v>455</v>
      </c>
      <c r="C460" s="174">
        <v>100.90770968371714</v>
      </c>
      <c r="D460" s="186">
        <v>2.1229087826917691E-2</v>
      </c>
      <c r="E460">
        <f t="shared" si="21"/>
        <v>1</v>
      </c>
      <c r="F460" s="174">
        <f t="shared" si="22"/>
        <v>100.90770968371714</v>
      </c>
      <c r="G460">
        <v>76.064218484454329</v>
      </c>
    </row>
    <row r="461" spans="2:7" x14ac:dyDescent="0.2">
      <c r="B461">
        <f t="shared" si="23"/>
        <v>456</v>
      </c>
      <c r="C461" s="174">
        <v>130.11573150934075</v>
      </c>
      <c r="D461" s="186">
        <v>1.3504552922353724E-2</v>
      </c>
      <c r="E461">
        <f t="shared" si="21"/>
        <v>1</v>
      </c>
      <c r="F461" s="174">
        <f t="shared" si="22"/>
        <v>130.11573150934075</v>
      </c>
      <c r="G461">
        <v>75.970561004729561</v>
      </c>
    </row>
    <row r="462" spans="2:7" x14ac:dyDescent="0.2">
      <c r="B462">
        <f t="shared" si="23"/>
        <v>457</v>
      </c>
      <c r="C462" s="174">
        <v>93.348435968819999</v>
      </c>
      <c r="D462" s="186">
        <v>2.6145080886041467E-2</v>
      </c>
      <c r="E462">
        <f t="shared" si="21"/>
        <v>1</v>
      </c>
      <c r="F462" s="174">
        <f t="shared" si="22"/>
        <v>93.348435968819999</v>
      </c>
      <c r="G462">
        <v>75.891049783794102</v>
      </c>
    </row>
    <row r="463" spans="2:7" x14ac:dyDescent="0.2">
      <c r="B463">
        <f t="shared" si="23"/>
        <v>458</v>
      </c>
      <c r="C463" s="174">
        <v>107.48429735668437</v>
      </c>
      <c r="D463" s="186">
        <v>3.727483082141974E-2</v>
      </c>
      <c r="E463">
        <f t="shared" si="21"/>
        <v>0</v>
      </c>
      <c r="F463" s="174" t="str">
        <f t="shared" si="22"/>
        <v/>
      </c>
      <c r="G463">
        <v>75.668847850699805</v>
      </c>
    </row>
    <row r="464" spans="2:7" x14ac:dyDescent="0.2">
      <c r="B464">
        <f t="shared" si="23"/>
        <v>459</v>
      </c>
      <c r="C464" s="174">
        <v>156.74276318289319</v>
      </c>
      <c r="D464" s="186">
        <v>2.7413099548009995E-2</v>
      </c>
      <c r="E464">
        <f t="shared" si="21"/>
        <v>1</v>
      </c>
      <c r="F464" s="174">
        <f t="shared" si="22"/>
        <v>156.74276318289319</v>
      </c>
      <c r="G464">
        <v>75.158479132451788</v>
      </c>
    </row>
    <row r="465" spans="2:7" x14ac:dyDescent="0.2">
      <c r="B465">
        <f t="shared" si="23"/>
        <v>460</v>
      </c>
      <c r="C465" s="174">
        <v>109.5721664780805</v>
      </c>
      <c r="D465" s="186">
        <v>1.9198072371100029E-2</v>
      </c>
      <c r="E465">
        <f t="shared" si="21"/>
        <v>1</v>
      </c>
      <c r="F465" s="174">
        <f t="shared" si="22"/>
        <v>109.5721664780805</v>
      </c>
      <c r="G465">
        <v>75.115268330465241</v>
      </c>
    </row>
    <row r="466" spans="2:7" x14ac:dyDescent="0.2">
      <c r="B466">
        <f t="shared" si="23"/>
        <v>461</v>
      </c>
      <c r="C466" s="174">
        <v>105.85925049990698</v>
      </c>
      <c r="D466" s="186">
        <v>1.5513585443220871E-2</v>
      </c>
      <c r="E466">
        <f t="shared" si="21"/>
        <v>1</v>
      </c>
      <c r="F466" s="174">
        <f t="shared" si="22"/>
        <v>105.85925049990698</v>
      </c>
      <c r="G466">
        <v>75.002038560313579</v>
      </c>
    </row>
    <row r="467" spans="2:7" x14ac:dyDescent="0.2">
      <c r="B467">
        <f t="shared" si="23"/>
        <v>462</v>
      </c>
      <c r="C467" s="174">
        <v>121.64428082321375</v>
      </c>
      <c r="D467" s="186">
        <v>3.0075701196147029E-2</v>
      </c>
      <c r="E467">
        <f t="shared" si="21"/>
        <v>1</v>
      </c>
      <c r="F467" s="174">
        <f t="shared" si="22"/>
        <v>121.64428082321375</v>
      </c>
      <c r="G467">
        <v>74.954644359365631</v>
      </c>
    </row>
    <row r="468" spans="2:7" x14ac:dyDescent="0.2">
      <c r="B468">
        <f t="shared" si="23"/>
        <v>463</v>
      </c>
      <c r="C468" s="174">
        <v>132.19870851225897</v>
      </c>
      <c r="D468" s="186">
        <v>1.535278322637402E-2</v>
      </c>
      <c r="E468">
        <f t="shared" si="21"/>
        <v>1</v>
      </c>
      <c r="F468" s="174">
        <f t="shared" si="22"/>
        <v>132.19870851225897</v>
      </c>
      <c r="G468">
        <v>74.845717176355478</v>
      </c>
    </row>
    <row r="469" spans="2:7" x14ac:dyDescent="0.2">
      <c r="B469">
        <f t="shared" si="23"/>
        <v>464</v>
      </c>
      <c r="C469" s="174">
        <v>145.43766480891298</v>
      </c>
      <c r="D469" s="186">
        <v>2.3956097752957921E-2</v>
      </c>
      <c r="E469">
        <f t="shared" si="21"/>
        <v>1</v>
      </c>
      <c r="F469" s="174">
        <f t="shared" si="22"/>
        <v>145.43766480891298</v>
      </c>
      <c r="G469">
        <v>74.708666010599728</v>
      </c>
    </row>
    <row r="470" spans="2:7" x14ac:dyDescent="0.2">
      <c r="B470">
        <f t="shared" si="23"/>
        <v>465</v>
      </c>
      <c r="C470" s="174">
        <v>149.6321463559654</v>
      </c>
      <c r="D470" s="186">
        <v>3.2643471003982724E-2</v>
      </c>
      <c r="E470">
        <f t="shared" si="21"/>
        <v>1</v>
      </c>
      <c r="F470" s="174">
        <f t="shared" si="22"/>
        <v>149.6321463559654</v>
      </c>
      <c r="G470">
        <v>74.66860799334674</v>
      </c>
    </row>
    <row r="471" spans="2:7" x14ac:dyDescent="0.2">
      <c r="B471">
        <f t="shared" si="23"/>
        <v>466</v>
      </c>
      <c r="C471" s="174">
        <v>89.973151346447921</v>
      </c>
      <c r="D471" s="186">
        <v>7.837300882888561E-3</v>
      </c>
      <c r="E471">
        <f t="shared" si="21"/>
        <v>1</v>
      </c>
      <c r="F471" s="174">
        <f t="shared" si="22"/>
        <v>89.973151346447921</v>
      </c>
      <c r="G471">
        <v>74.564147815548125</v>
      </c>
    </row>
    <row r="472" spans="2:7" x14ac:dyDescent="0.2">
      <c r="B472">
        <f t="shared" si="23"/>
        <v>467</v>
      </c>
      <c r="C472" s="174">
        <v>129.02779208361838</v>
      </c>
      <c r="D472" s="186">
        <v>2.9625733212560994E-2</v>
      </c>
      <c r="E472">
        <f t="shared" si="21"/>
        <v>1</v>
      </c>
      <c r="F472" s="174">
        <f t="shared" si="22"/>
        <v>129.02779208361838</v>
      </c>
      <c r="G472">
        <v>74.372896769071573</v>
      </c>
    </row>
    <row r="473" spans="2:7" x14ac:dyDescent="0.2">
      <c r="B473">
        <f t="shared" si="23"/>
        <v>468</v>
      </c>
      <c r="C473" s="174">
        <v>97.509288130418312</v>
      </c>
      <c r="D473" s="186">
        <v>1.957420168908822E-2</v>
      </c>
      <c r="E473">
        <f t="shared" si="21"/>
        <v>1</v>
      </c>
      <c r="F473" s="174">
        <f t="shared" si="22"/>
        <v>97.509288130418312</v>
      </c>
      <c r="G473">
        <v>74.137145488581425</v>
      </c>
    </row>
    <row r="474" spans="2:7" x14ac:dyDescent="0.2">
      <c r="B474">
        <f t="shared" si="23"/>
        <v>469</v>
      </c>
      <c r="C474" s="174">
        <v>106.86868412994961</v>
      </c>
      <c r="D474" s="186">
        <v>1.8759947960502264E-2</v>
      </c>
      <c r="E474">
        <f t="shared" si="21"/>
        <v>1</v>
      </c>
      <c r="F474" s="174">
        <f t="shared" si="22"/>
        <v>106.86868412994961</v>
      </c>
      <c r="G474">
        <v>74.114854643286748</v>
      </c>
    </row>
    <row r="475" spans="2:7" x14ac:dyDescent="0.2">
      <c r="B475">
        <f t="shared" si="23"/>
        <v>470</v>
      </c>
      <c r="C475" s="174">
        <v>90.390909410187305</v>
      </c>
      <c r="D475" s="186">
        <v>3.404627353372304E-2</v>
      </c>
      <c r="E475">
        <f t="shared" si="21"/>
        <v>1</v>
      </c>
      <c r="F475" s="174">
        <f t="shared" si="22"/>
        <v>90.390909410187305</v>
      </c>
      <c r="G475">
        <v>74.111461541224216</v>
      </c>
    </row>
    <row r="476" spans="2:7" x14ac:dyDescent="0.2">
      <c r="B476">
        <f t="shared" si="23"/>
        <v>471</v>
      </c>
      <c r="C476" s="174">
        <v>115.93103324881773</v>
      </c>
      <c r="D476" s="186">
        <v>3.1460790244883137E-2</v>
      </c>
      <c r="E476">
        <f t="shared" si="21"/>
        <v>1</v>
      </c>
      <c r="F476" s="174">
        <f t="shared" si="22"/>
        <v>115.93103324881773</v>
      </c>
      <c r="G476">
        <v>74.051301793802139</v>
      </c>
    </row>
    <row r="477" spans="2:7" x14ac:dyDescent="0.2">
      <c r="B477">
        <f t="shared" si="23"/>
        <v>472</v>
      </c>
      <c r="C477" s="174">
        <v>79.324531954001046</v>
      </c>
      <c r="D477" s="186">
        <v>1.0920427256656281E-2</v>
      </c>
      <c r="E477">
        <f t="shared" si="21"/>
        <v>1</v>
      </c>
      <c r="F477" s="174">
        <f t="shared" si="22"/>
        <v>79.324531954001046</v>
      </c>
      <c r="G477">
        <v>74.012647784672424</v>
      </c>
    </row>
    <row r="478" spans="2:7" x14ac:dyDescent="0.2">
      <c r="B478">
        <f t="shared" si="23"/>
        <v>473</v>
      </c>
      <c r="C478" s="174">
        <v>92.09365075564412</v>
      </c>
      <c r="D478" s="186">
        <v>3.0536026839929262E-2</v>
      </c>
      <c r="E478">
        <f t="shared" si="21"/>
        <v>1</v>
      </c>
      <c r="F478" s="174">
        <f t="shared" si="22"/>
        <v>92.09365075564412</v>
      </c>
      <c r="G478">
        <v>73.839528463613235</v>
      </c>
    </row>
    <row r="479" spans="2:7" x14ac:dyDescent="0.2">
      <c r="B479">
        <f t="shared" si="23"/>
        <v>474</v>
      </c>
      <c r="C479" s="174">
        <v>106.98500575757988</v>
      </c>
      <c r="D479" s="186">
        <v>4.6601368699031899E-2</v>
      </c>
      <c r="E479">
        <f t="shared" si="21"/>
        <v>0</v>
      </c>
      <c r="F479" s="174" t="str">
        <f t="shared" si="22"/>
        <v/>
      </c>
      <c r="G479">
        <v>73.568635349824874</v>
      </c>
    </row>
    <row r="480" spans="2:7" x14ac:dyDescent="0.2">
      <c r="B480">
        <f t="shared" si="23"/>
        <v>475</v>
      </c>
      <c r="C480" s="174">
        <v>64.83027236707423</v>
      </c>
      <c r="D480" s="186">
        <v>2.464970856827613E-2</v>
      </c>
      <c r="E480">
        <f t="shared" si="21"/>
        <v>1</v>
      </c>
      <c r="F480" s="174">
        <f t="shared" si="22"/>
        <v>64.83027236707423</v>
      </c>
      <c r="G480">
        <v>72.546137502391034</v>
      </c>
    </row>
    <row r="481" spans="2:7" x14ac:dyDescent="0.2">
      <c r="B481">
        <f t="shared" si="23"/>
        <v>476</v>
      </c>
      <c r="C481" s="174">
        <v>138.30628515163775</v>
      </c>
      <c r="D481" s="186">
        <v>3.3399668942996605E-2</v>
      </c>
      <c r="E481">
        <f t="shared" si="21"/>
        <v>1</v>
      </c>
      <c r="F481" s="174">
        <f t="shared" si="22"/>
        <v>138.30628515163775</v>
      </c>
      <c r="G481">
        <v>72.153886720157018</v>
      </c>
    </row>
    <row r="482" spans="2:7" x14ac:dyDescent="0.2">
      <c r="B482">
        <f t="shared" si="23"/>
        <v>477</v>
      </c>
      <c r="C482" s="174">
        <v>112.35948549904289</v>
      </c>
      <c r="D482" s="186">
        <v>2.7857169796357134E-2</v>
      </c>
      <c r="E482">
        <f t="shared" si="21"/>
        <v>1</v>
      </c>
      <c r="F482" s="174">
        <f t="shared" si="22"/>
        <v>112.35948549904289</v>
      </c>
      <c r="G482">
        <v>71.739599834940165</v>
      </c>
    </row>
    <row r="483" spans="2:7" x14ac:dyDescent="0.2">
      <c r="B483">
        <f t="shared" si="23"/>
        <v>478</v>
      </c>
      <c r="C483" s="174">
        <v>127.39911524736415</v>
      </c>
      <c r="D483" s="186">
        <v>3.7533101603256992E-2</v>
      </c>
      <c r="E483">
        <f t="shared" si="21"/>
        <v>0</v>
      </c>
      <c r="F483" s="174" t="str">
        <f t="shared" si="22"/>
        <v/>
      </c>
      <c r="G483">
        <v>71.710299848735346</v>
      </c>
    </row>
    <row r="484" spans="2:7" x14ac:dyDescent="0.2">
      <c r="B484">
        <f t="shared" si="23"/>
        <v>479</v>
      </c>
      <c r="C484" s="174">
        <v>88.477061424854895</v>
      </c>
      <c r="D484" s="186">
        <v>2.9374425645938063E-3</v>
      </c>
      <c r="E484">
        <f t="shared" si="21"/>
        <v>1</v>
      </c>
      <c r="F484" s="174">
        <f t="shared" si="22"/>
        <v>88.477061424854895</v>
      </c>
      <c r="G484">
        <v>71.644850632247241</v>
      </c>
    </row>
    <row r="485" spans="2:7" x14ac:dyDescent="0.2">
      <c r="B485">
        <f t="shared" si="23"/>
        <v>480</v>
      </c>
      <c r="C485" s="174">
        <v>111.31065252767685</v>
      </c>
      <c r="D485" s="186">
        <v>3.5407601783611055E-2</v>
      </c>
      <c r="E485">
        <f t="shared" si="21"/>
        <v>0</v>
      </c>
      <c r="F485" s="174" t="str">
        <f t="shared" si="22"/>
        <v/>
      </c>
      <c r="G485">
        <v>70.764139600248924</v>
      </c>
    </row>
    <row r="486" spans="2:7" x14ac:dyDescent="0.2">
      <c r="B486">
        <f t="shared" si="23"/>
        <v>481</v>
      </c>
      <c r="C486" s="174">
        <v>141.21762846721998</v>
      </c>
      <c r="D486" s="186">
        <v>3.6660715458694232E-2</v>
      </c>
      <c r="E486">
        <f t="shared" si="21"/>
        <v>0</v>
      </c>
      <c r="F486" s="174" t="str">
        <f t="shared" si="22"/>
        <v/>
      </c>
      <c r="G486">
        <v>70.582744137921182</v>
      </c>
    </row>
    <row r="487" spans="2:7" x14ac:dyDescent="0.2">
      <c r="B487">
        <f t="shared" si="23"/>
        <v>482</v>
      </c>
      <c r="C487" s="174">
        <v>81.87195085165547</v>
      </c>
      <c r="D487" s="186">
        <v>1.0062920907982626E-2</v>
      </c>
      <c r="E487">
        <f t="shared" si="21"/>
        <v>1</v>
      </c>
      <c r="F487" s="174">
        <f t="shared" si="22"/>
        <v>81.87195085165547</v>
      </c>
      <c r="G487">
        <v>70.442378031061409</v>
      </c>
    </row>
    <row r="488" spans="2:7" x14ac:dyDescent="0.2">
      <c r="B488">
        <f t="shared" si="23"/>
        <v>483</v>
      </c>
      <c r="C488" s="174">
        <v>123.5429731715376</v>
      </c>
      <c r="D488" s="186">
        <v>2.8032897870534656E-2</v>
      </c>
      <c r="E488">
        <f t="shared" si="21"/>
        <v>1</v>
      </c>
      <c r="F488" s="174">
        <f t="shared" si="22"/>
        <v>123.5429731715376</v>
      </c>
      <c r="G488">
        <v>69.919413465584441</v>
      </c>
    </row>
    <row r="489" spans="2:7" x14ac:dyDescent="0.2">
      <c r="B489">
        <f t="shared" si="23"/>
        <v>484</v>
      </c>
      <c r="C489" s="174">
        <v>85.378836881827638</v>
      </c>
      <c r="D489" s="186">
        <v>9.4512684694458213E-3</v>
      </c>
      <c r="E489">
        <f t="shared" si="21"/>
        <v>1</v>
      </c>
      <c r="F489" s="174">
        <f t="shared" si="22"/>
        <v>85.378836881827638</v>
      </c>
      <c r="G489">
        <v>69.91075825008042</v>
      </c>
    </row>
    <row r="490" spans="2:7" x14ac:dyDescent="0.2">
      <c r="B490">
        <f t="shared" si="23"/>
        <v>485</v>
      </c>
      <c r="C490" s="174">
        <v>106.12065136184587</v>
      </c>
      <c r="D490" s="186">
        <v>2.7280010019769433E-2</v>
      </c>
      <c r="E490">
        <f t="shared" si="21"/>
        <v>1</v>
      </c>
      <c r="F490" s="174">
        <f t="shared" si="22"/>
        <v>106.12065136184587</v>
      </c>
      <c r="G490">
        <v>68.058670672897193</v>
      </c>
    </row>
    <row r="491" spans="2:7" x14ac:dyDescent="0.2">
      <c r="B491">
        <f t="shared" si="23"/>
        <v>486</v>
      </c>
      <c r="C491" s="174">
        <v>146.97238514928085</v>
      </c>
      <c r="D491" s="186">
        <v>3.9450202403435421E-2</v>
      </c>
      <c r="E491">
        <f t="shared" si="21"/>
        <v>0</v>
      </c>
      <c r="F491" s="174" t="str">
        <f t="shared" si="22"/>
        <v/>
      </c>
      <c r="G491">
        <v>65.490570158155762</v>
      </c>
    </row>
    <row r="492" spans="2:7" x14ac:dyDescent="0.2">
      <c r="B492">
        <f t="shared" si="23"/>
        <v>487</v>
      </c>
      <c r="C492" s="174">
        <v>137.20729687420419</v>
      </c>
      <c r="D492" s="186">
        <v>3.3869651248447583E-2</v>
      </c>
      <c r="E492">
        <f t="shared" si="21"/>
        <v>1</v>
      </c>
      <c r="F492" s="174">
        <f t="shared" si="22"/>
        <v>137.20729687420419</v>
      </c>
      <c r="G492">
        <v>65.086487443729041</v>
      </c>
    </row>
    <row r="493" spans="2:7" x14ac:dyDescent="0.2">
      <c r="B493">
        <f t="shared" si="23"/>
        <v>488</v>
      </c>
      <c r="C493" s="174">
        <v>119.80562414608032</v>
      </c>
      <c r="D493" s="186">
        <v>2.3058226454299918E-2</v>
      </c>
      <c r="E493">
        <f t="shared" si="21"/>
        <v>1</v>
      </c>
      <c r="F493" s="174">
        <f t="shared" si="22"/>
        <v>119.80562414608032</v>
      </c>
      <c r="G493">
        <v>64.559653251138911</v>
      </c>
    </row>
    <row r="494" spans="2:7" x14ac:dyDescent="0.2">
      <c r="B494">
        <f t="shared" si="23"/>
        <v>489</v>
      </c>
      <c r="C494" s="174">
        <v>92.300236582314909</v>
      </c>
      <c r="D494" s="186">
        <v>4.0270095691078839E-2</v>
      </c>
      <c r="E494">
        <f t="shared" si="21"/>
        <v>0</v>
      </c>
      <c r="F494" s="174" t="str">
        <f t="shared" si="22"/>
        <v/>
      </c>
      <c r="G494">
        <v>63.472376759868318</v>
      </c>
    </row>
    <row r="495" spans="2:7" x14ac:dyDescent="0.2">
      <c r="B495">
        <f t="shared" si="23"/>
        <v>490</v>
      </c>
      <c r="C495" s="174">
        <v>131.43854243919648</v>
      </c>
      <c r="D495" s="186">
        <v>3.47346626480214E-2</v>
      </c>
      <c r="E495">
        <f t="shared" si="21"/>
        <v>1</v>
      </c>
      <c r="F495" s="174">
        <f t="shared" si="22"/>
        <v>131.43854243919648</v>
      </c>
      <c r="G495">
        <v>63.23786641151063</v>
      </c>
    </row>
    <row r="496" spans="2:7" x14ac:dyDescent="0.2">
      <c r="B496">
        <f t="shared" si="23"/>
        <v>491</v>
      </c>
      <c r="C496" s="174">
        <v>60.662647419904523</v>
      </c>
      <c r="D496" s="186">
        <v>1.1985088597244151E-2</v>
      </c>
      <c r="E496">
        <f t="shared" si="21"/>
        <v>1</v>
      </c>
      <c r="F496" s="174">
        <f t="shared" si="22"/>
        <v>60.662647419904523</v>
      </c>
      <c r="G496">
        <v>63.130638581064261</v>
      </c>
    </row>
    <row r="497" spans="2:7" x14ac:dyDescent="0.2">
      <c r="B497">
        <f t="shared" si="23"/>
        <v>492</v>
      </c>
      <c r="C497" s="174">
        <v>80.897347698639464</v>
      </c>
      <c r="D497" s="186">
        <v>1.6088089114862182E-2</v>
      </c>
      <c r="E497">
        <f t="shared" si="21"/>
        <v>1</v>
      </c>
      <c r="F497" s="174">
        <f t="shared" si="22"/>
        <v>80.897347698639464</v>
      </c>
      <c r="G497">
        <v>62.669173138741925</v>
      </c>
    </row>
    <row r="498" spans="2:7" x14ac:dyDescent="0.2">
      <c r="B498">
        <f t="shared" si="23"/>
        <v>493</v>
      </c>
      <c r="C498" s="174">
        <v>152.90654490432271</v>
      </c>
      <c r="D498" s="186">
        <v>2.7607503155048119E-2</v>
      </c>
      <c r="E498">
        <f t="shared" si="21"/>
        <v>1</v>
      </c>
      <c r="F498" s="174">
        <f t="shared" si="22"/>
        <v>152.90654490432271</v>
      </c>
      <c r="G498">
        <v>62.320385569109924</v>
      </c>
    </row>
    <row r="499" spans="2:7" x14ac:dyDescent="0.2">
      <c r="B499">
        <f t="shared" si="23"/>
        <v>494</v>
      </c>
      <c r="C499" s="174">
        <v>98.485682829713994</v>
      </c>
      <c r="D499" s="186">
        <v>2.9449201786744539E-2</v>
      </c>
      <c r="E499">
        <f t="shared" si="21"/>
        <v>1</v>
      </c>
      <c r="F499" s="174">
        <f t="shared" si="22"/>
        <v>98.485682829713994</v>
      </c>
      <c r="G499">
        <v>61.606854013742677</v>
      </c>
    </row>
    <row r="500" spans="2:7" x14ac:dyDescent="0.2">
      <c r="B500">
        <f t="shared" si="23"/>
        <v>495</v>
      </c>
      <c r="C500" s="174">
        <v>71.036879010190049</v>
      </c>
      <c r="D500" s="186">
        <v>9.6613176886730413E-3</v>
      </c>
      <c r="E500">
        <f t="shared" si="21"/>
        <v>1</v>
      </c>
      <c r="F500" s="174">
        <f t="shared" si="22"/>
        <v>71.036879010190049</v>
      </c>
      <c r="G500">
        <v>61.092037775019726</v>
      </c>
    </row>
    <row r="501" spans="2:7" x14ac:dyDescent="0.2">
      <c r="B501">
        <f t="shared" si="23"/>
        <v>496</v>
      </c>
      <c r="C501" s="174">
        <v>123.8387718498834</v>
      </c>
      <c r="D501" s="186">
        <v>2.7021182704460849E-2</v>
      </c>
      <c r="E501">
        <f t="shared" si="21"/>
        <v>1</v>
      </c>
      <c r="F501" s="174">
        <f t="shared" si="22"/>
        <v>123.8387718498834</v>
      </c>
      <c r="G501">
        <v>59.420045499582592</v>
      </c>
    </row>
    <row r="502" spans="2:7" x14ac:dyDescent="0.2">
      <c r="B502">
        <f t="shared" si="23"/>
        <v>497</v>
      </c>
      <c r="C502" s="174">
        <v>88.861666243909099</v>
      </c>
      <c r="D502" s="186">
        <v>3.9175916993596904E-2</v>
      </c>
      <c r="E502">
        <f t="shared" si="21"/>
        <v>0</v>
      </c>
      <c r="F502" s="174" t="str">
        <f t="shared" si="22"/>
        <v/>
      </c>
      <c r="G502">
        <v>59.341975839639268</v>
      </c>
    </row>
    <row r="503" spans="2:7" x14ac:dyDescent="0.2">
      <c r="B503">
        <f>B502+1</f>
        <v>498</v>
      </c>
      <c r="C503" s="174">
        <v>105.20882460382251</v>
      </c>
      <c r="D503" s="186">
        <v>1.8975710241403255E-2</v>
      </c>
      <c r="E503">
        <f t="shared" si="21"/>
        <v>1</v>
      </c>
      <c r="F503" s="174">
        <f t="shared" si="22"/>
        <v>105.20882460382251</v>
      </c>
      <c r="G503">
        <v>55.727722944204643</v>
      </c>
    </row>
    <row r="504" spans="2:7" x14ac:dyDescent="0.2">
      <c r="B504">
        <f t="shared" ref="B504:B505" si="24">B503+1</f>
        <v>499</v>
      </c>
      <c r="C504" s="174">
        <v>111.55443053396662</v>
      </c>
      <c r="D504" s="186">
        <v>3.2963653712758952E-2</v>
      </c>
      <c r="E504">
        <f t="shared" si="21"/>
        <v>1</v>
      </c>
      <c r="F504" s="174">
        <f t="shared" si="22"/>
        <v>111.55443053396662</v>
      </c>
      <c r="G504">
        <v>49.875045533291988</v>
      </c>
    </row>
    <row r="505" spans="2:7" x14ac:dyDescent="0.2">
      <c r="B505">
        <f t="shared" si="24"/>
        <v>500</v>
      </c>
      <c r="C505" s="174">
        <v>102.69786586762427</v>
      </c>
      <c r="D505" s="186">
        <v>2.0492051538424424E-2</v>
      </c>
      <c r="E505">
        <f t="shared" si="21"/>
        <v>1</v>
      </c>
      <c r="F505" s="174">
        <f t="shared" si="22"/>
        <v>102.69786586762427</v>
      </c>
      <c r="G505">
        <v>45.047774135639131</v>
      </c>
    </row>
  </sheetData>
  <sortState xmlns:xlrd2="http://schemas.microsoft.com/office/spreadsheetml/2017/richdata2" ref="G4:G505">
    <sortCondition descending="1" ref="G4:G505"/>
  </sortState>
  <mergeCells count="1">
    <mergeCell ref="I4:J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4.9989318521683403E-2"/>
  </sheetPr>
  <dimension ref="A1:P58"/>
  <sheetViews>
    <sheetView topLeftCell="A3" zoomScale="130" zoomScaleNormal="130" workbookViewId="0">
      <selection activeCell="J16" sqref="J16"/>
    </sheetView>
  </sheetViews>
  <sheetFormatPr defaultColWidth="9.08984375" defaultRowHeight="11.5" x14ac:dyDescent="0.25"/>
  <cols>
    <col min="1" max="2" width="2.6328125" style="41" customWidth="1"/>
    <col min="3" max="3" width="35" style="41" customWidth="1"/>
    <col min="4" max="5" width="9.6328125" style="74" customWidth="1"/>
    <col min="6" max="11" width="9.6328125" style="41" customWidth="1"/>
    <col min="12" max="16384" width="9.08984375" style="41"/>
  </cols>
  <sheetData>
    <row r="1" spans="1:16" ht="12.75" customHeight="1" x14ac:dyDescent="0.25">
      <c r="A1" s="38" t="s">
        <v>509</v>
      </c>
      <c r="B1" s="38"/>
      <c r="C1" s="38"/>
      <c r="D1" s="40"/>
      <c r="E1" s="40"/>
      <c r="F1" s="38"/>
      <c r="G1" s="38"/>
      <c r="H1" s="38"/>
      <c r="I1" s="38"/>
      <c r="J1" s="38"/>
      <c r="K1" s="38"/>
    </row>
    <row r="2" spans="1:16" ht="12.75" customHeight="1" x14ac:dyDescent="0.25">
      <c r="A2" s="42" t="str">
        <f>'[1]Cash Flow Statement'!A2</f>
        <v>(in US$ millions)</v>
      </c>
      <c r="B2" s="43"/>
      <c r="C2" s="43"/>
      <c r="D2" s="44" t="s">
        <v>436</v>
      </c>
      <c r="E2" s="44"/>
      <c r="F2" s="45"/>
      <c r="G2" s="46" t="s">
        <v>437</v>
      </c>
      <c r="H2" s="47"/>
      <c r="I2" s="48"/>
      <c r="J2" s="47"/>
      <c r="K2" s="47"/>
    </row>
    <row r="3" spans="1:16" ht="12.75" customHeight="1" x14ac:dyDescent="0.25">
      <c r="A3" s="42"/>
      <c r="B3" s="43"/>
      <c r="C3" s="43"/>
      <c r="D3" s="50"/>
      <c r="E3" s="50"/>
      <c r="F3" s="51"/>
      <c r="G3" s="51"/>
      <c r="H3" s="51"/>
      <c r="I3" s="51"/>
      <c r="J3" s="51"/>
      <c r="K3" s="51"/>
    </row>
    <row r="4" spans="1:16" ht="12.75" customHeight="1" x14ac:dyDescent="0.25">
      <c r="A4" s="52" t="s">
        <v>470</v>
      </c>
      <c r="B4" s="54"/>
      <c r="C4" s="120"/>
      <c r="D4" s="55">
        <v>2021</v>
      </c>
      <c r="E4" s="55">
        <f>D4+1</f>
        <v>2022</v>
      </c>
      <c r="F4" s="55">
        <f t="shared" ref="F4:K4" si="0">E4+1</f>
        <v>2023</v>
      </c>
      <c r="G4" s="55">
        <f t="shared" si="0"/>
        <v>2024</v>
      </c>
      <c r="H4" s="55">
        <f t="shared" si="0"/>
        <v>2025</v>
      </c>
      <c r="I4" s="55">
        <f t="shared" si="0"/>
        <v>2026</v>
      </c>
      <c r="J4" s="55">
        <f t="shared" si="0"/>
        <v>2027</v>
      </c>
      <c r="K4" s="55">
        <f t="shared" si="0"/>
        <v>2028</v>
      </c>
      <c r="L4" s="55">
        <f t="shared" ref="L4" si="1">K4+1</f>
        <v>2029</v>
      </c>
      <c r="M4" s="55">
        <f t="shared" ref="M4" si="2">L4+1</f>
        <v>2030</v>
      </c>
      <c r="N4" s="55">
        <f t="shared" ref="N4" si="3">M4+1</f>
        <v>2031</v>
      </c>
      <c r="O4" s="55">
        <f t="shared" ref="O4" si="4">N4+1</f>
        <v>2032</v>
      </c>
      <c r="P4" s="55">
        <f t="shared" ref="P4" si="5">O4+1</f>
        <v>2033</v>
      </c>
    </row>
    <row r="5" spans="1:16" ht="12.75" customHeight="1" x14ac:dyDescent="0.25">
      <c r="A5" s="60"/>
      <c r="B5" s="60" t="s">
        <v>510</v>
      </c>
      <c r="C5" s="121"/>
      <c r="D5" s="121"/>
      <c r="E5" s="122"/>
      <c r="F5" s="123">
        <f>BSP!G13</f>
        <v>525.755</v>
      </c>
      <c r="H5" s="122"/>
      <c r="I5" s="122"/>
      <c r="J5" s="122"/>
      <c r="K5" s="122"/>
      <c r="L5" s="122"/>
      <c r="M5" s="122"/>
      <c r="N5" s="122"/>
      <c r="O5" s="122"/>
      <c r="P5" s="122"/>
    </row>
    <row r="6" spans="1:16" ht="12.75" customHeight="1" x14ac:dyDescent="0.25">
      <c r="A6" s="60"/>
      <c r="B6" s="60" t="s">
        <v>511</v>
      </c>
      <c r="C6" s="60"/>
      <c r="D6" s="121"/>
      <c r="E6" s="121"/>
      <c r="F6" s="121"/>
      <c r="G6" s="123">
        <f>DCF!G26</f>
        <v>83.209287000000003</v>
      </c>
      <c r="H6" s="123">
        <f ca="1">DCF!H26</f>
        <v>170.22686449088272</v>
      </c>
      <c r="I6" s="123">
        <f ca="1">DCF!I26</f>
        <v>216.83645339107159</v>
      </c>
      <c r="J6" s="123">
        <f ca="1">DCF!J26</f>
        <v>354.95169839473374</v>
      </c>
      <c r="K6" s="123">
        <f ca="1">DCF!K26</f>
        <v>319.34609727051765</v>
      </c>
      <c r="L6" s="123">
        <f ca="1">DCF!L26</f>
        <v>327.59225465572786</v>
      </c>
      <c r="M6" s="123">
        <f ca="1">DCF!M26</f>
        <v>332.19766136158995</v>
      </c>
      <c r="N6" s="123">
        <f ca="1">DCF!N26</f>
        <v>332.88965931136136</v>
      </c>
      <c r="O6" s="123">
        <f ca="1">DCF!O26</f>
        <v>335.9549414118971</v>
      </c>
      <c r="P6" s="123">
        <f ca="1">DCF!P26</f>
        <v>338.00397391999638</v>
      </c>
    </row>
    <row r="7" spans="1:16" ht="21" customHeight="1" x14ac:dyDescent="0.25">
      <c r="A7" s="60" t="s">
        <v>512</v>
      </c>
      <c r="B7" s="59"/>
      <c r="C7" s="60"/>
      <c r="D7" s="124"/>
      <c r="E7" s="124"/>
      <c r="F7" s="124"/>
      <c r="G7" s="59"/>
      <c r="H7" s="125"/>
      <c r="I7" s="125"/>
      <c r="J7" s="125"/>
      <c r="K7" s="125"/>
      <c r="L7" s="125"/>
      <c r="M7" s="125"/>
      <c r="N7" s="125"/>
      <c r="O7" s="125"/>
      <c r="P7" s="125"/>
    </row>
    <row r="8" spans="1:16" x14ac:dyDescent="0.25">
      <c r="A8" s="60"/>
      <c r="B8" s="60" t="s">
        <v>513</v>
      </c>
      <c r="C8" s="60"/>
      <c r="D8" s="124"/>
      <c r="E8" s="124"/>
      <c r="F8" s="124"/>
      <c r="G8" s="59"/>
      <c r="H8" s="125"/>
      <c r="I8" s="125"/>
      <c r="J8" s="125"/>
      <c r="K8" s="125"/>
      <c r="L8" s="125"/>
      <c r="M8" s="125"/>
      <c r="N8" s="125"/>
      <c r="O8" s="125"/>
      <c r="P8" s="125"/>
    </row>
    <row r="9" spans="1:16" x14ac:dyDescent="0.25">
      <c r="A9" s="60"/>
      <c r="B9" s="59"/>
      <c r="C9" s="59" t="s">
        <v>514</v>
      </c>
      <c r="D9" s="124"/>
      <c r="E9" s="124"/>
      <c r="F9" s="124"/>
      <c r="G9" s="126">
        <v>7</v>
      </c>
      <c r="H9" s="125"/>
      <c r="I9" s="125"/>
      <c r="J9" s="125"/>
      <c r="K9" s="125"/>
      <c r="L9" s="125"/>
      <c r="M9" s="125"/>
      <c r="N9" s="125"/>
      <c r="O9" s="125"/>
      <c r="P9" s="125"/>
    </row>
    <row r="10" spans="1:16" ht="12.75" customHeight="1" x14ac:dyDescent="0.25">
      <c r="A10" s="60"/>
      <c r="B10" s="59"/>
      <c r="C10" s="59" t="s">
        <v>515</v>
      </c>
      <c r="D10" s="126"/>
      <c r="E10" s="126"/>
      <c r="F10" s="126"/>
      <c r="G10" s="126">
        <v>7</v>
      </c>
      <c r="H10" s="126">
        <f>G10</f>
        <v>7</v>
      </c>
      <c r="I10" s="126">
        <f t="shared" ref="I10:K10" si="6">H10</f>
        <v>7</v>
      </c>
      <c r="J10" s="126">
        <f t="shared" si="6"/>
        <v>7</v>
      </c>
      <c r="K10" s="126">
        <f t="shared" si="6"/>
        <v>7</v>
      </c>
      <c r="L10" s="126">
        <f t="shared" ref="L10" si="7">K10</f>
        <v>7</v>
      </c>
      <c r="M10" s="126">
        <f t="shared" ref="M10" si="8">L10</f>
        <v>7</v>
      </c>
      <c r="N10" s="126">
        <f t="shared" ref="N10" si="9">M10</f>
        <v>7</v>
      </c>
      <c r="O10" s="126">
        <f t="shared" ref="O10" si="10">N10</f>
        <v>7</v>
      </c>
      <c r="P10" s="126">
        <f t="shared" ref="P10" si="11">O10</f>
        <v>7</v>
      </c>
    </row>
    <row r="11" spans="1:16" ht="12.75" customHeight="1" x14ac:dyDescent="0.25">
      <c r="A11" s="60"/>
      <c r="B11" s="60" t="s">
        <v>509</v>
      </c>
      <c r="C11" s="59"/>
      <c r="D11" s="126"/>
      <c r="E11" s="126"/>
      <c r="F11" s="126"/>
      <c r="G11" s="126"/>
      <c r="H11" s="126"/>
      <c r="I11" s="126"/>
      <c r="J11" s="126"/>
      <c r="K11" s="126"/>
      <c r="L11" s="126"/>
      <c r="M11" s="126"/>
      <c r="N11" s="126"/>
      <c r="O11" s="126"/>
      <c r="P11" s="126"/>
    </row>
    <row r="12" spans="1:16" ht="12.75" customHeight="1" x14ac:dyDescent="0.25">
      <c r="A12" s="60"/>
      <c r="B12" s="59"/>
      <c r="C12" s="127" t="s">
        <v>516</v>
      </c>
      <c r="D12" s="128"/>
      <c r="E12" s="128"/>
      <c r="F12" s="128"/>
      <c r="G12" s="128">
        <f t="shared" ref="G12:P12" si="12">$F$5/$G$9</f>
        <v>75.107857142857142</v>
      </c>
      <c r="H12" s="128">
        <f t="shared" si="12"/>
        <v>75.107857142857142</v>
      </c>
      <c r="I12" s="128">
        <f t="shared" si="12"/>
        <v>75.107857142857142</v>
      </c>
      <c r="J12" s="128">
        <f t="shared" si="12"/>
        <v>75.107857142857142</v>
      </c>
      <c r="K12" s="128">
        <f t="shared" si="12"/>
        <v>75.107857142857142</v>
      </c>
      <c r="L12" s="128">
        <f t="shared" si="12"/>
        <v>75.107857142857142</v>
      </c>
      <c r="M12" s="128">
        <f t="shared" si="12"/>
        <v>75.107857142857142</v>
      </c>
      <c r="N12" s="128"/>
      <c r="O12" s="128"/>
      <c r="P12" s="128"/>
    </row>
    <row r="13" spans="1:16" ht="12.75" customHeight="1" x14ac:dyDescent="0.25">
      <c r="A13" s="59"/>
      <c r="B13" s="59"/>
      <c r="C13" s="127" t="str">
        <f>G$4&amp;" CAPEX"</f>
        <v>2024 CAPEX</v>
      </c>
      <c r="D13" s="67"/>
      <c r="E13" s="129"/>
      <c r="F13" s="129"/>
      <c r="G13" s="129">
        <f>$G$6/$G$10</f>
        <v>11.887041</v>
      </c>
      <c r="H13" s="129">
        <f t="shared" ref="H13:P13" si="13">$G$6/$G$10</f>
        <v>11.887041</v>
      </c>
      <c r="I13" s="129">
        <f t="shared" si="13"/>
        <v>11.887041</v>
      </c>
      <c r="J13" s="129">
        <f t="shared" si="13"/>
        <v>11.887041</v>
      </c>
      <c r="K13" s="129">
        <f t="shared" si="13"/>
        <v>11.887041</v>
      </c>
      <c r="L13" s="129">
        <f t="shared" si="13"/>
        <v>11.887041</v>
      </c>
      <c r="M13" s="129">
        <f t="shared" si="13"/>
        <v>11.887041</v>
      </c>
      <c r="N13" s="129"/>
      <c r="O13" s="129"/>
      <c r="P13" s="129"/>
    </row>
    <row r="14" spans="1:16" ht="12.75" customHeight="1" x14ac:dyDescent="0.25">
      <c r="A14" s="59"/>
      <c r="B14" s="59"/>
      <c r="C14" s="127" t="str">
        <f>H$4&amp;" CAPEX"</f>
        <v>2025 CAPEX</v>
      </c>
      <c r="D14" s="67"/>
      <c r="E14" s="129"/>
      <c r="F14" s="129"/>
      <c r="G14" s="129"/>
      <c r="H14" s="129">
        <f ca="1">$H$6/$H$10</f>
        <v>24.318123498697531</v>
      </c>
      <c r="I14" s="129">
        <f ca="1">$H$6/$H$10</f>
        <v>24.318123498697531</v>
      </c>
      <c r="J14" s="129">
        <f ca="1">$H$6/$H$10</f>
        <v>24.318123498697531</v>
      </c>
      <c r="K14" s="129">
        <f ca="1">$H$6/$H$10</f>
        <v>24.318123498697531</v>
      </c>
      <c r="L14" s="129">
        <f t="shared" ref="L14:P14" ca="1" si="14">$H$6/$H$10</f>
        <v>24.318123498697531</v>
      </c>
      <c r="M14" s="129">
        <f t="shared" ca="1" si="14"/>
        <v>24.318123498697531</v>
      </c>
      <c r="N14" s="129">
        <f t="shared" ca="1" si="14"/>
        <v>24.318123498697531</v>
      </c>
      <c r="O14" s="129"/>
      <c r="P14" s="129"/>
    </row>
    <row r="15" spans="1:16" ht="12.75" customHeight="1" x14ac:dyDescent="0.25">
      <c r="A15" s="60"/>
      <c r="B15" s="59"/>
      <c r="C15" s="127" t="str">
        <f>I$4&amp;" CAPEX"</f>
        <v>2026 CAPEX</v>
      </c>
      <c r="D15" s="130"/>
      <c r="E15" s="130"/>
      <c r="F15" s="130"/>
      <c r="G15" s="130"/>
      <c r="H15" s="130"/>
      <c r="I15" s="129">
        <f ca="1">$I$6/$I$10</f>
        <v>30.976636198724513</v>
      </c>
      <c r="J15" s="129">
        <f ca="1">$I$6/$I$10</f>
        <v>30.976636198724513</v>
      </c>
      <c r="K15" s="129">
        <f ca="1">$I$6/$I$10</f>
        <v>30.976636198724513</v>
      </c>
      <c r="L15" s="129">
        <f t="shared" ref="L15:P15" ca="1" si="15">$I$6/$I$10</f>
        <v>30.976636198724513</v>
      </c>
      <c r="M15" s="129">
        <f t="shared" ca="1" si="15"/>
        <v>30.976636198724513</v>
      </c>
      <c r="N15" s="129">
        <f t="shared" ca="1" si="15"/>
        <v>30.976636198724513</v>
      </c>
      <c r="O15" s="129">
        <f t="shared" ca="1" si="15"/>
        <v>30.976636198724513</v>
      </c>
      <c r="P15" s="129"/>
    </row>
    <row r="16" spans="1:16" ht="12.75" customHeight="1" x14ac:dyDescent="0.25">
      <c r="A16" s="60"/>
      <c r="B16" s="59"/>
      <c r="C16" s="127" t="str">
        <f>J$4&amp;" CAPEX"</f>
        <v>2027 CAPEX</v>
      </c>
      <c r="D16" s="129"/>
      <c r="E16" s="129"/>
      <c r="F16" s="129"/>
      <c r="G16" s="129"/>
      <c r="H16" s="129"/>
      <c r="I16" s="129"/>
      <c r="J16" s="129">
        <f ca="1">$J$6/$J$10</f>
        <v>50.707385484961961</v>
      </c>
      <c r="K16" s="129">
        <f ca="1">$J$6/$J$10</f>
        <v>50.707385484961961</v>
      </c>
      <c r="L16" s="129">
        <f t="shared" ref="L16:P16" ca="1" si="16">$J$6/$J$10</f>
        <v>50.707385484961961</v>
      </c>
      <c r="M16" s="129">
        <f t="shared" ca="1" si="16"/>
        <v>50.707385484961961</v>
      </c>
      <c r="N16" s="129">
        <f t="shared" ca="1" si="16"/>
        <v>50.707385484961961</v>
      </c>
      <c r="O16" s="129">
        <f t="shared" ca="1" si="16"/>
        <v>50.707385484961961</v>
      </c>
      <c r="P16" s="129">
        <f t="shared" ca="1" si="16"/>
        <v>50.707385484961961</v>
      </c>
    </row>
    <row r="17" spans="1:16" ht="12.75" customHeight="1" x14ac:dyDescent="0.25">
      <c r="A17" s="60"/>
      <c r="B17" s="59"/>
      <c r="C17" s="127" t="str">
        <f>K$4&amp;" CAPEX"</f>
        <v>2028 CAPEX</v>
      </c>
      <c r="D17" s="67"/>
      <c r="E17" s="129"/>
      <c r="F17" s="129"/>
      <c r="G17" s="129"/>
      <c r="H17" s="129"/>
      <c r="I17" s="129"/>
      <c r="J17" s="129"/>
      <c r="K17" s="129">
        <f ca="1">$K$6/$K$10</f>
        <v>45.620871038645376</v>
      </c>
      <c r="L17" s="129">
        <f t="shared" ref="L17:P17" ca="1" si="17">$K$6/$K$10</f>
        <v>45.620871038645376</v>
      </c>
      <c r="M17" s="129">
        <f t="shared" ca="1" si="17"/>
        <v>45.620871038645376</v>
      </c>
      <c r="N17" s="129">
        <f t="shared" ca="1" si="17"/>
        <v>45.620871038645376</v>
      </c>
      <c r="O17" s="129">
        <f t="shared" ca="1" si="17"/>
        <v>45.620871038645376</v>
      </c>
      <c r="P17" s="129">
        <f t="shared" ca="1" si="17"/>
        <v>45.620871038645376</v>
      </c>
    </row>
    <row r="18" spans="1:16" ht="12.75" customHeight="1" x14ac:dyDescent="0.25">
      <c r="A18" s="60"/>
      <c r="B18" s="59"/>
      <c r="C18" s="127" t="s">
        <v>633</v>
      </c>
      <c r="D18" s="67"/>
      <c r="E18" s="129"/>
      <c r="F18" s="129"/>
      <c r="G18" s="129"/>
      <c r="H18" s="129"/>
      <c r="I18" s="129"/>
      <c r="J18" s="129"/>
      <c r="K18" s="129"/>
      <c r="L18" s="129">
        <f ca="1">$L$6/$L$10</f>
        <v>46.798893522246836</v>
      </c>
      <c r="M18" s="129">
        <f ca="1">$L$6/$L$10</f>
        <v>46.798893522246836</v>
      </c>
      <c r="N18" s="129">
        <f t="shared" ref="N18:P18" ca="1" si="18">$L$6/$L$10</f>
        <v>46.798893522246836</v>
      </c>
      <c r="O18" s="129">
        <f t="shared" ca="1" si="18"/>
        <v>46.798893522246836</v>
      </c>
      <c r="P18" s="129">
        <f t="shared" ca="1" si="18"/>
        <v>46.798893522246836</v>
      </c>
    </row>
    <row r="19" spans="1:16" ht="12.75" customHeight="1" x14ac:dyDescent="0.25">
      <c r="A19" s="60"/>
      <c r="B19" s="59"/>
      <c r="C19" s="127" t="s">
        <v>634</v>
      </c>
      <c r="D19" s="67"/>
      <c r="E19" s="129"/>
      <c r="F19" s="129"/>
      <c r="G19" s="129"/>
      <c r="H19" s="129"/>
      <c r="I19" s="129"/>
      <c r="J19" s="129"/>
      <c r="K19" s="129"/>
      <c r="L19" s="129"/>
      <c r="M19" s="129">
        <f ca="1">$M$6/M10</f>
        <v>47.456808765941425</v>
      </c>
      <c r="N19" s="129">
        <f t="shared" ref="N19:P20" ca="1" si="19">$M$6/N10</f>
        <v>47.456808765941425</v>
      </c>
      <c r="O19" s="129">
        <f t="shared" ca="1" si="19"/>
        <v>47.456808765941425</v>
      </c>
      <c r="P19" s="129">
        <f t="shared" ca="1" si="19"/>
        <v>47.456808765941425</v>
      </c>
    </row>
    <row r="20" spans="1:16" ht="12.75" customHeight="1" x14ac:dyDescent="0.25">
      <c r="A20" s="60"/>
      <c r="B20" s="59"/>
      <c r="C20" s="127" t="s">
        <v>635</v>
      </c>
      <c r="D20" s="67"/>
      <c r="E20" s="129"/>
      <c r="F20" s="129"/>
      <c r="G20" s="129"/>
      <c r="H20" s="129"/>
      <c r="I20" s="129"/>
      <c r="J20" s="129"/>
      <c r="K20" s="129"/>
      <c r="L20" s="129"/>
      <c r="M20" s="129"/>
      <c r="N20" s="129">
        <f ca="1">$N$6/$N$10</f>
        <v>47.555665615908765</v>
      </c>
      <c r="O20" s="129">
        <f t="shared" ref="O20:P20" ca="1" si="20">$N$6/$N$10</f>
        <v>47.555665615908765</v>
      </c>
      <c r="P20" s="129">
        <f t="shared" ca="1" si="20"/>
        <v>47.555665615908765</v>
      </c>
    </row>
    <row r="21" spans="1:16" ht="12.75" customHeight="1" x14ac:dyDescent="0.25">
      <c r="A21" s="60"/>
      <c r="B21" s="59"/>
      <c r="C21" s="127" t="s">
        <v>636</v>
      </c>
      <c r="D21" s="67"/>
      <c r="E21" s="129"/>
      <c r="F21" s="129"/>
      <c r="G21" s="129"/>
      <c r="H21" s="129"/>
      <c r="I21" s="129"/>
      <c r="J21" s="129"/>
      <c r="K21" s="129"/>
      <c r="L21" s="129"/>
      <c r="M21" s="129"/>
      <c r="N21" s="129"/>
      <c r="O21" s="129">
        <f ca="1">$O$6/$O$10</f>
        <v>47.99356305884244</v>
      </c>
      <c r="P21" s="129">
        <f ca="1">$O$6/$O$10</f>
        <v>47.99356305884244</v>
      </c>
    </row>
    <row r="22" spans="1:16" ht="12.75" customHeight="1" x14ac:dyDescent="0.25">
      <c r="A22" s="60"/>
      <c r="B22" s="59"/>
      <c r="C22" s="127" t="s">
        <v>637</v>
      </c>
      <c r="D22" s="67"/>
      <c r="E22" s="129"/>
      <c r="F22" s="129"/>
      <c r="G22" s="129"/>
      <c r="H22" s="129"/>
      <c r="I22" s="129"/>
      <c r="J22" s="129"/>
      <c r="K22" s="129"/>
      <c r="L22" s="129"/>
      <c r="M22" s="129"/>
      <c r="N22" s="129"/>
      <c r="O22" s="129"/>
      <c r="P22" s="129">
        <f ca="1">$P$6/$P$10</f>
        <v>48.286281988570913</v>
      </c>
    </row>
    <row r="23" spans="1:16" ht="12.75" customHeight="1" x14ac:dyDescent="0.25">
      <c r="A23" s="60"/>
      <c r="B23" s="60" t="s">
        <v>517</v>
      </c>
      <c r="C23" s="60"/>
      <c r="D23" s="58"/>
      <c r="E23" s="58"/>
      <c r="F23" s="58"/>
      <c r="G23" s="58">
        <f>SUM(G12:G22)</f>
        <v>86.994898142857139</v>
      </c>
      <c r="H23" s="58">
        <f t="shared" ref="H23:P23" ca="1" si="21">SUM(H12:H22)</f>
        <v>111.31302164155467</v>
      </c>
      <c r="I23" s="58">
        <f t="shared" ca="1" si="21"/>
        <v>142.28965784027918</v>
      </c>
      <c r="J23" s="58">
        <f t="shared" ca="1" si="21"/>
        <v>192.99704332524112</v>
      </c>
      <c r="K23" s="58">
        <f t="shared" ca="1" si="21"/>
        <v>238.61791436388648</v>
      </c>
      <c r="L23" s="58">
        <f t="shared" ca="1" si="21"/>
        <v>285.41680788613331</v>
      </c>
      <c r="M23" s="58">
        <f t="shared" ca="1" si="21"/>
        <v>332.87361665207476</v>
      </c>
      <c r="N23" s="58">
        <f t="shared" ca="1" si="21"/>
        <v>293.43438412512637</v>
      </c>
      <c r="O23" s="58">
        <f t="shared" ca="1" si="21"/>
        <v>317.10982368527129</v>
      </c>
      <c r="P23" s="58">
        <f t="shared" ca="1" si="21"/>
        <v>334.41946947511769</v>
      </c>
    </row>
    <row r="24" spans="1:16" ht="21" customHeight="1" x14ac:dyDescent="0.25">
      <c r="A24" s="60" t="s">
        <v>518</v>
      </c>
      <c r="B24" s="59"/>
      <c r="C24" s="60"/>
      <c r="D24" s="124"/>
      <c r="E24" s="124"/>
      <c r="F24" s="124"/>
      <c r="G24" s="125"/>
      <c r="H24" s="125"/>
      <c r="I24" s="125"/>
      <c r="J24" s="125"/>
      <c r="K24" s="125"/>
      <c r="L24" s="125"/>
      <c r="M24" s="125"/>
      <c r="N24" s="125"/>
      <c r="O24" s="125"/>
      <c r="P24" s="125"/>
    </row>
    <row r="25" spans="1:16" ht="12.75" customHeight="1" x14ac:dyDescent="0.25">
      <c r="A25" s="60"/>
      <c r="B25" s="59"/>
      <c r="C25" s="127" t="s">
        <v>516</v>
      </c>
      <c r="D25" s="131"/>
      <c r="E25" s="131"/>
      <c r="F25" s="131"/>
      <c r="G25" s="132">
        <v>8.7499999999999994E-2</v>
      </c>
      <c r="H25" s="132">
        <v>9.1300000000000006E-2</v>
      </c>
      <c r="I25" s="132">
        <v>8.2100000000000006E-2</v>
      </c>
      <c r="J25" s="132">
        <v>7.3899999999999993E-2</v>
      </c>
      <c r="K25" s="132">
        <v>6.6500000000000004E-2</v>
      </c>
      <c r="L25" s="132">
        <v>6.6500000000000004E-2</v>
      </c>
      <c r="M25" s="132">
        <v>6.6500000000000004E-2</v>
      </c>
      <c r="N25" s="132">
        <v>6.6500000000000004E-2</v>
      </c>
      <c r="O25" s="132">
        <v>6.6500000000000004E-2</v>
      </c>
      <c r="P25" s="132">
        <v>6.6500000000000004E-2</v>
      </c>
    </row>
    <row r="26" spans="1:16" ht="12.75" customHeight="1" x14ac:dyDescent="0.25">
      <c r="A26" s="59"/>
      <c r="B26" s="59"/>
      <c r="C26" s="127" t="str">
        <f>G$4&amp;" CAPEX"</f>
        <v>2024 CAPEX</v>
      </c>
      <c r="D26" s="67"/>
      <c r="E26" s="129"/>
      <c r="F26" s="129"/>
      <c r="G26" s="132">
        <v>6.5629999999999994E-2</v>
      </c>
      <c r="H26" s="132">
        <v>7.0000000000000007E-2</v>
      </c>
      <c r="I26" s="132">
        <v>6.4820000000000003E-2</v>
      </c>
      <c r="J26" s="132">
        <v>5.9960000000000006E-2</v>
      </c>
      <c r="K26" s="132">
        <v>5.5460000000000002E-2</v>
      </c>
      <c r="L26" s="132">
        <v>5.5460000000000002E-2</v>
      </c>
      <c r="M26" s="132">
        <v>5.5460000000000002E-2</v>
      </c>
      <c r="N26" s="132">
        <v>5.5460000000000002E-2</v>
      </c>
      <c r="O26" s="132">
        <v>5.5460000000000002E-2</v>
      </c>
      <c r="P26" s="132">
        <v>5.5460000000000002E-2</v>
      </c>
    </row>
    <row r="27" spans="1:16" ht="12.75" customHeight="1" x14ac:dyDescent="0.25">
      <c r="A27" s="59"/>
      <c r="B27" s="59"/>
      <c r="C27" s="127" t="str">
        <f>H$4&amp;" CAPEX"</f>
        <v>2025 CAPEX</v>
      </c>
      <c r="D27" s="67"/>
      <c r="E27" s="129"/>
      <c r="F27" s="129"/>
      <c r="G27" s="129"/>
      <c r="H27" s="132">
        <v>6.5629999999999994E-2</v>
      </c>
      <c r="I27" s="132">
        <v>7.0000000000000007E-2</v>
      </c>
      <c r="J27" s="132">
        <v>6.4820000000000003E-2</v>
      </c>
      <c r="K27" s="132">
        <v>5.9960000000000006E-2</v>
      </c>
      <c r="L27" s="132">
        <v>5.9960000000000006E-2</v>
      </c>
      <c r="M27" s="132">
        <v>5.9960000000000006E-2</v>
      </c>
      <c r="N27" s="132">
        <v>5.9960000000000006E-2</v>
      </c>
      <c r="O27" s="132">
        <v>5.9960000000000006E-2</v>
      </c>
      <c r="P27" s="132">
        <v>5.9960000000000006E-2</v>
      </c>
    </row>
    <row r="28" spans="1:16" ht="12.75" customHeight="1" x14ac:dyDescent="0.25">
      <c r="A28" s="59"/>
      <c r="B28" s="59"/>
      <c r="C28" s="127" t="str">
        <f>I$4&amp;" CAPEX"</f>
        <v>2026 CAPEX</v>
      </c>
      <c r="D28" s="130"/>
      <c r="E28" s="130"/>
      <c r="F28" s="130"/>
      <c r="G28" s="130"/>
      <c r="H28" s="130"/>
      <c r="I28" s="132">
        <v>6.5629999999999994E-2</v>
      </c>
      <c r="J28" s="132">
        <v>7.0000000000000007E-2</v>
      </c>
      <c r="K28" s="132">
        <v>6.4820000000000003E-2</v>
      </c>
      <c r="L28" s="132">
        <v>6.4820000000000003E-2</v>
      </c>
      <c r="M28" s="132">
        <v>6.4820000000000003E-2</v>
      </c>
      <c r="N28" s="132">
        <v>6.4820000000000003E-2</v>
      </c>
      <c r="O28" s="132">
        <v>6.4820000000000003E-2</v>
      </c>
      <c r="P28" s="132">
        <v>6.4820000000000003E-2</v>
      </c>
    </row>
    <row r="29" spans="1:16" ht="12.75" customHeight="1" x14ac:dyDescent="0.25">
      <c r="A29" s="60"/>
      <c r="B29" s="59"/>
      <c r="C29" s="127" t="str">
        <f>J$4&amp;" CAPEX"</f>
        <v>2027 CAPEX</v>
      </c>
      <c r="D29" s="129"/>
      <c r="E29" s="129"/>
      <c r="F29" s="129"/>
      <c r="G29" s="129"/>
      <c r="H29" s="129"/>
      <c r="I29" s="129"/>
      <c r="J29" s="132">
        <v>6.5629999999999994E-2</v>
      </c>
      <c r="K29" s="132">
        <v>7.0000000000000007E-2</v>
      </c>
      <c r="L29" s="132">
        <v>7.0000000000000007E-2</v>
      </c>
      <c r="M29" s="132">
        <v>7.0000000000000007E-2</v>
      </c>
      <c r="N29" s="132">
        <v>7.0000000000000007E-2</v>
      </c>
      <c r="O29" s="132">
        <v>7.0000000000000007E-2</v>
      </c>
      <c r="P29" s="132">
        <v>7.0000000000000007E-2</v>
      </c>
    </row>
    <row r="30" spans="1:16" ht="12.75" customHeight="1" x14ac:dyDescent="0.25">
      <c r="A30" s="59"/>
      <c r="B30" s="59"/>
      <c r="C30" s="127" t="str">
        <f>K$4&amp;" CAPEX"</f>
        <v>2028 CAPEX</v>
      </c>
      <c r="D30" s="67"/>
      <c r="E30" s="129"/>
      <c r="F30" s="129"/>
      <c r="G30" s="129"/>
      <c r="H30" s="129"/>
      <c r="I30" s="129"/>
      <c r="J30" s="129"/>
      <c r="K30" s="132">
        <v>6.5629999999999994E-2</v>
      </c>
      <c r="L30" s="132">
        <v>6.5629999999999994E-2</v>
      </c>
      <c r="M30" s="132">
        <v>6.5629999999999994E-2</v>
      </c>
      <c r="N30" s="132">
        <v>6.5629999999999994E-2</v>
      </c>
      <c r="O30" s="132">
        <v>6.5629999999999994E-2</v>
      </c>
      <c r="P30" s="132">
        <v>6.5629999999999994E-2</v>
      </c>
    </row>
    <row r="31" spans="1:16" ht="19.5" customHeight="1" x14ac:dyDescent="0.25">
      <c r="A31" s="60" t="s">
        <v>519</v>
      </c>
      <c r="B31" s="59"/>
      <c r="C31" s="127"/>
      <c r="D31" s="67"/>
      <c r="E31" s="129"/>
      <c r="F31" s="129"/>
      <c r="G31" s="129"/>
      <c r="H31" s="129"/>
      <c r="I31" s="129"/>
      <c r="J31" s="129"/>
      <c r="K31" s="132"/>
      <c r="L31" s="132"/>
      <c r="M31" s="132"/>
      <c r="N31" s="132"/>
      <c r="O31" s="132"/>
      <c r="P31" s="132"/>
    </row>
    <row r="32" spans="1:16" ht="12.75" customHeight="1" x14ac:dyDescent="0.25">
      <c r="A32" s="60"/>
      <c r="B32" s="59"/>
      <c r="C32" s="127" t="s">
        <v>516</v>
      </c>
      <c r="D32" s="128"/>
      <c r="E32" s="128"/>
      <c r="F32" s="128"/>
      <c r="G32" s="128">
        <f>$F$5*G25</f>
        <v>46.003562499999994</v>
      </c>
      <c r="H32" s="128">
        <f>$F$5*H25</f>
        <v>48.001431500000002</v>
      </c>
      <c r="I32" s="128">
        <f>$F$5*I25</f>
        <v>43.164485500000005</v>
      </c>
      <c r="J32" s="128">
        <f>$F$5*J25</f>
        <v>38.853294499999997</v>
      </c>
      <c r="K32" s="128">
        <f>$F$5*K25</f>
        <v>34.9627075</v>
      </c>
      <c r="L32" s="128">
        <f t="shared" ref="L32:M32" si="22">$F$5*L25</f>
        <v>34.9627075</v>
      </c>
      <c r="M32" s="128">
        <f t="shared" si="22"/>
        <v>34.9627075</v>
      </c>
      <c r="N32" s="128">
        <f t="shared" ref="N32:P32" si="23">$F$5*N25</f>
        <v>34.9627075</v>
      </c>
      <c r="O32" s="128">
        <f t="shared" si="23"/>
        <v>34.9627075</v>
      </c>
      <c r="P32" s="128">
        <f t="shared" si="23"/>
        <v>34.9627075</v>
      </c>
    </row>
    <row r="33" spans="1:16" ht="12.75" customHeight="1" x14ac:dyDescent="0.25">
      <c r="A33" s="59"/>
      <c r="B33" s="59"/>
      <c r="C33" s="127" t="str">
        <f>G$4&amp;" CAPEX"</f>
        <v>2024 CAPEX</v>
      </c>
      <c r="D33" s="67"/>
      <c r="E33" s="129"/>
      <c r="F33" s="129"/>
      <c r="G33" s="129">
        <f>$G$6*G26</f>
        <v>5.4610255058099995</v>
      </c>
      <c r="H33" s="129">
        <f>$G$6*H26</f>
        <v>5.8246500900000004</v>
      </c>
      <c r="I33" s="129">
        <f>$G$6*I26</f>
        <v>5.3936259833400007</v>
      </c>
      <c r="J33" s="129">
        <f>$G$6*J26</f>
        <v>4.9892288485200007</v>
      </c>
      <c r="K33" s="129">
        <f>$G$6*K26</f>
        <v>4.61478705702</v>
      </c>
      <c r="L33" s="129">
        <f t="shared" ref="L33:M33" si="24">$G$6*L26</f>
        <v>4.61478705702</v>
      </c>
      <c r="M33" s="129">
        <f t="shared" si="24"/>
        <v>4.61478705702</v>
      </c>
      <c r="N33" s="129">
        <f t="shared" ref="N33:P33" si="25">$G$6*N26</f>
        <v>4.61478705702</v>
      </c>
      <c r="O33" s="129">
        <f t="shared" si="25"/>
        <v>4.61478705702</v>
      </c>
      <c r="P33" s="129">
        <f t="shared" si="25"/>
        <v>4.61478705702</v>
      </c>
    </row>
    <row r="34" spans="1:16" ht="12.75" customHeight="1" x14ac:dyDescent="0.25">
      <c r="A34" s="59"/>
      <c r="B34" s="59"/>
      <c r="C34" s="127" t="str">
        <f>H$4&amp;" CAPEX"</f>
        <v>2025 CAPEX</v>
      </c>
      <c r="D34" s="67"/>
      <c r="E34" s="129"/>
      <c r="F34" s="129"/>
      <c r="G34" s="129"/>
      <c r="H34" s="129">
        <f ca="1">$H$6*H27</f>
        <v>11.171989116536631</v>
      </c>
      <c r="I34" s="129">
        <f ca="1">$H$6*I27</f>
        <v>11.915880514361792</v>
      </c>
      <c r="J34" s="129">
        <f ca="1">$H$6*J27</f>
        <v>11.034105356299019</v>
      </c>
      <c r="K34" s="129">
        <f ca="1">$H$6*K27</f>
        <v>10.20680279487333</v>
      </c>
      <c r="L34" s="129">
        <f t="shared" ref="L34:M34" ca="1" si="26">$H$6*L27</f>
        <v>10.20680279487333</v>
      </c>
      <c r="M34" s="129">
        <f t="shared" ca="1" si="26"/>
        <v>10.20680279487333</v>
      </c>
      <c r="N34" s="129">
        <f t="shared" ref="N34:P34" ca="1" si="27">$H$6*N27</f>
        <v>10.20680279487333</v>
      </c>
      <c r="O34" s="129">
        <f t="shared" ca="1" si="27"/>
        <v>10.20680279487333</v>
      </c>
      <c r="P34" s="129">
        <f t="shared" ca="1" si="27"/>
        <v>10.20680279487333</v>
      </c>
    </row>
    <row r="35" spans="1:16" ht="12.75" customHeight="1" x14ac:dyDescent="0.25">
      <c r="A35" s="60"/>
      <c r="B35" s="59"/>
      <c r="C35" s="127" t="str">
        <f>I$4&amp;" CAPEX"</f>
        <v>2026 CAPEX</v>
      </c>
      <c r="D35" s="130"/>
      <c r="E35" s="130"/>
      <c r="F35" s="130"/>
      <c r="G35" s="130"/>
      <c r="H35" s="130"/>
      <c r="I35" s="129">
        <f ca="1">$I$6*I28</f>
        <v>14.230976436056027</v>
      </c>
      <c r="J35" s="129">
        <f ca="1">$I$6*J28</f>
        <v>15.178551737375013</v>
      </c>
      <c r="K35" s="129">
        <f ca="1">$I$6*K28</f>
        <v>14.055338908809262</v>
      </c>
      <c r="L35" s="129">
        <f t="shared" ref="L35:M35" ca="1" si="28">$I$6*L28</f>
        <v>14.055338908809262</v>
      </c>
      <c r="M35" s="129">
        <f t="shared" ca="1" si="28"/>
        <v>14.055338908809262</v>
      </c>
      <c r="N35" s="129">
        <f t="shared" ref="N35:P35" ca="1" si="29">$I$6*N28</f>
        <v>14.055338908809262</v>
      </c>
      <c r="O35" s="129">
        <f t="shared" ca="1" si="29"/>
        <v>14.055338908809262</v>
      </c>
      <c r="P35" s="129">
        <f t="shared" ca="1" si="29"/>
        <v>14.055338908809262</v>
      </c>
    </row>
    <row r="36" spans="1:16" ht="12.75" customHeight="1" x14ac:dyDescent="0.25">
      <c r="A36" s="60"/>
      <c r="B36" s="59"/>
      <c r="C36" s="127" t="str">
        <f>J$4&amp;" CAPEX"</f>
        <v>2027 CAPEX</v>
      </c>
      <c r="D36" s="129"/>
      <c r="E36" s="129"/>
      <c r="F36" s="129"/>
      <c r="G36" s="129"/>
      <c r="H36" s="129"/>
      <c r="I36" s="129"/>
      <c r="J36" s="129">
        <f ca="1">$J$6*J29</f>
        <v>23.295479965646372</v>
      </c>
      <c r="K36" s="129">
        <f ca="1">$J$6*K29</f>
        <v>24.846618887631365</v>
      </c>
      <c r="L36" s="129">
        <f t="shared" ref="L36:M36" ca="1" si="30">$J$6*L29</f>
        <v>24.846618887631365</v>
      </c>
      <c r="M36" s="129">
        <f t="shared" ca="1" si="30"/>
        <v>24.846618887631365</v>
      </c>
      <c r="N36" s="129">
        <f t="shared" ref="N36:P36" ca="1" si="31">$J$6*N29</f>
        <v>24.846618887631365</v>
      </c>
      <c r="O36" s="129">
        <f t="shared" ca="1" si="31"/>
        <v>24.846618887631365</v>
      </c>
      <c r="P36" s="129">
        <f t="shared" ca="1" si="31"/>
        <v>24.846618887631365</v>
      </c>
    </row>
    <row r="37" spans="1:16" ht="12.75" customHeight="1" x14ac:dyDescent="0.25">
      <c r="A37" s="60"/>
      <c r="B37" s="59"/>
      <c r="C37" s="127" t="str">
        <f>K$4&amp;" CAPEX"</f>
        <v>2028 CAPEX</v>
      </c>
      <c r="D37" s="67"/>
      <c r="E37" s="129"/>
      <c r="F37" s="129"/>
      <c r="G37" s="129"/>
      <c r="H37" s="129"/>
      <c r="I37" s="129"/>
      <c r="J37" s="129"/>
      <c r="K37" s="129">
        <f ca="1">$K$6*K30</f>
        <v>20.958684363864069</v>
      </c>
      <c r="L37" s="129">
        <f t="shared" ref="L37:M37" ca="1" si="32">$K$6*L30</f>
        <v>20.958684363864069</v>
      </c>
      <c r="M37" s="129">
        <f t="shared" ca="1" si="32"/>
        <v>20.958684363864069</v>
      </c>
      <c r="N37" s="129">
        <f t="shared" ref="N37:P37" ca="1" si="33">$K$6*N30</f>
        <v>20.958684363864069</v>
      </c>
      <c r="O37" s="129">
        <f t="shared" ca="1" si="33"/>
        <v>20.958684363864069</v>
      </c>
      <c r="P37" s="129">
        <f t="shared" ca="1" si="33"/>
        <v>20.958684363864069</v>
      </c>
    </row>
    <row r="38" spans="1:16" ht="12.75" customHeight="1" x14ac:dyDescent="0.25">
      <c r="A38" s="60"/>
      <c r="B38" s="60" t="s">
        <v>520</v>
      </c>
      <c r="C38" s="60"/>
      <c r="D38" s="58"/>
      <c r="E38" s="58"/>
      <c r="F38" s="58"/>
      <c r="G38" s="58">
        <f>SUM(G32:G37)</f>
        <v>51.464588005809993</v>
      </c>
      <c r="H38" s="58">
        <f ca="1">SUM(H32:H37)</f>
        <v>64.998070706536637</v>
      </c>
      <c r="I38" s="58">
        <f ca="1">SUM(I32:I37)</f>
        <v>74.704968433757827</v>
      </c>
      <c r="J38" s="58">
        <f ca="1">SUM(J32:J37)</f>
        <v>93.350660407840394</v>
      </c>
      <c r="K38" s="58">
        <f ca="1">SUM(K32:K37)</f>
        <v>109.64493951219802</v>
      </c>
      <c r="L38" s="58">
        <f t="shared" ref="L38:M38" ca="1" si="34">SUM(L32:L37)</f>
        <v>109.64493951219802</v>
      </c>
      <c r="M38" s="58">
        <f t="shared" ca="1" si="34"/>
        <v>109.64493951219802</v>
      </c>
      <c r="N38" s="58">
        <f t="shared" ref="N38" ca="1" si="35">SUM(N32:N37)</f>
        <v>109.64493951219802</v>
      </c>
      <c r="O38" s="58">
        <f t="shared" ref="O38" ca="1" si="36">SUM(O32:O37)</f>
        <v>109.64493951219802</v>
      </c>
      <c r="P38" s="58">
        <f t="shared" ref="P38" ca="1" si="37">SUM(P32:P37)</f>
        <v>109.64493951219802</v>
      </c>
    </row>
    <row r="39" spans="1:16" ht="12.75" customHeight="1" x14ac:dyDescent="0.25">
      <c r="A39" s="60"/>
      <c r="B39" s="59" t="s">
        <v>521</v>
      </c>
      <c r="C39" s="59"/>
      <c r="D39" s="133"/>
      <c r="E39" s="133"/>
      <c r="F39" s="133"/>
      <c r="G39" s="133">
        <f>G38-G23</f>
        <v>-35.530310137047145</v>
      </c>
      <c r="H39" s="133">
        <f ca="1">H38-H23</f>
        <v>-46.314950935018032</v>
      </c>
      <c r="I39" s="133">
        <f ca="1">I38-I23</f>
        <v>-67.584689406521349</v>
      </c>
      <c r="J39" s="133">
        <f ca="1">J38-J23</f>
        <v>-99.646382917400729</v>
      </c>
      <c r="K39" s="133">
        <f ca="1">K38-K23</f>
        <v>-128.97297485168846</v>
      </c>
      <c r="L39" s="133">
        <f t="shared" ref="L39:M39" ca="1" si="38">L38-L23</f>
        <v>-175.77186837393529</v>
      </c>
      <c r="M39" s="133">
        <f t="shared" ca="1" si="38"/>
        <v>-223.22867713987674</v>
      </c>
      <c r="N39" s="133">
        <f t="shared" ref="N39" ca="1" si="39">N38-N23</f>
        <v>-183.78944461292835</v>
      </c>
      <c r="O39" s="133">
        <f t="shared" ref="O39" ca="1" si="40">O38-O23</f>
        <v>-207.46488417307327</v>
      </c>
      <c r="P39" s="133">
        <f t="shared" ref="P39" ca="1" si="41">P38-P23</f>
        <v>-224.77452996291967</v>
      </c>
    </row>
    <row r="40" spans="1:16" ht="12.75" customHeight="1" x14ac:dyDescent="0.3">
      <c r="A40" s="59"/>
      <c r="B40" s="59"/>
      <c r="C40" s="66" t="s">
        <v>486</v>
      </c>
      <c r="D40" s="134"/>
      <c r="E40" s="134"/>
      <c r="F40" s="134"/>
      <c r="G40" s="134">
        <f>'[1]Income Statement'!G32</f>
        <v>0.15</v>
      </c>
      <c r="H40" s="134">
        <f>'[1]Income Statement'!H32</f>
        <v>0.15</v>
      </c>
      <c r="I40" s="134">
        <f>'[1]Income Statement'!I32</f>
        <v>0.15</v>
      </c>
      <c r="J40" s="134">
        <f>'[1]Income Statement'!J32</f>
        <v>0.15</v>
      </c>
      <c r="K40" s="134">
        <f>'[1]Income Statement'!K32</f>
        <v>0.15</v>
      </c>
      <c r="L40" s="134">
        <f>'[1]Income Statement'!L32</f>
        <v>0</v>
      </c>
      <c r="M40" s="134">
        <f>'[1]Income Statement'!M32</f>
        <v>0</v>
      </c>
      <c r="N40" s="134">
        <f>'[1]Income Statement'!N32</f>
        <v>0</v>
      </c>
      <c r="O40" s="134">
        <f>'[1]Income Statement'!O32</f>
        <v>0</v>
      </c>
      <c r="P40" s="134">
        <f>'[1]Income Statement'!P32</f>
        <v>0</v>
      </c>
    </row>
    <row r="41" spans="1:16" ht="12.75" customHeight="1" x14ac:dyDescent="0.25">
      <c r="A41" s="70"/>
      <c r="B41" s="71" t="s">
        <v>522</v>
      </c>
      <c r="C41" s="71"/>
      <c r="D41" s="135"/>
      <c r="E41" s="135"/>
      <c r="F41" s="135"/>
      <c r="G41" s="135">
        <f>G39*G40</f>
        <v>-5.3295465205570718</v>
      </c>
      <c r="H41" s="135">
        <f ca="1">H39*H40</f>
        <v>-6.9472426402527043</v>
      </c>
      <c r="I41" s="135">
        <f ca="1">I39*I40</f>
        <v>-10.137703410978203</v>
      </c>
      <c r="J41" s="135">
        <f ca="1">J39*J40</f>
        <v>-14.946957437610109</v>
      </c>
      <c r="K41" s="135">
        <f ca="1">K39*K40</f>
        <v>-19.34594622775327</v>
      </c>
      <c r="L41" s="135">
        <f t="shared" ref="L41:M41" ca="1" si="42">L39*L40</f>
        <v>0</v>
      </c>
      <c r="M41" s="135">
        <f t="shared" ca="1" si="42"/>
        <v>0</v>
      </c>
      <c r="N41" s="135">
        <f t="shared" ref="N41" ca="1" si="43">N39*N40</f>
        <v>0</v>
      </c>
      <c r="O41" s="135">
        <f t="shared" ref="O41" ca="1" si="44">O39*O40</f>
        <v>0</v>
      </c>
      <c r="P41" s="135">
        <f t="shared" ref="P41" ca="1" si="45">P39*P40</f>
        <v>0</v>
      </c>
    </row>
    <row r="42" spans="1:16" x14ac:dyDescent="0.25">
      <c r="D42" s="136"/>
      <c r="E42" s="136"/>
      <c r="F42" s="136"/>
      <c r="G42" s="136"/>
      <c r="H42" s="136"/>
      <c r="I42" s="136"/>
      <c r="J42" s="136"/>
      <c r="K42" s="136"/>
    </row>
    <row r="43" spans="1:16" x14ac:dyDescent="0.25">
      <c r="D43" s="136"/>
      <c r="E43" s="136"/>
      <c r="F43" s="136"/>
      <c r="G43" s="136"/>
      <c r="H43" s="136"/>
      <c r="I43" s="136"/>
      <c r="J43" s="136"/>
      <c r="K43" s="136"/>
    </row>
    <row r="44" spans="1:16" ht="20" customHeight="1" x14ac:dyDescent="0.25">
      <c r="D44" s="73"/>
      <c r="E44" s="73"/>
      <c r="F44" s="73"/>
      <c r="G44" s="73"/>
      <c r="H44" s="73"/>
      <c r="I44" s="73"/>
      <c r="J44" s="73"/>
      <c r="K44" s="73"/>
    </row>
    <row r="45" spans="1:16" ht="20" customHeight="1" x14ac:dyDescent="0.25">
      <c r="F45" s="74"/>
      <c r="G45" s="74"/>
      <c r="H45" s="74"/>
      <c r="I45" s="74"/>
      <c r="J45" s="74"/>
      <c r="K45" s="74"/>
    </row>
    <row r="46" spans="1:16" ht="20" customHeight="1" x14ac:dyDescent="0.25">
      <c r="C46" s="49"/>
      <c r="D46" s="49"/>
      <c r="E46" s="49"/>
      <c r="F46" s="49"/>
      <c r="G46" s="49"/>
      <c r="H46" s="49"/>
      <c r="I46" s="49"/>
      <c r="J46" s="49"/>
      <c r="K46" s="74"/>
    </row>
    <row r="47" spans="1:16" ht="20" customHeight="1" x14ac:dyDescent="0.25">
      <c r="C47" s="49"/>
      <c r="D47" s="49"/>
      <c r="E47" s="49"/>
      <c r="F47" s="49"/>
      <c r="G47" s="49"/>
      <c r="H47" s="49"/>
      <c r="I47" s="49"/>
      <c r="J47" s="49"/>
    </row>
    <row r="48" spans="1:16" ht="20" customHeight="1" x14ac:dyDescent="0.25">
      <c r="C48" s="49"/>
      <c r="D48" s="49"/>
      <c r="E48" s="49"/>
      <c r="F48" s="49"/>
      <c r="G48" s="49"/>
      <c r="H48" s="49"/>
      <c r="I48" s="49"/>
      <c r="J48" s="49"/>
    </row>
    <row r="49" spans="3:10" ht="20" customHeight="1" x14ac:dyDescent="0.25">
      <c r="C49" s="49"/>
      <c r="D49" s="49"/>
      <c r="E49" s="49"/>
      <c r="F49" s="49"/>
      <c r="G49" s="49"/>
      <c r="H49" s="49"/>
      <c r="I49" s="49"/>
      <c r="J49" s="49"/>
    </row>
    <row r="50" spans="3:10" ht="20" customHeight="1" x14ac:dyDescent="0.25">
      <c r="C50" s="49"/>
      <c r="D50" s="49"/>
      <c r="E50" s="49"/>
      <c r="F50" s="49"/>
      <c r="G50" s="49"/>
      <c r="H50" s="49"/>
      <c r="I50" s="49"/>
      <c r="J50" s="49"/>
    </row>
    <row r="51" spans="3:10" ht="20" customHeight="1" x14ac:dyDescent="0.25">
      <c r="C51" s="49"/>
      <c r="D51" s="49"/>
      <c r="E51" s="49"/>
      <c r="F51" s="49"/>
      <c r="G51" s="49"/>
      <c r="H51" s="49"/>
      <c r="I51" s="49"/>
      <c r="J51" s="49"/>
    </row>
    <row r="52" spans="3:10" ht="20" customHeight="1" x14ac:dyDescent="0.25">
      <c r="C52" s="49"/>
      <c r="D52" s="49"/>
      <c r="E52" s="49"/>
      <c r="F52" s="49"/>
      <c r="G52" s="49"/>
      <c r="H52" s="49"/>
      <c r="I52" s="49"/>
      <c r="J52" s="49"/>
    </row>
    <row r="53" spans="3:10" ht="20" customHeight="1" x14ac:dyDescent="0.25">
      <c r="C53" s="49"/>
      <c r="D53" s="49"/>
      <c r="E53" s="49"/>
      <c r="F53" s="49"/>
      <c r="G53" s="49"/>
      <c r="H53" s="49"/>
      <c r="I53" s="49"/>
      <c r="J53" s="49"/>
    </row>
    <row r="54" spans="3:10" ht="20" customHeight="1" x14ac:dyDescent="0.25">
      <c r="C54" s="49"/>
      <c r="D54" s="49"/>
      <c r="E54" s="49"/>
      <c r="F54" s="49"/>
      <c r="G54" s="49"/>
      <c r="H54" s="49"/>
      <c r="I54" s="49"/>
      <c r="J54" s="49"/>
    </row>
    <row r="55" spans="3:10" ht="20" customHeight="1" x14ac:dyDescent="0.25">
      <c r="C55" s="49"/>
      <c r="D55" s="49"/>
      <c r="E55" s="49"/>
      <c r="F55" s="49"/>
      <c r="G55" s="49"/>
      <c r="H55" s="49"/>
      <c r="I55" s="49"/>
      <c r="J55" s="49"/>
    </row>
    <row r="56" spans="3:10" ht="20" customHeight="1" x14ac:dyDescent="0.25">
      <c r="C56" s="49"/>
      <c r="D56" s="49"/>
      <c r="E56" s="49"/>
      <c r="F56" s="49"/>
      <c r="G56" s="49"/>
      <c r="H56" s="49"/>
      <c r="I56" s="49"/>
      <c r="J56" s="49"/>
    </row>
    <row r="57" spans="3:10" ht="20" customHeight="1" x14ac:dyDescent="0.25">
      <c r="C57" s="49"/>
      <c r="D57" s="49"/>
      <c r="E57" s="49"/>
      <c r="F57" s="49"/>
      <c r="G57" s="49"/>
      <c r="H57" s="49"/>
      <c r="I57" s="49"/>
      <c r="J57" s="49"/>
    </row>
    <row r="58" spans="3:10" ht="20" customHeight="1" x14ac:dyDescent="0.25">
      <c r="C58" s="49"/>
      <c r="D58" s="49"/>
      <c r="E58" s="49"/>
      <c r="F58" s="49"/>
      <c r="G58" s="49"/>
      <c r="H58" s="49"/>
      <c r="I58" s="49"/>
      <c r="J58" s="49"/>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0" tint="-4.9989318521683403E-2"/>
  </sheetPr>
  <dimension ref="B2:D25"/>
  <sheetViews>
    <sheetView zoomScale="160" zoomScaleNormal="160" workbookViewId="0">
      <selection activeCell="C6" sqref="C6"/>
    </sheetView>
  </sheetViews>
  <sheetFormatPr defaultRowHeight="10" x14ac:dyDescent="0.2"/>
  <cols>
    <col min="1" max="1" width="10" customWidth="1"/>
    <col min="2" max="2" width="27.1796875" bestFit="1" customWidth="1"/>
    <col min="3" max="3" width="16.453125" bestFit="1" customWidth="1"/>
  </cols>
  <sheetData>
    <row r="2" spans="2:4" x14ac:dyDescent="0.2">
      <c r="B2" t="s">
        <v>601</v>
      </c>
      <c r="C2" s="194">
        <f>DCF!D3</f>
        <v>0.25</v>
      </c>
    </row>
    <row r="3" spans="2:4" x14ac:dyDescent="0.2">
      <c r="B3" s="172" t="s">
        <v>557</v>
      </c>
      <c r="C3" s="178">
        <v>4.6199999999999998E-2</v>
      </c>
    </row>
    <row r="5" spans="2:4" ht="11.5" x14ac:dyDescent="0.25">
      <c r="B5" s="177" t="s">
        <v>556</v>
      </c>
      <c r="C5" s="176"/>
    </row>
    <row r="6" spans="2:4" x14ac:dyDescent="0.2">
      <c r="B6" s="172" t="s">
        <v>549</v>
      </c>
      <c r="C6" s="178">
        <v>4.1300000000000003E-2</v>
      </c>
      <c r="D6" s="172" t="s">
        <v>559</v>
      </c>
    </row>
    <row r="7" spans="2:4" x14ac:dyDescent="0.2">
      <c r="B7" s="172" t="s">
        <v>550</v>
      </c>
      <c r="C7" s="179">
        <v>1.27</v>
      </c>
      <c r="D7" s="172" t="s">
        <v>558</v>
      </c>
    </row>
    <row r="8" spans="2:4" x14ac:dyDescent="0.2">
      <c r="B8" s="172"/>
      <c r="D8" s="172"/>
    </row>
    <row r="9" spans="2:4" x14ac:dyDescent="0.2">
      <c r="B9" s="172" t="s">
        <v>551</v>
      </c>
      <c r="C9" s="180">
        <f>(BSP!G29+BSP!G30+BSP!G23+BSP!G24)*1000000</f>
        <v>1996360000.0000002</v>
      </c>
    </row>
    <row r="10" spans="2:4" x14ac:dyDescent="0.2">
      <c r="B10" s="172" t="s">
        <v>552</v>
      </c>
      <c r="C10" s="180">
        <f>ISP!E52*ISP!E59</f>
        <v>7685583292.2000008</v>
      </c>
    </row>
    <row r="11" spans="2:4" x14ac:dyDescent="0.2">
      <c r="B11" s="172" t="s">
        <v>553</v>
      </c>
      <c r="C11" s="180">
        <f>BSP!G8*1000000</f>
        <v>149288000</v>
      </c>
    </row>
    <row r="12" spans="2:4" x14ac:dyDescent="0.2">
      <c r="B12" s="172" t="s">
        <v>554</v>
      </c>
      <c r="C12" s="179">
        <f>ISP!H32</f>
        <v>0.18</v>
      </c>
    </row>
    <row r="14" spans="2:4" x14ac:dyDescent="0.2">
      <c r="B14" s="172" t="s">
        <v>555</v>
      </c>
      <c r="C14" s="174">
        <f>(1-C11/(C9+C10))*(1+(1-C12)*C9/C10)*C7</f>
        <v>1.5167542551091262</v>
      </c>
    </row>
    <row r="15" spans="2:4" x14ac:dyDescent="0.2">
      <c r="B15" s="172" t="s">
        <v>556</v>
      </c>
      <c r="C15" s="173">
        <f>C3+C14*C6</f>
        <v>0.10884195073600691</v>
      </c>
    </row>
    <row r="16" spans="2:4" x14ac:dyDescent="0.2">
      <c r="B16" t="s">
        <v>639</v>
      </c>
      <c r="C16" s="254">
        <f>0.45%</f>
        <v>4.5000000000000005E-3</v>
      </c>
    </row>
    <row r="17" spans="2:4" x14ac:dyDescent="0.2">
      <c r="B17" t="s">
        <v>640</v>
      </c>
      <c r="C17" s="254">
        <f>C15+C16</f>
        <v>0.11334195073600692</v>
      </c>
    </row>
    <row r="18" spans="2:4" x14ac:dyDescent="0.2">
      <c r="C18" s="254"/>
    </row>
    <row r="19" spans="2:4" ht="11.5" x14ac:dyDescent="0.25">
      <c r="B19" s="177" t="s">
        <v>560</v>
      </c>
      <c r="C19" s="175"/>
    </row>
    <row r="20" spans="2:4" x14ac:dyDescent="0.2">
      <c r="B20" s="172" t="s">
        <v>561</v>
      </c>
      <c r="C20" s="179" t="s">
        <v>562</v>
      </c>
      <c r="D20" s="172" t="s">
        <v>563</v>
      </c>
    </row>
    <row r="21" spans="2:4" x14ac:dyDescent="0.2">
      <c r="B21" s="172" t="s">
        <v>564</v>
      </c>
      <c r="C21" s="178">
        <v>2.2100000000000002E-2</v>
      </c>
      <c r="D21" s="172" t="s">
        <v>565</v>
      </c>
    </row>
    <row r="22" spans="2:4" x14ac:dyDescent="0.2">
      <c r="B22" s="172" t="s">
        <v>566</v>
      </c>
      <c r="C22" s="173">
        <f>C3+C21</f>
        <v>6.83E-2</v>
      </c>
    </row>
    <row r="24" spans="2:4" ht="11.5" x14ac:dyDescent="0.25">
      <c r="B24" s="177" t="s">
        <v>567</v>
      </c>
      <c r="C24" s="177"/>
    </row>
    <row r="25" spans="2:4" x14ac:dyDescent="0.2">
      <c r="B25" s="172" t="s">
        <v>568</v>
      </c>
      <c r="C25" s="173">
        <f>(C17*C10+C22*C9*(1-C2))/(C10+C9)</f>
        <v>0.10053379931136076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A18F-BFB1-400A-8519-F376DA758C8A}">
  <dimension ref="B2:M61"/>
  <sheetViews>
    <sheetView topLeftCell="A27" zoomScale="175" zoomScaleNormal="175" workbookViewId="0">
      <selection activeCell="I54" sqref="I54"/>
    </sheetView>
  </sheetViews>
  <sheetFormatPr defaultRowHeight="10" x14ac:dyDescent="0.2"/>
  <cols>
    <col min="2" max="2" width="17.453125" customWidth="1"/>
    <col min="3" max="3" width="9.81640625" customWidth="1"/>
    <col min="4" max="4" width="9.453125" customWidth="1"/>
    <col min="5" max="5" width="9.6328125" customWidth="1"/>
    <col min="13" max="13" width="15.81640625" customWidth="1"/>
  </cols>
  <sheetData>
    <row r="2" spans="2:13" ht="10.25" x14ac:dyDescent="0.2">
      <c r="B2" s="172" t="s">
        <v>572</v>
      </c>
      <c r="C2" s="172"/>
      <c r="D2" s="172"/>
      <c r="E2" s="172"/>
    </row>
    <row r="3" spans="2:13" ht="10.25" x14ac:dyDescent="0.2">
      <c r="B3" s="172"/>
      <c r="C3" s="172"/>
      <c r="D3" s="172"/>
      <c r="E3" s="172"/>
    </row>
    <row r="4" spans="2:13" ht="10.25" x14ac:dyDescent="0.2">
      <c r="B4" s="172" t="s">
        <v>587</v>
      </c>
      <c r="C4" s="172">
        <v>10</v>
      </c>
      <c r="D4" s="172"/>
      <c r="E4" s="172"/>
    </row>
    <row r="5" spans="2:13" ht="10.5" x14ac:dyDescent="0.25">
      <c r="C5" s="182">
        <v>2018</v>
      </c>
      <c r="D5" s="182">
        <f>C5+1</f>
        <v>2019</v>
      </c>
      <c r="E5" s="182">
        <f t="shared" ref="E5:H5" si="0">D5+1</f>
        <v>2020</v>
      </c>
      <c r="F5" s="182">
        <f t="shared" si="0"/>
        <v>2021</v>
      </c>
      <c r="G5" s="182">
        <f t="shared" si="0"/>
        <v>2022</v>
      </c>
      <c r="H5" s="182">
        <f t="shared" si="0"/>
        <v>2023</v>
      </c>
      <c r="I5" s="181" t="s">
        <v>575</v>
      </c>
      <c r="M5" s="181"/>
    </row>
    <row r="6" spans="2:13" ht="10.5" x14ac:dyDescent="0.25">
      <c r="B6" s="172" t="s">
        <v>586</v>
      </c>
      <c r="C6" s="172">
        <f>'Cash Flow'!B35*-1</f>
        <v>12</v>
      </c>
      <c r="D6" s="172">
        <f>'Cash Flow'!C35*-1</f>
        <v>36.6</v>
      </c>
      <c r="E6" s="172">
        <f>'Cash Flow'!D35*-1</f>
        <v>42</v>
      </c>
      <c r="F6" s="172">
        <f>'Cash Flow'!E35*-1</f>
        <v>55.9</v>
      </c>
      <c r="G6" s="172">
        <f>'Cash Flow'!F35*-1</f>
        <v>104.2</v>
      </c>
      <c r="H6" s="172">
        <f>'Cash Flow'!G35*-1</f>
        <v>115.6</v>
      </c>
      <c r="M6" s="181"/>
    </row>
    <row r="7" spans="2:13" ht="10.5" x14ac:dyDescent="0.25">
      <c r="B7">
        <v>2018</v>
      </c>
      <c r="C7" s="182">
        <f>C$6/$C$4</f>
        <v>1.2</v>
      </c>
      <c r="D7" s="182"/>
      <c r="E7" s="182"/>
      <c r="F7" s="182"/>
      <c r="G7" s="182"/>
      <c r="H7" s="182"/>
      <c r="I7">
        <f>SUM(C7:H7)</f>
        <v>1.2</v>
      </c>
      <c r="M7" s="181"/>
    </row>
    <row r="8" spans="2:13" ht="10.5" x14ac:dyDescent="0.25">
      <c r="B8">
        <f>B7+1</f>
        <v>2019</v>
      </c>
      <c r="C8" s="182">
        <f t="shared" ref="C8:H21" si="1">C$6/$C$4</f>
        <v>1.2</v>
      </c>
      <c r="D8" s="182">
        <f t="shared" si="1"/>
        <v>3.66</v>
      </c>
      <c r="E8" s="182"/>
      <c r="F8" s="182"/>
      <c r="G8" s="182"/>
      <c r="H8" s="182"/>
      <c r="I8">
        <f t="shared" ref="I8:I23" si="2">SUM(C8:H8)</f>
        <v>4.8600000000000003</v>
      </c>
      <c r="M8" s="181"/>
    </row>
    <row r="9" spans="2:13" ht="10.5" x14ac:dyDescent="0.25">
      <c r="B9">
        <f t="shared" ref="B9:B18" si="3">B8+1</f>
        <v>2020</v>
      </c>
      <c r="C9" s="182">
        <f t="shared" si="1"/>
        <v>1.2</v>
      </c>
      <c r="D9" s="182">
        <f t="shared" si="1"/>
        <v>3.66</v>
      </c>
      <c r="E9" s="182">
        <f t="shared" si="1"/>
        <v>4.2</v>
      </c>
      <c r="F9" s="182"/>
      <c r="G9" s="182"/>
      <c r="H9" s="182"/>
      <c r="I9">
        <f t="shared" si="2"/>
        <v>9.06</v>
      </c>
      <c r="M9" s="181"/>
    </row>
    <row r="10" spans="2:13" ht="10.5" x14ac:dyDescent="0.25">
      <c r="B10">
        <f t="shared" si="3"/>
        <v>2021</v>
      </c>
      <c r="C10" s="182">
        <f t="shared" si="1"/>
        <v>1.2</v>
      </c>
      <c r="D10" s="182">
        <f t="shared" si="1"/>
        <v>3.66</v>
      </c>
      <c r="E10" s="182">
        <f t="shared" si="1"/>
        <v>4.2</v>
      </c>
      <c r="F10" s="182">
        <f t="shared" si="1"/>
        <v>5.59</v>
      </c>
      <c r="G10" s="182"/>
      <c r="H10" s="182"/>
      <c r="I10">
        <f t="shared" si="2"/>
        <v>14.65</v>
      </c>
      <c r="M10" s="181"/>
    </row>
    <row r="11" spans="2:13" ht="10.5" x14ac:dyDescent="0.25">
      <c r="B11">
        <f t="shared" si="3"/>
        <v>2022</v>
      </c>
      <c r="C11" s="182">
        <f t="shared" si="1"/>
        <v>1.2</v>
      </c>
      <c r="D11" s="182">
        <f t="shared" si="1"/>
        <v>3.66</v>
      </c>
      <c r="E11" s="182">
        <f t="shared" si="1"/>
        <v>4.2</v>
      </c>
      <c r="F11" s="182">
        <f t="shared" si="1"/>
        <v>5.59</v>
      </c>
      <c r="G11" s="182">
        <f t="shared" si="1"/>
        <v>10.42</v>
      </c>
      <c r="H11" s="182"/>
      <c r="I11">
        <f t="shared" si="2"/>
        <v>25.07</v>
      </c>
      <c r="M11" s="181"/>
    </row>
    <row r="12" spans="2:13" ht="10.5" x14ac:dyDescent="0.25">
      <c r="B12">
        <f t="shared" si="3"/>
        <v>2023</v>
      </c>
      <c r="C12" s="182">
        <f t="shared" si="1"/>
        <v>1.2</v>
      </c>
      <c r="D12" s="182">
        <f t="shared" si="1"/>
        <v>3.66</v>
      </c>
      <c r="E12" s="182">
        <f t="shared" si="1"/>
        <v>4.2</v>
      </c>
      <c r="F12" s="182">
        <f t="shared" si="1"/>
        <v>5.59</v>
      </c>
      <c r="G12" s="182">
        <f t="shared" si="1"/>
        <v>10.42</v>
      </c>
      <c r="H12" s="182">
        <f t="shared" si="1"/>
        <v>11.559999999999999</v>
      </c>
      <c r="I12">
        <f t="shared" si="2"/>
        <v>36.629999999999995</v>
      </c>
      <c r="M12" s="181"/>
    </row>
    <row r="13" spans="2:13" ht="10.5" x14ac:dyDescent="0.25">
      <c r="B13">
        <f t="shared" si="3"/>
        <v>2024</v>
      </c>
      <c r="C13" s="182">
        <f t="shared" si="1"/>
        <v>1.2</v>
      </c>
      <c r="D13" s="182">
        <f t="shared" si="1"/>
        <v>3.66</v>
      </c>
      <c r="E13" s="182">
        <f t="shared" si="1"/>
        <v>4.2</v>
      </c>
      <c r="F13" s="182">
        <f t="shared" si="1"/>
        <v>5.59</v>
      </c>
      <c r="G13" s="182">
        <f t="shared" si="1"/>
        <v>10.42</v>
      </c>
      <c r="H13" s="182">
        <f t="shared" si="1"/>
        <v>11.559999999999999</v>
      </c>
      <c r="I13">
        <f t="shared" si="2"/>
        <v>36.629999999999995</v>
      </c>
      <c r="M13" s="181"/>
    </row>
    <row r="14" spans="2:13" ht="10.5" x14ac:dyDescent="0.25">
      <c r="B14">
        <f t="shared" si="3"/>
        <v>2025</v>
      </c>
      <c r="C14" s="182">
        <f t="shared" si="1"/>
        <v>1.2</v>
      </c>
      <c r="D14" s="182">
        <f t="shared" si="1"/>
        <v>3.66</v>
      </c>
      <c r="E14" s="182">
        <f t="shared" si="1"/>
        <v>4.2</v>
      </c>
      <c r="F14" s="182">
        <f t="shared" si="1"/>
        <v>5.59</v>
      </c>
      <c r="G14" s="182">
        <f t="shared" si="1"/>
        <v>10.42</v>
      </c>
      <c r="H14" s="182">
        <f t="shared" si="1"/>
        <v>11.559999999999999</v>
      </c>
      <c r="I14">
        <f t="shared" si="2"/>
        <v>36.629999999999995</v>
      </c>
      <c r="M14" s="181"/>
    </row>
    <row r="15" spans="2:13" ht="10.5" x14ac:dyDescent="0.25">
      <c r="B15">
        <f t="shared" si="3"/>
        <v>2026</v>
      </c>
      <c r="C15" s="182">
        <f t="shared" si="1"/>
        <v>1.2</v>
      </c>
      <c r="D15" s="182">
        <f t="shared" si="1"/>
        <v>3.66</v>
      </c>
      <c r="E15" s="182">
        <f t="shared" si="1"/>
        <v>4.2</v>
      </c>
      <c r="F15" s="182">
        <f t="shared" si="1"/>
        <v>5.59</v>
      </c>
      <c r="G15" s="182">
        <f t="shared" si="1"/>
        <v>10.42</v>
      </c>
      <c r="H15" s="182">
        <f t="shared" si="1"/>
        <v>11.559999999999999</v>
      </c>
      <c r="I15">
        <f t="shared" si="2"/>
        <v>36.629999999999995</v>
      </c>
      <c r="M15" s="181"/>
    </row>
    <row r="16" spans="2:13" ht="10.5" x14ac:dyDescent="0.25">
      <c r="B16">
        <f t="shared" si="3"/>
        <v>2027</v>
      </c>
      <c r="C16" s="182">
        <f t="shared" si="1"/>
        <v>1.2</v>
      </c>
      <c r="D16" s="182">
        <f t="shared" si="1"/>
        <v>3.66</v>
      </c>
      <c r="E16" s="182">
        <f t="shared" si="1"/>
        <v>4.2</v>
      </c>
      <c r="F16" s="182">
        <f t="shared" si="1"/>
        <v>5.59</v>
      </c>
      <c r="G16" s="182">
        <f t="shared" si="1"/>
        <v>10.42</v>
      </c>
      <c r="H16" s="182">
        <f t="shared" si="1"/>
        <v>11.559999999999999</v>
      </c>
      <c r="I16">
        <f t="shared" si="2"/>
        <v>36.629999999999995</v>
      </c>
      <c r="M16" s="181"/>
    </row>
    <row r="17" spans="2:13" ht="10.5" x14ac:dyDescent="0.25">
      <c r="B17">
        <f t="shared" si="3"/>
        <v>2028</v>
      </c>
      <c r="C17" s="182"/>
      <c r="D17" s="182">
        <f t="shared" si="1"/>
        <v>3.66</v>
      </c>
      <c r="E17" s="182">
        <f t="shared" si="1"/>
        <v>4.2</v>
      </c>
      <c r="F17" s="182">
        <f t="shared" si="1"/>
        <v>5.59</v>
      </c>
      <c r="G17" s="182">
        <f t="shared" si="1"/>
        <v>10.42</v>
      </c>
      <c r="H17" s="182">
        <f t="shared" si="1"/>
        <v>11.559999999999999</v>
      </c>
      <c r="I17">
        <f t="shared" si="2"/>
        <v>35.429999999999993</v>
      </c>
      <c r="M17" s="181"/>
    </row>
    <row r="18" spans="2:13" ht="10.5" x14ac:dyDescent="0.25">
      <c r="B18">
        <f t="shared" si="3"/>
        <v>2029</v>
      </c>
      <c r="C18" s="182"/>
      <c r="D18" s="182"/>
      <c r="E18" s="182">
        <f t="shared" si="1"/>
        <v>4.2</v>
      </c>
      <c r="F18" s="182">
        <f t="shared" si="1"/>
        <v>5.59</v>
      </c>
      <c r="G18" s="182">
        <f t="shared" si="1"/>
        <v>10.42</v>
      </c>
      <c r="H18" s="182">
        <f t="shared" si="1"/>
        <v>11.559999999999999</v>
      </c>
      <c r="I18">
        <f t="shared" si="2"/>
        <v>31.77</v>
      </c>
      <c r="M18" s="181"/>
    </row>
    <row r="19" spans="2:13" ht="10.5" x14ac:dyDescent="0.25">
      <c r="B19" s="183">
        <f>B18+1</f>
        <v>2030</v>
      </c>
      <c r="C19" s="182"/>
      <c r="D19" s="182"/>
      <c r="E19" s="182"/>
      <c r="F19" s="182">
        <f t="shared" si="1"/>
        <v>5.59</v>
      </c>
      <c r="G19" s="182">
        <f t="shared" si="1"/>
        <v>10.42</v>
      </c>
      <c r="H19" s="182">
        <f t="shared" si="1"/>
        <v>11.559999999999999</v>
      </c>
      <c r="I19">
        <f t="shared" si="2"/>
        <v>27.569999999999997</v>
      </c>
      <c r="M19" s="181"/>
    </row>
    <row r="20" spans="2:13" ht="10.5" x14ac:dyDescent="0.25">
      <c r="B20" s="183">
        <f t="shared" ref="B20:B22" si="4">B19+1</f>
        <v>2031</v>
      </c>
      <c r="C20" s="182"/>
      <c r="D20" s="182"/>
      <c r="E20" s="182"/>
      <c r="F20" s="182"/>
      <c r="G20" s="182">
        <f t="shared" si="1"/>
        <v>10.42</v>
      </c>
      <c r="H20" s="182">
        <f t="shared" si="1"/>
        <v>11.559999999999999</v>
      </c>
      <c r="I20">
        <f t="shared" si="2"/>
        <v>21.979999999999997</v>
      </c>
      <c r="M20" s="181"/>
    </row>
    <row r="21" spans="2:13" ht="10.5" x14ac:dyDescent="0.25">
      <c r="B21" s="183">
        <f t="shared" si="4"/>
        <v>2032</v>
      </c>
      <c r="C21" s="182"/>
      <c r="D21" s="182"/>
      <c r="E21" s="182"/>
      <c r="F21" s="182"/>
      <c r="G21" s="182"/>
      <c r="H21" s="182">
        <f t="shared" si="1"/>
        <v>11.559999999999999</v>
      </c>
      <c r="I21">
        <f t="shared" si="2"/>
        <v>11.559999999999999</v>
      </c>
      <c r="M21" s="181"/>
    </row>
    <row r="22" spans="2:13" ht="10.5" x14ac:dyDescent="0.25">
      <c r="B22" s="183">
        <f t="shared" si="4"/>
        <v>2033</v>
      </c>
      <c r="C22" s="182"/>
      <c r="D22" s="182"/>
      <c r="E22" s="182"/>
      <c r="F22" s="182"/>
      <c r="G22" s="182"/>
      <c r="H22" s="182"/>
      <c r="M22" s="181"/>
    </row>
    <row r="23" spans="2:13" ht="10.5" x14ac:dyDescent="0.25">
      <c r="B23" s="183"/>
      <c r="C23" s="185"/>
      <c r="D23" s="185"/>
      <c r="E23" s="185"/>
      <c r="F23" s="185"/>
      <c r="G23" s="185"/>
      <c r="H23" s="185"/>
      <c r="I23">
        <f t="shared" si="2"/>
        <v>0</v>
      </c>
      <c r="M23" s="181"/>
    </row>
    <row r="24" spans="2:13" ht="10.5" x14ac:dyDescent="0.25">
      <c r="B24" s="172" t="s">
        <v>588</v>
      </c>
      <c r="C24" s="182">
        <f>SUM(C7:C23)</f>
        <v>11.999999999999998</v>
      </c>
      <c r="D24" s="182">
        <f t="shared" ref="D24:H24" si="5">SUM(D7:D23)</f>
        <v>36.599999999999994</v>
      </c>
      <c r="E24" s="182">
        <f t="shared" si="5"/>
        <v>42.000000000000007</v>
      </c>
      <c r="F24" s="182">
        <f t="shared" si="5"/>
        <v>55.900000000000006</v>
      </c>
      <c r="G24" s="182">
        <f t="shared" si="5"/>
        <v>104.2</v>
      </c>
      <c r="H24" s="182">
        <f t="shared" si="5"/>
        <v>115.60000000000001</v>
      </c>
      <c r="M24" s="181"/>
    </row>
    <row r="25" spans="2:13" ht="10.5" x14ac:dyDescent="0.25">
      <c r="C25" s="182"/>
      <c r="D25" s="182"/>
      <c r="E25" s="182"/>
      <c r="F25" s="182"/>
      <c r="G25" s="182"/>
      <c r="H25" s="182"/>
      <c r="M25" s="181"/>
    </row>
    <row r="26" spans="2:13" ht="10.5" x14ac:dyDescent="0.25">
      <c r="C26" s="182"/>
      <c r="D26" s="182"/>
      <c r="E26" s="182"/>
      <c r="F26" s="182"/>
      <c r="G26" s="182"/>
      <c r="H26" s="182"/>
      <c r="M26" s="181"/>
    </row>
    <row r="27" spans="2:13" ht="10.5" x14ac:dyDescent="0.25">
      <c r="B27" s="181" t="s">
        <v>509</v>
      </c>
      <c r="C27" s="181"/>
      <c r="D27" s="181"/>
      <c r="E27" s="181"/>
    </row>
    <row r="28" spans="2:13" ht="10.25" x14ac:dyDescent="0.2">
      <c r="B28" s="172" t="s">
        <v>578</v>
      </c>
      <c r="C28" s="172"/>
      <c r="D28" s="172"/>
      <c r="E28" s="172"/>
      <c r="F28">
        <v>6.234</v>
      </c>
      <c r="G28">
        <v>10.042999999999999</v>
      </c>
      <c r="H28">
        <v>18.809000000000001</v>
      </c>
    </row>
    <row r="29" spans="2:13" ht="10.25" x14ac:dyDescent="0.2">
      <c r="B29" s="184" t="s">
        <v>570</v>
      </c>
      <c r="C29" s="184"/>
      <c r="D29" s="184"/>
      <c r="E29" s="184"/>
      <c r="F29" s="183">
        <v>8.7080000000000002</v>
      </c>
      <c r="G29" s="183">
        <v>9.5990000000000002</v>
      </c>
      <c r="H29" s="183">
        <v>12.875999999999999</v>
      </c>
    </row>
    <row r="30" spans="2:13" ht="10.25" x14ac:dyDescent="0.2">
      <c r="B30" s="172" t="s">
        <v>575</v>
      </c>
      <c r="C30" s="172"/>
      <c r="D30" s="172"/>
      <c r="E30" s="172"/>
      <c r="F30">
        <f>SUM(F28:F29)</f>
        <v>14.942</v>
      </c>
      <c r="G30">
        <f t="shared" ref="G30:H30" si="6">SUM(G28:G29)</f>
        <v>19.641999999999999</v>
      </c>
      <c r="H30">
        <f t="shared" si="6"/>
        <v>31.685000000000002</v>
      </c>
    </row>
    <row r="31" spans="2:13" ht="10.25" x14ac:dyDescent="0.2">
      <c r="B31" s="172" t="s">
        <v>579</v>
      </c>
      <c r="C31" s="172"/>
      <c r="D31" s="172"/>
      <c r="E31" s="172"/>
      <c r="F31">
        <f>'Cash Flow'!E19</f>
        <v>14.942</v>
      </c>
      <c r="G31">
        <f>'Cash Flow'!F19</f>
        <v>19.641999999999999</v>
      </c>
      <c r="H31">
        <f>'Cash Flow'!G19</f>
        <v>31.684999999999999</v>
      </c>
    </row>
    <row r="32" spans="2:13" ht="10.25" x14ac:dyDescent="0.2">
      <c r="B32" s="172" t="s">
        <v>589</v>
      </c>
      <c r="C32" s="172"/>
      <c r="D32" s="172"/>
      <c r="E32" s="172"/>
      <c r="F32" s="186">
        <f>F28/F30</f>
        <v>0.41721322446794273</v>
      </c>
      <c r="G32" s="186">
        <f t="shared" ref="G32:H32" si="7">G28/G30</f>
        <v>0.51130231137358717</v>
      </c>
      <c r="H32" s="186">
        <f t="shared" si="7"/>
        <v>0.59362474356951234</v>
      </c>
    </row>
    <row r="33" spans="2:8" ht="10.25" x14ac:dyDescent="0.2">
      <c r="B33" s="172" t="s">
        <v>590</v>
      </c>
      <c r="C33" s="172"/>
      <c r="D33" s="172"/>
      <c r="E33" s="172"/>
      <c r="F33" s="187">
        <f>1-F32</f>
        <v>0.58278677553205727</v>
      </c>
      <c r="G33" s="187">
        <f t="shared" ref="G33:H33" si="8">1-G32</f>
        <v>0.48869768862641283</v>
      </c>
      <c r="H33" s="187">
        <f t="shared" si="8"/>
        <v>0.40637525643048766</v>
      </c>
    </row>
    <row r="34" spans="2:8" ht="10.25" x14ac:dyDescent="0.2">
      <c r="B34" s="172"/>
      <c r="C34" s="172"/>
      <c r="D34" s="172"/>
      <c r="E34" s="172"/>
      <c r="F34" s="187"/>
      <c r="G34" s="187"/>
      <c r="H34" s="187"/>
    </row>
    <row r="35" spans="2:8" ht="10.5" x14ac:dyDescent="0.25">
      <c r="B35" s="181" t="s">
        <v>591</v>
      </c>
      <c r="C35" s="172"/>
      <c r="D35" s="172"/>
      <c r="E35" s="172"/>
      <c r="F35" s="187"/>
      <c r="G35" s="187"/>
      <c r="H35" s="187"/>
    </row>
    <row r="36" spans="2:8" ht="10.25" x14ac:dyDescent="0.2">
      <c r="B36" s="172" t="s">
        <v>578</v>
      </c>
      <c r="C36" s="172"/>
      <c r="D36" s="172"/>
      <c r="E36" s="172"/>
      <c r="F36" s="174">
        <v>4.7789999999999999</v>
      </c>
      <c r="G36" s="174">
        <v>2.3660000000000001</v>
      </c>
      <c r="H36" s="174">
        <v>3.08</v>
      </c>
    </row>
    <row r="37" spans="2:8" ht="10.25" x14ac:dyDescent="0.2">
      <c r="B37" s="184" t="s">
        <v>570</v>
      </c>
      <c r="C37" s="184"/>
      <c r="D37" s="184"/>
      <c r="E37" s="184"/>
      <c r="F37" s="188">
        <v>12.255000000000001</v>
      </c>
      <c r="G37" s="188">
        <v>17.221</v>
      </c>
      <c r="H37" s="188">
        <v>19.539000000000001</v>
      </c>
    </row>
    <row r="38" spans="2:8" ht="10.25" x14ac:dyDescent="0.2">
      <c r="B38" s="172" t="s">
        <v>575</v>
      </c>
      <c r="C38" s="172"/>
      <c r="D38" s="172"/>
      <c r="E38" s="172"/>
      <c r="F38">
        <f>SUM(F36:F37)</f>
        <v>17.033999999999999</v>
      </c>
      <c r="G38">
        <f t="shared" ref="G38:H38" si="9">SUM(G36:G37)</f>
        <v>19.587</v>
      </c>
      <c r="H38">
        <f t="shared" si="9"/>
        <v>22.619</v>
      </c>
    </row>
    <row r="39" spans="2:8" ht="10.25" x14ac:dyDescent="0.2">
      <c r="B39" s="172" t="s">
        <v>592</v>
      </c>
      <c r="C39" s="172"/>
      <c r="D39" s="172"/>
      <c r="E39" s="172"/>
      <c r="F39" s="174">
        <f>'Cash Flow'!E20</f>
        <v>17.033999999999999</v>
      </c>
      <c r="G39" s="174">
        <f>'Cash Flow'!F20</f>
        <v>19.587</v>
      </c>
      <c r="H39" s="174">
        <f>'Cash Flow'!G20</f>
        <v>22.619</v>
      </c>
    </row>
    <row r="40" spans="2:8" ht="10.25" x14ac:dyDescent="0.2">
      <c r="B40" s="172" t="s">
        <v>589</v>
      </c>
      <c r="C40" s="172"/>
      <c r="D40" s="172"/>
      <c r="E40" s="172"/>
      <c r="F40" s="186">
        <f>F36/F38</f>
        <v>0.28055653399084185</v>
      </c>
      <c r="G40" s="186">
        <f t="shared" ref="G40:H40" si="10">G36/G38</f>
        <v>0.12079440445193242</v>
      </c>
      <c r="H40" s="186">
        <f t="shared" si="10"/>
        <v>0.13616870772359521</v>
      </c>
    </row>
    <row r="41" spans="2:8" ht="10.25" x14ac:dyDescent="0.2">
      <c r="B41" s="172" t="s">
        <v>590</v>
      </c>
      <c r="F41" s="187">
        <f>1-F40</f>
        <v>0.71944346600915821</v>
      </c>
      <c r="G41" s="187">
        <f t="shared" ref="G41:H41" si="11">1-G40</f>
        <v>0.87920559554806754</v>
      </c>
      <c r="H41" s="187">
        <f t="shared" si="11"/>
        <v>0.86383129227640476</v>
      </c>
    </row>
    <row r="42" spans="2:8" ht="10.25" x14ac:dyDescent="0.2">
      <c r="B42" s="172"/>
    </row>
    <row r="43" spans="2:8" ht="10.25" x14ac:dyDescent="0.2">
      <c r="B43" s="172" t="s">
        <v>581</v>
      </c>
      <c r="C43" s="172"/>
      <c r="D43" s="172"/>
      <c r="E43" s="172"/>
      <c r="F43">
        <f>'Income Statement'!E27</f>
        <v>8.7080000000000002</v>
      </c>
      <c r="G43">
        <f>'Income Statement'!F27</f>
        <v>9.5990000000000002</v>
      </c>
      <c r="H43">
        <f>'Income Statement'!G27</f>
        <v>12.875999999999999</v>
      </c>
    </row>
    <row r="44" spans="2:8" ht="10.25" x14ac:dyDescent="0.2">
      <c r="B44" s="184" t="s">
        <v>580</v>
      </c>
      <c r="C44" s="184"/>
      <c r="D44" s="184"/>
      <c r="E44" s="184"/>
      <c r="F44" s="183">
        <f>'Income Statement'!E28</f>
        <v>12.255000000000001</v>
      </c>
      <c r="G44" s="183">
        <f>'Income Statement'!F28</f>
        <v>17.221</v>
      </c>
      <c r="H44" s="183">
        <f>'Income Statement'!G28</f>
        <v>19.539000000000001</v>
      </c>
    </row>
    <row r="45" spans="2:8" ht="10.25" x14ac:dyDescent="0.2">
      <c r="B45" s="172" t="s">
        <v>582</v>
      </c>
      <c r="C45" s="172"/>
      <c r="D45" s="172"/>
      <c r="E45" s="172"/>
      <c r="F45">
        <f>F44+F43</f>
        <v>20.963000000000001</v>
      </c>
      <c r="G45">
        <f t="shared" ref="G45:H45" si="12">G44+G43</f>
        <v>26.82</v>
      </c>
      <c r="H45">
        <f t="shared" si="12"/>
        <v>32.414999999999999</v>
      </c>
    </row>
    <row r="46" spans="2:8" ht="10.25" x14ac:dyDescent="0.2">
      <c r="B46" s="184" t="s">
        <v>583</v>
      </c>
      <c r="C46" s="184"/>
      <c r="D46" s="184"/>
      <c r="E46" s="184"/>
      <c r="F46" s="183">
        <f>'Cash Flow'!E20</f>
        <v>17.033999999999999</v>
      </c>
      <c r="G46" s="183">
        <f>'Cash Flow'!F20</f>
        <v>19.587</v>
      </c>
      <c r="H46" s="183">
        <f>'Cash Flow'!G20</f>
        <v>22.619</v>
      </c>
    </row>
    <row r="47" spans="2:8" x14ac:dyDescent="0.2">
      <c r="B47" s="172" t="s">
        <v>584</v>
      </c>
      <c r="C47" s="172"/>
      <c r="D47" s="172"/>
      <c r="E47" s="172"/>
      <c r="F47">
        <f>F45-F46</f>
        <v>3.929000000000002</v>
      </c>
      <c r="G47">
        <f t="shared" ref="G47:H47" si="13">G45-G46</f>
        <v>7.2330000000000005</v>
      </c>
      <c r="H47">
        <f t="shared" si="13"/>
        <v>9.7959999999999994</v>
      </c>
    </row>
    <row r="49" spans="2:8" ht="10.5" x14ac:dyDescent="0.25">
      <c r="B49" s="181" t="s">
        <v>578</v>
      </c>
      <c r="C49" s="181"/>
      <c r="D49" s="181"/>
      <c r="E49" s="181"/>
    </row>
    <row r="50" spans="2:8" x14ac:dyDescent="0.2">
      <c r="B50" s="172" t="s">
        <v>509</v>
      </c>
      <c r="C50" s="172"/>
      <c r="D50" s="172"/>
      <c r="E50" s="172"/>
      <c r="F50">
        <f>F28</f>
        <v>6.234</v>
      </c>
      <c r="G50">
        <f t="shared" ref="G50:H50" si="14">G28</f>
        <v>10.042999999999999</v>
      </c>
      <c r="H50">
        <f t="shared" si="14"/>
        <v>18.809000000000001</v>
      </c>
    </row>
    <row r="51" spans="2:8" x14ac:dyDescent="0.2">
      <c r="B51" s="172" t="s">
        <v>585</v>
      </c>
      <c r="C51" s="172"/>
      <c r="D51" s="172"/>
      <c r="E51" s="172"/>
      <c r="F51" s="174">
        <f>ISP!E7</f>
        <v>893.19600000000003</v>
      </c>
      <c r="G51" s="174">
        <f>ISP!F7</f>
        <v>1694.703</v>
      </c>
      <c r="H51" s="174">
        <f>ISP!G7</f>
        <v>1752.337</v>
      </c>
    </row>
    <row r="54" spans="2:8" ht="10.5" x14ac:dyDescent="0.25">
      <c r="B54" s="181" t="s">
        <v>570</v>
      </c>
      <c r="C54" s="181"/>
      <c r="D54" s="181"/>
      <c r="E54" s="181"/>
    </row>
    <row r="55" spans="2:8" x14ac:dyDescent="0.2">
      <c r="B55" s="172" t="s">
        <v>571</v>
      </c>
      <c r="C55" s="172"/>
      <c r="D55" s="172"/>
      <c r="E55" s="172"/>
      <c r="F55">
        <v>172.7</v>
      </c>
      <c r="G55">
        <v>260.8</v>
      </c>
      <c r="H55">
        <v>317.39999999999998</v>
      </c>
    </row>
    <row r="56" spans="2:8" x14ac:dyDescent="0.2">
      <c r="B56" s="172" t="s">
        <v>573</v>
      </c>
      <c r="C56" s="172"/>
      <c r="D56" s="172"/>
      <c r="E56" s="172"/>
      <c r="F56">
        <v>13.7</v>
      </c>
      <c r="G56">
        <v>18.7</v>
      </c>
      <c r="H56">
        <v>21.4</v>
      </c>
    </row>
    <row r="57" spans="2:8" x14ac:dyDescent="0.2">
      <c r="B57" s="172" t="s">
        <v>509</v>
      </c>
      <c r="C57" s="172"/>
      <c r="D57" s="172"/>
      <c r="E57" s="172"/>
      <c r="F57">
        <f>F29</f>
        <v>8.7080000000000002</v>
      </c>
      <c r="G57">
        <f>G29</f>
        <v>9.5990000000000002</v>
      </c>
      <c r="H57">
        <f>H29</f>
        <v>12.875999999999999</v>
      </c>
    </row>
    <row r="58" spans="2:8" x14ac:dyDescent="0.2">
      <c r="B58" s="184" t="s">
        <v>574</v>
      </c>
      <c r="C58" s="184"/>
      <c r="D58" s="184"/>
      <c r="E58" s="184"/>
      <c r="F58" s="183">
        <v>0</v>
      </c>
      <c r="G58" s="183">
        <v>25.7</v>
      </c>
      <c r="H58" s="183">
        <v>0</v>
      </c>
    </row>
    <row r="59" spans="2:8" x14ac:dyDescent="0.2">
      <c r="B59" s="172" t="s">
        <v>575</v>
      </c>
      <c r="C59" s="172"/>
      <c r="D59" s="172"/>
      <c r="E59" s="172"/>
      <c r="F59">
        <f>SUM(F55:F58)</f>
        <v>195.10799999999998</v>
      </c>
      <c r="G59">
        <f t="shared" ref="G59:H59" si="15">SUM(G55:G58)</f>
        <v>314.79899999999998</v>
      </c>
      <c r="H59">
        <f t="shared" si="15"/>
        <v>351.67599999999993</v>
      </c>
    </row>
    <row r="60" spans="2:8" x14ac:dyDescent="0.2">
      <c r="B60" s="172" t="s">
        <v>576</v>
      </c>
      <c r="C60" s="172"/>
      <c r="D60" s="172"/>
      <c r="E60" s="172"/>
      <c r="F60">
        <f>ISP!E13</f>
        <v>716.49300000000005</v>
      </c>
      <c r="G60">
        <f>ISP!F13</f>
        <v>949.85799999999995</v>
      </c>
      <c r="H60">
        <f>ISP!G13</f>
        <v>1131.925</v>
      </c>
    </row>
    <row r="61" spans="2:8" x14ac:dyDescent="0.2">
      <c r="B61" s="172" t="s">
        <v>577</v>
      </c>
      <c r="C61" s="172"/>
      <c r="D61" s="172"/>
      <c r="E61" s="172"/>
      <c r="F61">
        <f>F60-F59</f>
        <v>521.3850000000001</v>
      </c>
      <c r="G61">
        <f t="shared" ref="G61:H61" si="16">G60-G59</f>
        <v>635.05899999999997</v>
      </c>
      <c r="H61">
        <f t="shared" si="16"/>
        <v>780.24900000000002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7</vt:i4>
      </vt:variant>
    </vt:vector>
  </HeadingPairs>
  <TitlesOfParts>
    <vt:vector size="22" baseType="lpstr">
      <vt:lpstr>Ratios</vt:lpstr>
      <vt:lpstr>Industry Specific</vt:lpstr>
      <vt:lpstr>Segments</vt:lpstr>
      <vt:lpstr>Key Stats</vt:lpstr>
      <vt:lpstr>Balance Sheet</vt:lpstr>
      <vt:lpstr>Income Statement</vt:lpstr>
      <vt:lpstr>Cash Flow</vt:lpstr>
      <vt:lpstr>ISP</vt:lpstr>
      <vt:lpstr>BSP</vt:lpstr>
      <vt:lpstr>OWC</vt:lpstr>
      <vt:lpstr>DCF</vt:lpstr>
      <vt:lpstr>Monte Carlo</vt:lpstr>
      <vt:lpstr>DA</vt:lpstr>
      <vt:lpstr>WACC</vt:lpstr>
      <vt:lpstr>Scratch</vt:lpstr>
      <vt:lpstr>'Balance Sheet'!Print_Titles</vt:lpstr>
      <vt:lpstr>'Cash Flow'!Print_Titles</vt:lpstr>
      <vt:lpstr>'Income Statement'!Print_Titles</vt:lpstr>
      <vt:lpstr>'Industry Specific'!Print_Titles</vt:lpstr>
      <vt:lpstr>'Key Stats'!Print_Titles</vt:lpstr>
      <vt:lpstr>Ratios!Print_Titles</vt:lpstr>
      <vt:lpstr>Segments!Print_Titles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2024-05-05T05:58:45Z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