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arab\OneDrive\Desktop\Unifi magistrale\Optimization methods\Project work 3 cfu\logistic-regression-project\"/>
    </mc:Choice>
  </mc:AlternateContent>
  <xr:revisionPtr revIDLastSave="0" documentId="13_ncr:1_{67A615A0-4450-479D-8859-04AB2690D3FC}" xr6:coauthVersionLast="47" xr6:coauthVersionMax="47" xr10:uidLastSave="{00000000-0000-0000-0000-000000000000}"/>
  <bookViews>
    <workbookView xWindow="-108" yWindow="-108" windowWidth="23256" windowHeight="12456" firstSheet="3" activeTab="8" xr2:uid="{00000000-000D-0000-FFFF-FFFF00000000}"/>
  </bookViews>
  <sheets>
    <sheet name="Dati_Breast_Cancer" sheetId="1" r:id="rId1"/>
    <sheet name="Dati_Diabetes" sheetId="2" r:id="rId2"/>
    <sheet name="Dati_Digits" sheetId="3" r:id="rId3"/>
    <sheet name="Dati_Iris" sheetId="4" r:id="rId4"/>
    <sheet name="Dati_Wine" sheetId="5" r:id="rId5"/>
    <sheet name="Dati_Fetch" sheetId="6" r:id="rId6"/>
    <sheet name="Dati_Adult" sheetId="7" r:id="rId7"/>
    <sheet name="Risultati" sheetId="8" r:id="rId8"/>
    <sheet name="Analisi" sheetId="9" r:id="rId9"/>
    <sheet name="Analisi_global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6" i="9" l="1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<sst xmlns="http://schemas.openxmlformats.org/spreadsheetml/2006/main" count="2113" uniqueCount="1267">
  <si>
    <t>mean radius</t>
  </si>
  <si>
    <t>mean texture</t>
  </si>
  <si>
    <t>mean perimeter</t>
  </si>
  <si>
    <t>mean area</t>
  </si>
  <si>
    <t>mean smoothness</t>
  </si>
  <si>
    <t>mean compactness</t>
  </si>
  <si>
    <t>mean concavity</t>
  </si>
  <si>
    <t>mean concave points</t>
  </si>
  <si>
    <t>mean symmetry</t>
  </si>
  <si>
    <t>mean fractal dimension</t>
  </si>
  <si>
    <t>radius error</t>
  </si>
  <si>
    <t>texture error</t>
  </si>
  <si>
    <t>perimeter error</t>
  </si>
  <si>
    <t>area error</t>
  </si>
  <si>
    <t>smoothness error</t>
  </si>
  <si>
    <t>compactness error</t>
  </si>
  <si>
    <t>concavity error</t>
  </si>
  <si>
    <t>concave points error</t>
  </si>
  <si>
    <t>symmetry error</t>
  </si>
  <si>
    <t>fractal dimension error</t>
  </si>
  <si>
    <t>worst radius</t>
  </si>
  <si>
    <t>worst texture</t>
  </si>
  <si>
    <t>worst perimeter</t>
  </si>
  <si>
    <t>worst area</t>
  </si>
  <si>
    <t>worst smoothness</t>
  </si>
  <si>
    <t>worst compactness</t>
  </si>
  <si>
    <t>worst concavity</t>
  </si>
  <si>
    <t>worst concave points</t>
  </si>
  <si>
    <t>worst symmetry</t>
  </si>
  <si>
    <t>worst fractal dimension</t>
  </si>
  <si>
    <t>target</t>
  </si>
  <si>
    <t>age</t>
  </si>
  <si>
    <t>sex</t>
  </si>
  <si>
    <t>bmi</t>
  </si>
  <si>
    <t>bp</t>
  </si>
  <si>
    <t>s1</t>
  </si>
  <si>
    <t>s2</t>
  </si>
  <si>
    <t>s3</t>
  </si>
  <si>
    <t>s4</t>
  </si>
  <si>
    <t>s5</t>
  </si>
  <si>
    <t>s6</t>
  </si>
  <si>
    <t>pixel_0_0</t>
  </si>
  <si>
    <t>pixel_0_1</t>
  </si>
  <si>
    <t>pixel_0_2</t>
  </si>
  <si>
    <t>pixel_0_3</t>
  </si>
  <si>
    <t>pixel_0_4</t>
  </si>
  <si>
    <t>pixel_0_5</t>
  </si>
  <si>
    <t>pixel_0_6</t>
  </si>
  <si>
    <t>pixel_0_7</t>
  </si>
  <si>
    <t>pixel_1_0</t>
  </si>
  <si>
    <t>pixel_1_1</t>
  </si>
  <si>
    <t>pixel_1_2</t>
  </si>
  <si>
    <t>pixel_1_3</t>
  </si>
  <si>
    <t>pixel_1_4</t>
  </si>
  <si>
    <t>pixel_1_5</t>
  </si>
  <si>
    <t>pixel_1_6</t>
  </si>
  <si>
    <t>pixel_1_7</t>
  </si>
  <si>
    <t>pixel_2_0</t>
  </si>
  <si>
    <t>pixel_2_1</t>
  </si>
  <si>
    <t>pixel_2_2</t>
  </si>
  <si>
    <t>pixel_2_3</t>
  </si>
  <si>
    <t>pixel_2_4</t>
  </si>
  <si>
    <t>pixel_2_5</t>
  </si>
  <si>
    <t>pixel_2_6</t>
  </si>
  <si>
    <t>pixel_2_7</t>
  </si>
  <si>
    <t>pixel_3_0</t>
  </si>
  <si>
    <t>pixel_3_1</t>
  </si>
  <si>
    <t>pixel_3_2</t>
  </si>
  <si>
    <t>pixel_3_3</t>
  </si>
  <si>
    <t>pixel_3_4</t>
  </si>
  <si>
    <t>pixel_3_5</t>
  </si>
  <si>
    <t>pixel_3_6</t>
  </si>
  <si>
    <t>pixel_3_7</t>
  </si>
  <si>
    <t>pixel_4_0</t>
  </si>
  <si>
    <t>pixel_4_1</t>
  </si>
  <si>
    <t>pixel_4_2</t>
  </si>
  <si>
    <t>pixel_4_3</t>
  </si>
  <si>
    <t>pixel_4_4</t>
  </si>
  <si>
    <t>pixel_4_5</t>
  </si>
  <si>
    <t>pixel_4_6</t>
  </si>
  <si>
    <t>pixel_4_7</t>
  </si>
  <si>
    <t>pixel_5_0</t>
  </si>
  <si>
    <t>pixel_5_1</t>
  </si>
  <si>
    <t>pixel_5_2</t>
  </si>
  <si>
    <t>pixel_5_3</t>
  </si>
  <si>
    <t>pixel_5_4</t>
  </si>
  <si>
    <t>pixel_5_5</t>
  </si>
  <si>
    <t>pixel_5_6</t>
  </si>
  <si>
    <t>pixel_5_7</t>
  </si>
  <si>
    <t>pixel_6_0</t>
  </si>
  <si>
    <t>pixel_6_1</t>
  </si>
  <si>
    <t>pixel_6_2</t>
  </si>
  <si>
    <t>pixel_6_3</t>
  </si>
  <si>
    <t>pixel_6_4</t>
  </si>
  <si>
    <t>pixel_6_5</t>
  </si>
  <si>
    <t>pixel_6_6</t>
  </si>
  <si>
    <t>pixel_6_7</t>
  </si>
  <si>
    <t>pixel_7_0</t>
  </si>
  <si>
    <t>pixel_7_1</t>
  </si>
  <si>
    <t>pixel_7_2</t>
  </si>
  <si>
    <t>pixel_7_3</t>
  </si>
  <si>
    <t>pixel_7_4</t>
  </si>
  <si>
    <t>pixel_7_5</t>
  </si>
  <si>
    <t>pixel_7_6</t>
  </si>
  <si>
    <t>pixel_7_7</t>
  </si>
  <si>
    <t>sepal length (cm)</t>
  </si>
  <si>
    <t>sepal width (cm)</t>
  </si>
  <si>
    <t>petal length (cm)</t>
  </si>
  <si>
    <t>petal width (cm)</t>
  </si>
  <si>
    <t>alcohol</t>
  </si>
  <si>
    <t>malic_acid</t>
  </si>
  <si>
    <t>ash</t>
  </si>
  <si>
    <t>alcalinity_of_ash</t>
  </si>
  <si>
    <t>magnesium</t>
  </si>
  <si>
    <t>total_phenols</t>
  </si>
  <si>
    <t>flavanoids</t>
  </si>
  <si>
    <t>nonflavanoid_phenols</t>
  </si>
  <si>
    <t>proanthocyanins</t>
  </si>
  <si>
    <t>color_intensity</t>
  </si>
  <si>
    <t>hue</t>
  </si>
  <si>
    <t>od280/od315_of_diluted_wines</t>
  </si>
  <si>
    <t>proline</t>
  </si>
  <si>
    <t>pixel_0</t>
  </si>
  <si>
    <t>pixel_1</t>
  </si>
  <si>
    <t>pixel_2</t>
  </si>
  <si>
    <t>pixel_3</t>
  </si>
  <si>
    <t>pixel_4</t>
  </si>
  <si>
    <t>pixel_5</t>
  </si>
  <si>
    <t>pixel_6</t>
  </si>
  <si>
    <t>pixel_7</t>
  </si>
  <si>
    <t>pixel_8</t>
  </si>
  <si>
    <t>pixel_9</t>
  </si>
  <si>
    <t>pixel_10</t>
  </si>
  <si>
    <t>pixel_11</t>
  </si>
  <si>
    <t>pixel_12</t>
  </si>
  <si>
    <t>pixel_13</t>
  </si>
  <si>
    <t>pixel_14</t>
  </si>
  <si>
    <t>pixel_15</t>
  </si>
  <si>
    <t>pixel_16</t>
  </si>
  <si>
    <t>pixel_17</t>
  </si>
  <si>
    <t>pixel_18</t>
  </si>
  <si>
    <t>pixel_19</t>
  </si>
  <si>
    <t>pixel_20</t>
  </si>
  <si>
    <t>pixel_21</t>
  </si>
  <si>
    <t>pixel_22</t>
  </si>
  <si>
    <t>pixel_23</t>
  </si>
  <si>
    <t>pixel_24</t>
  </si>
  <si>
    <t>pixel_25</t>
  </si>
  <si>
    <t>pixel_26</t>
  </si>
  <si>
    <t>pixel_27</t>
  </si>
  <si>
    <t>pixel_28</t>
  </si>
  <si>
    <t>pixel_29</t>
  </si>
  <si>
    <t>pixel_30</t>
  </si>
  <si>
    <t>pixel_31</t>
  </si>
  <si>
    <t>pixel_32</t>
  </si>
  <si>
    <t>pixel_33</t>
  </si>
  <si>
    <t>pixel_34</t>
  </si>
  <si>
    <t>pixel_35</t>
  </si>
  <si>
    <t>pixel_36</t>
  </si>
  <si>
    <t>pixel_37</t>
  </si>
  <si>
    <t>pixel_38</t>
  </si>
  <si>
    <t>pixel_39</t>
  </si>
  <si>
    <t>pixel_40</t>
  </si>
  <si>
    <t>pixel_41</t>
  </si>
  <si>
    <t>pixel_42</t>
  </si>
  <si>
    <t>pixel_43</t>
  </si>
  <si>
    <t>pixel_44</t>
  </si>
  <si>
    <t>pixel_45</t>
  </si>
  <si>
    <t>pixel_46</t>
  </si>
  <si>
    <t>pixel_47</t>
  </si>
  <si>
    <t>pixel_48</t>
  </si>
  <si>
    <t>pixel_49</t>
  </si>
  <si>
    <t>pixel_50</t>
  </si>
  <si>
    <t>pixel_51</t>
  </si>
  <si>
    <t>pixel_52</t>
  </si>
  <si>
    <t>pixel_53</t>
  </si>
  <si>
    <t>pixel_54</t>
  </si>
  <si>
    <t>pixel_55</t>
  </si>
  <si>
    <t>pixel_56</t>
  </si>
  <si>
    <t>pixel_57</t>
  </si>
  <si>
    <t>pixel_58</t>
  </si>
  <si>
    <t>pixel_59</t>
  </si>
  <si>
    <t>pixel_60</t>
  </si>
  <si>
    <t>pixel_61</t>
  </si>
  <si>
    <t>pixel_62</t>
  </si>
  <si>
    <t>pixel_63</t>
  </si>
  <si>
    <t>pixel_64</t>
  </si>
  <si>
    <t>pixel_65</t>
  </si>
  <si>
    <t>pixel_66</t>
  </si>
  <si>
    <t>pixel_67</t>
  </si>
  <si>
    <t>pixel_68</t>
  </si>
  <si>
    <t>pixel_69</t>
  </si>
  <si>
    <t>pixel_70</t>
  </si>
  <si>
    <t>pixel_71</t>
  </si>
  <si>
    <t>pixel_72</t>
  </si>
  <si>
    <t>pixel_73</t>
  </si>
  <si>
    <t>pixel_74</t>
  </si>
  <si>
    <t>pixel_75</t>
  </si>
  <si>
    <t>pixel_76</t>
  </si>
  <si>
    <t>pixel_77</t>
  </si>
  <si>
    <t>pixel_78</t>
  </si>
  <si>
    <t>pixel_79</t>
  </si>
  <si>
    <t>pixel_80</t>
  </si>
  <si>
    <t>pixel_81</t>
  </si>
  <si>
    <t>pixel_82</t>
  </si>
  <si>
    <t>pixel_83</t>
  </si>
  <si>
    <t>pixel_84</t>
  </si>
  <si>
    <t>pixel_85</t>
  </si>
  <si>
    <t>pixel_86</t>
  </si>
  <si>
    <t>pixel_87</t>
  </si>
  <si>
    <t>pixel_88</t>
  </si>
  <si>
    <t>pixel_89</t>
  </si>
  <si>
    <t>pixel_90</t>
  </si>
  <si>
    <t>pixel_91</t>
  </si>
  <si>
    <t>pixel_92</t>
  </si>
  <si>
    <t>pixel_93</t>
  </si>
  <si>
    <t>pixel_94</t>
  </si>
  <si>
    <t>pixel_95</t>
  </si>
  <si>
    <t>pixel_96</t>
  </si>
  <si>
    <t>pixel_97</t>
  </si>
  <si>
    <t>pixel_98</t>
  </si>
  <si>
    <t>pixel_99</t>
  </si>
  <si>
    <t>pixel_100</t>
  </si>
  <si>
    <t>pixel_101</t>
  </si>
  <si>
    <t>pixel_102</t>
  </si>
  <si>
    <t>pixel_103</t>
  </si>
  <si>
    <t>pixel_104</t>
  </si>
  <si>
    <t>pixel_105</t>
  </si>
  <si>
    <t>pixel_106</t>
  </si>
  <si>
    <t>pixel_107</t>
  </si>
  <si>
    <t>pixel_108</t>
  </si>
  <si>
    <t>pixel_109</t>
  </si>
  <si>
    <t>pixel_110</t>
  </si>
  <si>
    <t>pixel_111</t>
  </si>
  <si>
    <t>pixel_112</t>
  </si>
  <si>
    <t>pixel_113</t>
  </si>
  <si>
    <t>pixel_114</t>
  </si>
  <si>
    <t>pixel_115</t>
  </si>
  <si>
    <t>pixel_116</t>
  </si>
  <si>
    <t>pixel_117</t>
  </si>
  <si>
    <t>pixel_118</t>
  </si>
  <si>
    <t>pixel_119</t>
  </si>
  <si>
    <t>pixel_120</t>
  </si>
  <si>
    <t>pixel_121</t>
  </si>
  <si>
    <t>pixel_122</t>
  </si>
  <si>
    <t>pixel_123</t>
  </si>
  <si>
    <t>pixel_124</t>
  </si>
  <si>
    <t>pixel_125</t>
  </si>
  <si>
    <t>pixel_126</t>
  </si>
  <si>
    <t>pixel_127</t>
  </si>
  <si>
    <t>pixel_128</t>
  </si>
  <si>
    <t>pixel_129</t>
  </si>
  <si>
    <t>pixel_130</t>
  </si>
  <si>
    <t>pixel_131</t>
  </si>
  <si>
    <t>pixel_132</t>
  </si>
  <si>
    <t>pixel_133</t>
  </si>
  <si>
    <t>pixel_134</t>
  </si>
  <si>
    <t>pixel_135</t>
  </si>
  <si>
    <t>pixel_136</t>
  </si>
  <si>
    <t>pixel_137</t>
  </si>
  <si>
    <t>pixel_138</t>
  </si>
  <si>
    <t>pixel_139</t>
  </si>
  <si>
    <t>pixel_140</t>
  </si>
  <si>
    <t>pixel_141</t>
  </si>
  <si>
    <t>pixel_142</t>
  </si>
  <si>
    <t>pixel_143</t>
  </si>
  <si>
    <t>pixel_144</t>
  </si>
  <si>
    <t>pixel_145</t>
  </si>
  <si>
    <t>pixel_146</t>
  </si>
  <si>
    <t>pixel_147</t>
  </si>
  <si>
    <t>pixel_148</t>
  </si>
  <si>
    <t>pixel_149</t>
  </si>
  <si>
    <t>pixel_150</t>
  </si>
  <si>
    <t>pixel_151</t>
  </si>
  <si>
    <t>pixel_152</t>
  </si>
  <si>
    <t>pixel_153</t>
  </si>
  <si>
    <t>pixel_154</t>
  </si>
  <si>
    <t>pixel_155</t>
  </si>
  <si>
    <t>pixel_156</t>
  </si>
  <si>
    <t>pixel_157</t>
  </si>
  <si>
    <t>pixel_158</t>
  </si>
  <si>
    <t>pixel_159</t>
  </si>
  <si>
    <t>pixel_160</t>
  </si>
  <si>
    <t>pixel_161</t>
  </si>
  <si>
    <t>pixel_162</t>
  </si>
  <si>
    <t>pixel_163</t>
  </si>
  <si>
    <t>pixel_164</t>
  </si>
  <si>
    <t>pixel_165</t>
  </si>
  <si>
    <t>pixel_166</t>
  </si>
  <si>
    <t>pixel_167</t>
  </si>
  <si>
    <t>pixel_168</t>
  </si>
  <si>
    <t>pixel_169</t>
  </si>
  <si>
    <t>pixel_170</t>
  </si>
  <si>
    <t>pixel_171</t>
  </si>
  <si>
    <t>pixel_172</t>
  </si>
  <si>
    <t>pixel_173</t>
  </si>
  <si>
    <t>pixel_174</t>
  </si>
  <si>
    <t>pixel_175</t>
  </si>
  <si>
    <t>pixel_176</t>
  </si>
  <si>
    <t>pixel_177</t>
  </si>
  <si>
    <t>pixel_178</t>
  </si>
  <si>
    <t>pixel_179</t>
  </si>
  <si>
    <t>pixel_180</t>
  </si>
  <si>
    <t>pixel_181</t>
  </si>
  <si>
    <t>pixel_182</t>
  </si>
  <si>
    <t>pixel_183</t>
  </si>
  <si>
    <t>pixel_184</t>
  </si>
  <si>
    <t>pixel_185</t>
  </si>
  <si>
    <t>pixel_186</t>
  </si>
  <si>
    <t>pixel_187</t>
  </si>
  <si>
    <t>pixel_188</t>
  </si>
  <si>
    <t>pixel_189</t>
  </si>
  <si>
    <t>pixel_190</t>
  </si>
  <si>
    <t>pixel_191</t>
  </si>
  <si>
    <t>pixel_192</t>
  </si>
  <si>
    <t>pixel_193</t>
  </si>
  <si>
    <t>pixel_194</t>
  </si>
  <si>
    <t>pixel_195</t>
  </si>
  <si>
    <t>pixel_196</t>
  </si>
  <si>
    <t>pixel_197</t>
  </si>
  <si>
    <t>pixel_198</t>
  </si>
  <si>
    <t>pixel_199</t>
  </si>
  <si>
    <t>pixel_200</t>
  </si>
  <si>
    <t>pixel_201</t>
  </si>
  <si>
    <t>pixel_202</t>
  </si>
  <si>
    <t>pixel_203</t>
  </si>
  <si>
    <t>pixel_204</t>
  </si>
  <si>
    <t>pixel_205</t>
  </si>
  <si>
    <t>pixel_206</t>
  </si>
  <si>
    <t>pixel_207</t>
  </si>
  <si>
    <t>pixel_208</t>
  </si>
  <si>
    <t>pixel_209</t>
  </si>
  <si>
    <t>pixel_210</t>
  </si>
  <si>
    <t>pixel_211</t>
  </si>
  <si>
    <t>pixel_212</t>
  </si>
  <si>
    <t>pixel_213</t>
  </si>
  <si>
    <t>pixel_214</t>
  </si>
  <si>
    <t>pixel_215</t>
  </si>
  <si>
    <t>pixel_216</t>
  </si>
  <si>
    <t>pixel_217</t>
  </si>
  <si>
    <t>pixel_218</t>
  </si>
  <si>
    <t>pixel_219</t>
  </si>
  <si>
    <t>pixel_220</t>
  </si>
  <si>
    <t>pixel_221</t>
  </si>
  <si>
    <t>pixel_222</t>
  </si>
  <si>
    <t>pixel_223</t>
  </si>
  <si>
    <t>pixel_224</t>
  </si>
  <si>
    <t>pixel_225</t>
  </si>
  <si>
    <t>pixel_226</t>
  </si>
  <si>
    <t>pixel_227</t>
  </si>
  <si>
    <t>pixel_228</t>
  </si>
  <si>
    <t>pixel_229</t>
  </si>
  <si>
    <t>pixel_230</t>
  </si>
  <si>
    <t>pixel_231</t>
  </si>
  <si>
    <t>pixel_232</t>
  </si>
  <si>
    <t>pixel_233</t>
  </si>
  <si>
    <t>pixel_234</t>
  </si>
  <si>
    <t>pixel_235</t>
  </si>
  <si>
    <t>pixel_236</t>
  </si>
  <si>
    <t>pixel_237</t>
  </si>
  <si>
    <t>pixel_238</t>
  </si>
  <si>
    <t>pixel_239</t>
  </si>
  <si>
    <t>pixel_240</t>
  </si>
  <si>
    <t>pixel_241</t>
  </si>
  <si>
    <t>pixel_242</t>
  </si>
  <si>
    <t>pixel_243</t>
  </si>
  <si>
    <t>pixel_244</t>
  </si>
  <si>
    <t>pixel_245</t>
  </si>
  <si>
    <t>pixel_246</t>
  </si>
  <si>
    <t>pixel_247</t>
  </si>
  <si>
    <t>pixel_248</t>
  </si>
  <si>
    <t>pixel_249</t>
  </si>
  <si>
    <t>pixel_250</t>
  </si>
  <si>
    <t>pixel_251</t>
  </si>
  <si>
    <t>pixel_252</t>
  </si>
  <si>
    <t>pixel_253</t>
  </si>
  <si>
    <t>pixel_254</t>
  </si>
  <si>
    <t>pixel_255</t>
  </si>
  <si>
    <t>pixel_256</t>
  </si>
  <si>
    <t>pixel_257</t>
  </si>
  <si>
    <t>pixel_258</t>
  </si>
  <si>
    <t>pixel_259</t>
  </si>
  <si>
    <t>pixel_260</t>
  </si>
  <si>
    <t>pixel_261</t>
  </si>
  <si>
    <t>pixel_262</t>
  </si>
  <si>
    <t>pixel_263</t>
  </si>
  <si>
    <t>pixel_264</t>
  </si>
  <si>
    <t>pixel_265</t>
  </si>
  <si>
    <t>pixel_266</t>
  </si>
  <si>
    <t>pixel_267</t>
  </si>
  <si>
    <t>pixel_268</t>
  </si>
  <si>
    <t>pixel_269</t>
  </si>
  <si>
    <t>pixel_270</t>
  </si>
  <si>
    <t>pixel_271</t>
  </si>
  <si>
    <t>pixel_272</t>
  </si>
  <si>
    <t>pixel_273</t>
  </si>
  <si>
    <t>pixel_274</t>
  </si>
  <si>
    <t>pixel_275</t>
  </si>
  <si>
    <t>pixel_276</t>
  </si>
  <si>
    <t>pixel_277</t>
  </si>
  <si>
    <t>pixel_278</t>
  </si>
  <si>
    <t>pixel_279</t>
  </si>
  <si>
    <t>pixel_280</t>
  </si>
  <si>
    <t>pixel_281</t>
  </si>
  <si>
    <t>pixel_282</t>
  </si>
  <si>
    <t>pixel_283</t>
  </si>
  <si>
    <t>pixel_284</t>
  </si>
  <si>
    <t>pixel_285</t>
  </si>
  <si>
    <t>pixel_286</t>
  </si>
  <si>
    <t>pixel_287</t>
  </si>
  <si>
    <t>pixel_288</t>
  </si>
  <si>
    <t>pixel_289</t>
  </si>
  <si>
    <t>pixel_290</t>
  </si>
  <si>
    <t>pixel_291</t>
  </si>
  <si>
    <t>pixel_292</t>
  </si>
  <si>
    <t>pixel_293</t>
  </si>
  <si>
    <t>pixel_294</t>
  </si>
  <si>
    <t>pixel_295</t>
  </si>
  <si>
    <t>pixel_296</t>
  </si>
  <si>
    <t>pixel_297</t>
  </si>
  <si>
    <t>pixel_298</t>
  </si>
  <si>
    <t>pixel_299</t>
  </si>
  <si>
    <t>pixel_300</t>
  </si>
  <si>
    <t>pixel_301</t>
  </si>
  <si>
    <t>pixel_302</t>
  </si>
  <si>
    <t>pixel_303</t>
  </si>
  <si>
    <t>pixel_304</t>
  </si>
  <si>
    <t>pixel_305</t>
  </si>
  <si>
    <t>pixel_306</t>
  </si>
  <si>
    <t>pixel_307</t>
  </si>
  <si>
    <t>pixel_308</t>
  </si>
  <si>
    <t>pixel_309</t>
  </si>
  <si>
    <t>pixel_310</t>
  </si>
  <si>
    <t>pixel_311</t>
  </si>
  <si>
    <t>pixel_312</t>
  </si>
  <si>
    <t>pixel_313</t>
  </si>
  <si>
    <t>pixel_314</t>
  </si>
  <si>
    <t>pixel_315</t>
  </si>
  <si>
    <t>pixel_316</t>
  </si>
  <si>
    <t>pixel_317</t>
  </si>
  <si>
    <t>pixel_318</t>
  </si>
  <si>
    <t>pixel_319</t>
  </si>
  <si>
    <t>pixel_320</t>
  </si>
  <si>
    <t>pixel_321</t>
  </si>
  <si>
    <t>pixel_322</t>
  </si>
  <si>
    <t>pixel_323</t>
  </si>
  <si>
    <t>pixel_324</t>
  </si>
  <si>
    <t>pixel_325</t>
  </si>
  <si>
    <t>pixel_326</t>
  </si>
  <si>
    <t>pixel_327</t>
  </si>
  <si>
    <t>pixel_328</t>
  </si>
  <si>
    <t>pixel_329</t>
  </si>
  <si>
    <t>pixel_330</t>
  </si>
  <si>
    <t>pixel_331</t>
  </si>
  <si>
    <t>pixel_332</t>
  </si>
  <si>
    <t>pixel_333</t>
  </si>
  <si>
    <t>pixel_334</t>
  </si>
  <si>
    <t>pixel_335</t>
  </si>
  <si>
    <t>pixel_336</t>
  </si>
  <si>
    <t>pixel_337</t>
  </si>
  <si>
    <t>pixel_338</t>
  </si>
  <si>
    <t>pixel_339</t>
  </si>
  <si>
    <t>pixel_340</t>
  </si>
  <si>
    <t>pixel_341</t>
  </si>
  <si>
    <t>pixel_342</t>
  </si>
  <si>
    <t>pixel_343</t>
  </si>
  <si>
    <t>pixel_344</t>
  </si>
  <si>
    <t>pixel_345</t>
  </si>
  <si>
    <t>pixel_346</t>
  </si>
  <si>
    <t>pixel_347</t>
  </si>
  <si>
    <t>pixel_348</t>
  </si>
  <si>
    <t>pixel_349</t>
  </si>
  <si>
    <t>pixel_350</t>
  </si>
  <si>
    <t>pixel_351</t>
  </si>
  <si>
    <t>pixel_352</t>
  </si>
  <si>
    <t>pixel_353</t>
  </si>
  <si>
    <t>pixel_354</t>
  </si>
  <si>
    <t>pixel_355</t>
  </si>
  <si>
    <t>pixel_356</t>
  </si>
  <si>
    <t>pixel_357</t>
  </si>
  <si>
    <t>pixel_358</t>
  </si>
  <si>
    <t>pixel_359</t>
  </si>
  <si>
    <t>pixel_360</t>
  </si>
  <si>
    <t>pixel_361</t>
  </si>
  <si>
    <t>pixel_362</t>
  </si>
  <si>
    <t>pixel_363</t>
  </si>
  <si>
    <t>pixel_364</t>
  </si>
  <si>
    <t>pixel_365</t>
  </si>
  <si>
    <t>pixel_366</t>
  </si>
  <si>
    <t>pixel_367</t>
  </si>
  <si>
    <t>pixel_368</t>
  </si>
  <si>
    <t>pixel_369</t>
  </si>
  <si>
    <t>pixel_370</t>
  </si>
  <si>
    <t>pixel_371</t>
  </si>
  <si>
    <t>pixel_372</t>
  </si>
  <si>
    <t>pixel_373</t>
  </si>
  <si>
    <t>pixel_374</t>
  </si>
  <si>
    <t>pixel_375</t>
  </si>
  <si>
    <t>pixel_376</t>
  </si>
  <si>
    <t>pixel_377</t>
  </si>
  <si>
    <t>pixel_378</t>
  </si>
  <si>
    <t>pixel_379</t>
  </si>
  <si>
    <t>pixel_380</t>
  </si>
  <si>
    <t>pixel_381</t>
  </si>
  <si>
    <t>pixel_382</t>
  </si>
  <si>
    <t>pixel_383</t>
  </si>
  <si>
    <t>pixel_384</t>
  </si>
  <si>
    <t>pixel_385</t>
  </si>
  <si>
    <t>pixel_386</t>
  </si>
  <si>
    <t>pixel_387</t>
  </si>
  <si>
    <t>pixel_388</t>
  </si>
  <si>
    <t>pixel_389</t>
  </si>
  <si>
    <t>pixel_390</t>
  </si>
  <si>
    <t>pixel_391</t>
  </si>
  <si>
    <t>pixel_392</t>
  </si>
  <si>
    <t>pixel_393</t>
  </si>
  <si>
    <t>pixel_394</t>
  </si>
  <si>
    <t>pixel_395</t>
  </si>
  <si>
    <t>pixel_396</t>
  </si>
  <si>
    <t>pixel_397</t>
  </si>
  <si>
    <t>pixel_398</t>
  </si>
  <si>
    <t>pixel_399</t>
  </si>
  <si>
    <t>pixel_400</t>
  </si>
  <si>
    <t>pixel_401</t>
  </si>
  <si>
    <t>pixel_402</t>
  </si>
  <si>
    <t>pixel_403</t>
  </si>
  <si>
    <t>pixel_404</t>
  </si>
  <si>
    <t>pixel_405</t>
  </si>
  <si>
    <t>pixel_406</t>
  </si>
  <si>
    <t>pixel_407</t>
  </si>
  <si>
    <t>pixel_408</t>
  </si>
  <si>
    <t>pixel_409</t>
  </si>
  <si>
    <t>pixel_410</t>
  </si>
  <si>
    <t>pixel_411</t>
  </si>
  <si>
    <t>pixel_412</t>
  </si>
  <si>
    <t>pixel_413</t>
  </si>
  <si>
    <t>pixel_414</t>
  </si>
  <si>
    <t>pixel_415</t>
  </si>
  <si>
    <t>pixel_416</t>
  </si>
  <si>
    <t>pixel_417</t>
  </si>
  <si>
    <t>pixel_418</t>
  </si>
  <si>
    <t>pixel_419</t>
  </si>
  <si>
    <t>pixel_420</t>
  </si>
  <si>
    <t>pixel_421</t>
  </si>
  <si>
    <t>pixel_422</t>
  </si>
  <si>
    <t>pixel_423</t>
  </si>
  <si>
    <t>pixel_424</t>
  </si>
  <si>
    <t>pixel_425</t>
  </si>
  <si>
    <t>pixel_426</t>
  </si>
  <si>
    <t>pixel_427</t>
  </si>
  <si>
    <t>pixel_428</t>
  </si>
  <si>
    <t>pixel_429</t>
  </si>
  <si>
    <t>pixel_430</t>
  </si>
  <si>
    <t>pixel_431</t>
  </si>
  <si>
    <t>pixel_432</t>
  </si>
  <si>
    <t>pixel_433</t>
  </si>
  <si>
    <t>pixel_434</t>
  </si>
  <si>
    <t>pixel_435</t>
  </si>
  <si>
    <t>pixel_436</t>
  </si>
  <si>
    <t>pixel_437</t>
  </si>
  <si>
    <t>pixel_438</t>
  </si>
  <si>
    <t>pixel_439</t>
  </si>
  <si>
    <t>pixel_440</t>
  </si>
  <si>
    <t>pixel_441</t>
  </si>
  <si>
    <t>pixel_442</t>
  </si>
  <si>
    <t>pixel_443</t>
  </si>
  <si>
    <t>pixel_444</t>
  </si>
  <si>
    <t>pixel_445</t>
  </si>
  <si>
    <t>pixel_446</t>
  </si>
  <si>
    <t>pixel_447</t>
  </si>
  <si>
    <t>pixel_448</t>
  </si>
  <si>
    <t>pixel_449</t>
  </si>
  <si>
    <t>pixel_450</t>
  </si>
  <si>
    <t>pixel_451</t>
  </si>
  <si>
    <t>pixel_452</t>
  </si>
  <si>
    <t>pixel_453</t>
  </si>
  <si>
    <t>pixel_454</t>
  </si>
  <si>
    <t>pixel_455</t>
  </si>
  <si>
    <t>pixel_456</t>
  </si>
  <si>
    <t>pixel_457</t>
  </si>
  <si>
    <t>pixel_458</t>
  </si>
  <si>
    <t>pixel_459</t>
  </si>
  <si>
    <t>pixel_460</t>
  </si>
  <si>
    <t>pixel_461</t>
  </si>
  <si>
    <t>pixel_462</t>
  </si>
  <si>
    <t>pixel_463</t>
  </si>
  <si>
    <t>pixel_464</t>
  </si>
  <si>
    <t>pixel_465</t>
  </si>
  <si>
    <t>pixel_466</t>
  </si>
  <si>
    <t>pixel_467</t>
  </si>
  <si>
    <t>pixel_468</t>
  </si>
  <si>
    <t>pixel_469</t>
  </si>
  <si>
    <t>pixel_470</t>
  </si>
  <si>
    <t>pixel_471</t>
  </si>
  <si>
    <t>pixel_472</t>
  </si>
  <si>
    <t>pixel_473</t>
  </si>
  <si>
    <t>pixel_474</t>
  </si>
  <si>
    <t>pixel_475</t>
  </si>
  <si>
    <t>pixel_476</t>
  </si>
  <si>
    <t>pixel_477</t>
  </si>
  <si>
    <t>pixel_478</t>
  </si>
  <si>
    <t>pixel_479</t>
  </si>
  <si>
    <t>pixel_480</t>
  </si>
  <si>
    <t>pixel_481</t>
  </si>
  <si>
    <t>pixel_482</t>
  </si>
  <si>
    <t>pixel_483</t>
  </si>
  <si>
    <t>pixel_484</t>
  </si>
  <si>
    <t>pixel_485</t>
  </si>
  <si>
    <t>pixel_486</t>
  </si>
  <si>
    <t>pixel_487</t>
  </si>
  <si>
    <t>pixel_488</t>
  </si>
  <si>
    <t>pixel_489</t>
  </si>
  <si>
    <t>pixel_490</t>
  </si>
  <si>
    <t>pixel_491</t>
  </si>
  <si>
    <t>pixel_492</t>
  </si>
  <si>
    <t>pixel_493</t>
  </si>
  <si>
    <t>pixel_494</t>
  </si>
  <si>
    <t>pixel_495</t>
  </si>
  <si>
    <t>pixel_496</t>
  </si>
  <si>
    <t>pixel_497</t>
  </si>
  <si>
    <t>pixel_498</t>
  </si>
  <si>
    <t>pixel_499</t>
  </si>
  <si>
    <t>pixel_500</t>
  </si>
  <si>
    <t>pixel_501</t>
  </si>
  <si>
    <t>pixel_502</t>
  </si>
  <si>
    <t>pixel_503</t>
  </si>
  <si>
    <t>pixel_504</t>
  </si>
  <si>
    <t>pixel_505</t>
  </si>
  <si>
    <t>pixel_506</t>
  </si>
  <si>
    <t>pixel_507</t>
  </si>
  <si>
    <t>pixel_508</t>
  </si>
  <si>
    <t>pixel_509</t>
  </si>
  <si>
    <t>pixel_510</t>
  </si>
  <si>
    <t>pixel_511</t>
  </si>
  <si>
    <t>pixel_512</t>
  </si>
  <si>
    <t>pixel_513</t>
  </si>
  <si>
    <t>pixel_514</t>
  </si>
  <si>
    <t>pixel_515</t>
  </si>
  <si>
    <t>pixel_516</t>
  </si>
  <si>
    <t>pixel_517</t>
  </si>
  <si>
    <t>pixel_518</t>
  </si>
  <si>
    <t>pixel_519</t>
  </si>
  <si>
    <t>pixel_520</t>
  </si>
  <si>
    <t>pixel_521</t>
  </si>
  <si>
    <t>pixel_522</t>
  </si>
  <si>
    <t>pixel_523</t>
  </si>
  <si>
    <t>pixel_524</t>
  </si>
  <si>
    <t>pixel_525</t>
  </si>
  <si>
    <t>pixel_526</t>
  </si>
  <si>
    <t>pixel_527</t>
  </si>
  <si>
    <t>pixel_528</t>
  </si>
  <si>
    <t>pixel_529</t>
  </si>
  <si>
    <t>pixel_530</t>
  </si>
  <si>
    <t>pixel_531</t>
  </si>
  <si>
    <t>pixel_532</t>
  </si>
  <si>
    <t>pixel_533</t>
  </si>
  <si>
    <t>pixel_534</t>
  </si>
  <si>
    <t>pixel_535</t>
  </si>
  <si>
    <t>pixel_536</t>
  </si>
  <si>
    <t>pixel_537</t>
  </si>
  <si>
    <t>pixel_538</t>
  </si>
  <si>
    <t>pixel_539</t>
  </si>
  <si>
    <t>pixel_540</t>
  </si>
  <si>
    <t>pixel_541</t>
  </si>
  <si>
    <t>pixel_542</t>
  </si>
  <si>
    <t>pixel_543</t>
  </si>
  <si>
    <t>pixel_544</t>
  </si>
  <si>
    <t>pixel_545</t>
  </si>
  <si>
    <t>pixel_546</t>
  </si>
  <si>
    <t>pixel_547</t>
  </si>
  <si>
    <t>pixel_548</t>
  </si>
  <si>
    <t>pixel_549</t>
  </si>
  <si>
    <t>pixel_550</t>
  </si>
  <si>
    <t>pixel_551</t>
  </si>
  <si>
    <t>pixel_552</t>
  </si>
  <si>
    <t>pixel_553</t>
  </si>
  <si>
    <t>pixel_554</t>
  </si>
  <si>
    <t>pixel_555</t>
  </si>
  <si>
    <t>pixel_556</t>
  </si>
  <si>
    <t>pixel_557</t>
  </si>
  <si>
    <t>pixel_558</t>
  </si>
  <si>
    <t>pixel_559</t>
  </si>
  <si>
    <t>pixel_560</t>
  </si>
  <si>
    <t>pixel_561</t>
  </si>
  <si>
    <t>pixel_562</t>
  </si>
  <si>
    <t>pixel_563</t>
  </si>
  <si>
    <t>pixel_564</t>
  </si>
  <si>
    <t>pixel_565</t>
  </si>
  <si>
    <t>pixel_566</t>
  </si>
  <si>
    <t>pixel_567</t>
  </si>
  <si>
    <t>pixel_568</t>
  </si>
  <si>
    <t>pixel_569</t>
  </si>
  <si>
    <t>pixel_570</t>
  </si>
  <si>
    <t>pixel_571</t>
  </si>
  <si>
    <t>pixel_572</t>
  </si>
  <si>
    <t>pixel_573</t>
  </si>
  <si>
    <t>pixel_574</t>
  </si>
  <si>
    <t>pixel_575</t>
  </si>
  <si>
    <t>pixel_576</t>
  </si>
  <si>
    <t>pixel_577</t>
  </si>
  <si>
    <t>pixel_578</t>
  </si>
  <si>
    <t>pixel_579</t>
  </si>
  <si>
    <t>pixel_580</t>
  </si>
  <si>
    <t>pixel_581</t>
  </si>
  <si>
    <t>pixel_582</t>
  </si>
  <si>
    <t>pixel_583</t>
  </si>
  <si>
    <t>pixel_584</t>
  </si>
  <si>
    <t>pixel_585</t>
  </si>
  <si>
    <t>pixel_586</t>
  </si>
  <si>
    <t>pixel_587</t>
  </si>
  <si>
    <t>pixel_588</t>
  </si>
  <si>
    <t>pixel_589</t>
  </si>
  <si>
    <t>pixel_590</t>
  </si>
  <si>
    <t>pixel_591</t>
  </si>
  <si>
    <t>pixel_592</t>
  </si>
  <si>
    <t>pixel_593</t>
  </si>
  <si>
    <t>pixel_594</t>
  </si>
  <si>
    <t>pixel_595</t>
  </si>
  <si>
    <t>pixel_596</t>
  </si>
  <si>
    <t>pixel_597</t>
  </si>
  <si>
    <t>pixel_598</t>
  </si>
  <si>
    <t>pixel_599</t>
  </si>
  <si>
    <t>pixel_600</t>
  </si>
  <si>
    <t>pixel_601</t>
  </si>
  <si>
    <t>pixel_602</t>
  </si>
  <si>
    <t>pixel_603</t>
  </si>
  <si>
    <t>pixel_604</t>
  </si>
  <si>
    <t>pixel_605</t>
  </si>
  <si>
    <t>pixel_606</t>
  </si>
  <si>
    <t>pixel_607</t>
  </si>
  <si>
    <t>pixel_608</t>
  </si>
  <si>
    <t>pixel_609</t>
  </si>
  <si>
    <t>pixel_610</t>
  </si>
  <si>
    <t>pixel_611</t>
  </si>
  <si>
    <t>pixel_612</t>
  </si>
  <si>
    <t>pixel_613</t>
  </si>
  <si>
    <t>pixel_614</t>
  </si>
  <si>
    <t>pixel_615</t>
  </si>
  <si>
    <t>pixel_616</t>
  </si>
  <si>
    <t>pixel_617</t>
  </si>
  <si>
    <t>pixel_618</t>
  </si>
  <si>
    <t>pixel_619</t>
  </si>
  <si>
    <t>pixel_620</t>
  </si>
  <si>
    <t>pixel_621</t>
  </si>
  <si>
    <t>pixel_622</t>
  </si>
  <si>
    <t>pixel_623</t>
  </si>
  <si>
    <t>pixel_624</t>
  </si>
  <si>
    <t>pixel_625</t>
  </si>
  <si>
    <t>pixel_626</t>
  </si>
  <si>
    <t>pixel_627</t>
  </si>
  <si>
    <t>pixel_628</t>
  </si>
  <si>
    <t>pixel_629</t>
  </si>
  <si>
    <t>pixel_630</t>
  </si>
  <si>
    <t>pixel_631</t>
  </si>
  <si>
    <t>pixel_632</t>
  </si>
  <si>
    <t>pixel_633</t>
  </si>
  <si>
    <t>pixel_634</t>
  </si>
  <si>
    <t>pixel_635</t>
  </si>
  <si>
    <t>pixel_636</t>
  </si>
  <si>
    <t>pixel_637</t>
  </si>
  <si>
    <t>pixel_638</t>
  </si>
  <si>
    <t>pixel_639</t>
  </si>
  <si>
    <t>pixel_640</t>
  </si>
  <si>
    <t>pixel_641</t>
  </si>
  <si>
    <t>pixel_642</t>
  </si>
  <si>
    <t>pixel_643</t>
  </si>
  <si>
    <t>pixel_644</t>
  </si>
  <si>
    <t>pixel_645</t>
  </si>
  <si>
    <t>pixel_646</t>
  </si>
  <si>
    <t>pixel_647</t>
  </si>
  <si>
    <t>pixel_648</t>
  </si>
  <si>
    <t>pixel_649</t>
  </si>
  <si>
    <t>pixel_650</t>
  </si>
  <si>
    <t>pixel_651</t>
  </si>
  <si>
    <t>pixel_652</t>
  </si>
  <si>
    <t>pixel_653</t>
  </si>
  <si>
    <t>pixel_654</t>
  </si>
  <si>
    <t>pixel_655</t>
  </si>
  <si>
    <t>pixel_656</t>
  </si>
  <si>
    <t>pixel_657</t>
  </si>
  <si>
    <t>pixel_658</t>
  </si>
  <si>
    <t>pixel_659</t>
  </si>
  <si>
    <t>pixel_660</t>
  </si>
  <si>
    <t>pixel_661</t>
  </si>
  <si>
    <t>pixel_662</t>
  </si>
  <si>
    <t>pixel_663</t>
  </si>
  <si>
    <t>pixel_664</t>
  </si>
  <si>
    <t>pixel_665</t>
  </si>
  <si>
    <t>pixel_666</t>
  </si>
  <si>
    <t>pixel_667</t>
  </si>
  <si>
    <t>pixel_668</t>
  </si>
  <si>
    <t>pixel_669</t>
  </si>
  <si>
    <t>pixel_670</t>
  </si>
  <si>
    <t>pixel_671</t>
  </si>
  <si>
    <t>pixel_672</t>
  </si>
  <si>
    <t>pixel_673</t>
  </si>
  <si>
    <t>pixel_674</t>
  </si>
  <si>
    <t>pixel_675</t>
  </si>
  <si>
    <t>pixel_676</t>
  </si>
  <si>
    <t>pixel_677</t>
  </si>
  <si>
    <t>pixel_678</t>
  </si>
  <si>
    <t>pixel_679</t>
  </si>
  <si>
    <t>pixel_680</t>
  </si>
  <si>
    <t>pixel_681</t>
  </si>
  <si>
    <t>pixel_682</t>
  </si>
  <si>
    <t>pixel_683</t>
  </si>
  <si>
    <t>pixel_684</t>
  </si>
  <si>
    <t>pixel_685</t>
  </si>
  <si>
    <t>pixel_686</t>
  </si>
  <si>
    <t>pixel_687</t>
  </si>
  <si>
    <t>pixel_688</t>
  </si>
  <si>
    <t>pixel_689</t>
  </si>
  <si>
    <t>pixel_690</t>
  </si>
  <si>
    <t>pixel_691</t>
  </si>
  <si>
    <t>pixel_692</t>
  </si>
  <si>
    <t>pixel_693</t>
  </si>
  <si>
    <t>pixel_694</t>
  </si>
  <si>
    <t>pixel_695</t>
  </si>
  <si>
    <t>pixel_696</t>
  </si>
  <si>
    <t>pixel_697</t>
  </si>
  <si>
    <t>pixel_698</t>
  </si>
  <si>
    <t>pixel_699</t>
  </si>
  <si>
    <t>pixel_700</t>
  </si>
  <si>
    <t>pixel_701</t>
  </si>
  <si>
    <t>pixel_702</t>
  </si>
  <si>
    <t>pixel_703</t>
  </si>
  <si>
    <t>pixel_704</t>
  </si>
  <si>
    <t>pixel_705</t>
  </si>
  <si>
    <t>pixel_706</t>
  </si>
  <si>
    <t>pixel_707</t>
  </si>
  <si>
    <t>pixel_708</t>
  </si>
  <si>
    <t>pixel_709</t>
  </si>
  <si>
    <t>pixel_710</t>
  </si>
  <si>
    <t>pixel_711</t>
  </si>
  <si>
    <t>pixel_712</t>
  </si>
  <si>
    <t>pixel_713</t>
  </si>
  <si>
    <t>pixel_714</t>
  </si>
  <si>
    <t>pixel_715</t>
  </si>
  <si>
    <t>pixel_716</t>
  </si>
  <si>
    <t>pixel_717</t>
  </si>
  <si>
    <t>pixel_718</t>
  </si>
  <si>
    <t>pixel_719</t>
  </si>
  <si>
    <t>pixel_720</t>
  </si>
  <si>
    <t>pixel_721</t>
  </si>
  <si>
    <t>pixel_722</t>
  </si>
  <si>
    <t>pixel_723</t>
  </si>
  <si>
    <t>pixel_724</t>
  </si>
  <si>
    <t>pixel_725</t>
  </si>
  <si>
    <t>pixel_726</t>
  </si>
  <si>
    <t>pixel_727</t>
  </si>
  <si>
    <t>pixel_728</t>
  </si>
  <si>
    <t>pixel_729</t>
  </si>
  <si>
    <t>pixel_730</t>
  </si>
  <si>
    <t>pixel_731</t>
  </si>
  <si>
    <t>pixel_732</t>
  </si>
  <si>
    <t>pixel_733</t>
  </si>
  <si>
    <t>pixel_734</t>
  </si>
  <si>
    <t>pixel_735</t>
  </si>
  <si>
    <t>pixel_736</t>
  </si>
  <si>
    <t>pixel_737</t>
  </si>
  <si>
    <t>pixel_738</t>
  </si>
  <si>
    <t>pixel_739</t>
  </si>
  <si>
    <t>pixel_740</t>
  </si>
  <si>
    <t>pixel_741</t>
  </si>
  <si>
    <t>pixel_742</t>
  </si>
  <si>
    <t>pixel_743</t>
  </si>
  <si>
    <t>pixel_744</t>
  </si>
  <si>
    <t>pixel_745</t>
  </si>
  <si>
    <t>pixel_746</t>
  </si>
  <si>
    <t>pixel_747</t>
  </si>
  <si>
    <t>pixel_748</t>
  </si>
  <si>
    <t>pixel_749</t>
  </si>
  <si>
    <t>pixel_750</t>
  </si>
  <si>
    <t>pixel_751</t>
  </si>
  <si>
    <t>pixel_752</t>
  </si>
  <si>
    <t>pixel_753</t>
  </si>
  <si>
    <t>pixel_754</t>
  </si>
  <si>
    <t>pixel_755</t>
  </si>
  <si>
    <t>pixel_756</t>
  </si>
  <si>
    <t>pixel_757</t>
  </si>
  <si>
    <t>pixel_758</t>
  </si>
  <si>
    <t>pixel_759</t>
  </si>
  <si>
    <t>pixel_760</t>
  </si>
  <si>
    <t>pixel_761</t>
  </si>
  <si>
    <t>pixel_762</t>
  </si>
  <si>
    <t>pixel_763</t>
  </si>
  <si>
    <t>pixel_764</t>
  </si>
  <si>
    <t>pixel_765</t>
  </si>
  <si>
    <t>pixel_766</t>
  </si>
  <si>
    <t>pixel_767</t>
  </si>
  <si>
    <t>pixel_768</t>
  </si>
  <si>
    <t>pixel_769</t>
  </si>
  <si>
    <t>pixel_770</t>
  </si>
  <si>
    <t>pixel_771</t>
  </si>
  <si>
    <t>pixel_772</t>
  </si>
  <si>
    <t>pixel_773</t>
  </si>
  <si>
    <t>pixel_774</t>
  </si>
  <si>
    <t>pixel_775</t>
  </si>
  <si>
    <t>pixel_776</t>
  </si>
  <si>
    <t>pixel_777</t>
  </si>
  <si>
    <t>pixel_778</t>
  </si>
  <si>
    <t>pixel_779</t>
  </si>
  <si>
    <t>pixel_780</t>
  </si>
  <si>
    <t>pixel_781</t>
  </si>
  <si>
    <t>pixel_782</t>
  </si>
  <si>
    <t>pixel_783</t>
  </si>
  <si>
    <t>pixel_784</t>
  </si>
  <si>
    <t>pixel_785</t>
  </si>
  <si>
    <t>pixel_786</t>
  </si>
  <si>
    <t>pixel_787</t>
  </si>
  <si>
    <t>pixel_788</t>
  </si>
  <si>
    <t>pixel_789</t>
  </si>
  <si>
    <t>pixel_790</t>
  </si>
  <si>
    <t>pixel_791</t>
  </si>
  <si>
    <t>pixel_792</t>
  </si>
  <si>
    <t>pixel_793</t>
  </si>
  <si>
    <t>pixel_794</t>
  </si>
  <si>
    <t>pixel_795</t>
  </si>
  <si>
    <t>pixel_796</t>
  </si>
  <si>
    <t>pixel_797</t>
  </si>
  <si>
    <t>pixel_798</t>
  </si>
  <si>
    <t>pixel_799</t>
  </si>
  <si>
    <t>pixel_800</t>
  </si>
  <si>
    <t>pixel_801</t>
  </si>
  <si>
    <t>pixel_802</t>
  </si>
  <si>
    <t>pixel_803</t>
  </si>
  <si>
    <t>pixel_804</t>
  </si>
  <si>
    <t>pixel_805</t>
  </si>
  <si>
    <t>pixel_806</t>
  </si>
  <si>
    <t>pixel_807</t>
  </si>
  <si>
    <t>pixel_808</t>
  </si>
  <si>
    <t>pixel_809</t>
  </si>
  <si>
    <t>pixel_810</t>
  </si>
  <si>
    <t>pixel_811</t>
  </si>
  <si>
    <t>pixel_812</t>
  </si>
  <si>
    <t>pixel_813</t>
  </si>
  <si>
    <t>pixel_814</t>
  </si>
  <si>
    <t>pixel_815</t>
  </si>
  <si>
    <t>pixel_816</t>
  </si>
  <si>
    <t>pixel_817</t>
  </si>
  <si>
    <t>pixel_818</t>
  </si>
  <si>
    <t>pixel_819</t>
  </si>
  <si>
    <t>pixel_820</t>
  </si>
  <si>
    <t>pixel_821</t>
  </si>
  <si>
    <t>pixel_822</t>
  </si>
  <si>
    <t>pixel_823</t>
  </si>
  <si>
    <t>pixel_824</t>
  </si>
  <si>
    <t>pixel_825</t>
  </si>
  <si>
    <t>pixel_826</t>
  </si>
  <si>
    <t>pixel_827</t>
  </si>
  <si>
    <t>pixel_828</t>
  </si>
  <si>
    <t>pixel_829</t>
  </si>
  <si>
    <t>pixel_830</t>
  </si>
  <si>
    <t>pixel_831</t>
  </si>
  <si>
    <t>pixel_832</t>
  </si>
  <si>
    <t>pixel_833</t>
  </si>
  <si>
    <t>pixel_834</t>
  </si>
  <si>
    <t>pixel_835</t>
  </si>
  <si>
    <t>pixel_836</t>
  </si>
  <si>
    <t>pixel_837</t>
  </si>
  <si>
    <t>pixel_838</t>
  </si>
  <si>
    <t>pixel_839</t>
  </si>
  <si>
    <t>pixel_840</t>
  </si>
  <si>
    <t>pixel_841</t>
  </si>
  <si>
    <t>pixel_842</t>
  </si>
  <si>
    <t>pixel_843</t>
  </si>
  <si>
    <t>pixel_844</t>
  </si>
  <si>
    <t>pixel_845</t>
  </si>
  <si>
    <t>pixel_846</t>
  </si>
  <si>
    <t>pixel_847</t>
  </si>
  <si>
    <t>pixel_848</t>
  </si>
  <si>
    <t>pixel_849</t>
  </si>
  <si>
    <t>pixel_850</t>
  </si>
  <si>
    <t>pixel_851</t>
  </si>
  <si>
    <t>pixel_852</t>
  </si>
  <si>
    <t>pixel_853</t>
  </si>
  <si>
    <t>pixel_854</t>
  </si>
  <si>
    <t>pixel_855</t>
  </si>
  <si>
    <t>pixel_856</t>
  </si>
  <si>
    <t>pixel_857</t>
  </si>
  <si>
    <t>pixel_858</t>
  </si>
  <si>
    <t>pixel_859</t>
  </si>
  <si>
    <t>pixel_860</t>
  </si>
  <si>
    <t>pixel_861</t>
  </si>
  <si>
    <t>pixel_862</t>
  </si>
  <si>
    <t>pixel_863</t>
  </si>
  <si>
    <t>pixel_864</t>
  </si>
  <si>
    <t>pixel_865</t>
  </si>
  <si>
    <t>pixel_866</t>
  </si>
  <si>
    <t>pixel_867</t>
  </si>
  <si>
    <t>pixel_868</t>
  </si>
  <si>
    <t>pixel_869</t>
  </si>
  <si>
    <t>pixel_870</t>
  </si>
  <si>
    <t>pixel_871</t>
  </si>
  <si>
    <t>pixel_872</t>
  </si>
  <si>
    <t>pixel_873</t>
  </si>
  <si>
    <t>pixel_874</t>
  </si>
  <si>
    <t>pixel_875</t>
  </si>
  <si>
    <t>pixel_876</t>
  </si>
  <si>
    <t>pixel_877</t>
  </si>
  <si>
    <t>pixel_878</t>
  </si>
  <si>
    <t>pixel_879</t>
  </si>
  <si>
    <t>pixel_880</t>
  </si>
  <si>
    <t>pixel_881</t>
  </si>
  <si>
    <t>pixel_882</t>
  </si>
  <si>
    <t>pixel_883</t>
  </si>
  <si>
    <t>pixel_884</t>
  </si>
  <si>
    <t>pixel_885</t>
  </si>
  <si>
    <t>pixel_886</t>
  </si>
  <si>
    <t>pixel_887</t>
  </si>
  <si>
    <t>pixel_888</t>
  </si>
  <si>
    <t>pixel_889</t>
  </si>
  <si>
    <t>pixel_890</t>
  </si>
  <si>
    <t>pixel_891</t>
  </si>
  <si>
    <t>pixel_892</t>
  </si>
  <si>
    <t>pixel_893</t>
  </si>
  <si>
    <t>pixel_894</t>
  </si>
  <si>
    <t>pixel_895</t>
  </si>
  <si>
    <t>pixel_896</t>
  </si>
  <si>
    <t>pixel_897</t>
  </si>
  <si>
    <t>pixel_898</t>
  </si>
  <si>
    <t>pixel_899</t>
  </si>
  <si>
    <t>pixel_900</t>
  </si>
  <si>
    <t>pixel_901</t>
  </si>
  <si>
    <t>pixel_902</t>
  </si>
  <si>
    <t>pixel_903</t>
  </si>
  <si>
    <t>pixel_904</t>
  </si>
  <si>
    <t>pixel_905</t>
  </si>
  <si>
    <t>pixel_906</t>
  </si>
  <si>
    <t>pixel_907</t>
  </si>
  <si>
    <t>pixel_908</t>
  </si>
  <si>
    <t>pixel_909</t>
  </si>
  <si>
    <t>pixel_910</t>
  </si>
  <si>
    <t>pixel_911</t>
  </si>
  <si>
    <t>pixel_912</t>
  </si>
  <si>
    <t>pixel_913</t>
  </si>
  <si>
    <t>pixel_914</t>
  </si>
  <si>
    <t>pixel_915</t>
  </si>
  <si>
    <t>pixel_916</t>
  </si>
  <si>
    <t>pixel_917</t>
  </si>
  <si>
    <t>pixel_918</t>
  </si>
  <si>
    <t>pixel_919</t>
  </si>
  <si>
    <t>pixel_920</t>
  </si>
  <si>
    <t>pixel_921</t>
  </si>
  <si>
    <t>pixel_922</t>
  </si>
  <si>
    <t>pixel_923</t>
  </si>
  <si>
    <t>pixel_924</t>
  </si>
  <si>
    <t>pixel_925</t>
  </si>
  <si>
    <t>pixel_926</t>
  </si>
  <si>
    <t>pixel_927</t>
  </si>
  <si>
    <t>pixel_928</t>
  </si>
  <si>
    <t>pixel_929</t>
  </si>
  <si>
    <t>pixel_930</t>
  </si>
  <si>
    <t>pixel_931</t>
  </si>
  <si>
    <t>pixel_932</t>
  </si>
  <si>
    <t>pixel_933</t>
  </si>
  <si>
    <t>pixel_934</t>
  </si>
  <si>
    <t>pixel_935</t>
  </si>
  <si>
    <t>pixel_936</t>
  </si>
  <si>
    <t>pixel_937</t>
  </si>
  <si>
    <t>pixel_938</t>
  </si>
  <si>
    <t>pixel_939</t>
  </si>
  <si>
    <t>pixel_940</t>
  </si>
  <si>
    <t>pixel_941</t>
  </si>
  <si>
    <t>pixel_942</t>
  </si>
  <si>
    <t>pixel_943</t>
  </si>
  <si>
    <t>pixel_944</t>
  </si>
  <si>
    <t>pixel_945</t>
  </si>
  <si>
    <t>pixel_946</t>
  </si>
  <si>
    <t>pixel_947</t>
  </si>
  <si>
    <t>pixel_948</t>
  </si>
  <si>
    <t>pixel_949</t>
  </si>
  <si>
    <t>pixel_950</t>
  </si>
  <si>
    <t>pixel_951</t>
  </si>
  <si>
    <t>pixel_952</t>
  </si>
  <si>
    <t>pixel_953</t>
  </si>
  <si>
    <t>pixel_954</t>
  </si>
  <si>
    <t>pixel_955</t>
  </si>
  <si>
    <t>pixel_956</t>
  </si>
  <si>
    <t>pixel_957</t>
  </si>
  <si>
    <t>pixel_958</t>
  </si>
  <si>
    <t>pixel_959</t>
  </si>
  <si>
    <t>pixel_960</t>
  </si>
  <si>
    <t>pixel_961</t>
  </si>
  <si>
    <t>pixel_962</t>
  </si>
  <si>
    <t>pixel_963</t>
  </si>
  <si>
    <t>pixel_964</t>
  </si>
  <si>
    <t>pixel_965</t>
  </si>
  <si>
    <t>pixel_966</t>
  </si>
  <si>
    <t>pixel_967</t>
  </si>
  <si>
    <t>pixel_968</t>
  </si>
  <si>
    <t>pixel_969</t>
  </si>
  <si>
    <t>pixel_970</t>
  </si>
  <si>
    <t>pixel_971</t>
  </si>
  <si>
    <t>pixel_972</t>
  </si>
  <si>
    <t>pixel_973</t>
  </si>
  <si>
    <t>pixel_974</t>
  </si>
  <si>
    <t>pixel_975</t>
  </si>
  <si>
    <t>pixel_976</t>
  </si>
  <si>
    <t>pixel_977</t>
  </si>
  <si>
    <t>pixel_978</t>
  </si>
  <si>
    <t>pixel_979</t>
  </si>
  <si>
    <t>pixel_980</t>
  </si>
  <si>
    <t>pixel_981</t>
  </si>
  <si>
    <t>pixel_982</t>
  </si>
  <si>
    <t>pixel_983</t>
  </si>
  <si>
    <t>pixel_984</t>
  </si>
  <si>
    <t>pixel_985</t>
  </si>
  <si>
    <t>pixel_986</t>
  </si>
  <si>
    <t>pixel_987</t>
  </si>
  <si>
    <t>pixel_988</t>
  </si>
  <si>
    <t>pixel_989</t>
  </si>
  <si>
    <t>pixel_990</t>
  </si>
  <si>
    <t>pixel_991</t>
  </si>
  <si>
    <t>pixel_992</t>
  </si>
  <si>
    <t>pixel_993</t>
  </si>
  <si>
    <t>pixel_994</t>
  </si>
  <si>
    <t>pixel_995</t>
  </si>
  <si>
    <t>pixel_996</t>
  </si>
  <si>
    <t>pixel_997</t>
  </si>
  <si>
    <t>pixel_998</t>
  </si>
  <si>
    <t>pixel_999</t>
  </si>
  <si>
    <t>fnlwgt</t>
  </si>
  <si>
    <t>education-num</t>
  </si>
  <si>
    <t>capital-gain</t>
  </si>
  <si>
    <t>capital-loss</t>
  </si>
  <si>
    <t>hours-per-week</t>
  </si>
  <si>
    <t>workclass_?</t>
  </si>
  <si>
    <t>workclass_Federal-gov</t>
  </si>
  <si>
    <t>workclass_Local-gov</t>
  </si>
  <si>
    <t>workclass_Never-worked</t>
  </si>
  <si>
    <t>workclass_Private</t>
  </si>
  <si>
    <t>workclass_Self-emp-inc</t>
  </si>
  <si>
    <t>workclass_Self-emp-not-inc</t>
  </si>
  <si>
    <t>workclass_State-gov</t>
  </si>
  <si>
    <t>workclass_Without-pay</t>
  </si>
  <si>
    <t>education_10th</t>
  </si>
  <si>
    <t>education_11th</t>
  </si>
  <si>
    <t>education_12th</t>
  </si>
  <si>
    <t>education_1st-4th</t>
  </si>
  <si>
    <t>education_5th-6th</t>
  </si>
  <si>
    <t>education_7th-8th</t>
  </si>
  <si>
    <t>education_9th</t>
  </si>
  <si>
    <t>education_Assoc-acdm</t>
  </si>
  <si>
    <t>education_Assoc-voc</t>
  </si>
  <si>
    <t>education_Bachelors</t>
  </si>
  <si>
    <t>education_Doctorate</t>
  </si>
  <si>
    <t>education_HS-grad</t>
  </si>
  <si>
    <t>education_Masters</t>
  </si>
  <si>
    <t>education_Preschool</t>
  </si>
  <si>
    <t>education_Prof-school</t>
  </si>
  <si>
    <t>education_Some-college</t>
  </si>
  <si>
    <t>marital-status_Divorced</t>
  </si>
  <si>
    <t>marital-status_Married-AF-spouse</t>
  </si>
  <si>
    <t>marital-status_Married-civ-spouse</t>
  </si>
  <si>
    <t>marital-status_Married-spouse-absent</t>
  </si>
  <si>
    <t>marital-status_Never-married</t>
  </si>
  <si>
    <t>marital-status_Separated</t>
  </si>
  <si>
    <t>marital-status_Widowed</t>
  </si>
  <si>
    <t>occupation_?</t>
  </si>
  <si>
    <t>occupation_Adm-clerical</t>
  </si>
  <si>
    <t>occupation_Armed-Forces</t>
  </si>
  <si>
    <t>occupation_Craft-repair</t>
  </si>
  <si>
    <t>occupation_Exec-managerial</t>
  </si>
  <si>
    <t>occupation_Farming-fishing</t>
  </si>
  <si>
    <t>occupation_Handlers-cleaners</t>
  </si>
  <si>
    <t>occupation_Machine-op-inspct</t>
  </si>
  <si>
    <t>occupation_Other-service</t>
  </si>
  <si>
    <t>occupation_Priv-house-serv</t>
  </si>
  <si>
    <t>occupation_Prof-specialty</t>
  </si>
  <si>
    <t>occupation_Protective-serv</t>
  </si>
  <si>
    <t>occupation_Sales</t>
  </si>
  <si>
    <t>occupation_Tech-support</t>
  </si>
  <si>
    <t>occupation_Transport-moving</t>
  </si>
  <si>
    <t>relationship_Husband</t>
  </si>
  <si>
    <t>relationship_Not-in-family</t>
  </si>
  <si>
    <t>relationship_Other-relative</t>
  </si>
  <si>
    <t>relationship_Own-child</t>
  </si>
  <si>
    <t>relationship_Unmarried</t>
  </si>
  <si>
    <t>relationship_Wife</t>
  </si>
  <si>
    <t>race_Amer-Indian-Eskimo</t>
  </si>
  <si>
    <t>race_Asian-Pac-Islander</t>
  </si>
  <si>
    <t>race_Black</t>
  </si>
  <si>
    <t>race_Other</t>
  </si>
  <si>
    <t>race_White</t>
  </si>
  <si>
    <t>sex_Female</t>
  </si>
  <si>
    <t>sex_Male</t>
  </si>
  <si>
    <t>native-country_?</t>
  </si>
  <si>
    <t>native-country_Cambodia</t>
  </si>
  <si>
    <t>native-country_Canada</t>
  </si>
  <si>
    <t>native-country_China</t>
  </si>
  <si>
    <t>native-country_Columbia</t>
  </si>
  <si>
    <t>native-country_Cuba</t>
  </si>
  <si>
    <t>native-country_Dominican-Republic</t>
  </si>
  <si>
    <t>native-country_Ecuador</t>
  </si>
  <si>
    <t>native-country_El-Salvador</t>
  </si>
  <si>
    <t>native-country_England</t>
  </si>
  <si>
    <t>native-country_France</t>
  </si>
  <si>
    <t>native-country_Germany</t>
  </si>
  <si>
    <t>native-country_Greece</t>
  </si>
  <si>
    <t>native-country_Guatemala</t>
  </si>
  <si>
    <t>native-country_Haiti</t>
  </si>
  <si>
    <t>native-country_Holand-Netherlands</t>
  </si>
  <si>
    <t>native-country_Honduras</t>
  </si>
  <si>
    <t>native-country_Hong</t>
  </si>
  <si>
    <t>native-country_Hungary</t>
  </si>
  <si>
    <t>native-country_India</t>
  </si>
  <si>
    <t>native-country_Iran</t>
  </si>
  <si>
    <t>native-country_Ireland</t>
  </si>
  <si>
    <t>native-country_Italy</t>
  </si>
  <si>
    <t>native-country_Jamaica</t>
  </si>
  <si>
    <t>native-country_Japan</t>
  </si>
  <si>
    <t>native-country_Laos</t>
  </si>
  <si>
    <t>native-country_Mexico</t>
  </si>
  <si>
    <t>native-country_Nicaragua</t>
  </si>
  <si>
    <t>native-country_Outlying-US(Guam-USVI-etc)</t>
  </si>
  <si>
    <t>native-country_Peru</t>
  </si>
  <si>
    <t>native-country_Philippines</t>
  </si>
  <si>
    <t>native-country_Poland</t>
  </si>
  <si>
    <t>native-country_Portugal</t>
  </si>
  <si>
    <t>native-country_Puerto-Rico</t>
  </si>
  <si>
    <t>native-country_Scotland</t>
  </si>
  <si>
    <t>native-country_South</t>
  </si>
  <si>
    <t>native-country_Taiwan</t>
  </si>
  <si>
    <t>native-country_Thailand</t>
  </si>
  <si>
    <t>native-country_Trinadad&amp;Tobago</t>
  </si>
  <si>
    <t>native-country_United-States</t>
  </si>
  <si>
    <t>native-country_Vietnam</t>
  </si>
  <si>
    <t>native-country_Yugoslavia</t>
  </si>
  <si>
    <t>Esecuzione</t>
  </si>
  <si>
    <t>Dataset</t>
  </si>
  <si>
    <t>Metodo</t>
  </si>
  <si>
    <t>Epoche/Iterazioni</t>
  </si>
  <si>
    <t>Tempo di Esecuzione (s)</t>
  </si>
  <si>
    <t>Loss Finale</t>
  </si>
  <si>
    <t>Gradiente Finale</t>
  </si>
  <si>
    <t>Plot</t>
  </si>
  <si>
    <t>Commenti</t>
  </si>
  <si>
    <t>Numero caratteristiche</t>
  </si>
  <si>
    <t>Numero Campioni X</t>
  </si>
  <si>
    <t>CPU usate</t>
  </si>
  <si>
    <t>Numero sottoblocchi</t>
  </si>
  <si>
    <t>Breast_Cancer</t>
  </si>
  <si>
    <t>Gauss-Seidel</t>
  </si>
  <si>
    <t>Gradient Descent</t>
  </si>
  <si>
    <t>Gradient Descent Armijo</t>
  </si>
  <si>
    <t>Jacobi</t>
  </si>
  <si>
    <t>Loss overlay</t>
  </si>
  <si>
    <t>Diabetes</t>
  </si>
  <si>
    <t>Digits</t>
  </si>
  <si>
    <t>Iris</t>
  </si>
  <si>
    <t>Wine</t>
  </si>
  <si>
    <t>Fetch</t>
  </si>
  <si>
    <t>Adult</t>
  </si>
  <si>
    <t>Esecuzione originale</t>
  </si>
  <si>
    <t>Esecuzione (Loss-Min)</t>
  </si>
  <si>
    <t>Numero di sottoblocchi (Loss-Min)</t>
  </si>
  <si>
    <t>Loss Minimo</t>
  </si>
  <si>
    <t>Esecuzione (Tempo-Min)</t>
  </si>
  <si>
    <t>Numero di sottoblocchi (Tempo-Min)</t>
  </si>
  <si>
    <t>Tempo Minimo</t>
  </si>
  <si>
    <t>Esecuzione (Loss-Max)</t>
  </si>
  <si>
    <t>Numero di sottoblocchi (Loss-Max)</t>
  </si>
  <si>
    <t>Loss Max</t>
  </si>
  <si>
    <t>Esecuzione (Tempo-Max)</t>
  </si>
  <si>
    <t>Numero di sottoblocchi (Tempo-Max)</t>
  </si>
  <si>
    <t>Tempo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</si>
</sst>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A5A5A5"/>
        <bgColor rgb="FFA5A5A5"/>
      </patternFill>
    </fill>
    <fill>
      <patternFill patternType="solid">
        <fgColor rgb="FFE6E6E6"/>
        <bgColor rgb="FFE6E6E6"/>
      </patternFill>
    </fill>
    <fill>
      <patternFill patternType="solid">
        <fgColor rgb="FFC9C9C9"/>
        <bgColor rgb="FFC9C9C9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3" borderId="2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5" borderId="2" xfId="0" applyFill="1" applyBorder="1" applyAlignment="1">
      <alignment wrapText="1"/>
    </xf>
    <xf numFmtId="0" fontId="0" fillId="5" borderId="0" xfId="0" applyFill="1" applyAlignment="1">
      <alignment wrapText="1"/>
    </xf>
    <xf numFmtId="0" fontId="2" fillId="0" borderId="3" xfId="0" applyFont="1" applyBorder="1"/>
    <xf numFmtId="0" fontId="0" fillId="2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"/>
  <sheetViews>
    <sheetView workbookViewId="0"/>
  </sheetViews>
  <sheetFormatPr defaultRowHeight="14.4" x14ac:dyDescent="0.3"/>
  <cols>
    <col min="1" max="1" width="7.21875" customWidth="1"/>
    <col min="2" max="2" width="15.5546875" customWidth="1"/>
    <col min="3" max="3" width="16.77734375" customWidth="1"/>
    <col min="4" max="4" width="19.21875" customWidth="1"/>
    <col min="5" max="5" width="13.21875" customWidth="1"/>
    <col min="6" max="6" width="20.44140625" customWidth="1"/>
    <col min="7" max="7" width="21.5546875" customWidth="1"/>
    <col min="8" max="8" width="19.21875" customWidth="1"/>
    <col min="9" max="9" width="25.21875" customWidth="1"/>
    <col min="10" max="10" width="18" customWidth="1"/>
    <col min="11" max="11" width="28.77734375" customWidth="1"/>
    <col min="12" max="12" width="16.77734375" customWidth="1"/>
    <col min="13" max="13" width="18" customWidth="1"/>
    <col min="14" max="14" width="20.44140625" customWidth="1"/>
    <col min="15" max="15" width="14.44140625" customWidth="1"/>
    <col min="16" max="16" width="21.5546875" customWidth="1"/>
    <col min="17" max="17" width="22.77734375" customWidth="1"/>
    <col min="18" max="18" width="20.44140625" customWidth="1"/>
    <col min="19" max="19" width="26.44140625" customWidth="1"/>
    <col min="20" max="20" width="19.21875" customWidth="1"/>
    <col min="21" max="21" width="30" customWidth="1"/>
    <col min="22" max="22" width="16.77734375" customWidth="1"/>
    <col min="23" max="23" width="18" customWidth="1"/>
    <col min="24" max="24" width="20.44140625" customWidth="1"/>
    <col min="25" max="25" width="14.44140625" customWidth="1"/>
    <col min="26" max="26" width="21.5546875" customWidth="1"/>
    <col min="27" max="27" width="22.77734375" customWidth="1"/>
    <col min="28" max="28" width="20.44140625" customWidth="1"/>
    <col min="29" max="29" width="26.44140625" customWidth="1"/>
    <col min="30" max="30" width="19.21875" customWidth="1"/>
    <col min="31" max="31" width="30" customWidth="1"/>
    <col min="32" max="32" width="9.5546875" customWidth="1"/>
  </cols>
  <sheetData>
    <row r="1" spans="1:32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 spans="1:32" x14ac:dyDescent="0.3">
      <c r="A2" s="2">
        <v>0</v>
      </c>
      <c r="B2" s="1">
        <v>17.989999999999998</v>
      </c>
      <c r="C2" s="1">
        <v>10.38</v>
      </c>
      <c r="D2" s="1">
        <v>122.8</v>
      </c>
      <c r="E2" s="1">
        <v>1001</v>
      </c>
      <c r="F2" s="1">
        <v>0.11840000000000001</v>
      </c>
      <c r="G2" s="1">
        <v>0.27760000000000001</v>
      </c>
      <c r="H2" s="1">
        <v>0.30009999999999998</v>
      </c>
      <c r="I2" s="1">
        <v>0.14710000000000001</v>
      </c>
      <c r="J2" s="1">
        <v>0.2419</v>
      </c>
      <c r="K2" s="1">
        <v>7.8710000000000002E-2</v>
      </c>
      <c r="L2" s="1">
        <v>1.095</v>
      </c>
      <c r="M2" s="1">
        <v>0.90529999999999999</v>
      </c>
      <c r="N2" s="1">
        <v>8.5890000000000004</v>
      </c>
      <c r="O2" s="1">
        <v>153.4</v>
      </c>
      <c r="P2" s="1">
        <v>6.3990000000000002E-3</v>
      </c>
      <c r="Q2" s="1">
        <v>4.904E-2</v>
      </c>
      <c r="R2" s="1">
        <v>5.373E-2</v>
      </c>
      <c r="S2" s="1">
        <v>1.5869999999999999E-2</v>
      </c>
      <c r="T2" s="1">
        <v>3.0030000000000001E-2</v>
      </c>
      <c r="U2" s="1">
        <v>6.1929999999999997E-3</v>
      </c>
      <c r="V2" s="1">
        <v>25.38</v>
      </c>
      <c r="W2" s="1">
        <v>17.329999999999998</v>
      </c>
      <c r="X2" s="1">
        <v>184.6</v>
      </c>
      <c r="Y2" s="1">
        <v>2019</v>
      </c>
      <c r="Z2" s="1">
        <v>0.16220000000000001</v>
      </c>
      <c r="AA2" s="1">
        <v>0.66559999999999997</v>
      </c>
      <c r="AB2" s="1">
        <v>0.71189999999999998</v>
      </c>
      <c r="AC2" s="1">
        <v>0.26540000000000002</v>
      </c>
      <c r="AD2" s="1">
        <v>0.46010000000000001</v>
      </c>
      <c r="AE2" s="1">
        <v>0.11890000000000001</v>
      </c>
      <c r="AF2" s="1">
        <v>-1</v>
      </c>
    </row>
    <row r="3" spans="1:32" x14ac:dyDescent="0.3">
      <c r="A3" s="2">
        <v>1</v>
      </c>
      <c r="B3" s="1">
        <v>20.57</v>
      </c>
      <c r="C3" s="1">
        <v>17.77</v>
      </c>
      <c r="D3" s="1">
        <v>132.9</v>
      </c>
      <c r="E3" s="1">
        <v>1326</v>
      </c>
      <c r="F3" s="1">
        <v>8.4739999999999996E-2</v>
      </c>
      <c r="G3" s="1">
        <v>7.8640000000000002E-2</v>
      </c>
      <c r="H3" s="1">
        <v>8.6900000000000005E-2</v>
      </c>
      <c r="I3" s="1">
        <v>7.0169999999999996E-2</v>
      </c>
      <c r="J3" s="1">
        <v>0.1812</v>
      </c>
      <c r="K3" s="1">
        <v>5.6669999999999998E-2</v>
      </c>
      <c r="L3" s="1">
        <v>0.54349999999999998</v>
      </c>
      <c r="M3" s="1">
        <v>0.7339</v>
      </c>
      <c r="N3" s="1">
        <v>3.3980000000000001</v>
      </c>
      <c r="O3" s="1">
        <v>74.08</v>
      </c>
      <c r="P3" s="1">
        <v>5.2249999999999996E-3</v>
      </c>
      <c r="Q3" s="1">
        <v>1.308E-2</v>
      </c>
      <c r="R3" s="1">
        <v>1.8599999999999998E-2</v>
      </c>
      <c r="S3" s="1">
        <v>1.34E-2</v>
      </c>
      <c r="T3" s="1">
        <v>1.389E-2</v>
      </c>
      <c r="U3" s="1">
        <v>3.532E-3</v>
      </c>
      <c r="V3" s="1">
        <v>24.99</v>
      </c>
      <c r="W3" s="1">
        <v>23.41</v>
      </c>
      <c r="X3" s="1">
        <v>158.80000000000001</v>
      </c>
      <c r="Y3" s="1">
        <v>1956</v>
      </c>
      <c r="Z3" s="1">
        <v>0.12379999999999999</v>
      </c>
      <c r="AA3" s="1">
        <v>0.18659999999999999</v>
      </c>
      <c r="AB3" s="1">
        <v>0.24160000000000001</v>
      </c>
      <c r="AC3" s="1">
        <v>0.186</v>
      </c>
      <c r="AD3" s="1">
        <v>0.27500000000000002</v>
      </c>
      <c r="AE3" s="1">
        <v>8.9020000000000002E-2</v>
      </c>
      <c r="AF3" s="1">
        <v>-1</v>
      </c>
    </row>
    <row r="4" spans="1:32" x14ac:dyDescent="0.3">
      <c r="A4" s="2">
        <v>2</v>
      </c>
      <c r="B4" s="1">
        <v>19.690000000000001</v>
      </c>
      <c r="C4" s="1">
        <v>21.25</v>
      </c>
      <c r="D4" s="1">
        <v>130</v>
      </c>
      <c r="E4" s="1">
        <v>1203</v>
      </c>
      <c r="F4" s="1">
        <v>0.1096</v>
      </c>
      <c r="G4" s="1">
        <v>0.15989999999999999</v>
      </c>
      <c r="H4" s="1">
        <v>0.19739999999999999</v>
      </c>
      <c r="I4" s="1">
        <v>0.12790000000000001</v>
      </c>
      <c r="J4" s="1">
        <v>0.2069</v>
      </c>
      <c r="K4" s="1">
        <v>5.9990000000000002E-2</v>
      </c>
      <c r="L4" s="1">
        <v>0.74560000000000004</v>
      </c>
      <c r="M4" s="1">
        <v>0.78690000000000004</v>
      </c>
      <c r="N4" s="1">
        <v>4.585</v>
      </c>
      <c r="O4" s="1">
        <v>94.03</v>
      </c>
      <c r="P4" s="1">
        <v>6.1500000000000001E-3</v>
      </c>
      <c r="Q4" s="1">
        <v>4.0059999999999998E-2</v>
      </c>
      <c r="R4" s="1">
        <v>3.832E-2</v>
      </c>
      <c r="S4" s="1">
        <v>2.0580000000000001E-2</v>
      </c>
      <c r="T4" s="1">
        <v>2.2499999999999999E-2</v>
      </c>
      <c r="U4" s="1">
        <v>4.5710000000000004E-3</v>
      </c>
      <c r="V4" s="1">
        <v>23.57</v>
      </c>
      <c r="W4" s="1">
        <v>25.53</v>
      </c>
      <c r="X4" s="1">
        <v>152.5</v>
      </c>
      <c r="Y4" s="1">
        <v>1709</v>
      </c>
      <c r="Z4" s="1">
        <v>0.1444</v>
      </c>
      <c r="AA4" s="1">
        <v>0.42449999999999999</v>
      </c>
      <c r="AB4" s="1">
        <v>0.45040000000000002</v>
      </c>
      <c r="AC4" s="1">
        <v>0.24299999999999999</v>
      </c>
      <c r="AD4" s="1">
        <v>0.36130000000000001</v>
      </c>
      <c r="AE4" s="1">
        <v>8.7580000000000005E-2</v>
      </c>
      <c r="AF4" s="1">
        <v>-1</v>
      </c>
    </row>
    <row r="5" spans="1:32" x14ac:dyDescent="0.3">
      <c r="A5" s="2">
        <v>3</v>
      </c>
      <c r="B5" s="1">
        <v>11.42</v>
      </c>
      <c r="C5" s="1">
        <v>20.38</v>
      </c>
      <c r="D5" s="1">
        <v>77.58</v>
      </c>
      <c r="E5" s="1">
        <v>386.1</v>
      </c>
      <c r="F5" s="1">
        <v>0.14249999999999999</v>
      </c>
      <c r="G5" s="1">
        <v>0.28389999999999999</v>
      </c>
      <c r="H5" s="1">
        <v>0.2414</v>
      </c>
      <c r="I5" s="1">
        <v>0.1052</v>
      </c>
      <c r="J5" s="1">
        <v>0.25969999999999999</v>
      </c>
      <c r="K5" s="1">
        <v>9.7439999999999999E-2</v>
      </c>
      <c r="L5" s="1">
        <v>0.49559999999999998</v>
      </c>
      <c r="M5" s="1">
        <v>1.1559999999999999</v>
      </c>
      <c r="N5" s="1">
        <v>3.4449999999999998</v>
      </c>
      <c r="O5" s="1">
        <v>27.23</v>
      </c>
      <c r="P5" s="1">
        <v>9.11E-3</v>
      </c>
      <c r="Q5" s="1">
        <v>7.4579999999999994E-2</v>
      </c>
      <c r="R5" s="1">
        <v>5.6610000000000001E-2</v>
      </c>
      <c r="S5" s="1">
        <v>1.8669999999999999E-2</v>
      </c>
      <c r="T5" s="1">
        <v>5.9630000000000002E-2</v>
      </c>
      <c r="U5" s="1">
        <v>9.2079999999999992E-3</v>
      </c>
      <c r="V5" s="1">
        <v>14.91</v>
      </c>
      <c r="W5" s="1">
        <v>26.5</v>
      </c>
      <c r="X5" s="1">
        <v>98.87</v>
      </c>
      <c r="Y5" s="1">
        <v>567.70000000000005</v>
      </c>
      <c r="Z5" s="1">
        <v>0.20979999999999999</v>
      </c>
      <c r="AA5" s="1">
        <v>0.86629999999999996</v>
      </c>
      <c r="AB5" s="1">
        <v>0.68689999999999996</v>
      </c>
      <c r="AC5" s="1">
        <v>0.25750000000000001</v>
      </c>
      <c r="AD5" s="1">
        <v>0.66379999999999995</v>
      </c>
      <c r="AE5" s="1">
        <v>0.17299999999999999</v>
      </c>
      <c r="AF5" s="1">
        <v>-1</v>
      </c>
    </row>
    <row r="6" spans="1:32" x14ac:dyDescent="0.3">
      <c r="A6" s="2">
        <v>4</v>
      </c>
      <c r="B6" s="1">
        <v>20.29</v>
      </c>
      <c r="C6" s="1">
        <v>14.34</v>
      </c>
      <c r="D6" s="1">
        <v>135.1</v>
      </c>
      <c r="E6" s="1">
        <v>1297</v>
      </c>
      <c r="F6" s="1">
        <v>0.1003</v>
      </c>
      <c r="G6" s="1">
        <v>0.1328</v>
      </c>
      <c r="H6" s="1">
        <v>0.19800000000000001</v>
      </c>
      <c r="I6" s="1">
        <v>0.1043</v>
      </c>
      <c r="J6" s="1">
        <v>0.18090000000000001</v>
      </c>
      <c r="K6" s="1">
        <v>5.883E-2</v>
      </c>
      <c r="L6" s="1">
        <v>0.75719999999999998</v>
      </c>
      <c r="M6" s="1">
        <v>0.78129999999999999</v>
      </c>
      <c r="N6" s="1">
        <v>5.4379999999999997</v>
      </c>
      <c r="O6" s="1">
        <v>94.44</v>
      </c>
      <c r="P6" s="1">
        <v>1.149E-2</v>
      </c>
      <c r="Q6" s="1">
        <v>2.461E-2</v>
      </c>
      <c r="R6" s="1">
        <v>5.688E-2</v>
      </c>
      <c r="S6" s="1">
        <v>1.8849999999999999E-2</v>
      </c>
      <c r="T6" s="1">
        <v>1.7559999999999999E-2</v>
      </c>
      <c r="U6" s="1">
        <v>5.1149999999999998E-3</v>
      </c>
      <c r="V6" s="1">
        <v>22.54</v>
      </c>
      <c r="W6" s="1">
        <v>16.670000000000002</v>
      </c>
      <c r="X6" s="1">
        <v>152.19999999999999</v>
      </c>
      <c r="Y6" s="1">
        <v>1575</v>
      </c>
      <c r="Z6" s="1">
        <v>0.13739999999999999</v>
      </c>
      <c r="AA6" s="1">
        <v>0.20499999999999999</v>
      </c>
      <c r="AB6" s="1">
        <v>0.4</v>
      </c>
      <c r="AC6" s="1">
        <v>0.16250000000000001</v>
      </c>
      <c r="AD6" s="1">
        <v>0.2364</v>
      </c>
      <c r="AE6" s="1">
        <v>7.6780000000000001E-2</v>
      </c>
      <c r="AF6" s="1">
        <v>-1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"/>
  <sheetViews>
    <sheetView workbookViewId="0">
      <pane xSplit="1" ySplit="1" topLeftCell="H2" activePane="bottomRight" state="frozen"/>
      <selection pane="topRight"/>
      <selection pane="bottomLeft"/>
      <selection pane="bottomRight" activeCell="I1" sqref="I1"/>
    </sheetView>
  </sheetViews>
  <sheetFormatPr defaultRowHeight="14.4" x14ac:dyDescent="0.3"/>
  <cols>
    <col min="1" max="1" width="30" customWidth="1"/>
    <col min="2" max="2" width="27.5546875" customWidth="1"/>
    <col min="3" max="3" width="42" customWidth="1"/>
    <col min="4" max="4" width="24" customWidth="1"/>
    <col min="5" max="5" width="28.77734375" customWidth="1"/>
    <col min="6" max="6" width="43.21875" customWidth="1"/>
    <col min="7" max="7" width="25.21875" customWidth="1"/>
    <col min="8" max="8" width="42.77734375" customWidth="1"/>
    <col min="9" max="9" width="42" customWidth="1"/>
    <col min="10" max="10" width="24" customWidth="1"/>
    <col min="11" max="11" width="28.77734375" customWidth="1"/>
    <col min="12" max="12" width="43.21875" customWidth="1"/>
    <col min="13" max="13" width="22.77734375" customWidth="1"/>
  </cols>
  <sheetData>
    <row r="1" spans="1:13" x14ac:dyDescent="0.3">
      <c r="A1" s="19" t="s">
        <v>1231</v>
      </c>
      <c r="B1" s="19" t="s">
        <v>1255</v>
      </c>
      <c r="C1" s="19" t="s">
        <v>1256</v>
      </c>
      <c r="D1" s="19" t="s">
        <v>1257</v>
      </c>
      <c r="E1" s="19" t="s">
        <v>1258</v>
      </c>
      <c r="F1" s="19" t="s">
        <v>1259</v>
      </c>
      <c r="G1" s="19" t="s">
        <v>1260</v>
      </c>
      <c r="H1" s="19" t="s">
        <v>1261</v>
      </c>
      <c r="I1" s="19" t="s">
        <v>1262</v>
      </c>
      <c r="J1" s="19" t="s">
        <v>1263</v>
      </c>
      <c r="K1" s="19" t="s">
        <v>1264</v>
      </c>
      <c r="L1" s="19" t="s">
        <v>1265</v>
      </c>
      <c r="M1" s="19" t="s">
        <v>1266</v>
      </c>
    </row>
    <row r="2" spans="1:13" x14ac:dyDescent="0.3">
      <c r="A2" s="19" t="s">
        <v>1243</v>
      </c>
      <c r="B2" s="19">
        <v>7</v>
      </c>
      <c r="C2" s="19">
        <v>2</v>
      </c>
      <c r="D2" s="19">
        <v>0.20987243075704271</v>
      </c>
      <c r="E2" s="19">
        <v>2</v>
      </c>
      <c r="F2" s="19">
        <v>7</v>
      </c>
      <c r="G2" s="19">
        <v>1.469298100164451E-2</v>
      </c>
      <c r="H2" s="19">
        <v>1</v>
      </c>
      <c r="I2" s="19">
        <v>8</v>
      </c>
      <c r="J2" s="19">
        <v>0.68096181067719008</v>
      </c>
      <c r="K2" s="19">
        <v>1</v>
      </c>
      <c r="L2" s="19">
        <v>8</v>
      </c>
      <c r="M2" s="19">
        <v>9.2140623779996531</v>
      </c>
    </row>
    <row r="3" spans="1:13" x14ac:dyDescent="0.3">
      <c r="A3" s="19" t="s">
        <v>1244</v>
      </c>
      <c r="B3" s="19">
        <v>1</v>
      </c>
      <c r="C3" s="19">
        <v>1</v>
      </c>
      <c r="D3" s="19">
        <v>0.21024932776281</v>
      </c>
      <c r="E3" s="19">
        <v>5</v>
      </c>
      <c r="F3" s="19">
        <v>1</v>
      </c>
      <c r="G3" s="19">
        <v>7.9273499995906604E-3</v>
      </c>
      <c r="H3" s="19">
        <v>1</v>
      </c>
      <c r="I3" s="19">
        <v>1</v>
      </c>
      <c r="J3" s="19">
        <v>0.68246591166439041</v>
      </c>
      <c r="K3" s="19">
        <v>1</v>
      </c>
      <c r="L3" s="19">
        <v>1</v>
      </c>
      <c r="M3" s="19">
        <v>1.207256117000725</v>
      </c>
    </row>
    <row r="4" spans="1:13" x14ac:dyDescent="0.3">
      <c r="A4" s="19" t="s">
        <v>1245</v>
      </c>
      <c r="B4" s="19">
        <v>1</v>
      </c>
      <c r="C4" s="19">
        <v>1</v>
      </c>
      <c r="D4" s="19">
        <v>0.2098724307504316</v>
      </c>
      <c r="E4" s="19">
        <v>3</v>
      </c>
      <c r="F4" s="19">
        <v>1</v>
      </c>
      <c r="G4" s="19">
        <v>1.6281824000543569E-2</v>
      </c>
      <c r="H4" s="19">
        <v>1</v>
      </c>
      <c r="I4" s="19">
        <v>1</v>
      </c>
      <c r="J4" s="19">
        <v>0.68096181064839212</v>
      </c>
      <c r="K4" s="19">
        <v>7</v>
      </c>
      <c r="L4" s="19">
        <v>1</v>
      </c>
      <c r="M4" s="19">
        <v>2.9594842730002711</v>
      </c>
    </row>
    <row r="5" spans="1:13" x14ac:dyDescent="0.3">
      <c r="A5" s="19" t="s">
        <v>1246</v>
      </c>
      <c r="B5" s="19">
        <v>7</v>
      </c>
      <c r="C5" s="19">
        <v>2</v>
      </c>
      <c r="D5" s="19">
        <v>0.20987243075902379</v>
      </c>
      <c r="E5" s="19">
        <v>4</v>
      </c>
      <c r="F5" s="19">
        <v>5</v>
      </c>
      <c r="G5" s="19">
        <v>0.1107876589994703</v>
      </c>
      <c r="H5" s="19">
        <v>1</v>
      </c>
      <c r="I5" s="19">
        <v>8</v>
      </c>
      <c r="J5" s="19">
        <v>0.68096181067606376</v>
      </c>
      <c r="K5" s="19">
        <v>1</v>
      </c>
      <c r="L5" s="19">
        <v>8</v>
      </c>
      <c r="M5" s="19">
        <v>26.84235366699977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workbookViewId="0"/>
  </sheetViews>
  <sheetFormatPr defaultRowHeight="14.4" x14ac:dyDescent="0.3"/>
  <cols>
    <col min="1" max="1" width="7.21875" customWidth="1"/>
    <col min="2" max="2" width="27.5546875" customWidth="1"/>
    <col min="3" max="5" width="26.44140625" customWidth="1"/>
    <col min="6" max="6" width="27.5546875" customWidth="1"/>
    <col min="7" max="8" width="26.44140625" customWidth="1"/>
    <col min="9" max="9" width="27.5546875" customWidth="1"/>
    <col min="10" max="10" width="26.44140625" customWidth="1"/>
    <col min="11" max="11" width="27.5546875" customWidth="1"/>
    <col min="12" max="12" width="9.5546875" customWidth="1"/>
  </cols>
  <sheetData>
    <row r="1" spans="1:12" x14ac:dyDescent="0.3">
      <c r="A1" s="1"/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30</v>
      </c>
    </row>
    <row r="2" spans="1:12" x14ac:dyDescent="0.3">
      <c r="A2" s="2">
        <v>0</v>
      </c>
      <c r="B2" s="1">
        <v>3.8075906433423033E-2</v>
      </c>
      <c r="C2" s="1">
        <v>5.0680118739818619E-2</v>
      </c>
      <c r="D2" s="1">
        <v>6.1696206518683287E-2</v>
      </c>
      <c r="E2" s="1">
        <v>2.18723855140367E-2</v>
      </c>
      <c r="F2" s="1">
        <v>-4.4223498424445992E-2</v>
      </c>
      <c r="G2" s="1">
        <v>-3.482076283769895E-2</v>
      </c>
      <c r="H2" s="1">
        <v>-4.3400845652024907E-2</v>
      </c>
      <c r="I2" s="1">
        <v>-2.592261998183278E-3</v>
      </c>
      <c r="J2" s="1">
        <v>1.9907486170462719E-2</v>
      </c>
      <c r="K2" s="1">
        <v>-1.764612515980379E-2</v>
      </c>
      <c r="L2" s="1">
        <v>1</v>
      </c>
    </row>
    <row r="3" spans="1:12" x14ac:dyDescent="0.3">
      <c r="A3" s="2">
        <v>1</v>
      </c>
      <c r="B3" s="1">
        <v>-1.8820165277906051E-3</v>
      </c>
      <c r="C3" s="1">
        <v>-4.4641636506989137E-2</v>
      </c>
      <c r="D3" s="1">
        <v>-5.1474061238800647E-2</v>
      </c>
      <c r="E3" s="1">
        <v>-2.6327528147852958E-2</v>
      </c>
      <c r="F3" s="1">
        <v>-8.4487241112168512E-3</v>
      </c>
      <c r="G3" s="1">
        <v>-1.9163339748222201E-2</v>
      </c>
      <c r="H3" s="1">
        <v>7.4411564078757209E-2</v>
      </c>
      <c r="I3" s="1">
        <v>-3.9493382874093291E-2</v>
      </c>
      <c r="J3" s="1">
        <v>-6.83315470939731E-2</v>
      </c>
      <c r="K3" s="1">
        <v>-9.2204049626824006E-2</v>
      </c>
      <c r="L3" s="1">
        <v>-1</v>
      </c>
    </row>
    <row r="4" spans="1:12" x14ac:dyDescent="0.3">
      <c r="A4" s="2">
        <v>2</v>
      </c>
      <c r="B4" s="1">
        <v>8.5298906296675484E-2</v>
      </c>
      <c r="C4" s="1">
        <v>5.0680118739818619E-2</v>
      </c>
      <c r="D4" s="1">
        <v>4.4451213336590488E-2</v>
      </c>
      <c r="E4" s="1">
        <v>-5.67042229275739E-3</v>
      </c>
      <c r="F4" s="1">
        <v>-4.5599451282647113E-2</v>
      </c>
      <c r="G4" s="1">
        <v>-3.4194465914119891E-2</v>
      </c>
      <c r="H4" s="1">
        <v>-3.2355932239764087E-2</v>
      </c>
      <c r="I4" s="1">
        <v>-2.592261998183278E-3</v>
      </c>
      <c r="J4" s="1">
        <v>2.8613092898330471E-3</v>
      </c>
      <c r="K4" s="1">
        <v>-2.5930338989472699E-2</v>
      </c>
      <c r="L4" s="1">
        <v>1</v>
      </c>
    </row>
    <row r="5" spans="1:12" x14ac:dyDescent="0.3">
      <c r="A5" s="2">
        <v>3</v>
      </c>
      <c r="B5" s="1">
        <v>-8.9062939352256704E-2</v>
      </c>
      <c r="C5" s="1">
        <v>-4.4641636506989137E-2</v>
      </c>
      <c r="D5" s="1">
        <v>-1.159501450521108E-2</v>
      </c>
      <c r="E5" s="1">
        <v>-3.6656081075400741E-2</v>
      </c>
      <c r="F5" s="1">
        <v>1.2190568761799961E-2</v>
      </c>
      <c r="G5" s="1">
        <v>2.4990593364102219E-2</v>
      </c>
      <c r="H5" s="1">
        <v>-3.6037570043851018E-2</v>
      </c>
      <c r="I5" s="1">
        <v>3.4308858877726729E-2</v>
      </c>
      <c r="J5" s="1">
        <v>2.268774496650125E-2</v>
      </c>
      <c r="K5" s="1">
        <v>-9.3619113301348783E-3</v>
      </c>
      <c r="L5" s="1">
        <v>1</v>
      </c>
    </row>
    <row r="6" spans="1:12" x14ac:dyDescent="0.3">
      <c r="A6" s="2">
        <v>4</v>
      </c>
      <c r="B6" s="1">
        <v>5.3830603742482368E-3</v>
      </c>
      <c r="C6" s="1">
        <v>-4.4641636506989137E-2</v>
      </c>
      <c r="D6" s="1">
        <v>-3.6384692204469479E-2</v>
      </c>
      <c r="E6" s="1">
        <v>2.18723855140367E-2</v>
      </c>
      <c r="F6" s="1">
        <v>3.934851612593237E-3</v>
      </c>
      <c r="G6" s="1">
        <v>1.559613951041617E-2</v>
      </c>
      <c r="H6" s="1">
        <v>8.1420836051922674E-3</v>
      </c>
      <c r="I6" s="1">
        <v>-2.592261998183278E-3</v>
      </c>
      <c r="J6" s="1">
        <v>-3.1987639488053117E-2</v>
      </c>
      <c r="K6" s="1">
        <v>-4.6640873563644977E-2</v>
      </c>
      <c r="L6" s="1">
        <v>-1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6"/>
  <sheetViews>
    <sheetView workbookViewId="0"/>
  </sheetViews>
  <sheetFormatPr defaultRowHeight="14.4" x14ac:dyDescent="0.3"/>
  <cols>
    <col min="1" max="1" width="7.21875" customWidth="1"/>
    <col min="2" max="65" width="13.21875" customWidth="1"/>
    <col min="66" max="66" width="9.5546875" customWidth="1"/>
  </cols>
  <sheetData>
    <row r="1" spans="1:66" x14ac:dyDescent="0.3">
      <c r="A1" s="1"/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57</v>
      </c>
      <c r="S1" s="2" t="s">
        <v>58</v>
      </c>
      <c r="T1" s="2" t="s">
        <v>59</v>
      </c>
      <c r="U1" s="2" t="s">
        <v>60</v>
      </c>
      <c r="V1" s="2" t="s">
        <v>61</v>
      </c>
      <c r="W1" s="2" t="s">
        <v>62</v>
      </c>
      <c r="X1" s="2" t="s">
        <v>63</v>
      </c>
      <c r="Y1" s="2" t="s">
        <v>64</v>
      </c>
      <c r="Z1" s="2" t="s">
        <v>65</v>
      </c>
      <c r="AA1" s="2" t="s">
        <v>66</v>
      </c>
      <c r="AB1" s="2" t="s">
        <v>67</v>
      </c>
      <c r="AC1" s="2" t="s">
        <v>68</v>
      </c>
      <c r="AD1" s="2" t="s">
        <v>69</v>
      </c>
      <c r="AE1" s="2" t="s">
        <v>70</v>
      </c>
      <c r="AF1" s="2" t="s">
        <v>71</v>
      </c>
      <c r="AG1" s="2" t="s">
        <v>72</v>
      </c>
      <c r="AH1" s="2" t="s">
        <v>73</v>
      </c>
      <c r="AI1" s="2" t="s">
        <v>74</v>
      </c>
      <c r="AJ1" s="2" t="s">
        <v>75</v>
      </c>
      <c r="AK1" s="2" t="s">
        <v>76</v>
      </c>
      <c r="AL1" s="2" t="s">
        <v>77</v>
      </c>
      <c r="AM1" s="2" t="s">
        <v>78</v>
      </c>
      <c r="AN1" s="2" t="s">
        <v>79</v>
      </c>
      <c r="AO1" s="2" t="s">
        <v>80</v>
      </c>
      <c r="AP1" s="2" t="s">
        <v>81</v>
      </c>
      <c r="AQ1" s="2" t="s">
        <v>82</v>
      </c>
      <c r="AR1" s="2" t="s">
        <v>83</v>
      </c>
      <c r="AS1" s="2" t="s">
        <v>84</v>
      </c>
      <c r="AT1" s="2" t="s">
        <v>85</v>
      </c>
      <c r="AU1" s="2" t="s">
        <v>86</v>
      </c>
      <c r="AV1" s="2" t="s">
        <v>87</v>
      </c>
      <c r="AW1" s="2" t="s">
        <v>88</v>
      </c>
      <c r="AX1" s="2" t="s">
        <v>89</v>
      </c>
      <c r="AY1" s="2" t="s">
        <v>90</v>
      </c>
      <c r="AZ1" s="2" t="s">
        <v>91</v>
      </c>
      <c r="BA1" s="2" t="s">
        <v>92</v>
      </c>
      <c r="BB1" s="2" t="s">
        <v>93</v>
      </c>
      <c r="BC1" s="2" t="s">
        <v>94</v>
      </c>
      <c r="BD1" s="2" t="s">
        <v>95</v>
      </c>
      <c r="BE1" s="2" t="s">
        <v>96</v>
      </c>
      <c r="BF1" s="2" t="s">
        <v>97</v>
      </c>
      <c r="BG1" s="2" t="s">
        <v>98</v>
      </c>
      <c r="BH1" s="2" t="s">
        <v>99</v>
      </c>
      <c r="BI1" s="2" t="s">
        <v>100</v>
      </c>
      <c r="BJ1" s="2" t="s">
        <v>101</v>
      </c>
      <c r="BK1" s="2" t="s">
        <v>102</v>
      </c>
      <c r="BL1" s="2" t="s">
        <v>103</v>
      </c>
      <c r="BM1" s="2" t="s">
        <v>104</v>
      </c>
      <c r="BN1" s="2" t="s">
        <v>30</v>
      </c>
    </row>
    <row r="2" spans="1:66" x14ac:dyDescent="0.3">
      <c r="A2" s="2">
        <v>0</v>
      </c>
      <c r="B2" s="1">
        <v>0</v>
      </c>
      <c r="C2" s="1">
        <v>0</v>
      </c>
      <c r="D2" s="1">
        <v>5</v>
      </c>
      <c r="E2" s="1">
        <v>13</v>
      </c>
      <c r="F2" s="1">
        <v>9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13</v>
      </c>
      <c r="M2" s="1">
        <v>15</v>
      </c>
      <c r="N2" s="1">
        <v>10</v>
      </c>
      <c r="O2" s="1">
        <v>15</v>
      </c>
      <c r="P2" s="1">
        <v>5</v>
      </c>
      <c r="Q2" s="1">
        <v>0</v>
      </c>
      <c r="R2" s="1">
        <v>0</v>
      </c>
      <c r="S2" s="1">
        <v>3</v>
      </c>
      <c r="T2" s="1">
        <v>15</v>
      </c>
      <c r="U2" s="1">
        <v>2</v>
      </c>
      <c r="V2" s="1">
        <v>0</v>
      </c>
      <c r="W2" s="1">
        <v>11</v>
      </c>
      <c r="X2" s="1">
        <v>8</v>
      </c>
      <c r="Y2" s="1">
        <v>0</v>
      </c>
      <c r="Z2" s="1">
        <v>0</v>
      </c>
      <c r="AA2" s="1">
        <v>4</v>
      </c>
      <c r="AB2" s="1">
        <v>12</v>
      </c>
      <c r="AC2" s="1">
        <v>0</v>
      </c>
      <c r="AD2" s="1">
        <v>0</v>
      </c>
      <c r="AE2" s="1">
        <v>8</v>
      </c>
      <c r="AF2" s="1">
        <v>8</v>
      </c>
      <c r="AG2" s="1">
        <v>0</v>
      </c>
      <c r="AH2" s="1">
        <v>0</v>
      </c>
      <c r="AI2" s="1">
        <v>5</v>
      </c>
      <c r="AJ2" s="1">
        <v>8</v>
      </c>
      <c r="AK2" s="1">
        <v>0</v>
      </c>
      <c r="AL2" s="1">
        <v>0</v>
      </c>
      <c r="AM2" s="1">
        <v>9</v>
      </c>
      <c r="AN2" s="1">
        <v>8</v>
      </c>
      <c r="AO2" s="1">
        <v>0</v>
      </c>
      <c r="AP2" s="1">
        <v>0</v>
      </c>
      <c r="AQ2" s="1">
        <v>4</v>
      </c>
      <c r="AR2" s="1">
        <v>11</v>
      </c>
      <c r="AS2" s="1">
        <v>0</v>
      </c>
      <c r="AT2" s="1">
        <v>1</v>
      </c>
      <c r="AU2" s="1">
        <v>12</v>
      </c>
      <c r="AV2" s="1">
        <v>7</v>
      </c>
      <c r="AW2" s="1">
        <v>0</v>
      </c>
      <c r="AX2" s="1">
        <v>0</v>
      </c>
      <c r="AY2" s="1">
        <v>2</v>
      </c>
      <c r="AZ2" s="1">
        <v>14</v>
      </c>
      <c r="BA2" s="1">
        <v>5</v>
      </c>
      <c r="BB2" s="1">
        <v>10</v>
      </c>
      <c r="BC2" s="1">
        <v>12</v>
      </c>
      <c r="BD2" s="1">
        <v>0</v>
      </c>
      <c r="BE2" s="1">
        <v>0</v>
      </c>
      <c r="BF2" s="1">
        <v>0</v>
      </c>
      <c r="BG2" s="1">
        <v>0</v>
      </c>
      <c r="BH2" s="1">
        <v>6</v>
      </c>
      <c r="BI2" s="1">
        <v>13</v>
      </c>
      <c r="BJ2" s="1">
        <v>10</v>
      </c>
      <c r="BK2" s="1">
        <v>0</v>
      </c>
      <c r="BL2" s="1">
        <v>0</v>
      </c>
      <c r="BM2" s="1">
        <v>0</v>
      </c>
      <c r="BN2" s="1">
        <v>-1</v>
      </c>
    </row>
    <row r="3" spans="1:66" x14ac:dyDescent="0.3">
      <c r="A3" s="2">
        <v>1</v>
      </c>
      <c r="B3" s="1">
        <v>0</v>
      </c>
      <c r="C3" s="1">
        <v>0</v>
      </c>
      <c r="D3" s="1">
        <v>0</v>
      </c>
      <c r="E3" s="1">
        <v>12</v>
      </c>
      <c r="F3" s="1">
        <v>13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11</v>
      </c>
      <c r="N3" s="1">
        <v>16</v>
      </c>
      <c r="O3" s="1">
        <v>9</v>
      </c>
      <c r="P3" s="1">
        <v>0</v>
      </c>
      <c r="Q3" s="1">
        <v>0</v>
      </c>
      <c r="R3" s="1">
        <v>0</v>
      </c>
      <c r="S3" s="1">
        <v>0</v>
      </c>
      <c r="T3" s="1">
        <v>3</v>
      </c>
      <c r="U3" s="1">
        <v>15</v>
      </c>
      <c r="V3" s="1">
        <v>16</v>
      </c>
      <c r="W3" s="1">
        <v>6</v>
      </c>
      <c r="X3" s="1">
        <v>0</v>
      </c>
      <c r="Y3" s="1">
        <v>0</v>
      </c>
      <c r="Z3" s="1">
        <v>0</v>
      </c>
      <c r="AA3" s="1">
        <v>7</v>
      </c>
      <c r="AB3" s="1">
        <v>15</v>
      </c>
      <c r="AC3" s="1">
        <v>16</v>
      </c>
      <c r="AD3" s="1">
        <v>16</v>
      </c>
      <c r="AE3" s="1">
        <v>2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16</v>
      </c>
      <c r="AL3" s="1">
        <v>16</v>
      </c>
      <c r="AM3" s="1">
        <v>3</v>
      </c>
      <c r="AN3" s="1">
        <v>0</v>
      </c>
      <c r="AO3" s="1">
        <v>0</v>
      </c>
      <c r="AP3" s="1">
        <v>0</v>
      </c>
      <c r="AQ3" s="1">
        <v>0</v>
      </c>
      <c r="AR3" s="1">
        <v>1</v>
      </c>
      <c r="AS3" s="1">
        <v>16</v>
      </c>
      <c r="AT3" s="1">
        <v>16</v>
      </c>
      <c r="AU3" s="1">
        <v>6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16</v>
      </c>
      <c r="BB3" s="1">
        <v>16</v>
      </c>
      <c r="BC3" s="1">
        <v>6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11</v>
      </c>
      <c r="BJ3" s="1">
        <v>16</v>
      </c>
      <c r="BK3" s="1">
        <v>10</v>
      </c>
      <c r="BL3" s="1">
        <v>0</v>
      </c>
      <c r="BM3" s="1">
        <v>0</v>
      </c>
      <c r="BN3" s="1">
        <v>1</v>
      </c>
    </row>
    <row r="4" spans="1:66" x14ac:dyDescent="0.3">
      <c r="A4" s="2">
        <v>2</v>
      </c>
      <c r="B4" s="1">
        <v>0</v>
      </c>
      <c r="C4" s="1">
        <v>0</v>
      </c>
      <c r="D4" s="1">
        <v>0</v>
      </c>
      <c r="E4" s="1">
        <v>4</v>
      </c>
      <c r="F4" s="1">
        <v>15</v>
      </c>
      <c r="G4" s="1">
        <v>12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16</v>
      </c>
      <c r="N4" s="1">
        <v>15</v>
      </c>
      <c r="O4" s="1">
        <v>14</v>
      </c>
      <c r="P4" s="1">
        <v>0</v>
      </c>
      <c r="Q4" s="1">
        <v>0</v>
      </c>
      <c r="R4" s="1">
        <v>0</v>
      </c>
      <c r="S4" s="1">
        <v>0</v>
      </c>
      <c r="T4" s="1">
        <v>8</v>
      </c>
      <c r="U4" s="1">
        <v>13</v>
      </c>
      <c r="V4" s="1">
        <v>8</v>
      </c>
      <c r="W4" s="1">
        <v>16</v>
      </c>
      <c r="X4" s="1">
        <v>0</v>
      </c>
      <c r="Y4" s="1">
        <v>0</v>
      </c>
      <c r="Z4" s="1">
        <v>0</v>
      </c>
      <c r="AA4" s="1">
        <v>0</v>
      </c>
      <c r="AB4" s="1">
        <v>1</v>
      </c>
      <c r="AC4" s="1">
        <v>6</v>
      </c>
      <c r="AD4" s="1">
        <v>15</v>
      </c>
      <c r="AE4" s="1">
        <v>11</v>
      </c>
      <c r="AF4" s="1">
        <v>0</v>
      </c>
      <c r="AG4" s="1">
        <v>0</v>
      </c>
      <c r="AH4" s="1">
        <v>0</v>
      </c>
      <c r="AI4" s="1">
        <v>1</v>
      </c>
      <c r="AJ4" s="1">
        <v>8</v>
      </c>
      <c r="AK4" s="1">
        <v>13</v>
      </c>
      <c r="AL4" s="1">
        <v>15</v>
      </c>
      <c r="AM4" s="1">
        <v>1</v>
      </c>
      <c r="AN4" s="1">
        <v>0</v>
      </c>
      <c r="AO4" s="1">
        <v>0</v>
      </c>
      <c r="AP4" s="1">
        <v>0</v>
      </c>
      <c r="AQ4" s="1">
        <v>9</v>
      </c>
      <c r="AR4" s="1">
        <v>16</v>
      </c>
      <c r="AS4" s="1">
        <v>16</v>
      </c>
      <c r="AT4" s="1">
        <v>5</v>
      </c>
      <c r="AU4" s="1">
        <v>0</v>
      </c>
      <c r="AV4" s="1">
        <v>0</v>
      </c>
      <c r="AW4" s="1">
        <v>0</v>
      </c>
      <c r="AX4" s="1">
        <v>0</v>
      </c>
      <c r="AY4" s="1">
        <v>3</v>
      </c>
      <c r="AZ4" s="1">
        <v>13</v>
      </c>
      <c r="BA4" s="1">
        <v>16</v>
      </c>
      <c r="BB4" s="1">
        <v>16</v>
      </c>
      <c r="BC4" s="1">
        <v>11</v>
      </c>
      <c r="BD4" s="1">
        <v>5</v>
      </c>
      <c r="BE4" s="1">
        <v>0</v>
      </c>
      <c r="BF4" s="1">
        <v>0</v>
      </c>
      <c r="BG4" s="1">
        <v>0</v>
      </c>
      <c r="BH4" s="1">
        <v>0</v>
      </c>
      <c r="BI4" s="1">
        <v>3</v>
      </c>
      <c r="BJ4" s="1">
        <v>11</v>
      </c>
      <c r="BK4" s="1">
        <v>16</v>
      </c>
      <c r="BL4" s="1">
        <v>9</v>
      </c>
      <c r="BM4" s="1">
        <v>0</v>
      </c>
      <c r="BN4" s="1">
        <v>-1</v>
      </c>
    </row>
    <row r="5" spans="1:66" x14ac:dyDescent="0.3">
      <c r="A5" s="2">
        <v>3</v>
      </c>
      <c r="B5" s="1">
        <v>0</v>
      </c>
      <c r="C5" s="1">
        <v>0</v>
      </c>
      <c r="D5" s="1">
        <v>7</v>
      </c>
      <c r="E5" s="1">
        <v>15</v>
      </c>
      <c r="F5" s="1">
        <v>13</v>
      </c>
      <c r="G5" s="1">
        <v>1</v>
      </c>
      <c r="H5" s="1">
        <v>0</v>
      </c>
      <c r="I5" s="1">
        <v>0</v>
      </c>
      <c r="J5" s="1">
        <v>0</v>
      </c>
      <c r="K5" s="1">
        <v>8</v>
      </c>
      <c r="L5" s="1">
        <v>13</v>
      </c>
      <c r="M5" s="1">
        <v>6</v>
      </c>
      <c r="N5" s="1">
        <v>15</v>
      </c>
      <c r="O5" s="1">
        <v>4</v>
      </c>
      <c r="P5" s="1">
        <v>0</v>
      </c>
      <c r="Q5" s="1">
        <v>0</v>
      </c>
      <c r="R5" s="1">
        <v>0</v>
      </c>
      <c r="S5" s="1">
        <v>2</v>
      </c>
      <c r="T5" s="1">
        <v>1</v>
      </c>
      <c r="U5" s="1">
        <v>13</v>
      </c>
      <c r="V5" s="1">
        <v>13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2</v>
      </c>
      <c r="AC5" s="1">
        <v>15</v>
      </c>
      <c r="AD5" s="1">
        <v>11</v>
      </c>
      <c r="AE5" s="1">
        <v>1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12</v>
      </c>
      <c r="AM5" s="1">
        <v>12</v>
      </c>
      <c r="AN5" s="1">
        <v>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</v>
      </c>
      <c r="AU5" s="1">
        <v>10</v>
      </c>
      <c r="AV5" s="1">
        <v>8</v>
      </c>
      <c r="AW5" s="1">
        <v>0</v>
      </c>
      <c r="AX5" s="1">
        <v>0</v>
      </c>
      <c r="AY5" s="1">
        <v>0</v>
      </c>
      <c r="AZ5" s="1">
        <v>8</v>
      </c>
      <c r="BA5" s="1">
        <v>4</v>
      </c>
      <c r="BB5" s="1">
        <v>5</v>
      </c>
      <c r="BC5" s="1">
        <v>14</v>
      </c>
      <c r="BD5" s="1">
        <v>9</v>
      </c>
      <c r="BE5" s="1">
        <v>0</v>
      </c>
      <c r="BF5" s="1">
        <v>0</v>
      </c>
      <c r="BG5" s="1">
        <v>0</v>
      </c>
      <c r="BH5" s="1">
        <v>7</v>
      </c>
      <c r="BI5" s="1">
        <v>13</v>
      </c>
      <c r="BJ5" s="1">
        <v>13</v>
      </c>
      <c r="BK5" s="1">
        <v>9</v>
      </c>
      <c r="BL5" s="1">
        <v>0</v>
      </c>
      <c r="BM5" s="1">
        <v>0</v>
      </c>
      <c r="BN5" s="1">
        <v>1</v>
      </c>
    </row>
    <row r="6" spans="1:66" x14ac:dyDescent="0.3">
      <c r="A6" s="2">
        <v>4</v>
      </c>
      <c r="B6" s="1">
        <v>0</v>
      </c>
      <c r="C6" s="1">
        <v>0</v>
      </c>
      <c r="D6" s="1">
        <v>0</v>
      </c>
      <c r="E6" s="1">
        <v>1</v>
      </c>
      <c r="F6" s="1">
        <v>11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7</v>
      </c>
      <c r="N6" s="1">
        <v>8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13</v>
      </c>
      <c r="V6" s="1">
        <v>6</v>
      </c>
      <c r="W6" s="1">
        <v>2</v>
      </c>
      <c r="X6" s="1">
        <v>2</v>
      </c>
      <c r="Y6" s="1">
        <v>0</v>
      </c>
      <c r="Z6" s="1">
        <v>0</v>
      </c>
      <c r="AA6" s="1">
        <v>0</v>
      </c>
      <c r="AB6" s="1">
        <v>7</v>
      </c>
      <c r="AC6" s="1">
        <v>15</v>
      </c>
      <c r="AD6" s="1">
        <v>0</v>
      </c>
      <c r="AE6" s="1">
        <v>9</v>
      </c>
      <c r="AF6" s="1">
        <v>8</v>
      </c>
      <c r="AG6" s="1">
        <v>0</v>
      </c>
      <c r="AH6" s="1">
        <v>0</v>
      </c>
      <c r="AI6" s="1">
        <v>5</v>
      </c>
      <c r="AJ6" s="1">
        <v>16</v>
      </c>
      <c r="AK6" s="1">
        <v>10</v>
      </c>
      <c r="AL6" s="1">
        <v>0</v>
      </c>
      <c r="AM6" s="1">
        <v>16</v>
      </c>
      <c r="AN6" s="1">
        <v>6</v>
      </c>
      <c r="AO6" s="1">
        <v>0</v>
      </c>
      <c r="AP6" s="1">
        <v>0</v>
      </c>
      <c r="AQ6" s="1">
        <v>4</v>
      </c>
      <c r="AR6" s="1">
        <v>15</v>
      </c>
      <c r="AS6" s="1">
        <v>16</v>
      </c>
      <c r="AT6" s="1">
        <v>13</v>
      </c>
      <c r="AU6" s="1">
        <v>16</v>
      </c>
      <c r="AV6" s="1">
        <v>1</v>
      </c>
      <c r="AW6" s="1">
        <v>0</v>
      </c>
      <c r="AX6" s="1">
        <v>0</v>
      </c>
      <c r="AY6" s="1">
        <v>0</v>
      </c>
      <c r="AZ6" s="1">
        <v>0</v>
      </c>
      <c r="BA6" s="1">
        <v>3</v>
      </c>
      <c r="BB6" s="1">
        <v>15</v>
      </c>
      <c r="BC6" s="1">
        <v>10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2</v>
      </c>
      <c r="BJ6" s="1">
        <v>16</v>
      </c>
      <c r="BK6" s="1">
        <v>4</v>
      </c>
      <c r="BL6" s="1">
        <v>0</v>
      </c>
      <c r="BM6" s="1">
        <v>0</v>
      </c>
      <c r="BN6" s="1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/>
  </sheetViews>
  <sheetFormatPr defaultRowHeight="14.4" x14ac:dyDescent="0.3"/>
  <cols>
    <col min="1" max="1" width="7.21875" customWidth="1"/>
    <col min="2" max="2" width="22.77734375" customWidth="1"/>
    <col min="3" max="3" width="21.5546875" customWidth="1"/>
    <col min="4" max="4" width="22.77734375" customWidth="1"/>
    <col min="5" max="5" width="21.5546875" customWidth="1"/>
    <col min="6" max="6" width="9.5546875" customWidth="1"/>
  </cols>
  <sheetData>
    <row r="1" spans="1:6" x14ac:dyDescent="0.3">
      <c r="A1" s="1"/>
      <c r="B1" s="2" t="s">
        <v>105</v>
      </c>
      <c r="C1" s="2" t="s">
        <v>106</v>
      </c>
      <c r="D1" s="2" t="s">
        <v>107</v>
      </c>
      <c r="E1" s="2" t="s">
        <v>108</v>
      </c>
      <c r="F1" s="2" t="s">
        <v>30</v>
      </c>
    </row>
    <row r="2" spans="1:6" x14ac:dyDescent="0.3">
      <c r="A2" s="2">
        <v>0</v>
      </c>
      <c r="B2" s="1">
        <v>5.0999999999999996</v>
      </c>
      <c r="C2" s="1">
        <v>3.5</v>
      </c>
      <c r="D2" s="1">
        <v>1.4</v>
      </c>
      <c r="E2" s="1">
        <v>0.2</v>
      </c>
      <c r="F2" s="1">
        <v>1</v>
      </c>
    </row>
    <row r="3" spans="1:6" x14ac:dyDescent="0.3">
      <c r="A3" s="2">
        <v>1</v>
      </c>
      <c r="B3" s="1">
        <v>4.9000000000000004</v>
      </c>
      <c r="C3" s="1">
        <v>3</v>
      </c>
      <c r="D3" s="1">
        <v>1.4</v>
      </c>
      <c r="E3" s="1">
        <v>0.2</v>
      </c>
      <c r="F3" s="1">
        <v>1</v>
      </c>
    </row>
    <row r="4" spans="1:6" x14ac:dyDescent="0.3">
      <c r="A4" s="2">
        <v>2</v>
      </c>
      <c r="B4" s="1">
        <v>4.7</v>
      </c>
      <c r="C4" s="1">
        <v>3.2</v>
      </c>
      <c r="D4" s="1">
        <v>1.3</v>
      </c>
      <c r="E4" s="1">
        <v>0.2</v>
      </c>
      <c r="F4" s="1">
        <v>1</v>
      </c>
    </row>
    <row r="5" spans="1:6" x14ac:dyDescent="0.3">
      <c r="A5" s="2">
        <v>3</v>
      </c>
      <c r="B5" s="1">
        <v>4.5999999999999996</v>
      </c>
      <c r="C5" s="1">
        <v>3.1</v>
      </c>
      <c r="D5" s="1">
        <v>1.5</v>
      </c>
      <c r="E5" s="1">
        <v>0.2</v>
      </c>
      <c r="F5" s="1">
        <v>1</v>
      </c>
    </row>
    <row r="6" spans="1:6" x14ac:dyDescent="0.3">
      <c r="A6" s="2">
        <v>4</v>
      </c>
      <c r="B6" s="1">
        <v>5</v>
      </c>
      <c r="C6" s="1">
        <v>3.6</v>
      </c>
      <c r="D6" s="1">
        <v>1.4</v>
      </c>
      <c r="E6" s="1">
        <v>0.2</v>
      </c>
      <c r="F6" s="1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"/>
  <sheetViews>
    <sheetView workbookViewId="0"/>
  </sheetViews>
  <sheetFormatPr defaultRowHeight="14.4" x14ac:dyDescent="0.3"/>
  <cols>
    <col min="1" max="1" width="7.21875" customWidth="1"/>
    <col min="2" max="2" width="10.77734375" customWidth="1"/>
    <col min="3" max="3" width="14.44140625" customWidth="1"/>
    <col min="4" max="4" width="7.21875" customWidth="1"/>
    <col min="5" max="5" width="22.77734375" customWidth="1"/>
    <col min="6" max="6" width="13.21875" customWidth="1"/>
    <col min="7" max="7" width="18" customWidth="1"/>
    <col min="8" max="8" width="14.44140625" customWidth="1"/>
    <col min="9" max="9" width="26.44140625" customWidth="1"/>
    <col min="10" max="11" width="20.44140625" customWidth="1"/>
    <col min="12" max="12" width="7.21875" customWidth="1"/>
    <col min="13" max="13" width="36" customWidth="1"/>
    <col min="14" max="14" width="10.77734375" customWidth="1"/>
    <col min="15" max="15" width="9.5546875" customWidth="1"/>
  </cols>
  <sheetData>
    <row r="1" spans="1:15" x14ac:dyDescent="0.3">
      <c r="A1" s="1"/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  <c r="I1" s="2" t="s">
        <v>116</v>
      </c>
      <c r="J1" s="2" t="s">
        <v>117</v>
      </c>
      <c r="K1" s="2" t="s">
        <v>118</v>
      </c>
      <c r="L1" s="2" t="s">
        <v>119</v>
      </c>
      <c r="M1" s="2" t="s">
        <v>120</v>
      </c>
      <c r="N1" s="2" t="s">
        <v>121</v>
      </c>
      <c r="O1" s="2" t="s">
        <v>30</v>
      </c>
    </row>
    <row r="2" spans="1:15" x14ac:dyDescent="0.3">
      <c r="A2" s="2">
        <v>0</v>
      </c>
      <c r="B2" s="1">
        <v>14.23</v>
      </c>
      <c r="C2" s="1">
        <v>1.71</v>
      </c>
      <c r="D2" s="1">
        <v>2.4300000000000002</v>
      </c>
      <c r="E2" s="1">
        <v>15.6</v>
      </c>
      <c r="F2" s="1">
        <v>127</v>
      </c>
      <c r="G2" s="1">
        <v>2.8</v>
      </c>
      <c r="H2" s="1">
        <v>3.06</v>
      </c>
      <c r="I2" s="1">
        <v>0.28000000000000003</v>
      </c>
      <c r="J2" s="1">
        <v>2.29</v>
      </c>
      <c r="K2" s="1">
        <v>5.64</v>
      </c>
      <c r="L2" s="1">
        <v>1.04</v>
      </c>
      <c r="M2" s="1">
        <v>3.92</v>
      </c>
      <c r="N2" s="1">
        <v>1065</v>
      </c>
      <c r="O2" s="1">
        <v>1</v>
      </c>
    </row>
    <row r="3" spans="1:15" x14ac:dyDescent="0.3">
      <c r="A3" s="2">
        <v>1</v>
      </c>
      <c r="B3" s="1">
        <v>13.2</v>
      </c>
      <c r="C3" s="1">
        <v>1.78</v>
      </c>
      <c r="D3" s="1">
        <v>2.14</v>
      </c>
      <c r="E3" s="1">
        <v>11.2</v>
      </c>
      <c r="F3" s="1">
        <v>100</v>
      </c>
      <c r="G3" s="1">
        <v>2.65</v>
      </c>
      <c r="H3" s="1">
        <v>2.76</v>
      </c>
      <c r="I3" s="1">
        <v>0.26</v>
      </c>
      <c r="J3" s="1">
        <v>1.28</v>
      </c>
      <c r="K3" s="1">
        <v>4.38</v>
      </c>
      <c r="L3" s="1">
        <v>1.05</v>
      </c>
      <c r="M3" s="1">
        <v>3.4</v>
      </c>
      <c r="N3" s="1">
        <v>1050</v>
      </c>
      <c r="O3" s="1">
        <v>1</v>
      </c>
    </row>
    <row r="4" spans="1:15" x14ac:dyDescent="0.3">
      <c r="A4" s="2">
        <v>2</v>
      </c>
      <c r="B4" s="1">
        <v>13.16</v>
      </c>
      <c r="C4" s="1">
        <v>2.36</v>
      </c>
      <c r="D4" s="1">
        <v>2.67</v>
      </c>
      <c r="E4" s="1">
        <v>18.600000000000001</v>
      </c>
      <c r="F4" s="1">
        <v>101</v>
      </c>
      <c r="G4" s="1">
        <v>2.8</v>
      </c>
      <c r="H4" s="1">
        <v>3.24</v>
      </c>
      <c r="I4" s="1">
        <v>0.3</v>
      </c>
      <c r="J4" s="1">
        <v>2.81</v>
      </c>
      <c r="K4" s="1">
        <v>5.68</v>
      </c>
      <c r="L4" s="1">
        <v>1.03</v>
      </c>
      <c r="M4" s="1">
        <v>3.17</v>
      </c>
      <c r="N4" s="1">
        <v>1185</v>
      </c>
      <c r="O4" s="1">
        <v>1</v>
      </c>
    </row>
    <row r="5" spans="1:15" x14ac:dyDescent="0.3">
      <c r="A5" s="2">
        <v>3</v>
      </c>
      <c r="B5" s="1">
        <v>14.37</v>
      </c>
      <c r="C5" s="1">
        <v>1.95</v>
      </c>
      <c r="D5" s="1">
        <v>2.5</v>
      </c>
      <c r="E5" s="1">
        <v>16.8</v>
      </c>
      <c r="F5" s="1">
        <v>113</v>
      </c>
      <c r="G5" s="1">
        <v>3.85</v>
      </c>
      <c r="H5" s="1">
        <v>3.49</v>
      </c>
      <c r="I5" s="1">
        <v>0.24</v>
      </c>
      <c r="J5" s="1">
        <v>2.1800000000000002</v>
      </c>
      <c r="K5" s="1">
        <v>7.8</v>
      </c>
      <c r="L5" s="1">
        <v>0.86</v>
      </c>
      <c r="M5" s="1">
        <v>3.45</v>
      </c>
      <c r="N5" s="1">
        <v>1480</v>
      </c>
      <c r="O5" s="1">
        <v>1</v>
      </c>
    </row>
    <row r="6" spans="1:15" x14ac:dyDescent="0.3">
      <c r="A6" s="2">
        <v>4</v>
      </c>
      <c r="B6" s="1">
        <v>13.24</v>
      </c>
      <c r="C6" s="1">
        <v>2.59</v>
      </c>
      <c r="D6" s="1">
        <v>2.87</v>
      </c>
      <c r="E6" s="1">
        <v>21</v>
      </c>
      <c r="F6" s="1">
        <v>118</v>
      </c>
      <c r="G6" s="1">
        <v>2.8</v>
      </c>
      <c r="H6" s="1">
        <v>2.69</v>
      </c>
      <c r="I6" s="1">
        <v>0.39</v>
      </c>
      <c r="J6" s="1">
        <v>1.82</v>
      </c>
      <c r="K6" s="1">
        <v>4.32</v>
      </c>
      <c r="L6" s="1">
        <v>1.04</v>
      </c>
      <c r="M6" s="1">
        <v>2.93</v>
      </c>
      <c r="N6" s="1">
        <v>735</v>
      </c>
      <c r="O6" s="1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N6"/>
  <sheetViews>
    <sheetView workbookViewId="0"/>
  </sheetViews>
  <sheetFormatPr defaultRowHeight="14.4" x14ac:dyDescent="0.3"/>
  <cols>
    <col min="1" max="1" width="7.21875" customWidth="1"/>
    <col min="2" max="3" width="26.44140625" customWidth="1"/>
    <col min="4" max="7" width="25.21875" customWidth="1"/>
    <col min="8" max="8" width="24" customWidth="1"/>
    <col min="9" max="16" width="25.21875" customWidth="1"/>
    <col min="17" max="17" width="26.44140625" customWidth="1"/>
    <col min="18" max="19" width="25.21875" customWidth="1"/>
    <col min="20" max="20" width="26.44140625" customWidth="1"/>
    <col min="21" max="23" width="25.21875" customWidth="1"/>
    <col min="24" max="24" width="12" customWidth="1"/>
    <col min="25" max="25" width="25.21875" customWidth="1"/>
    <col min="26" max="27" width="26.44140625" customWidth="1"/>
    <col min="28" max="28" width="25.21875" customWidth="1"/>
    <col min="29" max="29" width="26.44140625" customWidth="1"/>
    <col min="30" max="30" width="24" customWidth="1"/>
    <col min="31" max="32" width="25.21875" customWidth="1"/>
    <col min="33" max="34" width="26.44140625" customWidth="1"/>
    <col min="35" max="35" width="12" customWidth="1"/>
    <col min="36" max="37" width="25.21875" customWidth="1"/>
    <col min="38" max="38" width="12" customWidth="1"/>
    <col min="39" max="39" width="24" customWidth="1"/>
    <col min="40" max="40" width="12" customWidth="1"/>
    <col min="41" max="41" width="25.21875" customWidth="1"/>
    <col min="42" max="43" width="12" customWidth="1"/>
    <col min="44" max="44" width="26.44140625" customWidth="1"/>
    <col min="45" max="45" width="25.21875" customWidth="1"/>
    <col min="46" max="46" width="12" customWidth="1"/>
    <col min="47" max="47" width="26.44140625" customWidth="1"/>
    <col min="48" max="49" width="12" customWidth="1"/>
    <col min="50" max="50" width="25.21875" customWidth="1"/>
    <col min="51" max="51" width="12" customWidth="1"/>
    <col min="52" max="52" width="25.21875" customWidth="1"/>
    <col min="53" max="54" width="26.44140625" customWidth="1"/>
    <col min="55" max="57" width="12" customWidth="1"/>
    <col min="58" max="58" width="26.44140625" customWidth="1"/>
    <col min="59" max="59" width="12" customWidth="1"/>
    <col min="60" max="60" width="24" customWidth="1"/>
    <col min="61" max="61" width="12" customWidth="1"/>
    <col min="62" max="63" width="26.44140625" customWidth="1"/>
    <col min="64" max="64" width="12" customWidth="1"/>
    <col min="65" max="65" width="26.44140625" customWidth="1"/>
    <col min="66" max="66" width="12" customWidth="1"/>
    <col min="67" max="67" width="24" customWidth="1"/>
    <col min="68" max="68" width="26.44140625" customWidth="1"/>
    <col min="69" max="69" width="12" customWidth="1"/>
    <col min="70" max="73" width="25.21875" customWidth="1"/>
    <col min="74" max="74" width="26.44140625" customWidth="1"/>
    <col min="75" max="75" width="24" customWidth="1"/>
    <col min="76" max="76" width="26.44140625" customWidth="1"/>
    <col min="77" max="77" width="25.21875" customWidth="1"/>
    <col min="78" max="78" width="12" customWidth="1"/>
    <col min="79" max="79" width="25.21875" customWidth="1"/>
    <col min="80" max="80" width="12" customWidth="1"/>
    <col min="81" max="81" width="26.44140625" customWidth="1"/>
    <col min="82" max="82" width="12" customWidth="1"/>
    <col min="83" max="84" width="26.44140625" customWidth="1"/>
    <col min="85" max="85" width="25.21875" customWidth="1"/>
    <col min="86" max="86" width="12" customWidth="1"/>
    <col min="87" max="87" width="26.44140625" customWidth="1"/>
    <col min="88" max="88" width="24" customWidth="1"/>
    <col min="89" max="90" width="25.21875" customWidth="1"/>
    <col min="91" max="91" width="26.44140625" customWidth="1"/>
    <col min="92" max="92" width="12" customWidth="1"/>
    <col min="93" max="93" width="25.21875" customWidth="1"/>
    <col min="94" max="96" width="12" customWidth="1"/>
    <col min="97" max="100" width="25.21875" customWidth="1"/>
    <col min="101" max="101" width="26.44140625" customWidth="1"/>
    <col min="102" max="102" width="25.21875" customWidth="1"/>
    <col min="103" max="103" width="24" customWidth="1"/>
    <col min="104" max="105" width="25.21875" customWidth="1"/>
    <col min="106" max="106" width="24" customWidth="1"/>
    <col min="107" max="107" width="22.77734375" customWidth="1"/>
    <col min="108" max="110" width="25.21875" customWidth="1"/>
    <col min="111" max="111" width="26.44140625" customWidth="1"/>
    <col min="112" max="112" width="25.21875" customWidth="1"/>
    <col min="113" max="114" width="24" customWidth="1"/>
    <col min="115" max="115" width="25.21875" customWidth="1"/>
    <col min="116" max="117" width="26.44140625" customWidth="1"/>
    <col min="118" max="118" width="13.21875" customWidth="1"/>
    <col min="119" max="120" width="25.21875" customWidth="1"/>
    <col min="121" max="121" width="26.44140625" customWidth="1"/>
    <col min="122" max="122" width="13.21875" customWidth="1"/>
    <col min="123" max="125" width="26.44140625" customWidth="1"/>
    <col min="126" max="127" width="13.21875" customWidth="1"/>
    <col min="128" max="128" width="24" customWidth="1"/>
    <col min="129" max="130" width="26.44140625" customWidth="1"/>
    <col min="131" max="131" width="25.21875" customWidth="1"/>
    <col min="132" max="132" width="26.44140625" customWidth="1"/>
    <col min="133" max="133" width="13.21875" customWidth="1"/>
    <col min="134" max="134" width="26.44140625" customWidth="1"/>
    <col min="135" max="135" width="13.21875" customWidth="1"/>
    <col min="136" max="136" width="25.21875" customWidth="1"/>
    <col min="137" max="137" width="26.44140625" customWidth="1"/>
    <col min="138" max="139" width="13.21875" customWidth="1"/>
    <col min="140" max="140" width="25.21875" customWidth="1"/>
    <col min="141" max="141" width="13.21875" customWidth="1"/>
    <col min="142" max="142" width="25.21875" customWidth="1"/>
    <col min="143" max="146" width="26.44140625" customWidth="1"/>
    <col min="147" max="147" width="25.21875" customWidth="1"/>
    <col min="148" max="149" width="26.44140625" customWidth="1"/>
    <col min="150" max="150" width="13.21875" customWidth="1"/>
    <col min="151" max="151" width="25.21875" customWidth="1"/>
    <col min="152" max="152" width="13.21875" customWidth="1"/>
    <col min="153" max="153" width="25.21875" customWidth="1"/>
    <col min="154" max="154" width="24" customWidth="1"/>
    <col min="155" max="158" width="25.21875" customWidth="1"/>
    <col min="159" max="159" width="13.21875" customWidth="1"/>
    <col min="160" max="160" width="26.44140625" customWidth="1"/>
    <col min="161" max="162" width="13.21875" customWidth="1"/>
    <col min="163" max="165" width="25.21875" customWidth="1"/>
    <col min="166" max="166" width="13.21875" customWidth="1"/>
    <col min="167" max="167" width="25.21875" customWidth="1"/>
    <col min="168" max="168" width="24" customWidth="1"/>
    <col min="169" max="170" width="26.44140625" customWidth="1"/>
    <col min="171" max="171" width="25.21875" customWidth="1"/>
    <col min="172" max="180" width="13.21875" customWidth="1"/>
    <col min="181" max="182" width="25.21875" customWidth="1"/>
    <col min="183" max="183" width="13.21875" customWidth="1"/>
    <col min="184" max="184" width="25.21875" customWidth="1"/>
    <col min="185" max="185" width="26.44140625" customWidth="1"/>
    <col min="186" max="186" width="13.21875" customWidth="1"/>
    <col min="187" max="188" width="25.21875" customWidth="1"/>
    <col min="189" max="189" width="13.21875" customWidth="1"/>
    <col min="190" max="190" width="26.44140625" customWidth="1"/>
    <col min="191" max="191" width="25.21875" customWidth="1"/>
    <col min="192" max="192" width="13.21875" customWidth="1"/>
    <col min="193" max="193" width="25.21875" customWidth="1"/>
    <col min="194" max="194" width="26.44140625" customWidth="1"/>
    <col min="195" max="195" width="13.21875" customWidth="1"/>
    <col min="196" max="196" width="24" customWidth="1"/>
    <col min="197" max="197" width="13.21875" customWidth="1"/>
    <col min="198" max="198" width="26.44140625" customWidth="1"/>
    <col min="199" max="199" width="13.21875" customWidth="1"/>
    <col min="200" max="200" width="25.21875" customWidth="1"/>
    <col min="201" max="202" width="13.21875" customWidth="1"/>
    <col min="203" max="203" width="26.44140625" customWidth="1"/>
    <col min="204" max="204" width="13.21875" customWidth="1"/>
    <col min="205" max="206" width="25.21875" customWidth="1"/>
    <col min="207" max="207" width="13.21875" customWidth="1"/>
    <col min="208" max="209" width="25.21875" customWidth="1"/>
    <col min="210" max="210" width="13.21875" customWidth="1"/>
    <col min="211" max="211" width="22.77734375" customWidth="1"/>
    <col min="212" max="214" width="25.21875" customWidth="1"/>
    <col min="215" max="215" width="13.21875" customWidth="1"/>
    <col min="216" max="216" width="25.21875" customWidth="1"/>
    <col min="217" max="217" width="13.21875" customWidth="1"/>
    <col min="218" max="218" width="25.21875" customWidth="1"/>
    <col min="219" max="219" width="26.44140625" customWidth="1"/>
    <col min="220" max="220" width="13.21875" customWidth="1"/>
    <col min="221" max="221" width="24" customWidth="1"/>
    <col min="222" max="222" width="25.21875" customWidth="1"/>
    <col min="223" max="223" width="26.44140625" customWidth="1"/>
    <col min="224" max="225" width="25.21875" customWidth="1"/>
    <col min="226" max="226" width="26.44140625" customWidth="1"/>
    <col min="227" max="231" width="25.21875" customWidth="1"/>
    <col min="232" max="232" width="24" customWidth="1"/>
    <col min="233" max="234" width="25.21875" customWidth="1"/>
    <col min="235" max="236" width="13.21875" customWidth="1"/>
    <col min="237" max="237" width="25.21875" customWidth="1"/>
    <col min="238" max="238" width="13.21875" customWidth="1"/>
    <col min="239" max="239" width="26.44140625" customWidth="1"/>
    <col min="240" max="242" width="13.21875" customWidth="1"/>
    <col min="243" max="243" width="25.21875" customWidth="1"/>
    <col min="244" max="245" width="13.21875" customWidth="1"/>
    <col min="246" max="246" width="25.21875" customWidth="1"/>
    <col min="247" max="247" width="26.44140625" customWidth="1"/>
    <col min="248" max="248" width="13.21875" customWidth="1"/>
    <col min="249" max="250" width="26.44140625" customWidth="1"/>
    <col min="251" max="251" width="13.21875" customWidth="1"/>
    <col min="252" max="252" width="26.44140625" customWidth="1"/>
    <col min="253" max="255" width="13.21875" customWidth="1"/>
    <col min="256" max="256" width="26.44140625" customWidth="1"/>
    <col min="257" max="257" width="13.21875" customWidth="1"/>
    <col min="258" max="259" width="26.44140625" customWidth="1"/>
    <col min="260" max="260" width="25.21875" customWidth="1"/>
    <col min="261" max="261" width="13.21875" customWidth="1"/>
    <col min="262" max="262" width="26.44140625" customWidth="1"/>
    <col min="263" max="263" width="25.21875" customWidth="1"/>
    <col min="264" max="264" width="24" customWidth="1"/>
    <col min="265" max="265" width="25.21875" customWidth="1"/>
    <col min="266" max="269" width="26.44140625" customWidth="1"/>
    <col min="270" max="270" width="13.21875" customWidth="1"/>
    <col min="271" max="271" width="25.21875" customWidth="1"/>
    <col min="272" max="272" width="22.77734375" customWidth="1"/>
    <col min="273" max="273" width="13.21875" customWidth="1"/>
    <col min="274" max="274" width="25.21875" customWidth="1"/>
    <col min="275" max="275" width="13.21875" customWidth="1"/>
    <col min="276" max="276" width="26.44140625" customWidth="1"/>
    <col min="277" max="277" width="24" customWidth="1"/>
    <col min="278" max="278" width="25.21875" customWidth="1"/>
    <col min="279" max="280" width="26.44140625" customWidth="1"/>
    <col min="281" max="283" width="13.21875" customWidth="1"/>
    <col min="284" max="284" width="26.44140625" customWidth="1"/>
    <col min="285" max="285" width="13.21875" customWidth="1"/>
    <col min="286" max="286" width="26.44140625" customWidth="1"/>
    <col min="287" max="287" width="13.21875" customWidth="1"/>
    <col min="288" max="289" width="26.44140625" customWidth="1"/>
    <col min="290" max="290" width="24" customWidth="1"/>
    <col min="291" max="291" width="13.21875" customWidth="1"/>
    <col min="292" max="292" width="25.21875" customWidth="1"/>
    <col min="293" max="293" width="13.21875" customWidth="1"/>
    <col min="294" max="295" width="26.44140625" customWidth="1"/>
    <col min="296" max="297" width="13.21875" customWidth="1"/>
    <col min="298" max="298" width="26.44140625" customWidth="1"/>
    <col min="299" max="300" width="13.21875" customWidth="1"/>
    <col min="301" max="301" width="25.21875" customWidth="1"/>
    <col min="302" max="303" width="13.21875" customWidth="1"/>
    <col min="304" max="304" width="25.21875" customWidth="1"/>
    <col min="305" max="305" width="26.44140625" customWidth="1"/>
    <col min="306" max="310" width="13.21875" customWidth="1"/>
    <col min="311" max="311" width="26.44140625" customWidth="1"/>
    <col min="312" max="312" width="13.21875" customWidth="1"/>
    <col min="313" max="313" width="26.44140625" customWidth="1"/>
    <col min="314" max="314" width="25.21875" customWidth="1"/>
    <col min="315" max="315" width="26.44140625" customWidth="1"/>
    <col min="316" max="318" width="13.21875" customWidth="1"/>
    <col min="319" max="319" width="26.44140625" customWidth="1"/>
    <col min="320" max="320" width="25.21875" customWidth="1"/>
    <col min="321" max="323" width="13.21875" customWidth="1"/>
    <col min="324" max="324" width="25.21875" customWidth="1"/>
    <col min="325" max="325" width="13.21875" customWidth="1"/>
    <col min="326" max="326" width="26.44140625" customWidth="1"/>
    <col min="327" max="327" width="13.21875" customWidth="1"/>
    <col min="328" max="329" width="25.21875" customWidth="1"/>
    <col min="330" max="331" width="26.44140625" customWidth="1"/>
    <col min="332" max="332" width="25.21875" customWidth="1"/>
    <col min="333" max="333" width="26.44140625" customWidth="1"/>
    <col min="334" max="334" width="25.21875" customWidth="1"/>
    <col min="335" max="336" width="24" customWidth="1"/>
    <col min="337" max="337" width="26.44140625" customWidth="1"/>
    <col min="338" max="338" width="25.21875" customWidth="1"/>
    <col min="339" max="339" width="13.21875" customWidth="1"/>
    <col min="340" max="340" width="26.44140625" customWidth="1"/>
    <col min="341" max="342" width="25.21875" customWidth="1"/>
    <col min="343" max="343" width="26.44140625" customWidth="1"/>
    <col min="344" max="345" width="25.21875" customWidth="1"/>
    <col min="346" max="346" width="26.44140625" customWidth="1"/>
    <col min="347" max="347" width="13.21875" customWidth="1"/>
    <col min="348" max="348" width="26.44140625" customWidth="1"/>
    <col min="349" max="349" width="24" customWidth="1"/>
    <col min="350" max="350" width="25.21875" customWidth="1"/>
    <col min="351" max="351" width="13.21875" customWidth="1"/>
    <col min="352" max="352" width="25.21875" customWidth="1"/>
    <col min="353" max="354" width="24" customWidth="1"/>
    <col min="355" max="355" width="26.44140625" customWidth="1"/>
    <col min="356" max="357" width="13.21875" customWidth="1"/>
    <col min="358" max="358" width="25.21875" customWidth="1"/>
    <col min="359" max="359" width="13.21875" customWidth="1"/>
    <col min="360" max="360" width="26.44140625" customWidth="1"/>
    <col min="361" max="361" width="25.21875" customWidth="1"/>
    <col min="362" max="362" width="13.21875" customWidth="1"/>
    <col min="363" max="363" width="25.21875" customWidth="1"/>
    <col min="364" max="364" width="13.21875" customWidth="1"/>
    <col min="365" max="366" width="26.44140625" customWidth="1"/>
    <col min="367" max="367" width="25.21875" customWidth="1"/>
    <col min="368" max="368" width="26.44140625" customWidth="1"/>
    <col min="369" max="369" width="25.21875" customWidth="1"/>
    <col min="370" max="372" width="13.21875" customWidth="1"/>
    <col min="373" max="373" width="26.44140625" customWidth="1"/>
    <col min="374" max="374" width="13.21875" customWidth="1"/>
    <col min="375" max="375" width="26.44140625" customWidth="1"/>
    <col min="376" max="376" width="24" customWidth="1"/>
    <col min="377" max="377" width="13.21875" customWidth="1"/>
    <col min="378" max="378" width="24" customWidth="1"/>
    <col min="379" max="379" width="13.21875" customWidth="1"/>
    <col min="380" max="380" width="25.21875" customWidth="1"/>
    <col min="381" max="382" width="26.44140625" customWidth="1"/>
    <col min="383" max="385" width="13.21875" customWidth="1"/>
    <col min="386" max="387" width="26.44140625" customWidth="1"/>
    <col min="388" max="388" width="13.21875" customWidth="1"/>
    <col min="389" max="389" width="24" customWidth="1"/>
    <col min="390" max="390" width="25.21875" customWidth="1"/>
    <col min="391" max="391" width="13.21875" customWidth="1"/>
    <col min="392" max="392" width="26.44140625" customWidth="1"/>
    <col min="393" max="393" width="25.21875" customWidth="1"/>
    <col min="394" max="394" width="26.44140625" customWidth="1"/>
    <col min="395" max="395" width="24" customWidth="1"/>
    <col min="396" max="396" width="26.44140625" customWidth="1"/>
    <col min="397" max="397" width="25.21875" customWidth="1"/>
    <col min="398" max="398" width="26.44140625" customWidth="1"/>
    <col min="399" max="399" width="24" customWidth="1"/>
    <col min="400" max="401" width="13.21875" customWidth="1"/>
    <col min="402" max="402" width="26.44140625" customWidth="1"/>
    <col min="403" max="403" width="13.21875" customWidth="1"/>
    <col min="404" max="404" width="26.44140625" customWidth="1"/>
    <col min="405" max="407" width="13.21875" customWidth="1"/>
    <col min="408" max="408" width="25.21875" customWidth="1"/>
    <col min="409" max="409" width="26.44140625" customWidth="1"/>
    <col min="410" max="410" width="22.77734375" customWidth="1"/>
    <col min="411" max="411" width="25.21875" customWidth="1"/>
    <col min="412" max="412" width="26.44140625" customWidth="1"/>
    <col min="413" max="413" width="13.21875" customWidth="1"/>
    <col min="414" max="414" width="26.44140625" customWidth="1"/>
    <col min="415" max="415" width="25.21875" customWidth="1"/>
    <col min="416" max="416" width="13.21875" customWidth="1"/>
    <col min="417" max="420" width="25.21875" customWidth="1"/>
    <col min="421" max="421" width="24" customWidth="1"/>
    <col min="422" max="422" width="26.44140625" customWidth="1"/>
    <col min="423" max="423" width="13.21875" customWidth="1"/>
    <col min="424" max="429" width="25.21875" customWidth="1"/>
    <col min="430" max="430" width="13.21875" customWidth="1"/>
    <col min="431" max="431" width="26.44140625" customWidth="1"/>
    <col min="432" max="434" width="25.21875" customWidth="1"/>
    <col min="435" max="437" width="13.21875" customWidth="1"/>
    <col min="438" max="438" width="24" customWidth="1"/>
    <col min="439" max="439" width="25.21875" customWidth="1"/>
    <col min="440" max="441" width="26.44140625" customWidth="1"/>
    <col min="442" max="443" width="25.21875" customWidth="1"/>
    <col min="444" max="444" width="26.44140625" customWidth="1"/>
    <col min="445" max="445" width="13.21875" customWidth="1"/>
    <col min="446" max="446" width="25.21875" customWidth="1"/>
    <col min="447" max="451" width="13.21875" customWidth="1"/>
    <col min="452" max="452" width="26.44140625" customWidth="1"/>
    <col min="453" max="453" width="25.21875" customWidth="1"/>
    <col min="454" max="454" width="26.44140625" customWidth="1"/>
    <col min="455" max="455" width="25.21875" customWidth="1"/>
    <col min="456" max="457" width="13.21875" customWidth="1"/>
    <col min="458" max="458" width="26.44140625" customWidth="1"/>
    <col min="459" max="459" width="25.21875" customWidth="1"/>
    <col min="460" max="461" width="26.44140625" customWidth="1"/>
    <col min="462" max="464" width="13.21875" customWidth="1"/>
    <col min="465" max="465" width="26.44140625" customWidth="1"/>
    <col min="466" max="466" width="13.21875" customWidth="1"/>
    <col min="467" max="467" width="26.44140625" customWidth="1"/>
    <col min="468" max="469" width="13.21875" customWidth="1"/>
    <col min="470" max="470" width="25.21875" customWidth="1"/>
    <col min="471" max="471" width="13.21875" customWidth="1"/>
    <col min="472" max="472" width="26.44140625" customWidth="1"/>
    <col min="473" max="474" width="25.21875" customWidth="1"/>
    <col min="475" max="475" width="13.21875" customWidth="1"/>
    <col min="476" max="476" width="26.44140625" customWidth="1"/>
    <col min="477" max="478" width="13.21875" customWidth="1"/>
    <col min="479" max="479" width="25.21875" customWidth="1"/>
    <col min="480" max="480" width="13.21875" customWidth="1"/>
    <col min="481" max="481" width="25.21875" customWidth="1"/>
    <col min="482" max="482" width="26.44140625" customWidth="1"/>
    <col min="483" max="483" width="13.21875" customWidth="1"/>
    <col min="484" max="484" width="25.21875" customWidth="1"/>
    <col min="485" max="486" width="13.21875" customWidth="1"/>
    <col min="487" max="487" width="25.21875" customWidth="1"/>
    <col min="488" max="489" width="26.44140625" customWidth="1"/>
    <col min="490" max="490" width="25.21875" customWidth="1"/>
    <col min="491" max="491" width="24" customWidth="1"/>
    <col min="492" max="493" width="13.21875" customWidth="1"/>
    <col min="494" max="494" width="25.21875" customWidth="1"/>
    <col min="495" max="498" width="13.21875" customWidth="1"/>
    <col min="499" max="499" width="26.44140625" customWidth="1"/>
    <col min="500" max="500" width="25.21875" customWidth="1"/>
    <col min="501" max="501" width="26.44140625" customWidth="1"/>
    <col min="502" max="504" width="13.21875" customWidth="1"/>
    <col min="505" max="505" width="26.44140625" customWidth="1"/>
    <col min="506" max="507" width="25.21875" customWidth="1"/>
    <col min="508" max="508" width="24" customWidth="1"/>
    <col min="509" max="509" width="25.21875" customWidth="1"/>
    <col min="510" max="510" width="13.21875" customWidth="1"/>
    <col min="511" max="511" width="24" customWidth="1"/>
    <col min="512" max="512" width="25.21875" customWidth="1"/>
    <col min="513" max="514" width="26.44140625" customWidth="1"/>
    <col min="515" max="515" width="13.21875" customWidth="1"/>
    <col min="516" max="517" width="26.44140625" customWidth="1"/>
    <col min="518" max="520" width="25.21875" customWidth="1"/>
    <col min="521" max="521" width="26.44140625" customWidth="1"/>
    <col min="522" max="523" width="25.21875" customWidth="1"/>
    <col min="524" max="525" width="13.21875" customWidth="1"/>
    <col min="526" max="526" width="25.21875" customWidth="1"/>
    <col min="527" max="527" width="13.21875" customWidth="1"/>
    <col min="528" max="528" width="25.21875" customWidth="1"/>
    <col min="529" max="530" width="13.21875" customWidth="1"/>
    <col min="531" max="531" width="26.44140625" customWidth="1"/>
    <col min="532" max="534" width="13.21875" customWidth="1"/>
    <col min="535" max="535" width="26.44140625" customWidth="1"/>
    <col min="536" max="536" width="25.21875" customWidth="1"/>
    <col min="537" max="537" width="13.21875" customWidth="1"/>
    <col min="538" max="538" width="26.44140625" customWidth="1"/>
    <col min="539" max="539" width="25.21875" customWidth="1"/>
    <col min="540" max="540" width="13.21875" customWidth="1"/>
    <col min="541" max="542" width="25.21875" customWidth="1"/>
    <col min="543" max="543" width="13.21875" customWidth="1"/>
    <col min="544" max="544" width="26.44140625" customWidth="1"/>
    <col min="545" max="545" width="25.21875" customWidth="1"/>
    <col min="546" max="546" width="26.44140625" customWidth="1"/>
    <col min="547" max="549" width="13.21875" customWidth="1"/>
    <col min="550" max="550" width="25.21875" customWidth="1"/>
    <col min="551" max="553" width="26.44140625" customWidth="1"/>
    <col min="554" max="555" width="25.21875" customWidth="1"/>
    <col min="556" max="556" width="24" customWidth="1"/>
    <col min="557" max="557" width="25.21875" customWidth="1"/>
    <col min="558" max="559" width="13.21875" customWidth="1"/>
    <col min="560" max="561" width="26.44140625" customWidth="1"/>
    <col min="562" max="562" width="13.21875" customWidth="1"/>
    <col min="563" max="564" width="25.21875" customWidth="1"/>
    <col min="565" max="567" width="13.21875" customWidth="1"/>
    <col min="568" max="568" width="25.21875" customWidth="1"/>
    <col min="569" max="570" width="13.21875" customWidth="1"/>
    <col min="571" max="572" width="26.44140625" customWidth="1"/>
    <col min="573" max="573" width="25.21875" customWidth="1"/>
    <col min="574" max="574" width="13.21875" customWidth="1"/>
    <col min="575" max="576" width="25.21875" customWidth="1"/>
    <col min="577" max="577" width="13.21875" customWidth="1"/>
    <col min="578" max="579" width="26.44140625" customWidth="1"/>
    <col min="580" max="580" width="25.21875" customWidth="1"/>
    <col min="581" max="581" width="26.44140625" customWidth="1"/>
    <col min="582" max="582" width="13.21875" customWidth="1"/>
    <col min="583" max="583" width="25.21875" customWidth="1"/>
    <col min="584" max="584" width="24" customWidth="1"/>
    <col min="585" max="588" width="25.21875" customWidth="1"/>
    <col min="589" max="589" width="13.21875" customWidth="1"/>
    <col min="590" max="590" width="22.77734375" customWidth="1"/>
    <col min="591" max="591" width="13.21875" customWidth="1"/>
    <col min="592" max="593" width="25.21875" customWidth="1"/>
    <col min="594" max="594" width="13.21875" customWidth="1"/>
    <col min="595" max="595" width="24" customWidth="1"/>
    <col min="596" max="597" width="25.21875" customWidth="1"/>
    <col min="598" max="598" width="13.21875" customWidth="1"/>
    <col min="599" max="599" width="25.21875" customWidth="1"/>
    <col min="600" max="600" width="13.21875" customWidth="1"/>
    <col min="601" max="601" width="25.21875" customWidth="1"/>
    <col min="602" max="602" width="24" customWidth="1"/>
    <col min="603" max="603" width="26.44140625" customWidth="1"/>
    <col min="604" max="605" width="25.21875" customWidth="1"/>
    <col min="606" max="606" width="24" customWidth="1"/>
    <col min="607" max="607" width="25.21875" customWidth="1"/>
    <col min="608" max="609" width="26.44140625" customWidth="1"/>
    <col min="610" max="611" width="25.21875" customWidth="1"/>
    <col min="612" max="612" width="13.21875" customWidth="1"/>
    <col min="613" max="613" width="25.21875" customWidth="1"/>
    <col min="614" max="614" width="26.44140625" customWidth="1"/>
    <col min="615" max="615" width="25.21875" customWidth="1"/>
    <col min="616" max="617" width="26.44140625" customWidth="1"/>
    <col min="618" max="620" width="13.21875" customWidth="1"/>
    <col min="621" max="622" width="25.21875" customWidth="1"/>
    <col min="623" max="623" width="13.21875" customWidth="1"/>
    <col min="624" max="625" width="26.44140625" customWidth="1"/>
    <col min="626" max="628" width="25.21875" customWidth="1"/>
    <col min="629" max="629" width="26.44140625" customWidth="1"/>
    <col min="630" max="630" width="22.77734375" customWidth="1"/>
    <col min="631" max="631" width="26.44140625" customWidth="1"/>
    <col min="632" max="632" width="25.21875" customWidth="1"/>
    <col min="633" max="633" width="13.21875" customWidth="1"/>
    <col min="634" max="634" width="26.44140625" customWidth="1"/>
    <col min="635" max="635" width="13.21875" customWidth="1"/>
    <col min="636" max="636" width="26.44140625" customWidth="1"/>
    <col min="637" max="639" width="25.21875" customWidth="1"/>
    <col min="640" max="640" width="26.44140625" customWidth="1"/>
    <col min="641" max="642" width="25.21875" customWidth="1"/>
    <col min="643" max="643" width="13.21875" customWidth="1"/>
    <col min="644" max="647" width="25.21875" customWidth="1"/>
    <col min="648" max="648" width="26.44140625" customWidth="1"/>
    <col min="649" max="649" width="25.21875" customWidth="1"/>
    <col min="650" max="650" width="26.44140625" customWidth="1"/>
    <col min="651" max="651" width="13.21875" customWidth="1"/>
    <col min="652" max="653" width="26.44140625" customWidth="1"/>
    <col min="654" max="654" width="13.21875" customWidth="1"/>
    <col min="655" max="655" width="26.44140625" customWidth="1"/>
    <col min="656" max="656" width="13.21875" customWidth="1"/>
    <col min="657" max="657" width="25.21875" customWidth="1"/>
    <col min="658" max="660" width="26.44140625" customWidth="1"/>
    <col min="661" max="663" width="25.21875" customWidth="1"/>
    <col min="664" max="665" width="26.44140625" customWidth="1"/>
    <col min="666" max="666" width="25.21875" customWidth="1"/>
    <col min="667" max="668" width="13.21875" customWidth="1"/>
    <col min="669" max="669" width="26.44140625" customWidth="1"/>
    <col min="670" max="671" width="13.21875" customWidth="1"/>
    <col min="672" max="672" width="26.44140625" customWidth="1"/>
    <col min="673" max="673" width="13.21875" customWidth="1"/>
    <col min="674" max="674" width="25.21875" customWidth="1"/>
    <col min="675" max="676" width="13.21875" customWidth="1"/>
    <col min="677" max="678" width="25.21875" customWidth="1"/>
    <col min="679" max="679" width="26.44140625" customWidth="1"/>
    <col min="680" max="680" width="25.21875" customWidth="1"/>
    <col min="681" max="683" width="13.21875" customWidth="1"/>
    <col min="684" max="684" width="26.44140625" customWidth="1"/>
    <col min="685" max="685" width="24" customWidth="1"/>
    <col min="686" max="686" width="25.21875" customWidth="1"/>
    <col min="687" max="687" width="13.21875" customWidth="1"/>
    <col min="688" max="688" width="26.44140625" customWidth="1"/>
    <col min="689" max="690" width="13.21875" customWidth="1"/>
    <col min="691" max="691" width="26.44140625" customWidth="1"/>
    <col min="692" max="692" width="13.21875" customWidth="1"/>
    <col min="693" max="693" width="26.44140625" customWidth="1"/>
    <col min="694" max="696" width="13.21875" customWidth="1"/>
    <col min="697" max="697" width="26.44140625" customWidth="1"/>
    <col min="698" max="698" width="25.21875" customWidth="1"/>
    <col min="699" max="700" width="26.44140625" customWidth="1"/>
    <col min="701" max="701" width="13.21875" customWidth="1"/>
    <col min="702" max="703" width="24" customWidth="1"/>
    <col min="704" max="706" width="26.44140625" customWidth="1"/>
    <col min="707" max="708" width="25.21875" customWidth="1"/>
    <col min="709" max="711" width="13.21875" customWidth="1"/>
    <col min="712" max="712" width="26.44140625" customWidth="1"/>
    <col min="713" max="714" width="13.21875" customWidth="1"/>
    <col min="715" max="716" width="25.21875" customWidth="1"/>
    <col min="717" max="717" width="26.44140625" customWidth="1"/>
    <col min="718" max="721" width="13.21875" customWidth="1"/>
    <col min="722" max="724" width="25.21875" customWidth="1"/>
    <col min="725" max="725" width="13.21875" customWidth="1"/>
    <col min="726" max="727" width="26.44140625" customWidth="1"/>
    <col min="728" max="728" width="24" customWidth="1"/>
    <col min="729" max="729" width="26.44140625" customWidth="1"/>
    <col min="730" max="730" width="24" customWidth="1"/>
    <col min="731" max="731" width="25.21875" customWidth="1"/>
    <col min="732" max="732" width="26.44140625" customWidth="1"/>
    <col min="733" max="735" width="13.21875" customWidth="1"/>
    <col min="736" max="736" width="25.21875" customWidth="1"/>
    <col min="737" max="737" width="26.44140625" customWidth="1"/>
    <col min="738" max="738" width="25.21875" customWidth="1"/>
    <col min="739" max="740" width="26.44140625" customWidth="1"/>
    <col min="741" max="742" width="13.21875" customWidth="1"/>
    <col min="743" max="743" width="25.21875" customWidth="1"/>
    <col min="744" max="744" width="26.44140625" customWidth="1"/>
    <col min="745" max="745" width="25.21875" customWidth="1"/>
    <col min="746" max="748" width="13.21875" customWidth="1"/>
    <col min="749" max="749" width="26.44140625" customWidth="1"/>
    <col min="750" max="750" width="13.21875" customWidth="1"/>
    <col min="751" max="751" width="26.44140625" customWidth="1"/>
    <col min="752" max="753" width="13.21875" customWidth="1"/>
    <col min="754" max="756" width="26.44140625" customWidth="1"/>
    <col min="757" max="757" width="25.21875" customWidth="1"/>
    <col min="758" max="759" width="13.21875" customWidth="1"/>
    <col min="760" max="760" width="25.21875" customWidth="1"/>
    <col min="761" max="762" width="26.44140625" customWidth="1"/>
    <col min="763" max="764" width="13.21875" customWidth="1"/>
    <col min="765" max="765" width="24" customWidth="1"/>
    <col min="766" max="766" width="13.21875" customWidth="1"/>
    <col min="767" max="767" width="25.21875" customWidth="1"/>
    <col min="768" max="768" width="24" customWidth="1"/>
    <col min="769" max="769" width="25.21875" customWidth="1"/>
    <col min="770" max="770" width="26.44140625" customWidth="1"/>
    <col min="771" max="771" width="13.21875" customWidth="1"/>
    <col min="772" max="772" width="26.44140625" customWidth="1"/>
    <col min="773" max="773" width="13.21875" customWidth="1"/>
    <col min="774" max="776" width="25.21875" customWidth="1"/>
    <col min="777" max="778" width="26.44140625" customWidth="1"/>
    <col min="779" max="779" width="13.21875" customWidth="1"/>
    <col min="780" max="780" width="25.21875" customWidth="1"/>
    <col min="781" max="781" width="13.21875" customWidth="1"/>
    <col min="782" max="782" width="25.21875" customWidth="1"/>
    <col min="783" max="783" width="13.21875" customWidth="1"/>
    <col min="784" max="784" width="24" customWidth="1"/>
    <col min="785" max="785" width="26.44140625" customWidth="1"/>
    <col min="786" max="786" width="13.21875" customWidth="1"/>
    <col min="787" max="788" width="25.21875" customWidth="1"/>
    <col min="789" max="789" width="13.21875" customWidth="1"/>
    <col min="790" max="790" width="24" customWidth="1"/>
    <col min="791" max="791" width="26.44140625" customWidth="1"/>
    <col min="792" max="792" width="25.21875" customWidth="1"/>
    <col min="793" max="794" width="13.21875" customWidth="1"/>
    <col min="795" max="796" width="25.21875" customWidth="1"/>
    <col min="797" max="798" width="26.44140625" customWidth="1"/>
    <col min="799" max="799" width="13.21875" customWidth="1"/>
    <col min="800" max="800" width="25.21875" customWidth="1"/>
    <col min="801" max="802" width="13.21875" customWidth="1"/>
    <col min="803" max="803" width="26.44140625" customWidth="1"/>
    <col min="804" max="804" width="24" customWidth="1"/>
    <col min="805" max="806" width="25.21875" customWidth="1"/>
    <col min="807" max="807" width="26.44140625" customWidth="1"/>
    <col min="808" max="808" width="25.21875" customWidth="1"/>
    <col min="809" max="809" width="13.21875" customWidth="1"/>
    <col min="810" max="810" width="25.21875" customWidth="1"/>
    <col min="811" max="814" width="26.44140625" customWidth="1"/>
    <col min="815" max="815" width="24" customWidth="1"/>
    <col min="816" max="817" width="13.21875" customWidth="1"/>
    <col min="818" max="819" width="26.44140625" customWidth="1"/>
    <col min="820" max="821" width="13.21875" customWidth="1"/>
    <col min="822" max="823" width="25.21875" customWidth="1"/>
    <col min="824" max="824" width="26.44140625" customWidth="1"/>
    <col min="825" max="827" width="25.21875" customWidth="1"/>
    <col min="828" max="829" width="26.44140625" customWidth="1"/>
    <col min="830" max="830" width="25.21875" customWidth="1"/>
    <col min="831" max="831" width="26.44140625" customWidth="1"/>
    <col min="832" max="832" width="25.21875" customWidth="1"/>
    <col min="833" max="833" width="24" customWidth="1"/>
    <col min="834" max="834" width="25.21875" customWidth="1"/>
    <col min="835" max="835" width="24" customWidth="1"/>
    <col min="836" max="837" width="13.21875" customWidth="1"/>
    <col min="838" max="839" width="25.21875" customWidth="1"/>
    <col min="840" max="840" width="24" customWidth="1"/>
    <col min="841" max="842" width="25.21875" customWidth="1"/>
    <col min="843" max="843" width="26.44140625" customWidth="1"/>
    <col min="844" max="844" width="25.21875" customWidth="1"/>
    <col min="845" max="846" width="13.21875" customWidth="1"/>
    <col min="847" max="847" width="25.21875" customWidth="1"/>
    <col min="848" max="849" width="26.44140625" customWidth="1"/>
    <col min="850" max="851" width="13.21875" customWidth="1"/>
    <col min="852" max="853" width="25.21875" customWidth="1"/>
    <col min="854" max="854" width="26.44140625" customWidth="1"/>
    <col min="855" max="855" width="13.21875" customWidth="1"/>
    <col min="856" max="857" width="25.21875" customWidth="1"/>
    <col min="858" max="858" width="13.21875" customWidth="1"/>
    <col min="859" max="860" width="26.44140625" customWidth="1"/>
    <col min="861" max="861" width="25.21875" customWidth="1"/>
    <col min="862" max="862" width="13.21875" customWidth="1"/>
    <col min="863" max="864" width="25.21875" customWidth="1"/>
    <col min="865" max="865" width="13.21875" customWidth="1"/>
    <col min="866" max="866" width="25.21875" customWidth="1"/>
    <col min="867" max="868" width="26.44140625" customWidth="1"/>
    <col min="869" max="869" width="25.21875" customWidth="1"/>
    <col min="870" max="871" width="26.44140625" customWidth="1"/>
    <col min="872" max="872" width="21.5546875" customWidth="1"/>
    <col min="873" max="874" width="26.44140625" customWidth="1"/>
    <col min="875" max="875" width="13.21875" customWidth="1"/>
    <col min="876" max="876" width="24" customWidth="1"/>
    <col min="877" max="877" width="25.21875" customWidth="1"/>
    <col min="878" max="878" width="26.44140625" customWidth="1"/>
    <col min="879" max="879" width="24" customWidth="1"/>
    <col min="880" max="881" width="26.44140625" customWidth="1"/>
    <col min="882" max="883" width="13.21875" customWidth="1"/>
    <col min="884" max="884" width="26.44140625" customWidth="1"/>
    <col min="885" max="885" width="25.21875" customWidth="1"/>
    <col min="886" max="886" width="24" customWidth="1"/>
    <col min="887" max="888" width="25.21875" customWidth="1"/>
    <col min="889" max="893" width="13.21875" customWidth="1"/>
    <col min="894" max="894" width="26.44140625" customWidth="1"/>
    <col min="895" max="895" width="25.21875" customWidth="1"/>
    <col min="896" max="897" width="26.44140625" customWidth="1"/>
    <col min="898" max="899" width="24" customWidth="1"/>
    <col min="900" max="900" width="13.21875" customWidth="1"/>
    <col min="901" max="901" width="26.44140625" customWidth="1"/>
    <col min="902" max="903" width="13.21875" customWidth="1"/>
    <col min="904" max="904" width="24" customWidth="1"/>
    <col min="905" max="905" width="25.21875" customWidth="1"/>
    <col min="906" max="907" width="13.21875" customWidth="1"/>
    <col min="908" max="908" width="25.21875" customWidth="1"/>
    <col min="909" max="909" width="13.21875" customWidth="1"/>
    <col min="910" max="913" width="25.21875" customWidth="1"/>
    <col min="914" max="914" width="26.44140625" customWidth="1"/>
    <col min="915" max="915" width="24" customWidth="1"/>
    <col min="916" max="918" width="25.21875" customWidth="1"/>
    <col min="919" max="920" width="26.44140625" customWidth="1"/>
    <col min="921" max="922" width="25.21875" customWidth="1"/>
    <col min="923" max="923" width="26.44140625" customWidth="1"/>
    <col min="924" max="924" width="13.21875" customWidth="1"/>
    <col min="925" max="926" width="25.21875" customWidth="1"/>
    <col min="927" max="927" width="13.21875" customWidth="1"/>
    <col min="928" max="928" width="25.21875" customWidth="1"/>
    <col min="929" max="929" width="24" customWidth="1"/>
    <col min="930" max="930" width="26.44140625" customWidth="1"/>
    <col min="931" max="931" width="25.21875" customWidth="1"/>
    <col min="932" max="932" width="13.21875" customWidth="1"/>
    <col min="933" max="933" width="26.44140625" customWidth="1"/>
    <col min="934" max="934" width="25.21875" customWidth="1"/>
    <col min="935" max="936" width="24" customWidth="1"/>
    <col min="937" max="938" width="25.21875" customWidth="1"/>
    <col min="939" max="939" width="13.21875" customWidth="1"/>
    <col min="940" max="940" width="25.21875" customWidth="1"/>
    <col min="941" max="941" width="26.44140625" customWidth="1"/>
    <col min="942" max="942" width="25.21875" customWidth="1"/>
    <col min="943" max="943" width="13.21875" customWidth="1"/>
    <col min="944" max="944" width="25.21875" customWidth="1"/>
    <col min="945" max="945" width="26.44140625" customWidth="1"/>
    <col min="946" max="946" width="25.21875" customWidth="1"/>
    <col min="947" max="947" width="26.44140625" customWidth="1"/>
    <col min="948" max="948" width="22.77734375" customWidth="1"/>
    <col min="949" max="949" width="13.21875" customWidth="1"/>
    <col min="950" max="951" width="26.44140625" customWidth="1"/>
    <col min="952" max="952" width="25.21875" customWidth="1"/>
    <col min="953" max="954" width="26.44140625" customWidth="1"/>
    <col min="955" max="955" width="13.21875" customWidth="1"/>
    <col min="956" max="956" width="26.44140625" customWidth="1"/>
    <col min="957" max="957" width="13.21875" customWidth="1"/>
    <col min="958" max="958" width="25.21875" customWidth="1"/>
    <col min="959" max="963" width="13.21875" customWidth="1"/>
    <col min="964" max="964" width="25.21875" customWidth="1"/>
    <col min="965" max="965" width="13.21875" customWidth="1"/>
    <col min="966" max="966" width="26.44140625" customWidth="1"/>
    <col min="967" max="969" width="25.21875" customWidth="1"/>
    <col min="970" max="970" width="26.44140625" customWidth="1"/>
    <col min="971" max="971" width="25.21875" customWidth="1"/>
    <col min="972" max="973" width="13.21875" customWidth="1"/>
    <col min="974" max="974" width="26.44140625" customWidth="1"/>
    <col min="975" max="975" width="13.21875" customWidth="1"/>
    <col min="976" max="977" width="26.44140625" customWidth="1"/>
    <col min="978" max="978" width="13.21875" customWidth="1"/>
    <col min="979" max="979" width="25.21875" customWidth="1"/>
    <col min="980" max="980" width="26.44140625" customWidth="1"/>
    <col min="981" max="981" width="13.21875" customWidth="1"/>
    <col min="982" max="983" width="26.44140625" customWidth="1"/>
    <col min="984" max="984" width="13.21875" customWidth="1"/>
    <col min="985" max="985" width="25.21875" customWidth="1"/>
    <col min="986" max="986" width="26.44140625" customWidth="1"/>
    <col min="987" max="987" width="25.21875" customWidth="1"/>
    <col min="988" max="988" width="26.44140625" customWidth="1"/>
    <col min="989" max="989" width="13.21875" customWidth="1"/>
    <col min="990" max="990" width="24" customWidth="1"/>
    <col min="991" max="992" width="25.21875" customWidth="1"/>
    <col min="993" max="993" width="26.44140625" customWidth="1"/>
    <col min="994" max="996" width="13.21875" customWidth="1"/>
    <col min="997" max="997" width="26.44140625" customWidth="1"/>
    <col min="998" max="999" width="25.21875" customWidth="1"/>
    <col min="1000" max="1000" width="13.21875" customWidth="1"/>
    <col min="1001" max="1001" width="25.21875" customWidth="1"/>
    <col min="1002" max="1002" width="9.5546875" customWidth="1"/>
  </cols>
  <sheetData>
    <row r="1" spans="1:1002" x14ac:dyDescent="0.3">
      <c r="A1" s="1"/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126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  <c r="M1" s="2" t="s">
        <v>133</v>
      </c>
      <c r="N1" s="2" t="s">
        <v>134</v>
      </c>
      <c r="O1" s="2" t="s">
        <v>135</v>
      </c>
      <c r="P1" s="2" t="s">
        <v>136</v>
      </c>
      <c r="Q1" s="2" t="s">
        <v>137</v>
      </c>
      <c r="R1" s="2" t="s">
        <v>138</v>
      </c>
      <c r="S1" s="2" t="s">
        <v>139</v>
      </c>
      <c r="T1" s="2" t="s">
        <v>140</v>
      </c>
      <c r="U1" s="2" t="s">
        <v>141</v>
      </c>
      <c r="V1" s="2" t="s">
        <v>142</v>
      </c>
      <c r="W1" s="2" t="s">
        <v>143</v>
      </c>
      <c r="X1" s="2" t="s">
        <v>144</v>
      </c>
      <c r="Y1" s="2" t="s">
        <v>145</v>
      </c>
      <c r="Z1" s="2" t="s">
        <v>146</v>
      </c>
      <c r="AA1" s="2" t="s">
        <v>147</v>
      </c>
      <c r="AB1" s="2" t="s">
        <v>148</v>
      </c>
      <c r="AC1" s="2" t="s">
        <v>149</v>
      </c>
      <c r="AD1" s="2" t="s">
        <v>150</v>
      </c>
      <c r="AE1" s="2" t="s">
        <v>151</v>
      </c>
      <c r="AF1" s="2" t="s">
        <v>152</v>
      </c>
      <c r="AG1" s="2" t="s">
        <v>153</v>
      </c>
      <c r="AH1" s="2" t="s">
        <v>154</v>
      </c>
      <c r="AI1" s="2" t="s">
        <v>155</v>
      </c>
      <c r="AJ1" s="2" t="s">
        <v>156</v>
      </c>
      <c r="AK1" s="2" t="s">
        <v>157</v>
      </c>
      <c r="AL1" s="2" t="s">
        <v>158</v>
      </c>
      <c r="AM1" s="2" t="s">
        <v>159</v>
      </c>
      <c r="AN1" s="2" t="s">
        <v>160</v>
      </c>
      <c r="AO1" s="2" t="s">
        <v>161</v>
      </c>
      <c r="AP1" s="2" t="s">
        <v>162</v>
      </c>
      <c r="AQ1" s="2" t="s">
        <v>163</v>
      </c>
      <c r="AR1" s="2" t="s">
        <v>164</v>
      </c>
      <c r="AS1" s="2" t="s">
        <v>165</v>
      </c>
      <c r="AT1" s="2" t="s">
        <v>166</v>
      </c>
      <c r="AU1" s="2" t="s">
        <v>167</v>
      </c>
      <c r="AV1" s="2" t="s">
        <v>168</v>
      </c>
      <c r="AW1" s="2" t="s">
        <v>169</v>
      </c>
      <c r="AX1" s="2" t="s">
        <v>170</v>
      </c>
      <c r="AY1" s="2" t="s">
        <v>171</v>
      </c>
      <c r="AZ1" s="2" t="s">
        <v>172</v>
      </c>
      <c r="BA1" s="2" t="s">
        <v>173</v>
      </c>
      <c r="BB1" s="2" t="s">
        <v>174</v>
      </c>
      <c r="BC1" s="2" t="s">
        <v>175</v>
      </c>
      <c r="BD1" s="2" t="s">
        <v>176</v>
      </c>
      <c r="BE1" s="2" t="s">
        <v>177</v>
      </c>
      <c r="BF1" s="2" t="s">
        <v>178</v>
      </c>
      <c r="BG1" s="2" t="s">
        <v>179</v>
      </c>
      <c r="BH1" s="2" t="s">
        <v>180</v>
      </c>
      <c r="BI1" s="2" t="s">
        <v>181</v>
      </c>
      <c r="BJ1" s="2" t="s">
        <v>182</v>
      </c>
      <c r="BK1" s="2" t="s">
        <v>183</v>
      </c>
      <c r="BL1" s="2" t="s">
        <v>184</v>
      </c>
      <c r="BM1" s="2" t="s">
        <v>185</v>
      </c>
      <c r="BN1" s="2" t="s">
        <v>186</v>
      </c>
      <c r="BO1" s="2" t="s">
        <v>187</v>
      </c>
      <c r="BP1" s="2" t="s">
        <v>188</v>
      </c>
      <c r="BQ1" s="2" t="s">
        <v>189</v>
      </c>
      <c r="BR1" s="2" t="s">
        <v>190</v>
      </c>
      <c r="BS1" s="2" t="s">
        <v>191</v>
      </c>
      <c r="BT1" s="2" t="s">
        <v>192</v>
      </c>
      <c r="BU1" s="2" t="s">
        <v>193</v>
      </c>
      <c r="BV1" s="2" t="s">
        <v>194</v>
      </c>
      <c r="BW1" s="2" t="s">
        <v>195</v>
      </c>
      <c r="BX1" s="2" t="s">
        <v>196</v>
      </c>
      <c r="BY1" s="2" t="s">
        <v>197</v>
      </c>
      <c r="BZ1" s="2" t="s">
        <v>198</v>
      </c>
      <c r="CA1" s="2" t="s">
        <v>199</v>
      </c>
      <c r="CB1" s="2" t="s">
        <v>200</v>
      </c>
      <c r="CC1" s="2" t="s">
        <v>201</v>
      </c>
      <c r="CD1" s="2" t="s">
        <v>202</v>
      </c>
      <c r="CE1" s="2" t="s">
        <v>203</v>
      </c>
      <c r="CF1" s="2" t="s">
        <v>204</v>
      </c>
      <c r="CG1" s="2" t="s">
        <v>205</v>
      </c>
      <c r="CH1" s="2" t="s">
        <v>206</v>
      </c>
      <c r="CI1" s="2" t="s">
        <v>207</v>
      </c>
      <c r="CJ1" s="2" t="s">
        <v>208</v>
      </c>
      <c r="CK1" s="2" t="s">
        <v>209</v>
      </c>
      <c r="CL1" s="2" t="s">
        <v>210</v>
      </c>
      <c r="CM1" s="2" t="s">
        <v>211</v>
      </c>
      <c r="CN1" s="2" t="s">
        <v>212</v>
      </c>
      <c r="CO1" s="2" t="s">
        <v>213</v>
      </c>
      <c r="CP1" s="2" t="s">
        <v>214</v>
      </c>
      <c r="CQ1" s="2" t="s">
        <v>215</v>
      </c>
      <c r="CR1" s="2" t="s">
        <v>216</v>
      </c>
      <c r="CS1" s="2" t="s">
        <v>217</v>
      </c>
      <c r="CT1" s="2" t="s">
        <v>218</v>
      </c>
      <c r="CU1" s="2" t="s">
        <v>219</v>
      </c>
      <c r="CV1" s="2" t="s">
        <v>220</v>
      </c>
      <c r="CW1" s="2" t="s">
        <v>221</v>
      </c>
      <c r="CX1" s="2" t="s">
        <v>222</v>
      </c>
      <c r="CY1" s="2" t="s">
        <v>223</v>
      </c>
      <c r="CZ1" s="2" t="s">
        <v>224</v>
      </c>
      <c r="DA1" s="2" t="s">
        <v>225</v>
      </c>
      <c r="DB1" s="2" t="s">
        <v>226</v>
      </c>
      <c r="DC1" s="2" t="s">
        <v>227</v>
      </c>
      <c r="DD1" s="2" t="s">
        <v>228</v>
      </c>
      <c r="DE1" s="2" t="s">
        <v>229</v>
      </c>
      <c r="DF1" s="2" t="s">
        <v>230</v>
      </c>
      <c r="DG1" s="2" t="s">
        <v>231</v>
      </c>
      <c r="DH1" s="2" t="s">
        <v>232</v>
      </c>
      <c r="DI1" s="2" t="s">
        <v>233</v>
      </c>
      <c r="DJ1" s="2" t="s">
        <v>234</v>
      </c>
      <c r="DK1" s="2" t="s">
        <v>235</v>
      </c>
      <c r="DL1" s="2" t="s">
        <v>236</v>
      </c>
      <c r="DM1" s="2" t="s">
        <v>237</v>
      </c>
      <c r="DN1" s="2" t="s">
        <v>238</v>
      </c>
      <c r="DO1" s="2" t="s">
        <v>239</v>
      </c>
      <c r="DP1" s="2" t="s">
        <v>240</v>
      </c>
      <c r="DQ1" s="2" t="s">
        <v>241</v>
      </c>
      <c r="DR1" s="2" t="s">
        <v>242</v>
      </c>
      <c r="DS1" s="2" t="s">
        <v>243</v>
      </c>
      <c r="DT1" s="2" t="s">
        <v>244</v>
      </c>
      <c r="DU1" s="2" t="s">
        <v>245</v>
      </c>
      <c r="DV1" s="2" t="s">
        <v>246</v>
      </c>
      <c r="DW1" s="2" t="s">
        <v>247</v>
      </c>
      <c r="DX1" s="2" t="s">
        <v>248</v>
      </c>
      <c r="DY1" s="2" t="s">
        <v>249</v>
      </c>
      <c r="DZ1" s="2" t="s">
        <v>250</v>
      </c>
      <c r="EA1" s="2" t="s">
        <v>251</v>
      </c>
      <c r="EB1" s="2" t="s">
        <v>252</v>
      </c>
      <c r="EC1" s="2" t="s">
        <v>253</v>
      </c>
      <c r="ED1" s="2" t="s">
        <v>254</v>
      </c>
      <c r="EE1" s="2" t="s">
        <v>255</v>
      </c>
      <c r="EF1" s="2" t="s">
        <v>256</v>
      </c>
      <c r="EG1" s="2" t="s">
        <v>257</v>
      </c>
      <c r="EH1" s="2" t="s">
        <v>258</v>
      </c>
      <c r="EI1" s="2" t="s">
        <v>259</v>
      </c>
      <c r="EJ1" s="2" t="s">
        <v>260</v>
      </c>
      <c r="EK1" s="2" t="s">
        <v>261</v>
      </c>
      <c r="EL1" s="2" t="s">
        <v>262</v>
      </c>
      <c r="EM1" s="2" t="s">
        <v>263</v>
      </c>
      <c r="EN1" s="2" t="s">
        <v>264</v>
      </c>
      <c r="EO1" s="2" t="s">
        <v>265</v>
      </c>
      <c r="EP1" s="2" t="s">
        <v>266</v>
      </c>
      <c r="EQ1" s="2" t="s">
        <v>267</v>
      </c>
      <c r="ER1" s="2" t="s">
        <v>268</v>
      </c>
      <c r="ES1" s="2" t="s">
        <v>269</v>
      </c>
      <c r="ET1" s="2" t="s">
        <v>270</v>
      </c>
      <c r="EU1" s="2" t="s">
        <v>271</v>
      </c>
      <c r="EV1" s="2" t="s">
        <v>272</v>
      </c>
      <c r="EW1" s="2" t="s">
        <v>273</v>
      </c>
      <c r="EX1" s="2" t="s">
        <v>274</v>
      </c>
      <c r="EY1" s="2" t="s">
        <v>275</v>
      </c>
      <c r="EZ1" s="2" t="s">
        <v>276</v>
      </c>
      <c r="FA1" s="2" t="s">
        <v>277</v>
      </c>
      <c r="FB1" s="2" t="s">
        <v>278</v>
      </c>
      <c r="FC1" s="2" t="s">
        <v>279</v>
      </c>
      <c r="FD1" s="2" t="s">
        <v>280</v>
      </c>
      <c r="FE1" s="2" t="s">
        <v>281</v>
      </c>
      <c r="FF1" s="2" t="s">
        <v>282</v>
      </c>
      <c r="FG1" s="2" t="s">
        <v>283</v>
      </c>
      <c r="FH1" s="2" t="s">
        <v>284</v>
      </c>
      <c r="FI1" s="2" t="s">
        <v>285</v>
      </c>
      <c r="FJ1" s="2" t="s">
        <v>286</v>
      </c>
      <c r="FK1" s="2" t="s">
        <v>287</v>
      </c>
      <c r="FL1" s="2" t="s">
        <v>288</v>
      </c>
      <c r="FM1" s="2" t="s">
        <v>289</v>
      </c>
      <c r="FN1" s="2" t="s">
        <v>290</v>
      </c>
      <c r="FO1" s="2" t="s">
        <v>291</v>
      </c>
      <c r="FP1" s="2" t="s">
        <v>292</v>
      </c>
      <c r="FQ1" s="2" t="s">
        <v>293</v>
      </c>
      <c r="FR1" s="2" t="s">
        <v>294</v>
      </c>
      <c r="FS1" s="2" t="s">
        <v>295</v>
      </c>
      <c r="FT1" s="2" t="s">
        <v>296</v>
      </c>
      <c r="FU1" s="2" t="s">
        <v>297</v>
      </c>
      <c r="FV1" s="2" t="s">
        <v>298</v>
      </c>
      <c r="FW1" s="2" t="s">
        <v>299</v>
      </c>
      <c r="FX1" s="2" t="s">
        <v>300</v>
      </c>
      <c r="FY1" s="2" t="s">
        <v>301</v>
      </c>
      <c r="FZ1" s="2" t="s">
        <v>302</v>
      </c>
      <c r="GA1" s="2" t="s">
        <v>303</v>
      </c>
      <c r="GB1" s="2" t="s">
        <v>304</v>
      </c>
      <c r="GC1" s="2" t="s">
        <v>305</v>
      </c>
      <c r="GD1" s="2" t="s">
        <v>306</v>
      </c>
      <c r="GE1" s="2" t="s">
        <v>307</v>
      </c>
      <c r="GF1" s="2" t="s">
        <v>308</v>
      </c>
      <c r="GG1" s="2" t="s">
        <v>309</v>
      </c>
      <c r="GH1" s="2" t="s">
        <v>310</v>
      </c>
      <c r="GI1" s="2" t="s">
        <v>311</v>
      </c>
      <c r="GJ1" s="2" t="s">
        <v>312</v>
      </c>
      <c r="GK1" s="2" t="s">
        <v>313</v>
      </c>
      <c r="GL1" s="2" t="s">
        <v>314</v>
      </c>
      <c r="GM1" s="2" t="s">
        <v>315</v>
      </c>
      <c r="GN1" s="2" t="s">
        <v>316</v>
      </c>
      <c r="GO1" s="2" t="s">
        <v>317</v>
      </c>
      <c r="GP1" s="2" t="s">
        <v>318</v>
      </c>
      <c r="GQ1" s="2" t="s">
        <v>319</v>
      </c>
      <c r="GR1" s="2" t="s">
        <v>320</v>
      </c>
      <c r="GS1" s="2" t="s">
        <v>321</v>
      </c>
      <c r="GT1" s="2" t="s">
        <v>322</v>
      </c>
      <c r="GU1" s="2" t="s">
        <v>323</v>
      </c>
      <c r="GV1" s="2" t="s">
        <v>324</v>
      </c>
      <c r="GW1" s="2" t="s">
        <v>325</v>
      </c>
      <c r="GX1" s="2" t="s">
        <v>326</v>
      </c>
      <c r="GY1" s="2" t="s">
        <v>327</v>
      </c>
      <c r="GZ1" s="2" t="s">
        <v>328</v>
      </c>
      <c r="HA1" s="2" t="s">
        <v>329</v>
      </c>
      <c r="HB1" s="2" t="s">
        <v>330</v>
      </c>
      <c r="HC1" s="2" t="s">
        <v>331</v>
      </c>
      <c r="HD1" s="2" t="s">
        <v>332</v>
      </c>
      <c r="HE1" s="2" t="s">
        <v>333</v>
      </c>
      <c r="HF1" s="2" t="s">
        <v>334</v>
      </c>
      <c r="HG1" s="2" t="s">
        <v>335</v>
      </c>
      <c r="HH1" s="2" t="s">
        <v>336</v>
      </c>
      <c r="HI1" s="2" t="s">
        <v>337</v>
      </c>
      <c r="HJ1" s="2" t="s">
        <v>338</v>
      </c>
      <c r="HK1" s="2" t="s">
        <v>339</v>
      </c>
      <c r="HL1" s="2" t="s">
        <v>340</v>
      </c>
      <c r="HM1" s="2" t="s">
        <v>341</v>
      </c>
      <c r="HN1" s="2" t="s">
        <v>342</v>
      </c>
      <c r="HO1" s="2" t="s">
        <v>343</v>
      </c>
      <c r="HP1" s="2" t="s">
        <v>344</v>
      </c>
      <c r="HQ1" s="2" t="s">
        <v>345</v>
      </c>
      <c r="HR1" s="2" t="s">
        <v>346</v>
      </c>
      <c r="HS1" s="2" t="s">
        <v>347</v>
      </c>
      <c r="HT1" s="2" t="s">
        <v>348</v>
      </c>
      <c r="HU1" s="2" t="s">
        <v>349</v>
      </c>
      <c r="HV1" s="2" t="s">
        <v>350</v>
      </c>
      <c r="HW1" s="2" t="s">
        <v>351</v>
      </c>
      <c r="HX1" s="2" t="s">
        <v>352</v>
      </c>
      <c r="HY1" s="2" t="s">
        <v>353</v>
      </c>
      <c r="HZ1" s="2" t="s">
        <v>354</v>
      </c>
      <c r="IA1" s="2" t="s">
        <v>355</v>
      </c>
      <c r="IB1" s="2" t="s">
        <v>356</v>
      </c>
      <c r="IC1" s="2" t="s">
        <v>357</v>
      </c>
      <c r="ID1" s="2" t="s">
        <v>358</v>
      </c>
      <c r="IE1" s="2" t="s">
        <v>359</v>
      </c>
      <c r="IF1" s="2" t="s">
        <v>360</v>
      </c>
      <c r="IG1" s="2" t="s">
        <v>361</v>
      </c>
      <c r="IH1" s="2" t="s">
        <v>362</v>
      </c>
      <c r="II1" s="2" t="s">
        <v>363</v>
      </c>
      <c r="IJ1" s="2" t="s">
        <v>364</v>
      </c>
      <c r="IK1" s="2" t="s">
        <v>365</v>
      </c>
      <c r="IL1" s="2" t="s">
        <v>366</v>
      </c>
      <c r="IM1" s="2" t="s">
        <v>367</v>
      </c>
      <c r="IN1" s="2" t="s">
        <v>368</v>
      </c>
      <c r="IO1" s="2" t="s">
        <v>369</v>
      </c>
      <c r="IP1" s="2" t="s">
        <v>370</v>
      </c>
      <c r="IQ1" s="2" t="s">
        <v>371</v>
      </c>
      <c r="IR1" s="2" t="s">
        <v>372</v>
      </c>
      <c r="IS1" s="2" t="s">
        <v>373</v>
      </c>
      <c r="IT1" s="2" t="s">
        <v>374</v>
      </c>
      <c r="IU1" s="2" t="s">
        <v>375</v>
      </c>
      <c r="IV1" s="2" t="s">
        <v>376</v>
      </c>
      <c r="IW1" s="2" t="s">
        <v>377</v>
      </c>
      <c r="IX1" s="2" t="s">
        <v>378</v>
      </c>
      <c r="IY1" s="2" t="s">
        <v>379</v>
      </c>
      <c r="IZ1" s="2" t="s">
        <v>380</v>
      </c>
      <c r="JA1" s="2" t="s">
        <v>381</v>
      </c>
      <c r="JB1" s="2" t="s">
        <v>382</v>
      </c>
      <c r="JC1" s="2" t="s">
        <v>383</v>
      </c>
      <c r="JD1" s="2" t="s">
        <v>384</v>
      </c>
      <c r="JE1" s="2" t="s">
        <v>385</v>
      </c>
      <c r="JF1" s="2" t="s">
        <v>386</v>
      </c>
      <c r="JG1" s="2" t="s">
        <v>387</v>
      </c>
      <c r="JH1" s="2" t="s">
        <v>388</v>
      </c>
      <c r="JI1" s="2" t="s">
        <v>389</v>
      </c>
      <c r="JJ1" s="2" t="s">
        <v>390</v>
      </c>
      <c r="JK1" s="2" t="s">
        <v>391</v>
      </c>
      <c r="JL1" s="2" t="s">
        <v>392</v>
      </c>
      <c r="JM1" s="2" t="s">
        <v>393</v>
      </c>
      <c r="JN1" s="2" t="s">
        <v>394</v>
      </c>
      <c r="JO1" s="2" t="s">
        <v>395</v>
      </c>
      <c r="JP1" s="2" t="s">
        <v>396</v>
      </c>
      <c r="JQ1" s="2" t="s">
        <v>397</v>
      </c>
      <c r="JR1" s="2" t="s">
        <v>398</v>
      </c>
      <c r="JS1" s="2" t="s">
        <v>399</v>
      </c>
      <c r="JT1" s="2" t="s">
        <v>400</v>
      </c>
      <c r="JU1" s="2" t="s">
        <v>401</v>
      </c>
      <c r="JV1" s="2" t="s">
        <v>402</v>
      </c>
      <c r="JW1" s="2" t="s">
        <v>403</v>
      </c>
      <c r="JX1" s="2" t="s">
        <v>404</v>
      </c>
      <c r="JY1" s="2" t="s">
        <v>405</v>
      </c>
      <c r="JZ1" s="2" t="s">
        <v>406</v>
      </c>
      <c r="KA1" s="2" t="s">
        <v>407</v>
      </c>
      <c r="KB1" s="2" t="s">
        <v>408</v>
      </c>
      <c r="KC1" s="2" t="s">
        <v>409</v>
      </c>
      <c r="KD1" s="2" t="s">
        <v>410</v>
      </c>
      <c r="KE1" s="2" t="s">
        <v>411</v>
      </c>
      <c r="KF1" s="2" t="s">
        <v>412</v>
      </c>
      <c r="KG1" s="2" t="s">
        <v>413</v>
      </c>
      <c r="KH1" s="2" t="s">
        <v>414</v>
      </c>
      <c r="KI1" s="2" t="s">
        <v>415</v>
      </c>
      <c r="KJ1" s="2" t="s">
        <v>416</v>
      </c>
      <c r="KK1" s="2" t="s">
        <v>417</v>
      </c>
      <c r="KL1" s="2" t="s">
        <v>418</v>
      </c>
      <c r="KM1" s="2" t="s">
        <v>419</v>
      </c>
      <c r="KN1" s="2" t="s">
        <v>420</v>
      </c>
      <c r="KO1" s="2" t="s">
        <v>421</v>
      </c>
      <c r="KP1" s="2" t="s">
        <v>422</v>
      </c>
      <c r="KQ1" s="2" t="s">
        <v>423</v>
      </c>
      <c r="KR1" s="2" t="s">
        <v>424</v>
      </c>
      <c r="KS1" s="2" t="s">
        <v>425</v>
      </c>
      <c r="KT1" s="2" t="s">
        <v>426</v>
      </c>
      <c r="KU1" s="2" t="s">
        <v>427</v>
      </c>
      <c r="KV1" s="2" t="s">
        <v>428</v>
      </c>
      <c r="KW1" s="2" t="s">
        <v>429</v>
      </c>
      <c r="KX1" s="2" t="s">
        <v>430</v>
      </c>
      <c r="KY1" s="2" t="s">
        <v>431</v>
      </c>
      <c r="KZ1" s="2" t="s">
        <v>432</v>
      </c>
      <c r="LA1" s="2" t="s">
        <v>433</v>
      </c>
      <c r="LB1" s="2" t="s">
        <v>434</v>
      </c>
      <c r="LC1" s="2" t="s">
        <v>435</v>
      </c>
      <c r="LD1" s="2" t="s">
        <v>436</v>
      </c>
      <c r="LE1" s="2" t="s">
        <v>437</v>
      </c>
      <c r="LF1" s="2" t="s">
        <v>438</v>
      </c>
      <c r="LG1" s="2" t="s">
        <v>439</v>
      </c>
      <c r="LH1" s="2" t="s">
        <v>440</v>
      </c>
      <c r="LI1" s="2" t="s">
        <v>441</v>
      </c>
      <c r="LJ1" s="2" t="s">
        <v>442</v>
      </c>
      <c r="LK1" s="2" t="s">
        <v>443</v>
      </c>
      <c r="LL1" s="2" t="s">
        <v>444</v>
      </c>
      <c r="LM1" s="2" t="s">
        <v>445</v>
      </c>
      <c r="LN1" s="2" t="s">
        <v>446</v>
      </c>
      <c r="LO1" s="2" t="s">
        <v>447</v>
      </c>
      <c r="LP1" s="2" t="s">
        <v>448</v>
      </c>
      <c r="LQ1" s="2" t="s">
        <v>449</v>
      </c>
      <c r="LR1" s="2" t="s">
        <v>450</v>
      </c>
      <c r="LS1" s="2" t="s">
        <v>451</v>
      </c>
      <c r="LT1" s="2" t="s">
        <v>452</v>
      </c>
      <c r="LU1" s="2" t="s">
        <v>453</v>
      </c>
      <c r="LV1" s="2" t="s">
        <v>454</v>
      </c>
      <c r="LW1" s="2" t="s">
        <v>455</v>
      </c>
      <c r="LX1" s="2" t="s">
        <v>456</v>
      </c>
      <c r="LY1" s="2" t="s">
        <v>457</v>
      </c>
      <c r="LZ1" s="2" t="s">
        <v>458</v>
      </c>
      <c r="MA1" s="2" t="s">
        <v>459</v>
      </c>
      <c r="MB1" s="2" t="s">
        <v>460</v>
      </c>
      <c r="MC1" s="2" t="s">
        <v>461</v>
      </c>
      <c r="MD1" s="2" t="s">
        <v>462</v>
      </c>
      <c r="ME1" s="2" t="s">
        <v>463</v>
      </c>
      <c r="MF1" s="2" t="s">
        <v>464</v>
      </c>
      <c r="MG1" s="2" t="s">
        <v>465</v>
      </c>
      <c r="MH1" s="2" t="s">
        <v>466</v>
      </c>
      <c r="MI1" s="2" t="s">
        <v>467</v>
      </c>
      <c r="MJ1" s="2" t="s">
        <v>468</v>
      </c>
      <c r="MK1" s="2" t="s">
        <v>469</v>
      </c>
      <c r="ML1" s="2" t="s">
        <v>470</v>
      </c>
      <c r="MM1" s="2" t="s">
        <v>471</v>
      </c>
      <c r="MN1" s="2" t="s">
        <v>472</v>
      </c>
      <c r="MO1" s="2" t="s">
        <v>473</v>
      </c>
      <c r="MP1" s="2" t="s">
        <v>474</v>
      </c>
      <c r="MQ1" s="2" t="s">
        <v>475</v>
      </c>
      <c r="MR1" s="2" t="s">
        <v>476</v>
      </c>
      <c r="MS1" s="2" t="s">
        <v>477</v>
      </c>
      <c r="MT1" s="2" t="s">
        <v>478</v>
      </c>
      <c r="MU1" s="2" t="s">
        <v>479</v>
      </c>
      <c r="MV1" s="2" t="s">
        <v>480</v>
      </c>
      <c r="MW1" s="2" t="s">
        <v>481</v>
      </c>
      <c r="MX1" s="2" t="s">
        <v>482</v>
      </c>
      <c r="MY1" s="2" t="s">
        <v>483</v>
      </c>
      <c r="MZ1" s="2" t="s">
        <v>484</v>
      </c>
      <c r="NA1" s="2" t="s">
        <v>485</v>
      </c>
      <c r="NB1" s="2" t="s">
        <v>486</v>
      </c>
      <c r="NC1" s="2" t="s">
        <v>487</v>
      </c>
      <c r="ND1" s="2" t="s">
        <v>488</v>
      </c>
      <c r="NE1" s="2" t="s">
        <v>489</v>
      </c>
      <c r="NF1" s="2" t="s">
        <v>490</v>
      </c>
      <c r="NG1" s="2" t="s">
        <v>491</v>
      </c>
      <c r="NH1" s="2" t="s">
        <v>492</v>
      </c>
      <c r="NI1" s="2" t="s">
        <v>493</v>
      </c>
      <c r="NJ1" s="2" t="s">
        <v>494</v>
      </c>
      <c r="NK1" s="2" t="s">
        <v>495</v>
      </c>
      <c r="NL1" s="2" t="s">
        <v>496</v>
      </c>
      <c r="NM1" s="2" t="s">
        <v>497</v>
      </c>
      <c r="NN1" s="2" t="s">
        <v>498</v>
      </c>
      <c r="NO1" s="2" t="s">
        <v>499</v>
      </c>
      <c r="NP1" s="2" t="s">
        <v>500</v>
      </c>
      <c r="NQ1" s="2" t="s">
        <v>501</v>
      </c>
      <c r="NR1" s="2" t="s">
        <v>502</v>
      </c>
      <c r="NS1" s="2" t="s">
        <v>503</v>
      </c>
      <c r="NT1" s="2" t="s">
        <v>504</v>
      </c>
      <c r="NU1" s="2" t="s">
        <v>505</v>
      </c>
      <c r="NV1" s="2" t="s">
        <v>506</v>
      </c>
      <c r="NW1" s="2" t="s">
        <v>507</v>
      </c>
      <c r="NX1" s="2" t="s">
        <v>508</v>
      </c>
      <c r="NY1" s="2" t="s">
        <v>509</v>
      </c>
      <c r="NZ1" s="2" t="s">
        <v>510</v>
      </c>
      <c r="OA1" s="2" t="s">
        <v>511</v>
      </c>
      <c r="OB1" s="2" t="s">
        <v>512</v>
      </c>
      <c r="OC1" s="2" t="s">
        <v>513</v>
      </c>
      <c r="OD1" s="2" t="s">
        <v>514</v>
      </c>
      <c r="OE1" s="2" t="s">
        <v>515</v>
      </c>
      <c r="OF1" s="2" t="s">
        <v>516</v>
      </c>
      <c r="OG1" s="2" t="s">
        <v>517</v>
      </c>
      <c r="OH1" s="2" t="s">
        <v>518</v>
      </c>
      <c r="OI1" s="2" t="s">
        <v>519</v>
      </c>
      <c r="OJ1" s="2" t="s">
        <v>520</v>
      </c>
      <c r="OK1" s="2" t="s">
        <v>521</v>
      </c>
      <c r="OL1" s="2" t="s">
        <v>522</v>
      </c>
      <c r="OM1" s="2" t="s">
        <v>523</v>
      </c>
      <c r="ON1" s="2" t="s">
        <v>524</v>
      </c>
      <c r="OO1" s="2" t="s">
        <v>525</v>
      </c>
      <c r="OP1" s="2" t="s">
        <v>526</v>
      </c>
      <c r="OQ1" s="2" t="s">
        <v>527</v>
      </c>
      <c r="OR1" s="2" t="s">
        <v>528</v>
      </c>
      <c r="OS1" s="2" t="s">
        <v>529</v>
      </c>
      <c r="OT1" s="2" t="s">
        <v>530</v>
      </c>
      <c r="OU1" s="2" t="s">
        <v>531</v>
      </c>
      <c r="OV1" s="2" t="s">
        <v>532</v>
      </c>
      <c r="OW1" s="2" t="s">
        <v>533</v>
      </c>
      <c r="OX1" s="2" t="s">
        <v>534</v>
      </c>
      <c r="OY1" s="2" t="s">
        <v>535</v>
      </c>
      <c r="OZ1" s="2" t="s">
        <v>536</v>
      </c>
      <c r="PA1" s="2" t="s">
        <v>537</v>
      </c>
      <c r="PB1" s="2" t="s">
        <v>538</v>
      </c>
      <c r="PC1" s="2" t="s">
        <v>539</v>
      </c>
      <c r="PD1" s="2" t="s">
        <v>540</v>
      </c>
      <c r="PE1" s="2" t="s">
        <v>541</v>
      </c>
      <c r="PF1" s="2" t="s">
        <v>542</v>
      </c>
      <c r="PG1" s="2" t="s">
        <v>543</v>
      </c>
      <c r="PH1" s="2" t="s">
        <v>544</v>
      </c>
      <c r="PI1" s="2" t="s">
        <v>545</v>
      </c>
      <c r="PJ1" s="2" t="s">
        <v>546</v>
      </c>
      <c r="PK1" s="2" t="s">
        <v>547</v>
      </c>
      <c r="PL1" s="2" t="s">
        <v>548</v>
      </c>
      <c r="PM1" s="2" t="s">
        <v>549</v>
      </c>
      <c r="PN1" s="2" t="s">
        <v>550</v>
      </c>
      <c r="PO1" s="2" t="s">
        <v>551</v>
      </c>
      <c r="PP1" s="2" t="s">
        <v>552</v>
      </c>
      <c r="PQ1" s="2" t="s">
        <v>553</v>
      </c>
      <c r="PR1" s="2" t="s">
        <v>554</v>
      </c>
      <c r="PS1" s="2" t="s">
        <v>555</v>
      </c>
      <c r="PT1" s="2" t="s">
        <v>556</v>
      </c>
      <c r="PU1" s="2" t="s">
        <v>557</v>
      </c>
      <c r="PV1" s="2" t="s">
        <v>558</v>
      </c>
      <c r="PW1" s="2" t="s">
        <v>559</v>
      </c>
      <c r="PX1" s="2" t="s">
        <v>560</v>
      </c>
      <c r="PY1" s="2" t="s">
        <v>561</v>
      </c>
      <c r="PZ1" s="2" t="s">
        <v>562</v>
      </c>
      <c r="QA1" s="2" t="s">
        <v>563</v>
      </c>
      <c r="QB1" s="2" t="s">
        <v>564</v>
      </c>
      <c r="QC1" s="2" t="s">
        <v>565</v>
      </c>
      <c r="QD1" s="2" t="s">
        <v>566</v>
      </c>
      <c r="QE1" s="2" t="s">
        <v>567</v>
      </c>
      <c r="QF1" s="2" t="s">
        <v>568</v>
      </c>
      <c r="QG1" s="2" t="s">
        <v>569</v>
      </c>
      <c r="QH1" s="2" t="s">
        <v>570</v>
      </c>
      <c r="QI1" s="2" t="s">
        <v>571</v>
      </c>
      <c r="QJ1" s="2" t="s">
        <v>572</v>
      </c>
      <c r="QK1" s="2" t="s">
        <v>573</v>
      </c>
      <c r="QL1" s="2" t="s">
        <v>574</v>
      </c>
      <c r="QM1" s="2" t="s">
        <v>575</v>
      </c>
      <c r="QN1" s="2" t="s">
        <v>576</v>
      </c>
      <c r="QO1" s="2" t="s">
        <v>577</v>
      </c>
      <c r="QP1" s="2" t="s">
        <v>578</v>
      </c>
      <c r="QQ1" s="2" t="s">
        <v>579</v>
      </c>
      <c r="QR1" s="2" t="s">
        <v>580</v>
      </c>
      <c r="QS1" s="2" t="s">
        <v>581</v>
      </c>
      <c r="QT1" s="2" t="s">
        <v>582</v>
      </c>
      <c r="QU1" s="2" t="s">
        <v>583</v>
      </c>
      <c r="QV1" s="2" t="s">
        <v>584</v>
      </c>
      <c r="QW1" s="2" t="s">
        <v>585</v>
      </c>
      <c r="QX1" s="2" t="s">
        <v>586</v>
      </c>
      <c r="QY1" s="2" t="s">
        <v>587</v>
      </c>
      <c r="QZ1" s="2" t="s">
        <v>588</v>
      </c>
      <c r="RA1" s="2" t="s">
        <v>589</v>
      </c>
      <c r="RB1" s="2" t="s">
        <v>590</v>
      </c>
      <c r="RC1" s="2" t="s">
        <v>591</v>
      </c>
      <c r="RD1" s="2" t="s">
        <v>592</v>
      </c>
      <c r="RE1" s="2" t="s">
        <v>593</v>
      </c>
      <c r="RF1" s="2" t="s">
        <v>594</v>
      </c>
      <c r="RG1" s="2" t="s">
        <v>595</v>
      </c>
      <c r="RH1" s="2" t="s">
        <v>596</v>
      </c>
      <c r="RI1" s="2" t="s">
        <v>597</v>
      </c>
      <c r="RJ1" s="2" t="s">
        <v>598</v>
      </c>
      <c r="RK1" s="2" t="s">
        <v>599</v>
      </c>
      <c r="RL1" s="2" t="s">
        <v>600</v>
      </c>
      <c r="RM1" s="2" t="s">
        <v>601</v>
      </c>
      <c r="RN1" s="2" t="s">
        <v>602</v>
      </c>
      <c r="RO1" s="2" t="s">
        <v>603</v>
      </c>
      <c r="RP1" s="2" t="s">
        <v>604</v>
      </c>
      <c r="RQ1" s="2" t="s">
        <v>605</v>
      </c>
      <c r="RR1" s="2" t="s">
        <v>606</v>
      </c>
      <c r="RS1" s="2" t="s">
        <v>607</v>
      </c>
      <c r="RT1" s="2" t="s">
        <v>608</v>
      </c>
      <c r="RU1" s="2" t="s">
        <v>609</v>
      </c>
      <c r="RV1" s="2" t="s">
        <v>610</v>
      </c>
      <c r="RW1" s="2" t="s">
        <v>611</v>
      </c>
      <c r="RX1" s="2" t="s">
        <v>612</v>
      </c>
      <c r="RY1" s="2" t="s">
        <v>613</v>
      </c>
      <c r="RZ1" s="2" t="s">
        <v>614</v>
      </c>
      <c r="SA1" s="2" t="s">
        <v>615</v>
      </c>
      <c r="SB1" s="2" t="s">
        <v>616</v>
      </c>
      <c r="SC1" s="2" t="s">
        <v>617</v>
      </c>
      <c r="SD1" s="2" t="s">
        <v>618</v>
      </c>
      <c r="SE1" s="2" t="s">
        <v>619</v>
      </c>
      <c r="SF1" s="2" t="s">
        <v>620</v>
      </c>
      <c r="SG1" s="2" t="s">
        <v>621</v>
      </c>
      <c r="SH1" s="2" t="s">
        <v>622</v>
      </c>
      <c r="SI1" s="2" t="s">
        <v>623</v>
      </c>
      <c r="SJ1" s="2" t="s">
        <v>624</v>
      </c>
      <c r="SK1" s="2" t="s">
        <v>625</v>
      </c>
      <c r="SL1" s="2" t="s">
        <v>626</v>
      </c>
      <c r="SM1" s="2" t="s">
        <v>627</v>
      </c>
      <c r="SN1" s="2" t="s">
        <v>628</v>
      </c>
      <c r="SO1" s="2" t="s">
        <v>629</v>
      </c>
      <c r="SP1" s="2" t="s">
        <v>630</v>
      </c>
      <c r="SQ1" s="2" t="s">
        <v>631</v>
      </c>
      <c r="SR1" s="2" t="s">
        <v>632</v>
      </c>
      <c r="SS1" s="2" t="s">
        <v>633</v>
      </c>
      <c r="ST1" s="2" t="s">
        <v>634</v>
      </c>
      <c r="SU1" s="2" t="s">
        <v>635</v>
      </c>
      <c r="SV1" s="2" t="s">
        <v>636</v>
      </c>
      <c r="SW1" s="2" t="s">
        <v>637</v>
      </c>
      <c r="SX1" s="2" t="s">
        <v>638</v>
      </c>
      <c r="SY1" s="2" t="s">
        <v>639</v>
      </c>
      <c r="SZ1" s="2" t="s">
        <v>640</v>
      </c>
      <c r="TA1" s="2" t="s">
        <v>641</v>
      </c>
      <c r="TB1" s="2" t="s">
        <v>642</v>
      </c>
      <c r="TC1" s="2" t="s">
        <v>643</v>
      </c>
      <c r="TD1" s="2" t="s">
        <v>644</v>
      </c>
      <c r="TE1" s="2" t="s">
        <v>645</v>
      </c>
      <c r="TF1" s="2" t="s">
        <v>646</v>
      </c>
      <c r="TG1" s="2" t="s">
        <v>647</v>
      </c>
      <c r="TH1" s="2" t="s">
        <v>648</v>
      </c>
      <c r="TI1" s="2" t="s">
        <v>649</v>
      </c>
      <c r="TJ1" s="2" t="s">
        <v>650</v>
      </c>
      <c r="TK1" s="2" t="s">
        <v>651</v>
      </c>
      <c r="TL1" s="2" t="s">
        <v>652</v>
      </c>
      <c r="TM1" s="2" t="s">
        <v>653</v>
      </c>
      <c r="TN1" s="2" t="s">
        <v>654</v>
      </c>
      <c r="TO1" s="2" t="s">
        <v>655</v>
      </c>
      <c r="TP1" s="2" t="s">
        <v>656</v>
      </c>
      <c r="TQ1" s="2" t="s">
        <v>657</v>
      </c>
      <c r="TR1" s="2" t="s">
        <v>658</v>
      </c>
      <c r="TS1" s="2" t="s">
        <v>659</v>
      </c>
      <c r="TT1" s="2" t="s">
        <v>660</v>
      </c>
      <c r="TU1" s="2" t="s">
        <v>661</v>
      </c>
      <c r="TV1" s="2" t="s">
        <v>662</v>
      </c>
      <c r="TW1" s="2" t="s">
        <v>663</v>
      </c>
      <c r="TX1" s="2" t="s">
        <v>664</v>
      </c>
      <c r="TY1" s="2" t="s">
        <v>665</v>
      </c>
      <c r="TZ1" s="2" t="s">
        <v>666</v>
      </c>
      <c r="UA1" s="2" t="s">
        <v>667</v>
      </c>
      <c r="UB1" s="2" t="s">
        <v>668</v>
      </c>
      <c r="UC1" s="2" t="s">
        <v>669</v>
      </c>
      <c r="UD1" s="2" t="s">
        <v>670</v>
      </c>
      <c r="UE1" s="2" t="s">
        <v>671</v>
      </c>
      <c r="UF1" s="2" t="s">
        <v>672</v>
      </c>
      <c r="UG1" s="2" t="s">
        <v>673</v>
      </c>
      <c r="UH1" s="2" t="s">
        <v>674</v>
      </c>
      <c r="UI1" s="2" t="s">
        <v>675</v>
      </c>
      <c r="UJ1" s="2" t="s">
        <v>676</v>
      </c>
      <c r="UK1" s="2" t="s">
        <v>677</v>
      </c>
      <c r="UL1" s="2" t="s">
        <v>678</v>
      </c>
      <c r="UM1" s="2" t="s">
        <v>679</v>
      </c>
      <c r="UN1" s="2" t="s">
        <v>680</v>
      </c>
      <c r="UO1" s="2" t="s">
        <v>681</v>
      </c>
      <c r="UP1" s="2" t="s">
        <v>682</v>
      </c>
      <c r="UQ1" s="2" t="s">
        <v>683</v>
      </c>
      <c r="UR1" s="2" t="s">
        <v>684</v>
      </c>
      <c r="US1" s="2" t="s">
        <v>685</v>
      </c>
      <c r="UT1" s="2" t="s">
        <v>686</v>
      </c>
      <c r="UU1" s="2" t="s">
        <v>687</v>
      </c>
      <c r="UV1" s="2" t="s">
        <v>688</v>
      </c>
      <c r="UW1" s="2" t="s">
        <v>689</v>
      </c>
      <c r="UX1" s="2" t="s">
        <v>690</v>
      </c>
      <c r="UY1" s="2" t="s">
        <v>691</v>
      </c>
      <c r="UZ1" s="2" t="s">
        <v>692</v>
      </c>
      <c r="VA1" s="2" t="s">
        <v>693</v>
      </c>
      <c r="VB1" s="2" t="s">
        <v>694</v>
      </c>
      <c r="VC1" s="2" t="s">
        <v>695</v>
      </c>
      <c r="VD1" s="2" t="s">
        <v>696</v>
      </c>
      <c r="VE1" s="2" t="s">
        <v>697</v>
      </c>
      <c r="VF1" s="2" t="s">
        <v>698</v>
      </c>
      <c r="VG1" s="2" t="s">
        <v>699</v>
      </c>
      <c r="VH1" s="2" t="s">
        <v>700</v>
      </c>
      <c r="VI1" s="2" t="s">
        <v>701</v>
      </c>
      <c r="VJ1" s="2" t="s">
        <v>702</v>
      </c>
      <c r="VK1" s="2" t="s">
        <v>703</v>
      </c>
      <c r="VL1" s="2" t="s">
        <v>704</v>
      </c>
      <c r="VM1" s="2" t="s">
        <v>705</v>
      </c>
      <c r="VN1" s="2" t="s">
        <v>706</v>
      </c>
      <c r="VO1" s="2" t="s">
        <v>707</v>
      </c>
      <c r="VP1" s="2" t="s">
        <v>708</v>
      </c>
      <c r="VQ1" s="2" t="s">
        <v>709</v>
      </c>
      <c r="VR1" s="2" t="s">
        <v>710</v>
      </c>
      <c r="VS1" s="2" t="s">
        <v>711</v>
      </c>
      <c r="VT1" s="2" t="s">
        <v>712</v>
      </c>
      <c r="VU1" s="2" t="s">
        <v>713</v>
      </c>
      <c r="VV1" s="2" t="s">
        <v>714</v>
      </c>
      <c r="VW1" s="2" t="s">
        <v>715</v>
      </c>
      <c r="VX1" s="2" t="s">
        <v>716</v>
      </c>
      <c r="VY1" s="2" t="s">
        <v>717</v>
      </c>
      <c r="VZ1" s="2" t="s">
        <v>718</v>
      </c>
      <c r="WA1" s="2" t="s">
        <v>719</v>
      </c>
      <c r="WB1" s="2" t="s">
        <v>720</v>
      </c>
      <c r="WC1" s="2" t="s">
        <v>721</v>
      </c>
      <c r="WD1" s="2" t="s">
        <v>722</v>
      </c>
      <c r="WE1" s="2" t="s">
        <v>723</v>
      </c>
      <c r="WF1" s="2" t="s">
        <v>724</v>
      </c>
      <c r="WG1" s="2" t="s">
        <v>725</v>
      </c>
      <c r="WH1" s="2" t="s">
        <v>726</v>
      </c>
      <c r="WI1" s="2" t="s">
        <v>727</v>
      </c>
      <c r="WJ1" s="2" t="s">
        <v>728</v>
      </c>
      <c r="WK1" s="2" t="s">
        <v>729</v>
      </c>
      <c r="WL1" s="2" t="s">
        <v>730</v>
      </c>
      <c r="WM1" s="2" t="s">
        <v>731</v>
      </c>
      <c r="WN1" s="2" t="s">
        <v>732</v>
      </c>
      <c r="WO1" s="2" t="s">
        <v>733</v>
      </c>
      <c r="WP1" s="2" t="s">
        <v>734</v>
      </c>
      <c r="WQ1" s="2" t="s">
        <v>735</v>
      </c>
      <c r="WR1" s="2" t="s">
        <v>736</v>
      </c>
      <c r="WS1" s="2" t="s">
        <v>737</v>
      </c>
      <c r="WT1" s="2" t="s">
        <v>738</v>
      </c>
      <c r="WU1" s="2" t="s">
        <v>739</v>
      </c>
      <c r="WV1" s="2" t="s">
        <v>740</v>
      </c>
      <c r="WW1" s="2" t="s">
        <v>741</v>
      </c>
      <c r="WX1" s="2" t="s">
        <v>742</v>
      </c>
      <c r="WY1" s="2" t="s">
        <v>743</v>
      </c>
      <c r="WZ1" s="2" t="s">
        <v>744</v>
      </c>
      <c r="XA1" s="2" t="s">
        <v>745</v>
      </c>
      <c r="XB1" s="2" t="s">
        <v>746</v>
      </c>
      <c r="XC1" s="2" t="s">
        <v>747</v>
      </c>
      <c r="XD1" s="2" t="s">
        <v>748</v>
      </c>
      <c r="XE1" s="2" t="s">
        <v>749</v>
      </c>
      <c r="XF1" s="2" t="s">
        <v>750</v>
      </c>
      <c r="XG1" s="2" t="s">
        <v>751</v>
      </c>
      <c r="XH1" s="2" t="s">
        <v>752</v>
      </c>
      <c r="XI1" s="2" t="s">
        <v>753</v>
      </c>
      <c r="XJ1" s="2" t="s">
        <v>754</v>
      </c>
      <c r="XK1" s="2" t="s">
        <v>755</v>
      </c>
      <c r="XL1" s="2" t="s">
        <v>756</v>
      </c>
      <c r="XM1" s="2" t="s">
        <v>757</v>
      </c>
      <c r="XN1" s="2" t="s">
        <v>758</v>
      </c>
      <c r="XO1" s="2" t="s">
        <v>759</v>
      </c>
      <c r="XP1" s="2" t="s">
        <v>760</v>
      </c>
      <c r="XQ1" s="2" t="s">
        <v>761</v>
      </c>
      <c r="XR1" s="2" t="s">
        <v>762</v>
      </c>
      <c r="XS1" s="2" t="s">
        <v>763</v>
      </c>
      <c r="XT1" s="2" t="s">
        <v>764</v>
      </c>
      <c r="XU1" s="2" t="s">
        <v>765</v>
      </c>
      <c r="XV1" s="2" t="s">
        <v>766</v>
      </c>
      <c r="XW1" s="2" t="s">
        <v>767</v>
      </c>
      <c r="XX1" s="2" t="s">
        <v>768</v>
      </c>
      <c r="XY1" s="2" t="s">
        <v>769</v>
      </c>
      <c r="XZ1" s="2" t="s">
        <v>770</v>
      </c>
      <c r="YA1" s="2" t="s">
        <v>771</v>
      </c>
      <c r="YB1" s="2" t="s">
        <v>772</v>
      </c>
      <c r="YC1" s="2" t="s">
        <v>773</v>
      </c>
      <c r="YD1" s="2" t="s">
        <v>774</v>
      </c>
      <c r="YE1" s="2" t="s">
        <v>775</v>
      </c>
      <c r="YF1" s="2" t="s">
        <v>776</v>
      </c>
      <c r="YG1" s="2" t="s">
        <v>777</v>
      </c>
      <c r="YH1" s="2" t="s">
        <v>778</v>
      </c>
      <c r="YI1" s="2" t="s">
        <v>779</v>
      </c>
      <c r="YJ1" s="2" t="s">
        <v>780</v>
      </c>
      <c r="YK1" s="2" t="s">
        <v>781</v>
      </c>
      <c r="YL1" s="2" t="s">
        <v>782</v>
      </c>
      <c r="YM1" s="2" t="s">
        <v>783</v>
      </c>
      <c r="YN1" s="2" t="s">
        <v>784</v>
      </c>
      <c r="YO1" s="2" t="s">
        <v>785</v>
      </c>
      <c r="YP1" s="2" t="s">
        <v>786</v>
      </c>
      <c r="YQ1" s="2" t="s">
        <v>787</v>
      </c>
      <c r="YR1" s="2" t="s">
        <v>788</v>
      </c>
      <c r="YS1" s="2" t="s">
        <v>789</v>
      </c>
      <c r="YT1" s="2" t="s">
        <v>790</v>
      </c>
      <c r="YU1" s="2" t="s">
        <v>791</v>
      </c>
      <c r="YV1" s="2" t="s">
        <v>792</v>
      </c>
      <c r="YW1" s="2" t="s">
        <v>793</v>
      </c>
      <c r="YX1" s="2" t="s">
        <v>794</v>
      </c>
      <c r="YY1" s="2" t="s">
        <v>795</v>
      </c>
      <c r="YZ1" s="2" t="s">
        <v>796</v>
      </c>
      <c r="ZA1" s="2" t="s">
        <v>797</v>
      </c>
      <c r="ZB1" s="2" t="s">
        <v>798</v>
      </c>
      <c r="ZC1" s="2" t="s">
        <v>799</v>
      </c>
      <c r="ZD1" s="2" t="s">
        <v>800</v>
      </c>
      <c r="ZE1" s="2" t="s">
        <v>801</v>
      </c>
      <c r="ZF1" s="2" t="s">
        <v>802</v>
      </c>
      <c r="ZG1" s="2" t="s">
        <v>803</v>
      </c>
      <c r="ZH1" s="2" t="s">
        <v>804</v>
      </c>
      <c r="ZI1" s="2" t="s">
        <v>805</v>
      </c>
      <c r="ZJ1" s="2" t="s">
        <v>806</v>
      </c>
      <c r="ZK1" s="2" t="s">
        <v>807</v>
      </c>
      <c r="ZL1" s="2" t="s">
        <v>808</v>
      </c>
      <c r="ZM1" s="2" t="s">
        <v>809</v>
      </c>
      <c r="ZN1" s="2" t="s">
        <v>810</v>
      </c>
      <c r="ZO1" s="2" t="s">
        <v>811</v>
      </c>
      <c r="ZP1" s="2" t="s">
        <v>812</v>
      </c>
      <c r="ZQ1" s="2" t="s">
        <v>813</v>
      </c>
      <c r="ZR1" s="2" t="s">
        <v>814</v>
      </c>
      <c r="ZS1" s="2" t="s">
        <v>815</v>
      </c>
      <c r="ZT1" s="2" t="s">
        <v>816</v>
      </c>
      <c r="ZU1" s="2" t="s">
        <v>817</v>
      </c>
      <c r="ZV1" s="2" t="s">
        <v>818</v>
      </c>
      <c r="ZW1" s="2" t="s">
        <v>819</v>
      </c>
      <c r="ZX1" s="2" t="s">
        <v>820</v>
      </c>
      <c r="ZY1" s="2" t="s">
        <v>821</v>
      </c>
      <c r="ZZ1" s="2" t="s">
        <v>822</v>
      </c>
      <c r="AAA1" s="2" t="s">
        <v>823</v>
      </c>
      <c r="AAB1" s="2" t="s">
        <v>824</v>
      </c>
      <c r="AAC1" s="2" t="s">
        <v>825</v>
      </c>
      <c r="AAD1" s="2" t="s">
        <v>826</v>
      </c>
      <c r="AAE1" s="2" t="s">
        <v>827</v>
      </c>
      <c r="AAF1" s="2" t="s">
        <v>828</v>
      </c>
      <c r="AAG1" s="2" t="s">
        <v>829</v>
      </c>
      <c r="AAH1" s="2" t="s">
        <v>830</v>
      </c>
      <c r="AAI1" s="2" t="s">
        <v>831</v>
      </c>
      <c r="AAJ1" s="2" t="s">
        <v>832</v>
      </c>
      <c r="AAK1" s="2" t="s">
        <v>833</v>
      </c>
      <c r="AAL1" s="2" t="s">
        <v>834</v>
      </c>
      <c r="AAM1" s="2" t="s">
        <v>835</v>
      </c>
      <c r="AAN1" s="2" t="s">
        <v>836</v>
      </c>
      <c r="AAO1" s="2" t="s">
        <v>837</v>
      </c>
      <c r="AAP1" s="2" t="s">
        <v>838</v>
      </c>
      <c r="AAQ1" s="2" t="s">
        <v>839</v>
      </c>
      <c r="AAR1" s="2" t="s">
        <v>840</v>
      </c>
      <c r="AAS1" s="2" t="s">
        <v>841</v>
      </c>
      <c r="AAT1" s="2" t="s">
        <v>842</v>
      </c>
      <c r="AAU1" s="2" t="s">
        <v>843</v>
      </c>
      <c r="AAV1" s="2" t="s">
        <v>844</v>
      </c>
      <c r="AAW1" s="2" t="s">
        <v>845</v>
      </c>
      <c r="AAX1" s="2" t="s">
        <v>846</v>
      </c>
      <c r="AAY1" s="2" t="s">
        <v>847</v>
      </c>
      <c r="AAZ1" s="2" t="s">
        <v>848</v>
      </c>
      <c r="ABA1" s="2" t="s">
        <v>849</v>
      </c>
      <c r="ABB1" s="2" t="s">
        <v>850</v>
      </c>
      <c r="ABC1" s="2" t="s">
        <v>851</v>
      </c>
      <c r="ABD1" s="2" t="s">
        <v>852</v>
      </c>
      <c r="ABE1" s="2" t="s">
        <v>853</v>
      </c>
      <c r="ABF1" s="2" t="s">
        <v>854</v>
      </c>
      <c r="ABG1" s="2" t="s">
        <v>855</v>
      </c>
      <c r="ABH1" s="2" t="s">
        <v>856</v>
      </c>
      <c r="ABI1" s="2" t="s">
        <v>857</v>
      </c>
      <c r="ABJ1" s="2" t="s">
        <v>858</v>
      </c>
      <c r="ABK1" s="2" t="s">
        <v>859</v>
      </c>
      <c r="ABL1" s="2" t="s">
        <v>860</v>
      </c>
      <c r="ABM1" s="2" t="s">
        <v>861</v>
      </c>
      <c r="ABN1" s="2" t="s">
        <v>862</v>
      </c>
      <c r="ABO1" s="2" t="s">
        <v>863</v>
      </c>
      <c r="ABP1" s="2" t="s">
        <v>864</v>
      </c>
      <c r="ABQ1" s="2" t="s">
        <v>865</v>
      </c>
      <c r="ABR1" s="2" t="s">
        <v>866</v>
      </c>
      <c r="ABS1" s="2" t="s">
        <v>867</v>
      </c>
      <c r="ABT1" s="2" t="s">
        <v>868</v>
      </c>
      <c r="ABU1" s="2" t="s">
        <v>869</v>
      </c>
      <c r="ABV1" s="2" t="s">
        <v>870</v>
      </c>
      <c r="ABW1" s="2" t="s">
        <v>871</v>
      </c>
      <c r="ABX1" s="2" t="s">
        <v>872</v>
      </c>
      <c r="ABY1" s="2" t="s">
        <v>873</v>
      </c>
      <c r="ABZ1" s="2" t="s">
        <v>874</v>
      </c>
      <c r="ACA1" s="2" t="s">
        <v>875</v>
      </c>
      <c r="ACB1" s="2" t="s">
        <v>876</v>
      </c>
      <c r="ACC1" s="2" t="s">
        <v>877</v>
      </c>
      <c r="ACD1" s="2" t="s">
        <v>878</v>
      </c>
      <c r="ACE1" s="2" t="s">
        <v>879</v>
      </c>
      <c r="ACF1" s="2" t="s">
        <v>880</v>
      </c>
      <c r="ACG1" s="2" t="s">
        <v>881</v>
      </c>
      <c r="ACH1" s="2" t="s">
        <v>882</v>
      </c>
      <c r="ACI1" s="2" t="s">
        <v>883</v>
      </c>
      <c r="ACJ1" s="2" t="s">
        <v>884</v>
      </c>
      <c r="ACK1" s="2" t="s">
        <v>885</v>
      </c>
      <c r="ACL1" s="2" t="s">
        <v>886</v>
      </c>
      <c r="ACM1" s="2" t="s">
        <v>887</v>
      </c>
      <c r="ACN1" s="2" t="s">
        <v>888</v>
      </c>
      <c r="ACO1" s="2" t="s">
        <v>889</v>
      </c>
      <c r="ACP1" s="2" t="s">
        <v>890</v>
      </c>
      <c r="ACQ1" s="2" t="s">
        <v>891</v>
      </c>
      <c r="ACR1" s="2" t="s">
        <v>892</v>
      </c>
      <c r="ACS1" s="2" t="s">
        <v>893</v>
      </c>
      <c r="ACT1" s="2" t="s">
        <v>894</v>
      </c>
      <c r="ACU1" s="2" t="s">
        <v>895</v>
      </c>
      <c r="ACV1" s="2" t="s">
        <v>896</v>
      </c>
      <c r="ACW1" s="2" t="s">
        <v>897</v>
      </c>
      <c r="ACX1" s="2" t="s">
        <v>898</v>
      </c>
      <c r="ACY1" s="2" t="s">
        <v>899</v>
      </c>
      <c r="ACZ1" s="2" t="s">
        <v>900</v>
      </c>
      <c r="ADA1" s="2" t="s">
        <v>901</v>
      </c>
      <c r="ADB1" s="2" t="s">
        <v>902</v>
      </c>
      <c r="ADC1" s="2" t="s">
        <v>903</v>
      </c>
      <c r="ADD1" s="2" t="s">
        <v>904</v>
      </c>
      <c r="ADE1" s="2" t="s">
        <v>905</v>
      </c>
      <c r="ADF1" s="2" t="s">
        <v>906</v>
      </c>
      <c r="ADG1" s="2" t="s">
        <v>907</v>
      </c>
      <c r="ADH1" s="2" t="s">
        <v>908</v>
      </c>
      <c r="ADI1" s="2" t="s">
        <v>909</v>
      </c>
      <c r="ADJ1" s="2" t="s">
        <v>910</v>
      </c>
      <c r="ADK1" s="2" t="s">
        <v>911</v>
      </c>
      <c r="ADL1" s="2" t="s">
        <v>912</v>
      </c>
      <c r="ADM1" s="2" t="s">
        <v>913</v>
      </c>
      <c r="ADN1" s="2" t="s">
        <v>914</v>
      </c>
      <c r="ADO1" s="2" t="s">
        <v>915</v>
      </c>
      <c r="ADP1" s="2" t="s">
        <v>916</v>
      </c>
      <c r="ADQ1" s="2" t="s">
        <v>917</v>
      </c>
      <c r="ADR1" s="2" t="s">
        <v>918</v>
      </c>
      <c r="ADS1" s="2" t="s">
        <v>919</v>
      </c>
      <c r="ADT1" s="2" t="s">
        <v>920</v>
      </c>
      <c r="ADU1" s="2" t="s">
        <v>921</v>
      </c>
      <c r="ADV1" s="2" t="s">
        <v>922</v>
      </c>
      <c r="ADW1" s="2" t="s">
        <v>923</v>
      </c>
      <c r="ADX1" s="2" t="s">
        <v>924</v>
      </c>
      <c r="ADY1" s="2" t="s">
        <v>925</v>
      </c>
      <c r="ADZ1" s="2" t="s">
        <v>926</v>
      </c>
      <c r="AEA1" s="2" t="s">
        <v>927</v>
      </c>
      <c r="AEB1" s="2" t="s">
        <v>928</v>
      </c>
      <c r="AEC1" s="2" t="s">
        <v>929</v>
      </c>
      <c r="AED1" s="2" t="s">
        <v>930</v>
      </c>
      <c r="AEE1" s="2" t="s">
        <v>931</v>
      </c>
      <c r="AEF1" s="2" t="s">
        <v>932</v>
      </c>
      <c r="AEG1" s="2" t="s">
        <v>933</v>
      </c>
      <c r="AEH1" s="2" t="s">
        <v>934</v>
      </c>
      <c r="AEI1" s="2" t="s">
        <v>935</v>
      </c>
      <c r="AEJ1" s="2" t="s">
        <v>936</v>
      </c>
      <c r="AEK1" s="2" t="s">
        <v>937</v>
      </c>
      <c r="AEL1" s="2" t="s">
        <v>938</v>
      </c>
      <c r="AEM1" s="2" t="s">
        <v>939</v>
      </c>
      <c r="AEN1" s="2" t="s">
        <v>940</v>
      </c>
      <c r="AEO1" s="2" t="s">
        <v>941</v>
      </c>
      <c r="AEP1" s="2" t="s">
        <v>942</v>
      </c>
      <c r="AEQ1" s="2" t="s">
        <v>943</v>
      </c>
      <c r="AER1" s="2" t="s">
        <v>944</v>
      </c>
      <c r="AES1" s="2" t="s">
        <v>945</v>
      </c>
      <c r="AET1" s="2" t="s">
        <v>946</v>
      </c>
      <c r="AEU1" s="2" t="s">
        <v>947</v>
      </c>
      <c r="AEV1" s="2" t="s">
        <v>948</v>
      </c>
      <c r="AEW1" s="2" t="s">
        <v>949</v>
      </c>
      <c r="AEX1" s="2" t="s">
        <v>950</v>
      </c>
      <c r="AEY1" s="2" t="s">
        <v>951</v>
      </c>
      <c r="AEZ1" s="2" t="s">
        <v>952</v>
      </c>
      <c r="AFA1" s="2" t="s">
        <v>953</v>
      </c>
      <c r="AFB1" s="2" t="s">
        <v>954</v>
      </c>
      <c r="AFC1" s="2" t="s">
        <v>955</v>
      </c>
      <c r="AFD1" s="2" t="s">
        <v>956</v>
      </c>
      <c r="AFE1" s="2" t="s">
        <v>957</v>
      </c>
      <c r="AFF1" s="2" t="s">
        <v>958</v>
      </c>
      <c r="AFG1" s="2" t="s">
        <v>959</v>
      </c>
      <c r="AFH1" s="2" t="s">
        <v>960</v>
      </c>
      <c r="AFI1" s="2" t="s">
        <v>961</v>
      </c>
      <c r="AFJ1" s="2" t="s">
        <v>962</v>
      </c>
      <c r="AFK1" s="2" t="s">
        <v>963</v>
      </c>
      <c r="AFL1" s="2" t="s">
        <v>964</v>
      </c>
      <c r="AFM1" s="2" t="s">
        <v>965</v>
      </c>
      <c r="AFN1" s="2" t="s">
        <v>966</v>
      </c>
      <c r="AFO1" s="2" t="s">
        <v>967</v>
      </c>
      <c r="AFP1" s="2" t="s">
        <v>968</v>
      </c>
      <c r="AFQ1" s="2" t="s">
        <v>969</v>
      </c>
      <c r="AFR1" s="2" t="s">
        <v>970</v>
      </c>
      <c r="AFS1" s="2" t="s">
        <v>971</v>
      </c>
      <c r="AFT1" s="2" t="s">
        <v>972</v>
      </c>
      <c r="AFU1" s="2" t="s">
        <v>973</v>
      </c>
      <c r="AFV1" s="2" t="s">
        <v>974</v>
      </c>
      <c r="AFW1" s="2" t="s">
        <v>975</v>
      </c>
      <c r="AFX1" s="2" t="s">
        <v>976</v>
      </c>
      <c r="AFY1" s="2" t="s">
        <v>977</v>
      </c>
      <c r="AFZ1" s="2" t="s">
        <v>978</v>
      </c>
      <c r="AGA1" s="2" t="s">
        <v>979</v>
      </c>
      <c r="AGB1" s="2" t="s">
        <v>980</v>
      </c>
      <c r="AGC1" s="2" t="s">
        <v>981</v>
      </c>
      <c r="AGD1" s="2" t="s">
        <v>982</v>
      </c>
      <c r="AGE1" s="2" t="s">
        <v>983</v>
      </c>
      <c r="AGF1" s="2" t="s">
        <v>984</v>
      </c>
      <c r="AGG1" s="2" t="s">
        <v>985</v>
      </c>
      <c r="AGH1" s="2" t="s">
        <v>986</v>
      </c>
      <c r="AGI1" s="2" t="s">
        <v>987</v>
      </c>
      <c r="AGJ1" s="2" t="s">
        <v>988</v>
      </c>
      <c r="AGK1" s="2" t="s">
        <v>989</v>
      </c>
      <c r="AGL1" s="2" t="s">
        <v>990</v>
      </c>
      <c r="AGM1" s="2" t="s">
        <v>991</v>
      </c>
      <c r="AGN1" s="2" t="s">
        <v>992</v>
      </c>
      <c r="AGO1" s="2" t="s">
        <v>993</v>
      </c>
      <c r="AGP1" s="2" t="s">
        <v>994</v>
      </c>
      <c r="AGQ1" s="2" t="s">
        <v>995</v>
      </c>
      <c r="AGR1" s="2" t="s">
        <v>996</v>
      </c>
      <c r="AGS1" s="2" t="s">
        <v>997</v>
      </c>
      <c r="AGT1" s="2" t="s">
        <v>998</v>
      </c>
      <c r="AGU1" s="2" t="s">
        <v>999</v>
      </c>
      <c r="AGV1" s="2" t="s">
        <v>1000</v>
      </c>
      <c r="AGW1" s="2" t="s">
        <v>1001</v>
      </c>
      <c r="AGX1" s="2" t="s">
        <v>1002</v>
      </c>
      <c r="AGY1" s="2" t="s">
        <v>1003</v>
      </c>
      <c r="AGZ1" s="2" t="s">
        <v>1004</v>
      </c>
      <c r="AHA1" s="2" t="s">
        <v>1005</v>
      </c>
      <c r="AHB1" s="2" t="s">
        <v>1006</v>
      </c>
      <c r="AHC1" s="2" t="s">
        <v>1007</v>
      </c>
      <c r="AHD1" s="2" t="s">
        <v>1008</v>
      </c>
      <c r="AHE1" s="2" t="s">
        <v>1009</v>
      </c>
      <c r="AHF1" s="2" t="s">
        <v>1010</v>
      </c>
      <c r="AHG1" s="2" t="s">
        <v>1011</v>
      </c>
      <c r="AHH1" s="2" t="s">
        <v>1012</v>
      </c>
      <c r="AHI1" s="2" t="s">
        <v>1013</v>
      </c>
      <c r="AHJ1" s="2" t="s">
        <v>1014</v>
      </c>
      <c r="AHK1" s="2" t="s">
        <v>1015</v>
      </c>
      <c r="AHL1" s="2" t="s">
        <v>1016</v>
      </c>
      <c r="AHM1" s="2" t="s">
        <v>1017</v>
      </c>
      <c r="AHN1" s="2" t="s">
        <v>1018</v>
      </c>
      <c r="AHO1" s="2" t="s">
        <v>1019</v>
      </c>
      <c r="AHP1" s="2" t="s">
        <v>1020</v>
      </c>
      <c r="AHQ1" s="2" t="s">
        <v>1021</v>
      </c>
      <c r="AHR1" s="2" t="s">
        <v>1022</v>
      </c>
      <c r="AHS1" s="2" t="s">
        <v>1023</v>
      </c>
      <c r="AHT1" s="2" t="s">
        <v>1024</v>
      </c>
      <c r="AHU1" s="2" t="s">
        <v>1025</v>
      </c>
      <c r="AHV1" s="2" t="s">
        <v>1026</v>
      </c>
      <c r="AHW1" s="2" t="s">
        <v>1027</v>
      </c>
      <c r="AHX1" s="2" t="s">
        <v>1028</v>
      </c>
      <c r="AHY1" s="2" t="s">
        <v>1029</v>
      </c>
      <c r="AHZ1" s="2" t="s">
        <v>1030</v>
      </c>
      <c r="AIA1" s="2" t="s">
        <v>1031</v>
      </c>
      <c r="AIB1" s="2" t="s">
        <v>1032</v>
      </c>
      <c r="AIC1" s="2" t="s">
        <v>1033</v>
      </c>
      <c r="AID1" s="2" t="s">
        <v>1034</v>
      </c>
      <c r="AIE1" s="2" t="s">
        <v>1035</v>
      </c>
      <c r="AIF1" s="2" t="s">
        <v>1036</v>
      </c>
      <c r="AIG1" s="2" t="s">
        <v>1037</v>
      </c>
      <c r="AIH1" s="2" t="s">
        <v>1038</v>
      </c>
      <c r="AII1" s="2" t="s">
        <v>1039</v>
      </c>
      <c r="AIJ1" s="2" t="s">
        <v>1040</v>
      </c>
      <c r="AIK1" s="2" t="s">
        <v>1041</v>
      </c>
      <c r="AIL1" s="2" t="s">
        <v>1042</v>
      </c>
      <c r="AIM1" s="2" t="s">
        <v>1043</v>
      </c>
      <c r="AIN1" s="2" t="s">
        <v>1044</v>
      </c>
      <c r="AIO1" s="2" t="s">
        <v>1045</v>
      </c>
      <c r="AIP1" s="2" t="s">
        <v>1046</v>
      </c>
      <c r="AIQ1" s="2" t="s">
        <v>1047</v>
      </c>
      <c r="AIR1" s="2" t="s">
        <v>1048</v>
      </c>
      <c r="AIS1" s="2" t="s">
        <v>1049</v>
      </c>
      <c r="AIT1" s="2" t="s">
        <v>1050</v>
      </c>
      <c r="AIU1" s="2" t="s">
        <v>1051</v>
      </c>
      <c r="AIV1" s="2" t="s">
        <v>1052</v>
      </c>
      <c r="AIW1" s="2" t="s">
        <v>1053</v>
      </c>
      <c r="AIX1" s="2" t="s">
        <v>1054</v>
      </c>
      <c r="AIY1" s="2" t="s">
        <v>1055</v>
      </c>
      <c r="AIZ1" s="2" t="s">
        <v>1056</v>
      </c>
      <c r="AJA1" s="2" t="s">
        <v>1057</v>
      </c>
      <c r="AJB1" s="2" t="s">
        <v>1058</v>
      </c>
      <c r="AJC1" s="2" t="s">
        <v>1059</v>
      </c>
      <c r="AJD1" s="2" t="s">
        <v>1060</v>
      </c>
      <c r="AJE1" s="2" t="s">
        <v>1061</v>
      </c>
      <c r="AJF1" s="2" t="s">
        <v>1062</v>
      </c>
      <c r="AJG1" s="2" t="s">
        <v>1063</v>
      </c>
      <c r="AJH1" s="2" t="s">
        <v>1064</v>
      </c>
      <c r="AJI1" s="2" t="s">
        <v>1065</v>
      </c>
      <c r="AJJ1" s="2" t="s">
        <v>1066</v>
      </c>
      <c r="AJK1" s="2" t="s">
        <v>1067</v>
      </c>
      <c r="AJL1" s="2" t="s">
        <v>1068</v>
      </c>
      <c r="AJM1" s="2" t="s">
        <v>1069</v>
      </c>
      <c r="AJN1" s="2" t="s">
        <v>1070</v>
      </c>
      <c r="AJO1" s="2" t="s">
        <v>1071</v>
      </c>
      <c r="AJP1" s="2" t="s">
        <v>1072</v>
      </c>
      <c r="AJQ1" s="2" t="s">
        <v>1073</v>
      </c>
      <c r="AJR1" s="2" t="s">
        <v>1074</v>
      </c>
      <c r="AJS1" s="2" t="s">
        <v>1075</v>
      </c>
      <c r="AJT1" s="2" t="s">
        <v>1076</v>
      </c>
      <c r="AJU1" s="2" t="s">
        <v>1077</v>
      </c>
      <c r="AJV1" s="2" t="s">
        <v>1078</v>
      </c>
      <c r="AJW1" s="2" t="s">
        <v>1079</v>
      </c>
      <c r="AJX1" s="2" t="s">
        <v>1080</v>
      </c>
      <c r="AJY1" s="2" t="s">
        <v>1081</v>
      </c>
      <c r="AJZ1" s="2" t="s">
        <v>1082</v>
      </c>
      <c r="AKA1" s="2" t="s">
        <v>1083</v>
      </c>
      <c r="AKB1" s="2" t="s">
        <v>1084</v>
      </c>
      <c r="AKC1" s="2" t="s">
        <v>1085</v>
      </c>
      <c r="AKD1" s="2" t="s">
        <v>1086</v>
      </c>
      <c r="AKE1" s="2" t="s">
        <v>1087</v>
      </c>
      <c r="AKF1" s="2" t="s">
        <v>1088</v>
      </c>
      <c r="AKG1" s="2" t="s">
        <v>1089</v>
      </c>
      <c r="AKH1" s="2" t="s">
        <v>1090</v>
      </c>
      <c r="AKI1" s="2" t="s">
        <v>1091</v>
      </c>
      <c r="AKJ1" s="2" t="s">
        <v>1092</v>
      </c>
      <c r="AKK1" s="2" t="s">
        <v>1093</v>
      </c>
      <c r="AKL1" s="2" t="s">
        <v>1094</v>
      </c>
      <c r="AKM1" s="2" t="s">
        <v>1095</v>
      </c>
      <c r="AKN1" s="2" t="s">
        <v>1096</v>
      </c>
      <c r="AKO1" s="2" t="s">
        <v>1097</v>
      </c>
      <c r="AKP1" s="2" t="s">
        <v>1098</v>
      </c>
      <c r="AKQ1" s="2" t="s">
        <v>1099</v>
      </c>
      <c r="AKR1" s="2" t="s">
        <v>1100</v>
      </c>
      <c r="AKS1" s="2" t="s">
        <v>1101</v>
      </c>
      <c r="AKT1" s="2" t="s">
        <v>1102</v>
      </c>
      <c r="AKU1" s="2" t="s">
        <v>1103</v>
      </c>
      <c r="AKV1" s="2" t="s">
        <v>1104</v>
      </c>
      <c r="AKW1" s="2" t="s">
        <v>1105</v>
      </c>
      <c r="AKX1" s="2" t="s">
        <v>1106</v>
      </c>
      <c r="AKY1" s="2" t="s">
        <v>1107</v>
      </c>
      <c r="AKZ1" s="2" t="s">
        <v>1108</v>
      </c>
      <c r="ALA1" s="2" t="s">
        <v>1109</v>
      </c>
      <c r="ALB1" s="2" t="s">
        <v>1110</v>
      </c>
      <c r="ALC1" s="2" t="s">
        <v>1111</v>
      </c>
      <c r="ALD1" s="2" t="s">
        <v>1112</v>
      </c>
      <c r="ALE1" s="2" t="s">
        <v>1113</v>
      </c>
      <c r="ALF1" s="2" t="s">
        <v>1114</v>
      </c>
      <c r="ALG1" s="2" t="s">
        <v>1115</v>
      </c>
      <c r="ALH1" s="2" t="s">
        <v>1116</v>
      </c>
      <c r="ALI1" s="2" t="s">
        <v>1117</v>
      </c>
      <c r="ALJ1" s="2" t="s">
        <v>1118</v>
      </c>
      <c r="ALK1" s="2" t="s">
        <v>1119</v>
      </c>
      <c r="ALL1" s="2" t="s">
        <v>1120</v>
      </c>
      <c r="ALM1" s="2" t="s">
        <v>1121</v>
      </c>
      <c r="ALN1" s="2" t="s">
        <v>30</v>
      </c>
    </row>
    <row r="2" spans="1:1002" x14ac:dyDescent="0.3">
      <c r="A2" s="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0.21780486550000289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0.15245498542487179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7.3891635017583515E-2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0.1225141774886834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0.18355594453559981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0.19137070540319739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0.28046930442538548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0.18151854644591689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0.29236406682634158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0</v>
      </c>
      <c r="MV2" s="1">
        <v>0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0</v>
      </c>
      <c r="NH2" s="1">
        <v>0</v>
      </c>
      <c r="NI2" s="1">
        <v>0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0</v>
      </c>
      <c r="NV2" s="1">
        <v>0</v>
      </c>
      <c r="NW2" s="1">
        <v>0</v>
      </c>
      <c r="NX2" s="1">
        <v>0</v>
      </c>
      <c r="NY2" s="1">
        <v>0.1333457946146934</v>
      </c>
      <c r="NZ2" s="1">
        <v>0</v>
      </c>
      <c r="OA2" s="1">
        <v>0</v>
      </c>
      <c r="OB2" s="1">
        <v>0</v>
      </c>
      <c r="OC2" s="1">
        <v>0</v>
      </c>
      <c r="OD2" s="1">
        <v>0</v>
      </c>
      <c r="OE2" s="1">
        <v>0</v>
      </c>
      <c r="OF2" s="1">
        <v>0</v>
      </c>
      <c r="OG2" s="1">
        <v>0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0</v>
      </c>
      <c r="ON2" s="1">
        <v>0</v>
      </c>
      <c r="OO2" s="1">
        <v>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0</v>
      </c>
      <c r="PH2" s="1">
        <v>0</v>
      </c>
      <c r="PI2" s="1">
        <v>0</v>
      </c>
      <c r="PJ2" s="1">
        <v>0</v>
      </c>
      <c r="PK2" s="1">
        <v>0</v>
      </c>
      <c r="PL2" s="1">
        <v>0</v>
      </c>
      <c r="PM2" s="1">
        <v>0</v>
      </c>
      <c r="PN2" s="1">
        <v>0</v>
      </c>
      <c r="PO2" s="1">
        <v>0</v>
      </c>
      <c r="PP2" s="1">
        <v>0</v>
      </c>
      <c r="PQ2" s="1">
        <v>0</v>
      </c>
      <c r="PR2" s="1">
        <v>0</v>
      </c>
      <c r="PS2" s="1">
        <v>0</v>
      </c>
      <c r="PT2" s="1">
        <v>0</v>
      </c>
      <c r="PU2" s="1">
        <v>0</v>
      </c>
      <c r="PV2" s="1">
        <v>0</v>
      </c>
      <c r="PW2" s="1">
        <v>0</v>
      </c>
      <c r="PX2" s="1">
        <v>0</v>
      </c>
      <c r="PY2" s="1">
        <v>0</v>
      </c>
      <c r="PZ2" s="1">
        <v>0</v>
      </c>
      <c r="QA2" s="1">
        <v>0</v>
      </c>
      <c r="QB2" s="1">
        <v>0</v>
      </c>
      <c r="QC2" s="1">
        <v>0</v>
      </c>
      <c r="QD2" s="1">
        <v>0</v>
      </c>
      <c r="QE2" s="1">
        <v>0</v>
      </c>
      <c r="QF2" s="1">
        <v>0</v>
      </c>
      <c r="QG2" s="1">
        <v>0</v>
      </c>
      <c r="QH2" s="1">
        <v>0</v>
      </c>
      <c r="QI2" s="1">
        <v>0</v>
      </c>
      <c r="QJ2" s="1">
        <v>0</v>
      </c>
      <c r="QK2" s="1">
        <v>0</v>
      </c>
      <c r="QL2" s="1">
        <v>0</v>
      </c>
      <c r="QM2" s="1">
        <v>0</v>
      </c>
      <c r="QN2" s="1">
        <v>0</v>
      </c>
      <c r="QO2" s="1">
        <v>0</v>
      </c>
      <c r="QP2" s="1">
        <v>0</v>
      </c>
      <c r="QQ2" s="1">
        <v>0</v>
      </c>
      <c r="QR2" s="1">
        <v>0</v>
      </c>
      <c r="QS2" s="1">
        <v>0</v>
      </c>
      <c r="QT2" s="1">
        <v>0</v>
      </c>
      <c r="QU2" s="1">
        <v>0</v>
      </c>
      <c r="QV2" s="1">
        <v>0</v>
      </c>
      <c r="QW2" s="1">
        <v>0</v>
      </c>
      <c r="QX2" s="1">
        <v>0</v>
      </c>
      <c r="QY2" s="1">
        <v>0</v>
      </c>
      <c r="QZ2" s="1">
        <v>0</v>
      </c>
      <c r="RA2" s="1">
        <v>0</v>
      </c>
      <c r="RB2" s="1">
        <v>0</v>
      </c>
      <c r="RC2" s="1">
        <v>0</v>
      </c>
      <c r="RD2" s="1">
        <v>0</v>
      </c>
      <c r="RE2" s="1">
        <v>0</v>
      </c>
      <c r="RF2" s="1">
        <v>0</v>
      </c>
      <c r="RG2" s="1">
        <v>0</v>
      </c>
      <c r="RH2" s="1">
        <v>0</v>
      </c>
      <c r="RI2" s="1">
        <v>0</v>
      </c>
      <c r="RJ2" s="1">
        <v>0</v>
      </c>
      <c r="RK2" s="1">
        <v>0</v>
      </c>
      <c r="RL2" s="1">
        <v>0</v>
      </c>
      <c r="RM2" s="1">
        <v>0</v>
      </c>
      <c r="RN2" s="1">
        <v>0</v>
      </c>
      <c r="RO2" s="1">
        <v>0</v>
      </c>
      <c r="RP2" s="1">
        <v>0</v>
      </c>
      <c r="RQ2" s="1">
        <v>0</v>
      </c>
      <c r="RR2" s="1">
        <v>0</v>
      </c>
      <c r="RS2" s="1">
        <v>0</v>
      </c>
      <c r="RT2" s="1">
        <v>0</v>
      </c>
      <c r="RU2" s="1">
        <v>0</v>
      </c>
      <c r="RV2" s="1">
        <v>0</v>
      </c>
      <c r="RW2" s="1">
        <v>0</v>
      </c>
      <c r="RX2" s="1">
        <v>0</v>
      </c>
      <c r="RY2" s="1">
        <v>0</v>
      </c>
      <c r="RZ2" s="1">
        <v>0</v>
      </c>
      <c r="SA2" s="1">
        <v>0</v>
      </c>
      <c r="SB2" s="1">
        <v>0</v>
      </c>
      <c r="SC2" s="1">
        <v>0</v>
      </c>
      <c r="SD2" s="1">
        <v>0</v>
      </c>
      <c r="SE2" s="1">
        <v>0</v>
      </c>
      <c r="SF2" s="1">
        <v>0</v>
      </c>
      <c r="SG2" s="1">
        <v>0</v>
      </c>
      <c r="SH2" s="1">
        <v>0</v>
      </c>
      <c r="SI2" s="1">
        <v>0</v>
      </c>
      <c r="SJ2" s="1">
        <v>0</v>
      </c>
      <c r="SK2" s="1">
        <v>0</v>
      </c>
      <c r="SL2" s="1">
        <v>0</v>
      </c>
      <c r="SM2" s="1">
        <v>0</v>
      </c>
      <c r="SN2" s="1">
        <v>0</v>
      </c>
      <c r="SO2" s="1">
        <v>0</v>
      </c>
      <c r="SP2" s="1">
        <v>0</v>
      </c>
      <c r="SQ2" s="1">
        <v>0.192586851555236</v>
      </c>
      <c r="SR2" s="1">
        <v>0</v>
      </c>
      <c r="SS2" s="1">
        <v>0</v>
      </c>
      <c r="ST2" s="1">
        <v>0</v>
      </c>
      <c r="SU2" s="1">
        <v>0</v>
      </c>
      <c r="SV2" s="1">
        <v>0</v>
      </c>
      <c r="SW2" s="1">
        <v>0</v>
      </c>
      <c r="SX2" s="1">
        <v>0</v>
      </c>
      <c r="SY2" s="1">
        <v>0</v>
      </c>
      <c r="SZ2" s="1">
        <v>0</v>
      </c>
      <c r="TA2" s="1">
        <v>0</v>
      </c>
      <c r="TB2" s="1">
        <v>0</v>
      </c>
      <c r="TC2" s="1">
        <v>0</v>
      </c>
      <c r="TD2" s="1">
        <v>0</v>
      </c>
      <c r="TE2" s="1">
        <v>0</v>
      </c>
      <c r="TF2" s="1">
        <v>0</v>
      </c>
      <c r="TG2" s="1">
        <v>0</v>
      </c>
      <c r="TH2" s="1">
        <v>0</v>
      </c>
      <c r="TI2" s="1">
        <v>0</v>
      </c>
      <c r="TJ2" s="1">
        <v>0</v>
      </c>
      <c r="TK2" s="1">
        <v>0</v>
      </c>
      <c r="TL2" s="1">
        <v>0</v>
      </c>
      <c r="TM2" s="1">
        <v>0</v>
      </c>
      <c r="TN2" s="1">
        <v>0</v>
      </c>
      <c r="TO2" s="1">
        <v>0</v>
      </c>
      <c r="TP2" s="1">
        <v>0</v>
      </c>
      <c r="TQ2" s="1">
        <v>0</v>
      </c>
      <c r="TR2" s="1">
        <v>0</v>
      </c>
      <c r="TS2" s="1">
        <v>0</v>
      </c>
      <c r="TT2" s="1">
        <v>0</v>
      </c>
      <c r="TU2" s="1">
        <v>0</v>
      </c>
      <c r="TV2" s="1">
        <v>0</v>
      </c>
      <c r="TW2" s="1">
        <v>0</v>
      </c>
      <c r="TX2" s="1">
        <v>0</v>
      </c>
      <c r="TY2" s="1">
        <v>0</v>
      </c>
      <c r="TZ2" s="1">
        <v>0</v>
      </c>
      <c r="UA2" s="1">
        <v>0</v>
      </c>
      <c r="UB2" s="1">
        <v>0</v>
      </c>
      <c r="UC2" s="1">
        <v>0</v>
      </c>
      <c r="UD2" s="1">
        <v>0</v>
      </c>
      <c r="UE2" s="1">
        <v>0</v>
      </c>
      <c r="UF2" s="1">
        <v>0</v>
      </c>
      <c r="UG2" s="1">
        <v>0</v>
      </c>
      <c r="UH2" s="1">
        <v>0</v>
      </c>
      <c r="UI2" s="1">
        <v>0</v>
      </c>
      <c r="UJ2" s="1">
        <v>0</v>
      </c>
      <c r="UK2" s="1">
        <v>0</v>
      </c>
      <c r="UL2" s="1">
        <v>0</v>
      </c>
      <c r="UM2" s="1">
        <v>0</v>
      </c>
      <c r="UN2" s="1">
        <v>0</v>
      </c>
      <c r="UO2" s="1">
        <v>0</v>
      </c>
      <c r="UP2" s="1">
        <v>0</v>
      </c>
      <c r="UQ2" s="1">
        <v>0</v>
      </c>
      <c r="UR2" s="1">
        <v>0</v>
      </c>
      <c r="US2" s="1">
        <v>0</v>
      </c>
      <c r="UT2" s="1">
        <v>0</v>
      </c>
      <c r="UU2" s="1">
        <v>0</v>
      </c>
      <c r="UV2" s="1">
        <v>0</v>
      </c>
      <c r="UW2" s="1">
        <v>0</v>
      </c>
      <c r="UX2" s="1">
        <v>0</v>
      </c>
      <c r="UY2" s="1">
        <v>0</v>
      </c>
      <c r="UZ2" s="1">
        <v>0</v>
      </c>
      <c r="VA2" s="1">
        <v>0</v>
      </c>
      <c r="VB2" s="1">
        <v>0</v>
      </c>
      <c r="VC2" s="1">
        <v>0</v>
      </c>
      <c r="VD2" s="1">
        <v>0</v>
      </c>
      <c r="VE2" s="1">
        <v>0</v>
      </c>
      <c r="VF2" s="1">
        <v>0</v>
      </c>
      <c r="VG2" s="1">
        <v>0</v>
      </c>
      <c r="VH2" s="1">
        <v>0</v>
      </c>
      <c r="VI2" s="1">
        <v>0</v>
      </c>
      <c r="VJ2" s="1">
        <v>0</v>
      </c>
      <c r="VK2" s="1">
        <v>0</v>
      </c>
      <c r="VL2" s="1">
        <v>0</v>
      </c>
      <c r="VM2" s="1">
        <v>0</v>
      </c>
      <c r="VN2" s="1">
        <v>0</v>
      </c>
      <c r="VO2" s="1">
        <v>0</v>
      </c>
      <c r="VP2" s="1">
        <v>0</v>
      </c>
      <c r="VQ2" s="1">
        <v>0</v>
      </c>
      <c r="VR2" s="1">
        <v>0</v>
      </c>
      <c r="VS2" s="1">
        <v>0</v>
      </c>
      <c r="VT2" s="1">
        <v>7.3363418366509101E-2</v>
      </c>
      <c r="VU2" s="1">
        <v>0</v>
      </c>
      <c r="VV2" s="1">
        <v>0</v>
      </c>
      <c r="VW2" s="1">
        <v>0</v>
      </c>
      <c r="VX2" s="1">
        <v>0</v>
      </c>
      <c r="VY2" s="1">
        <v>0</v>
      </c>
      <c r="VZ2" s="1">
        <v>0</v>
      </c>
      <c r="WA2" s="1">
        <v>0</v>
      </c>
      <c r="WB2" s="1">
        <v>0</v>
      </c>
      <c r="WC2" s="1">
        <v>0</v>
      </c>
      <c r="WD2" s="1">
        <v>0</v>
      </c>
      <c r="WE2" s="1">
        <v>0</v>
      </c>
      <c r="WF2" s="1">
        <v>0</v>
      </c>
      <c r="WG2" s="1">
        <v>0</v>
      </c>
      <c r="WH2" s="1">
        <v>0</v>
      </c>
      <c r="WI2" s="1">
        <v>0</v>
      </c>
      <c r="WJ2" s="1">
        <v>0</v>
      </c>
      <c r="WK2" s="1">
        <v>0</v>
      </c>
      <c r="WL2" s="1">
        <v>0.1384398412495581</v>
      </c>
      <c r="WM2" s="1">
        <v>0</v>
      </c>
      <c r="WN2" s="1">
        <v>0</v>
      </c>
      <c r="WO2" s="1">
        <v>0</v>
      </c>
      <c r="WP2" s="1">
        <v>0.13597357209960151</v>
      </c>
      <c r="WQ2" s="1">
        <v>0</v>
      </c>
      <c r="WR2" s="1">
        <v>0.19097141194426881</v>
      </c>
      <c r="WS2" s="1">
        <v>0</v>
      </c>
      <c r="WT2" s="1">
        <v>0</v>
      </c>
      <c r="WU2" s="1">
        <v>0</v>
      </c>
      <c r="WV2" s="1">
        <v>0</v>
      </c>
      <c r="WW2" s="1">
        <v>0</v>
      </c>
      <c r="WX2" s="1">
        <v>0</v>
      </c>
      <c r="WY2" s="1">
        <v>0</v>
      </c>
      <c r="WZ2" s="1">
        <v>0</v>
      </c>
      <c r="XA2" s="1">
        <v>0</v>
      </c>
      <c r="XB2" s="1">
        <v>0</v>
      </c>
      <c r="XC2" s="1">
        <v>0</v>
      </c>
      <c r="XD2" s="1">
        <v>0</v>
      </c>
      <c r="XE2" s="1">
        <v>0</v>
      </c>
      <c r="XF2" s="1">
        <v>0</v>
      </c>
      <c r="XG2" s="1">
        <v>0</v>
      </c>
      <c r="XH2" s="1">
        <v>0</v>
      </c>
      <c r="XI2" s="1">
        <v>0</v>
      </c>
      <c r="XJ2" s="1">
        <v>0</v>
      </c>
      <c r="XK2" s="1">
        <v>0</v>
      </c>
      <c r="XL2" s="1">
        <v>0</v>
      </c>
      <c r="XM2" s="1">
        <v>0</v>
      </c>
      <c r="XN2" s="1">
        <v>0</v>
      </c>
      <c r="XO2" s="1">
        <v>0</v>
      </c>
      <c r="XP2" s="1">
        <v>0</v>
      </c>
      <c r="XQ2" s="1">
        <v>0</v>
      </c>
      <c r="XR2" s="1">
        <v>0</v>
      </c>
      <c r="XS2" s="1">
        <v>0</v>
      </c>
      <c r="XT2" s="1">
        <v>0</v>
      </c>
      <c r="XU2" s="1">
        <v>0</v>
      </c>
      <c r="XV2" s="1">
        <v>0</v>
      </c>
      <c r="XW2" s="1">
        <v>0</v>
      </c>
      <c r="XX2" s="1">
        <v>0</v>
      </c>
      <c r="XY2" s="1">
        <v>0</v>
      </c>
      <c r="XZ2" s="1">
        <v>0</v>
      </c>
      <c r="YA2" s="1">
        <v>0</v>
      </c>
      <c r="YB2" s="1">
        <v>0</v>
      </c>
      <c r="YC2" s="1">
        <v>0</v>
      </c>
      <c r="YD2" s="1">
        <v>0</v>
      </c>
      <c r="YE2" s="1">
        <v>0</v>
      </c>
      <c r="YF2" s="1">
        <v>0</v>
      </c>
      <c r="YG2" s="1">
        <v>0</v>
      </c>
      <c r="YH2" s="1">
        <v>0</v>
      </c>
      <c r="YI2" s="1">
        <v>0</v>
      </c>
      <c r="YJ2" s="1">
        <v>0</v>
      </c>
      <c r="YK2" s="1">
        <v>0</v>
      </c>
      <c r="YL2" s="1">
        <v>0</v>
      </c>
      <c r="YM2" s="1">
        <v>0</v>
      </c>
      <c r="YN2" s="1">
        <v>0</v>
      </c>
      <c r="YO2" s="1">
        <v>0</v>
      </c>
      <c r="YP2" s="1">
        <v>0</v>
      </c>
      <c r="YQ2" s="1">
        <v>0</v>
      </c>
      <c r="YR2" s="1">
        <v>0</v>
      </c>
      <c r="YS2" s="1">
        <v>0</v>
      </c>
      <c r="YT2" s="1">
        <v>0</v>
      </c>
      <c r="YU2" s="1">
        <v>0</v>
      </c>
      <c r="YV2" s="1">
        <v>0</v>
      </c>
      <c r="YW2" s="1">
        <v>0</v>
      </c>
      <c r="YX2" s="1">
        <v>0</v>
      </c>
      <c r="YY2" s="1">
        <v>0</v>
      </c>
      <c r="YZ2" s="1">
        <v>0</v>
      </c>
      <c r="ZA2" s="1">
        <v>0</v>
      </c>
      <c r="ZB2" s="1">
        <v>0</v>
      </c>
      <c r="ZC2" s="1">
        <v>0</v>
      </c>
      <c r="ZD2" s="1">
        <v>0</v>
      </c>
      <c r="ZE2" s="1">
        <v>0</v>
      </c>
      <c r="ZF2" s="1">
        <v>0</v>
      </c>
      <c r="ZG2" s="1">
        <v>0</v>
      </c>
      <c r="ZH2" s="1">
        <v>0</v>
      </c>
      <c r="ZI2" s="1">
        <v>0</v>
      </c>
      <c r="ZJ2" s="1">
        <v>0</v>
      </c>
      <c r="ZK2" s="1">
        <v>0</v>
      </c>
      <c r="ZL2" s="1">
        <v>0</v>
      </c>
      <c r="ZM2" s="1">
        <v>0</v>
      </c>
      <c r="ZN2" s="1">
        <v>0</v>
      </c>
      <c r="ZO2" s="1">
        <v>0</v>
      </c>
      <c r="ZP2" s="1">
        <v>0</v>
      </c>
      <c r="ZQ2" s="1">
        <v>0</v>
      </c>
      <c r="ZR2" s="1">
        <v>0</v>
      </c>
      <c r="ZS2" s="1">
        <v>0</v>
      </c>
      <c r="ZT2" s="1">
        <v>0</v>
      </c>
      <c r="ZU2" s="1">
        <v>0</v>
      </c>
      <c r="ZV2" s="1">
        <v>0</v>
      </c>
      <c r="ZW2" s="1">
        <v>0</v>
      </c>
      <c r="ZX2" s="1">
        <v>0</v>
      </c>
      <c r="ZY2" s="1">
        <v>0</v>
      </c>
      <c r="ZZ2" s="1">
        <v>0</v>
      </c>
      <c r="AAA2" s="1">
        <v>0</v>
      </c>
      <c r="AAB2" s="1">
        <v>0</v>
      </c>
      <c r="AAC2" s="1">
        <v>0</v>
      </c>
      <c r="AAD2" s="1">
        <v>0</v>
      </c>
      <c r="AAE2" s="1">
        <v>0</v>
      </c>
      <c r="AAF2" s="1">
        <v>0</v>
      </c>
      <c r="AAG2" s="1">
        <v>0</v>
      </c>
      <c r="AAH2" s="1">
        <v>0</v>
      </c>
      <c r="AAI2" s="1">
        <v>0</v>
      </c>
      <c r="AAJ2" s="1">
        <v>0</v>
      </c>
      <c r="AAK2" s="1">
        <v>0</v>
      </c>
      <c r="AAL2" s="1">
        <v>0</v>
      </c>
      <c r="AAM2" s="1">
        <v>0</v>
      </c>
      <c r="AAN2" s="1">
        <v>0</v>
      </c>
      <c r="AAO2" s="1">
        <v>0</v>
      </c>
      <c r="AAP2" s="1">
        <v>0</v>
      </c>
      <c r="AAQ2" s="1">
        <v>0</v>
      </c>
      <c r="AAR2" s="1">
        <v>0</v>
      </c>
      <c r="AAS2" s="1">
        <v>0</v>
      </c>
      <c r="AAT2" s="1">
        <v>0</v>
      </c>
      <c r="AAU2" s="1">
        <v>0</v>
      </c>
      <c r="AAV2" s="1">
        <v>0</v>
      </c>
      <c r="AAW2" s="1">
        <v>0</v>
      </c>
      <c r="AAX2" s="1">
        <v>0</v>
      </c>
      <c r="AAY2" s="1">
        <v>0</v>
      </c>
      <c r="AAZ2" s="1">
        <v>0</v>
      </c>
      <c r="ABA2" s="1">
        <v>0</v>
      </c>
      <c r="ABB2" s="1">
        <v>0</v>
      </c>
      <c r="ABC2" s="1">
        <v>0</v>
      </c>
      <c r="ABD2" s="1">
        <v>0</v>
      </c>
      <c r="ABE2" s="1">
        <v>0</v>
      </c>
      <c r="ABF2" s="1">
        <v>0</v>
      </c>
      <c r="ABG2" s="1">
        <v>0</v>
      </c>
      <c r="ABH2" s="1">
        <v>0</v>
      </c>
      <c r="ABI2" s="1">
        <v>0</v>
      </c>
      <c r="ABJ2" s="1">
        <v>0</v>
      </c>
      <c r="ABK2" s="1">
        <v>0</v>
      </c>
      <c r="ABL2" s="1">
        <v>0</v>
      </c>
      <c r="ABM2" s="1">
        <v>0</v>
      </c>
      <c r="ABN2" s="1">
        <v>0</v>
      </c>
      <c r="ABO2" s="1">
        <v>0</v>
      </c>
      <c r="ABP2" s="1">
        <v>0</v>
      </c>
      <c r="ABQ2" s="1">
        <v>0</v>
      </c>
      <c r="ABR2" s="1">
        <v>0</v>
      </c>
      <c r="ABS2" s="1">
        <v>0</v>
      </c>
      <c r="ABT2" s="1">
        <v>0</v>
      </c>
      <c r="ABU2" s="1">
        <v>0</v>
      </c>
      <c r="ABV2" s="1">
        <v>0</v>
      </c>
      <c r="ABW2" s="1">
        <v>0</v>
      </c>
      <c r="ABX2" s="1">
        <v>0</v>
      </c>
      <c r="ABY2" s="1">
        <v>0</v>
      </c>
      <c r="ABZ2" s="1">
        <v>0.22558500121047589</v>
      </c>
      <c r="ACA2" s="1">
        <v>0</v>
      </c>
      <c r="ACB2" s="1">
        <v>0</v>
      </c>
      <c r="ACC2" s="1">
        <v>0</v>
      </c>
      <c r="ACD2" s="1">
        <v>0</v>
      </c>
      <c r="ACE2" s="1">
        <v>0</v>
      </c>
      <c r="ACF2" s="1">
        <v>0</v>
      </c>
      <c r="ACG2" s="1">
        <v>0</v>
      </c>
      <c r="ACH2" s="1">
        <v>0</v>
      </c>
      <c r="ACI2" s="1">
        <v>0</v>
      </c>
      <c r="ACJ2" s="1">
        <v>0</v>
      </c>
      <c r="ACK2" s="1">
        <v>0</v>
      </c>
      <c r="ACL2" s="1">
        <v>0</v>
      </c>
      <c r="ACM2" s="1">
        <v>0</v>
      </c>
      <c r="ACN2" s="1">
        <v>0</v>
      </c>
      <c r="ACO2" s="1">
        <v>0</v>
      </c>
      <c r="ACP2" s="1">
        <v>0</v>
      </c>
      <c r="ACQ2" s="1">
        <v>0</v>
      </c>
      <c r="ACR2" s="1">
        <v>0</v>
      </c>
      <c r="ACS2" s="1">
        <v>0</v>
      </c>
      <c r="ACT2" s="1">
        <v>0</v>
      </c>
      <c r="ACU2" s="1">
        <v>0.26731032243382291</v>
      </c>
      <c r="ACV2" s="1">
        <v>0</v>
      </c>
      <c r="ACW2" s="1">
        <v>0</v>
      </c>
      <c r="ACX2" s="1">
        <v>0</v>
      </c>
      <c r="ACY2" s="1">
        <v>0</v>
      </c>
      <c r="ACZ2" s="1">
        <v>0</v>
      </c>
      <c r="ADA2" s="1">
        <v>0</v>
      </c>
      <c r="ADB2" s="1">
        <v>0</v>
      </c>
      <c r="ADC2" s="1">
        <v>0</v>
      </c>
      <c r="ADD2" s="1">
        <v>0</v>
      </c>
      <c r="ADE2" s="1">
        <v>0</v>
      </c>
      <c r="ADF2" s="1">
        <v>0</v>
      </c>
      <c r="ADG2" s="1">
        <v>0</v>
      </c>
      <c r="ADH2" s="1">
        <v>0</v>
      </c>
      <c r="ADI2" s="1">
        <v>0</v>
      </c>
      <c r="ADJ2" s="1">
        <v>0</v>
      </c>
      <c r="ADK2" s="1">
        <v>0</v>
      </c>
      <c r="ADL2" s="1">
        <v>0</v>
      </c>
      <c r="ADM2" s="1">
        <v>0</v>
      </c>
      <c r="ADN2" s="1">
        <v>0</v>
      </c>
      <c r="ADO2" s="1">
        <v>0</v>
      </c>
      <c r="ADP2" s="1">
        <v>0</v>
      </c>
      <c r="ADQ2" s="1">
        <v>0</v>
      </c>
      <c r="ADR2" s="1">
        <v>0</v>
      </c>
      <c r="ADS2" s="1">
        <v>0</v>
      </c>
      <c r="ADT2" s="1">
        <v>0</v>
      </c>
      <c r="ADU2" s="1">
        <v>0</v>
      </c>
      <c r="ADV2" s="1">
        <v>0</v>
      </c>
      <c r="ADW2" s="1">
        <v>0</v>
      </c>
      <c r="ADX2" s="1">
        <v>0</v>
      </c>
      <c r="ADY2" s="1">
        <v>0</v>
      </c>
      <c r="ADZ2" s="1">
        <v>0</v>
      </c>
      <c r="AEA2" s="1">
        <v>0</v>
      </c>
      <c r="AEB2" s="1">
        <v>0</v>
      </c>
      <c r="AEC2" s="1">
        <v>0</v>
      </c>
      <c r="AED2" s="1">
        <v>0</v>
      </c>
      <c r="AEE2" s="1">
        <v>0</v>
      </c>
      <c r="AEF2" s="1">
        <v>0</v>
      </c>
      <c r="AEG2" s="1">
        <v>0</v>
      </c>
      <c r="AEH2" s="1">
        <v>0.23120128854125949</v>
      </c>
      <c r="AEI2" s="1">
        <v>0</v>
      </c>
      <c r="AEJ2" s="1">
        <v>0</v>
      </c>
      <c r="AEK2" s="1">
        <v>0</v>
      </c>
      <c r="AEL2" s="1">
        <v>0</v>
      </c>
      <c r="AEM2" s="1">
        <v>0</v>
      </c>
      <c r="AEN2" s="1">
        <v>0</v>
      </c>
      <c r="AEO2" s="1">
        <v>0</v>
      </c>
      <c r="AEP2" s="1">
        <v>0</v>
      </c>
      <c r="AEQ2" s="1">
        <v>0</v>
      </c>
      <c r="AER2" s="1">
        <v>0</v>
      </c>
      <c r="AES2" s="1">
        <v>0</v>
      </c>
      <c r="AET2" s="1">
        <v>0</v>
      </c>
      <c r="AEU2" s="1">
        <v>0</v>
      </c>
      <c r="AEV2" s="1">
        <v>0</v>
      </c>
      <c r="AEW2" s="1">
        <v>0.25957133333096538</v>
      </c>
      <c r="AEX2" s="1">
        <v>0</v>
      </c>
      <c r="AEY2" s="1">
        <v>0</v>
      </c>
      <c r="AEZ2" s="1">
        <v>0</v>
      </c>
      <c r="AFA2" s="1">
        <v>0</v>
      </c>
      <c r="AFB2" s="1">
        <v>0</v>
      </c>
      <c r="AFC2" s="1">
        <v>0</v>
      </c>
      <c r="AFD2" s="1">
        <v>0</v>
      </c>
      <c r="AFE2" s="1">
        <v>0</v>
      </c>
      <c r="AFF2" s="1">
        <v>0</v>
      </c>
      <c r="AFG2" s="1">
        <v>0</v>
      </c>
      <c r="AFH2" s="1">
        <v>0</v>
      </c>
      <c r="AFI2" s="1">
        <v>0</v>
      </c>
      <c r="AFJ2" s="1">
        <v>0</v>
      </c>
      <c r="AFK2" s="1">
        <v>0</v>
      </c>
      <c r="AFL2" s="1">
        <v>0</v>
      </c>
      <c r="AFM2" s="1">
        <v>0</v>
      </c>
      <c r="AFN2" s="1">
        <v>0</v>
      </c>
      <c r="AFO2" s="1">
        <v>0</v>
      </c>
      <c r="AFP2" s="1">
        <v>0</v>
      </c>
      <c r="AFQ2" s="1">
        <v>0</v>
      </c>
      <c r="AFR2" s="1">
        <v>0</v>
      </c>
      <c r="AFS2" s="1">
        <v>0</v>
      </c>
      <c r="AFT2" s="1">
        <v>0</v>
      </c>
      <c r="AFU2" s="1">
        <v>0</v>
      </c>
      <c r="AFV2" s="1">
        <v>0</v>
      </c>
      <c r="AFW2" s="1">
        <v>0</v>
      </c>
      <c r="AFX2" s="1">
        <v>0</v>
      </c>
      <c r="AFY2" s="1">
        <v>0</v>
      </c>
      <c r="AFZ2" s="1">
        <v>0</v>
      </c>
      <c r="AGA2" s="1">
        <v>0</v>
      </c>
      <c r="AGB2" s="1">
        <v>0</v>
      </c>
      <c r="AGC2" s="1">
        <v>0</v>
      </c>
      <c r="AGD2" s="1">
        <v>0</v>
      </c>
      <c r="AGE2" s="1">
        <v>0</v>
      </c>
      <c r="AGF2" s="1">
        <v>0</v>
      </c>
      <c r="AGG2" s="1">
        <v>0</v>
      </c>
      <c r="AGH2" s="1">
        <v>0</v>
      </c>
      <c r="AGI2" s="1">
        <v>0</v>
      </c>
      <c r="AGJ2" s="1">
        <v>0</v>
      </c>
      <c r="AGK2" s="1">
        <v>0</v>
      </c>
      <c r="AGL2" s="1">
        <v>0</v>
      </c>
      <c r="AGM2" s="1">
        <v>0</v>
      </c>
      <c r="AGN2" s="1">
        <v>0</v>
      </c>
      <c r="AGO2" s="1">
        <v>0</v>
      </c>
      <c r="AGP2" s="1">
        <v>0</v>
      </c>
      <c r="AGQ2" s="1">
        <v>0</v>
      </c>
      <c r="AGR2" s="1">
        <v>0</v>
      </c>
      <c r="AGS2" s="1">
        <v>0</v>
      </c>
      <c r="AGT2" s="1">
        <v>0</v>
      </c>
      <c r="AGU2" s="1">
        <v>0</v>
      </c>
      <c r="AGV2" s="1">
        <v>0</v>
      </c>
      <c r="AGW2" s="1">
        <v>0</v>
      </c>
      <c r="AGX2" s="1">
        <v>0</v>
      </c>
      <c r="AGY2" s="1">
        <v>0</v>
      </c>
      <c r="AGZ2" s="1">
        <v>0</v>
      </c>
      <c r="AHA2" s="1">
        <v>0</v>
      </c>
      <c r="AHB2" s="1">
        <v>0</v>
      </c>
      <c r="AHC2" s="1">
        <v>0</v>
      </c>
      <c r="AHD2" s="1">
        <v>0</v>
      </c>
      <c r="AHE2" s="1">
        <v>0</v>
      </c>
      <c r="AHF2" s="1">
        <v>0</v>
      </c>
      <c r="AHG2" s="1">
        <v>0</v>
      </c>
      <c r="AHH2" s="1">
        <v>0</v>
      </c>
      <c r="AHI2" s="1">
        <v>0</v>
      </c>
      <c r="AHJ2" s="1">
        <v>0</v>
      </c>
      <c r="AHK2" s="1">
        <v>0</v>
      </c>
      <c r="AHL2" s="1">
        <v>0</v>
      </c>
      <c r="AHM2" s="1">
        <v>0</v>
      </c>
      <c r="AHN2" s="1">
        <v>0</v>
      </c>
      <c r="AHO2" s="1">
        <v>0</v>
      </c>
      <c r="AHP2" s="1">
        <v>0</v>
      </c>
      <c r="AHQ2" s="1">
        <v>0</v>
      </c>
      <c r="AHR2" s="1">
        <v>0</v>
      </c>
      <c r="AHS2" s="1">
        <v>0</v>
      </c>
      <c r="AHT2" s="1">
        <v>0.23036181564034791</v>
      </c>
      <c r="AHU2" s="1">
        <v>0</v>
      </c>
      <c r="AHV2" s="1">
        <v>0</v>
      </c>
      <c r="AHW2" s="1">
        <v>0</v>
      </c>
      <c r="AHX2" s="1">
        <v>0</v>
      </c>
      <c r="AHY2" s="1">
        <v>0</v>
      </c>
      <c r="AHZ2" s="1">
        <v>0</v>
      </c>
      <c r="AIA2" s="1">
        <v>0</v>
      </c>
      <c r="AIB2" s="1">
        <v>0</v>
      </c>
      <c r="AIC2" s="1">
        <v>0</v>
      </c>
      <c r="AID2" s="1">
        <v>0</v>
      </c>
      <c r="AIE2" s="1">
        <v>0</v>
      </c>
      <c r="AIF2" s="1">
        <v>0</v>
      </c>
      <c r="AIG2" s="1">
        <v>0</v>
      </c>
      <c r="AIH2" s="1">
        <v>0</v>
      </c>
      <c r="AII2" s="1">
        <v>0</v>
      </c>
      <c r="AIJ2" s="1">
        <v>0</v>
      </c>
      <c r="AIK2" s="1">
        <v>0</v>
      </c>
      <c r="AIL2" s="1">
        <v>0</v>
      </c>
      <c r="AIM2" s="1">
        <v>0</v>
      </c>
      <c r="AIN2" s="1">
        <v>0</v>
      </c>
      <c r="AIO2" s="1">
        <v>0</v>
      </c>
      <c r="AIP2" s="1">
        <v>0</v>
      </c>
      <c r="AIQ2" s="1">
        <v>0</v>
      </c>
      <c r="AIR2" s="1">
        <v>0</v>
      </c>
      <c r="AIS2" s="1">
        <v>0.25957133333096538</v>
      </c>
      <c r="AIT2" s="1">
        <v>0</v>
      </c>
      <c r="AIU2" s="1">
        <v>0</v>
      </c>
      <c r="AIV2" s="1">
        <v>0</v>
      </c>
      <c r="AIW2" s="1">
        <v>0</v>
      </c>
      <c r="AIX2" s="1">
        <v>0</v>
      </c>
      <c r="AIY2" s="1">
        <v>0</v>
      </c>
      <c r="AIZ2" s="1">
        <v>0</v>
      </c>
      <c r="AJA2" s="1">
        <v>0</v>
      </c>
      <c r="AJB2" s="1">
        <v>0</v>
      </c>
      <c r="AJC2" s="1">
        <v>0</v>
      </c>
      <c r="AJD2" s="1">
        <v>0</v>
      </c>
      <c r="AJE2" s="1">
        <v>0</v>
      </c>
      <c r="AJF2" s="1">
        <v>0</v>
      </c>
      <c r="AJG2" s="1">
        <v>0</v>
      </c>
      <c r="AJH2" s="1">
        <v>0</v>
      </c>
      <c r="AJI2" s="1">
        <v>0</v>
      </c>
      <c r="AJJ2" s="1">
        <v>0</v>
      </c>
      <c r="AJK2" s="1">
        <v>0</v>
      </c>
      <c r="AJL2" s="1">
        <v>0</v>
      </c>
      <c r="AJM2" s="1">
        <v>0</v>
      </c>
      <c r="AJN2" s="1">
        <v>0</v>
      </c>
      <c r="AJO2" s="1">
        <v>0</v>
      </c>
      <c r="AJP2" s="1">
        <v>0</v>
      </c>
      <c r="AJQ2" s="1">
        <v>0</v>
      </c>
      <c r="AJR2" s="1">
        <v>0</v>
      </c>
      <c r="AJS2" s="1">
        <v>0</v>
      </c>
      <c r="AJT2" s="1">
        <v>0</v>
      </c>
      <c r="AJU2" s="1">
        <v>0</v>
      </c>
      <c r="AJV2" s="1">
        <v>0</v>
      </c>
      <c r="AJW2" s="1">
        <v>0</v>
      </c>
      <c r="AJX2" s="1">
        <v>0</v>
      </c>
      <c r="AJY2" s="1">
        <v>0</v>
      </c>
      <c r="AJZ2" s="1">
        <v>0</v>
      </c>
      <c r="AKA2" s="1">
        <v>0</v>
      </c>
      <c r="AKB2" s="1">
        <v>0</v>
      </c>
      <c r="AKC2" s="1">
        <v>0</v>
      </c>
      <c r="AKD2" s="1">
        <v>0</v>
      </c>
      <c r="AKE2" s="1">
        <v>0</v>
      </c>
      <c r="AKF2" s="1">
        <v>0</v>
      </c>
      <c r="AKG2" s="1">
        <v>0</v>
      </c>
      <c r="AKH2" s="1">
        <v>0</v>
      </c>
      <c r="AKI2" s="1">
        <v>0</v>
      </c>
      <c r="AKJ2" s="1">
        <v>0</v>
      </c>
      <c r="AKK2" s="1">
        <v>0</v>
      </c>
      <c r="AKL2" s="1">
        <v>0</v>
      </c>
      <c r="AKM2" s="1">
        <v>0</v>
      </c>
      <c r="AKN2" s="1">
        <v>0</v>
      </c>
      <c r="AKO2" s="1">
        <v>0</v>
      </c>
      <c r="AKP2" s="1">
        <v>0</v>
      </c>
      <c r="AKQ2" s="1">
        <v>0</v>
      </c>
      <c r="AKR2" s="1">
        <v>0</v>
      </c>
      <c r="AKS2" s="1">
        <v>0</v>
      </c>
      <c r="AKT2" s="1">
        <v>0.27442827040490703</v>
      </c>
      <c r="AKU2" s="1">
        <v>0</v>
      </c>
      <c r="AKV2" s="1">
        <v>0</v>
      </c>
      <c r="AKW2" s="1">
        <v>0</v>
      </c>
      <c r="AKX2" s="1">
        <v>0</v>
      </c>
      <c r="AKY2" s="1">
        <v>0</v>
      </c>
      <c r="AKZ2" s="1">
        <v>0</v>
      </c>
      <c r="ALA2" s="1">
        <v>0</v>
      </c>
      <c r="ALB2" s="1">
        <v>0</v>
      </c>
      <c r="ALC2" s="1">
        <v>0</v>
      </c>
      <c r="ALD2" s="1">
        <v>0</v>
      </c>
      <c r="ALE2" s="1">
        <v>0.26103184736365032</v>
      </c>
      <c r="ALF2" s="1">
        <v>0</v>
      </c>
      <c r="ALG2" s="1">
        <v>0</v>
      </c>
      <c r="ALH2" s="1">
        <v>0</v>
      </c>
      <c r="ALI2" s="1">
        <v>0</v>
      </c>
      <c r="ALJ2" s="1">
        <v>0</v>
      </c>
      <c r="ALK2" s="1">
        <v>0</v>
      </c>
      <c r="ALL2" s="1">
        <v>0</v>
      </c>
      <c r="ALM2" s="1">
        <v>0</v>
      </c>
      <c r="ALN2" s="1">
        <v>1</v>
      </c>
    </row>
    <row r="3" spans="1:1002" x14ac:dyDescent="0.3">
      <c r="A3" s="2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3.6211625360241938E-2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5.5964620540025212E-2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0.1063867066547259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4.5012691045222777E-2</v>
      </c>
      <c r="BN3" s="1">
        <v>0</v>
      </c>
      <c r="BO3" s="1">
        <v>0</v>
      </c>
      <c r="BP3" s="1">
        <v>0</v>
      </c>
      <c r="BQ3" s="1">
        <v>0</v>
      </c>
      <c r="BR3" s="1">
        <v>0.1367240943302408</v>
      </c>
      <c r="BS3" s="1">
        <v>0</v>
      </c>
      <c r="BT3" s="1">
        <v>0.14998678448311589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6.9373773917209183E-2</v>
      </c>
      <c r="CB3" s="1">
        <v>0</v>
      </c>
      <c r="CC3" s="1">
        <v>4.4040938322333002E-2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5.9424641346038781E-2</v>
      </c>
      <c r="CM3" s="1">
        <v>0</v>
      </c>
      <c r="CN3" s="1">
        <v>0</v>
      </c>
      <c r="CO3" s="1">
        <v>6.1529258422190411E-2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0.32360426458892949</v>
      </c>
      <c r="CW3" s="1">
        <v>0</v>
      </c>
      <c r="CX3" s="1">
        <v>0</v>
      </c>
      <c r="CY3" s="1">
        <v>7.1245794516534802E-2</v>
      </c>
      <c r="CZ3" s="1">
        <v>0</v>
      </c>
      <c r="DA3" s="1">
        <v>6.2412768031621622E-2</v>
      </c>
      <c r="DB3" s="1">
        <v>0.25576259544469832</v>
      </c>
      <c r="DC3" s="1">
        <v>0.19122359466640301</v>
      </c>
      <c r="DD3" s="1">
        <v>0</v>
      </c>
      <c r="DE3" s="1">
        <v>0</v>
      </c>
      <c r="DF3" s="1">
        <v>0</v>
      </c>
      <c r="DG3" s="1">
        <v>0</v>
      </c>
      <c r="DH3" s="1">
        <v>5.6954219859398393E-2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0.14124530190489359</v>
      </c>
      <c r="DQ3" s="1">
        <v>4.6628165783534271E-2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5.2254055073571802E-2</v>
      </c>
      <c r="DY3" s="1">
        <v>0</v>
      </c>
      <c r="DZ3" s="1">
        <v>0</v>
      </c>
      <c r="EA3" s="1">
        <v>0</v>
      </c>
      <c r="EB3" s="1">
        <v>5.8011535177540187E-2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8.132892194470108E-2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2.9888724414252419E-2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3.1475471237109968E-2</v>
      </c>
      <c r="FC3" s="1">
        <v>0</v>
      </c>
      <c r="FD3" s="1">
        <v>0</v>
      </c>
      <c r="FE3" s="1">
        <v>0</v>
      </c>
      <c r="FF3" s="1">
        <v>0</v>
      </c>
      <c r="FG3" s="1">
        <v>6.8589468996322275E-2</v>
      </c>
      <c r="FH3" s="1">
        <v>0</v>
      </c>
      <c r="FI3" s="1">
        <v>0</v>
      </c>
      <c r="FJ3" s="1">
        <v>0</v>
      </c>
      <c r="FK3" s="1">
        <v>6.4142706771885064E-2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0.21883830438201399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4.271446362680173E-2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0.14235992726547839</v>
      </c>
      <c r="JG3" s="1">
        <v>0</v>
      </c>
      <c r="JH3" s="1">
        <v>4.0893866503134479E-2</v>
      </c>
      <c r="JI3" s="1">
        <v>0</v>
      </c>
      <c r="JJ3" s="1">
        <v>0</v>
      </c>
      <c r="JK3" s="1">
        <v>7.4063977118399335E-2</v>
      </c>
      <c r="JL3" s="1">
        <v>0</v>
      </c>
      <c r="JM3" s="1">
        <v>0</v>
      </c>
      <c r="JN3" s="1">
        <v>0</v>
      </c>
      <c r="JO3" s="1">
        <v>0</v>
      </c>
      <c r="JP3" s="1">
        <v>6.5861944777861559E-2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7.33098173019614E-2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5.6954219859398393E-2</v>
      </c>
      <c r="KG3" s="1">
        <v>0</v>
      </c>
      <c r="KH3" s="1">
        <v>0</v>
      </c>
      <c r="KI3" s="1">
        <v>6.6799032292097604E-2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7.2946101460671334E-2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5.7342287356075931E-2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5.7211845990746482E-2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5.2066692657608091E-2</v>
      </c>
      <c r="MA3" s="1">
        <v>0</v>
      </c>
      <c r="MB3" s="1">
        <v>0</v>
      </c>
      <c r="MC3" s="1">
        <v>0</v>
      </c>
      <c r="MD3" s="1">
        <v>4.9305984772336629E-2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0</v>
      </c>
      <c r="MV3" s="1">
        <v>0</v>
      </c>
      <c r="MW3" s="1">
        <v>0</v>
      </c>
      <c r="MX3" s="1">
        <v>0</v>
      </c>
      <c r="MY3" s="1">
        <v>0</v>
      </c>
      <c r="MZ3" s="1">
        <v>0</v>
      </c>
      <c r="NA3" s="1">
        <v>0</v>
      </c>
      <c r="NB3" s="1">
        <v>0</v>
      </c>
      <c r="NC3" s="1">
        <v>0</v>
      </c>
      <c r="ND3" s="1">
        <v>0</v>
      </c>
      <c r="NE3" s="1">
        <v>5.1250580012502669E-2</v>
      </c>
      <c r="NF3" s="1">
        <v>0</v>
      </c>
      <c r="NG3" s="1">
        <v>0</v>
      </c>
      <c r="NH3" s="1">
        <v>0</v>
      </c>
      <c r="NI3" s="1">
        <v>0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5.5944650887219928E-2</v>
      </c>
      <c r="OA3" s="1">
        <v>0</v>
      </c>
      <c r="OB3" s="1">
        <v>0</v>
      </c>
      <c r="OC3" s="1">
        <v>4.7573442548324879E-2</v>
      </c>
      <c r="OD3" s="1">
        <v>0</v>
      </c>
      <c r="OE3" s="1">
        <v>7.19036474166867E-2</v>
      </c>
      <c r="OF3" s="1">
        <v>0</v>
      </c>
      <c r="OG3" s="1">
        <v>0</v>
      </c>
      <c r="OH3" s="1">
        <v>7.8510739342836547E-2</v>
      </c>
      <c r="OI3" s="1">
        <v>0</v>
      </c>
      <c r="OJ3" s="1">
        <v>0</v>
      </c>
      <c r="OK3" s="1">
        <v>0</v>
      </c>
      <c r="OL3" s="1">
        <v>0</v>
      </c>
      <c r="OM3" s="1">
        <v>0</v>
      </c>
      <c r="ON3" s="1">
        <v>5.3840801896429348E-2</v>
      </c>
      <c r="OO3" s="1">
        <v>0</v>
      </c>
      <c r="OP3" s="1">
        <v>0</v>
      </c>
      <c r="OQ3" s="1">
        <v>0</v>
      </c>
      <c r="OR3" s="1">
        <v>0</v>
      </c>
      <c r="OS3" s="1">
        <v>0</v>
      </c>
      <c r="OT3" s="1">
        <v>0.10874405956269501</v>
      </c>
      <c r="OU3" s="1">
        <v>0</v>
      </c>
      <c r="OV3" s="1">
        <v>0</v>
      </c>
      <c r="OW3" s="1">
        <v>0</v>
      </c>
      <c r="OX3" s="1">
        <v>0</v>
      </c>
      <c r="OY3" s="1">
        <v>6.3741198222134324E-2</v>
      </c>
      <c r="OZ3" s="1">
        <v>0</v>
      </c>
      <c r="PA3" s="1">
        <v>2.9603081984721578E-2</v>
      </c>
      <c r="PB3" s="1">
        <v>0</v>
      </c>
      <c r="PC3" s="1">
        <v>0</v>
      </c>
      <c r="PD3" s="1">
        <v>0</v>
      </c>
      <c r="PE3" s="1">
        <v>0</v>
      </c>
      <c r="PF3" s="1">
        <v>0</v>
      </c>
      <c r="PG3" s="1">
        <v>0</v>
      </c>
      <c r="PH3" s="1">
        <v>2.3105228746869561E-2</v>
      </c>
      <c r="PI3" s="1">
        <v>0</v>
      </c>
      <c r="PJ3" s="1">
        <v>0</v>
      </c>
      <c r="PK3" s="1">
        <v>0</v>
      </c>
      <c r="PL3" s="1">
        <v>0</v>
      </c>
      <c r="PM3" s="1">
        <v>0</v>
      </c>
      <c r="PN3" s="1">
        <v>0</v>
      </c>
      <c r="PO3" s="1">
        <v>0</v>
      </c>
      <c r="PP3" s="1">
        <v>7.3682298218655143E-2</v>
      </c>
      <c r="PQ3" s="1">
        <v>0</v>
      </c>
      <c r="PR3" s="1">
        <v>0</v>
      </c>
      <c r="PS3" s="1">
        <v>0</v>
      </c>
      <c r="PT3" s="1">
        <v>0</v>
      </c>
      <c r="PU3" s="1">
        <v>0</v>
      </c>
      <c r="PV3" s="1">
        <v>0</v>
      </c>
      <c r="PW3" s="1">
        <v>0</v>
      </c>
      <c r="PX3" s="1">
        <v>0</v>
      </c>
      <c r="PY3" s="1">
        <v>0</v>
      </c>
      <c r="PZ3" s="1">
        <v>0</v>
      </c>
      <c r="QA3" s="1">
        <v>0</v>
      </c>
      <c r="QB3" s="1">
        <v>4.7713327756966399E-2</v>
      </c>
      <c r="QC3" s="1">
        <v>0</v>
      </c>
      <c r="QD3" s="1">
        <v>0</v>
      </c>
      <c r="QE3" s="1">
        <v>0</v>
      </c>
      <c r="QF3" s="1">
        <v>0</v>
      </c>
      <c r="QG3" s="1">
        <v>0</v>
      </c>
      <c r="QH3" s="1">
        <v>0</v>
      </c>
      <c r="QI3" s="1">
        <v>0</v>
      </c>
      <c r="QJ3" s="1">
        <v>0.2245704850332802</v>
      </c>
      <c r="QK3" s="1">
        <v>4.7554774513225727E-2</v>
      </c>
      <c r="QL3" s="1">
        <v>0</v>
      </c>
      <c r="QM3" s="1">
        <v>7.0008557570238786E-2</v>
      </c>
      <c r="QN3" s="1">
        <v>0</v>
      </c>
      <c r="QO3" s="1">
        <v>0</v>
      </c>
      <c r="QP3" s="1">
        <v>0</v>
      </c>
      <c r="QQ3" s="1">
        <v>0</v>
      </c>
      <c r="QR3" s="1">
        <v>4.0580685108359903E-2</v>
      </c>
      <c r="QS3" s="1">
        <v>6.7796617770294873E-2</v>
      </c>
      <c r="QT3" s="1">
        <v>0</v>
      </c>
      <c r="QU3" s="1">
        <v>0</v>
      </c>
      <c r="QV3" s="1">
        <v>0</v>
      </c>
      <c r="QW3" s="1">
        <v>0</v>
      </c>
      <c r="QX3" s="1">
        <v>0</v>
      </c>
      <c r="QY3" s="1">
        <v>0</v>
      </c>
      <c r="QZ3" s="1">
        <v>0</v>
      </c>
      <c r="RA3" s="1">
        <v>0</v>
      </c>
      <c r="RB3" s="1">
        <v>0</v>
      </c>
      <c r="RC3" s="1">
        <v>0</v>
      </c>
      <c r="RD3" s="1">
        <v>0</v>
      </c>
      <c r="RE3" s="1">
        <v>0</v>
      </c>
      <c r="RF3" s="1">
        <v>0</v>
      </c>
      <c r="RG3" s="1">
        <v>0</v>
      </c>
      <c r="RH3" s="1">
        <v>0</v>
      </c>
      <c r="RI3" s="1">
        <v>0</v>
      </c>
      <c r="RJ3" s="1">
        <v>0</v>
      </c>
      <c r="RK3" s="1">
        <v>6.0212956290409132E-2</v>
      </c>
      <c r="RL3" s="1">
        <v>0</v>
      </c>
      <c r="RM3" s="1">
        <v>0</v>
      </c>
      <c r="RN3" s="1">
        <v>0</v>
      </c>
      <c r="RO3" s="1">
        <v>0</v>
      </c>
      <c r="RP3" s="1">
        <v>0</v>
      </c>
      <c r="RQ3" s="1">
        <v>0</v>
      </c>
      <c r="RR3" s="1">
        <v>0</v>
      </c>
      <c r="RS3" s="1">
        <v>0</v>
      </c>
      <c r="RT3" s="1">
        <v>0</v>
      </c>
      <c r="RU3" s="1">
        <v>0</v>
      </c>
      <c r="RV3" s="1">
        <v>0</v>
      </c>
      <c r="RW3" s="1">
        <v>0</v>
      </c>
      <c r="RX3" s="1">
        <v>0</v>
      </c>
      <c r="RY3" s="1">
        <v>0</v>
      </c>
      <c r="RZ3" s="1">
        <v>0</v>
      </c>
      <c r="SA3" s="1">
        <v>0</v>
      </c>
      <c r="SB3" s="1">
        <v>0</v>
      </c>
      <c r="SC3" s="1">
        <v>0</v>
      </c>
      <c r="SD3" s="1">
        <v>0</v>
      </c>
      <c r="SE3" s="1">
        <v>0</v>
      </c>
      <c r="SF3" s="1">
        <v>0</v>
      </c>
      <c r="SG3" s="1">
        <v>0</v>
      </c>
      <c r="SH3" s="1">
        <v>0</v>
      </c>
      <c r="SI3" s="1">
        <v>0</v>
      </c>
      <c r="SJ3" s="1">
        <v>0</v>
      </c>
      <c r="SK3" s="1">
        <v>0</v>
      </c>
      <c r="SL3" s="1">
        <v>0</v>
      </c>
      <c r="SM3" s="1">
        <v>0</v>
      </c>
      <c r="SN3" s="1">
        <v>0</v>
      </c>
      <c r="SO3" s="1">
        <v>0</v>
      </c>
      <c r="SP3" s="1">
        <v>0</v>
      </c>
      <c r="SQ3" s="1">
        <v>0</v>
      </c>
      <c r="SR3" s="1">
        <v>0</v>
      </c>
      <c r="SS3" s="1">
        <v>0</v>
      </c>
      <c r="ST3" s="1">
        <v>0</v>
      </c>
      <c r="SU3" s="1">
        <v>0</v>
      </c>
      <c r="SV3" s="1">
        <v>0</v>
      </c>
      <c r="SW3" s="1">
        <v>0</v>
      </c>
      <c r="SX3" s="1">
        <v>0</v>
      </c>
      <c r="SY3" s="1">
        <v>0</v>
      </c>
      <c r="SZ3" s="1">
        <v>4.7297413604998527E-2</v>
      </c>
      <c r="TA3" s="1">
        <v>0</v>
      </c>
      <c r="TB3" s="1">
        <v>0</v>
      </c>
      <c r="TC3" s="1">
        <v>0</v>
      </c>
      <c r="TD3" s="1">
        <v>0</v>
      </c>
      <c r="TE3" s="1">
        <v>0</v>
      </c>
      <c r="TF3" s="1">
        <v>0.1499382253593104</v>
      </c>
      <c r="TG3" s="1">
        <v>0</v>
      </c>
      <c r="TH3" s="1">
        <v>7.2223587463764463E-2</v>
      </c>
      <c r="TI3" s="1">
        <v>0</v>
      </c>
      <c r="TJ3" s="1">
        <v>0</v>
      </c>
      <c r="TK3" s="1">
        <v>0.1227169175662474</v>
      </c>
      <c r="TL3" s="1">
        <v>0</v>
      </c>
      <c r="TM3" s="1">
        <v>0</v>
      </c>
      <c r="TN3" s="1">
        <v>0</v>
      </c>
      <c r="TO3" s="1">
        <v>0</v>
      </c>
      <c r="TP3" s="1">
        <v>0</v>
      </c>
      <c r="TQ3" s="1">
        <v>0</v>
      </c>
      <c r="TR3" s="1">
        <v>5.4372029781347517E-2</v>
      </c>
      <c r="TS3" s="1">
        <v>0</v>
      </c>
      <c r="TT3" s="1">
        <v>0</v>
      </c>
      <c r="TU3" s="1">
        <v>0</v>
      </c>
      <c r="TV3" s="1">
        <v>0</v>
      </c>
      <c r="TW3" s="1">
        <v>0</v>
      </c>
      <c r="TX3" s="1">
        <v>0</v>
      </c>
      <c r="TY3" s="1">
        <v>0</v>
      </c>
      <c r="TZ3" s="1">
        <v>0</v>
      </c>
      <c r="UA3" s="1">
        <v>0</v>
      </c>
      <c r="UB3" s="1">
        <v>0</v>
      </c>
      <c r="UC3" s="1">
        <v>0</v>
      </c>
      <c r="UD3" s="1">
        <v>4.0144011716681263E-2</v>
      </c>
      <c r="UE3" s="1">
        <v>4.9817551371451482E-2</v>
      </c>
      <c r="UF3" s="1">
        <v>0</v>
      </c>
      <c r="UG3" s="1">
        <v>0</v>
      </c>
      <c r="UH3" s="1">
        <v>0</v>
      </c>
      <c r="UI3" s="1">
        <v>0</v>
      </c>
      <c r="UJ3" s="1">
        <v>0</v>
      </c>
      <c r="UK3" s="1">
        <v>0</v>
      </c>
      <c r="UL3" s="1">
        <v>0</v>
      </c>
      <c r="UM3" s="1">
        <v>0</v>
      </c>
      <c r="UN3" s="1">
        <v>0</v>
      </c>
      <c r="UO3" s="1">
        <v>7.5436551676192939E-2</v>
      </c>
      <c r="UP3" s="1">
        <v>0</v>
      </c>
      <c r="UQ3" s="1">
        <v>0</v>
      </c>
      <c r="UR3" s="1">
        <v>0</v>
      </c>
      <c r="US3" s="1">
        <v>0</v>
      </c>
      <c r="UT3" s="1">
        <v>0</v>
      </c>
      <c r="UU3" s="1">
        <v>0</v>
      </c>
      <c r="UV3" s="1">
        <v>0</v>
      </c>
      <c r="UW3" s="1">
        <v>0</v>
      </c>
      <c r="UX3" s="1">
        <v>0</v>
      </c>
      <c r="UY3" s="1">
        <v>0</v>
      </c>
      <c r="UZ3" s="1">
        <v>0</v>
      </c>
      <c r="VA3" s="1">
        <v>0</v>
      </c>
      <c r="VB3" s="1">
        <v>0</v>
      </c>
      <c r="VC3" s="1">
        <v>0</v>
      </c>
      <c r="VD3" s="1">
        <v>0</v>
      </c>
      <c r="VE3" s="1">
        <v>0</v>
      </c>
      <c r="VF3" s="1">
        <v>0</v>
      </c>
      <c r="VG3" s="1">
        <v>0</v>
      </c>
      <c r="VH3" s="1">
        <v>3.9761282699061713E-2</v>
      </c>
      <c r="VI3" s="1">
        <v>0</v>
      </c>
      <c r="VJ3" s="1">
        <v>0</v>
      </c>
      <c r="VK3" s="1">
        <v>0.17866941828505251</v>
      </c>
      <c r="VL3" s="1">
        <v>0</v>
      </c>
      <c r="VM3" s="1">
        <v>6.0531672943993142E-2</v>
      </c>
      <c r="VN3" s="1">
        <v>0</v>
      </c>
      <c r="VO3" s="1">
        <v>0</v>
      </c>
      <c r="VP3" s="1">
        <v>6.914157090204974E-2</v>
      </c>
      <c r="VQ3" s="1">
        <v>0</v>
      </c>
      <c r="VR3" s="1">
        <v>0</v>
      </c>
      <c r="VS3" s="1">
        <v>0</v>
      </c>
      <c r="VT3" s="1">
        <v>0.21273514184200429</v>
      </c>
      <c r="VU3" s="1">
        <v>0</v>
      </c>
      <c r="VV3" s="1">
        <v>0</v>
      </c>
      <c r="VW3" s="1">
        <v>0</v>
      </c>
      <c r="VX3" s="1">
        <v>0</v>
      </c>
      <c r="VY3" s="1">
        <v>5.6141183145568242E-2</v>
      </c>
      <c r="VZ3" s="1">
        <v>0</v>
      </c>
      <c r="WA3" s="1">
        <v>3.6278539794006547E-2</v>
      </c>
      <c r="WB3" s="1">
        <v>0</v>
      </c>
      <c r="WC3" s="1">
        <v>0</v>
      </c>
      <c r="WD3" s="1">
        <v>0</v>
      </c>
      <c r="WE3" s="1">
        <v>0</v>
      </c>
      <c r="WF3" s="1">
        <v>6.9714125619309356E-2</v>
      </c>
      <c r="WG3" s="1">
        <v>5.9688868767555539E-2</v>
      </c>
      <c r="WH3" s="1">
        <v>0</v>
      </c>
      <c r="WI3" s="1">
        <v>0</v>
      </c>
      <c r="WJ3" s="1">
        <v>0</v>
      </c>
      <c r="WK3" s="1">
        <v>0</v>
      </c>
      <c r="WL3" s="1">
        <v>0</v>
      </c>
      <c r="WM3" s="1">
        <v>0</v>
      </c>
      <c r="WN3" s="1">
        <v>0</v>
      </c>
      <c r="WO3" s="1">
        <v>5.4810561606427763E-2</v>
      </c>
      <c r="WP3" s="1">
        <v>0</v>
      </c>
      <c r="WQ3" s="1">
        <v>0</v>
      </c>
      <c r="WR3" s="1">
        <v>0</v>
      </c>
      <c r="WS3" s="1">
        <v>0</v>
      </c>
      <c r="WT3" s="1">
        <v>0</v>
      </c>
      <c r="WU3" s="1">
        <v>0</v>
      </c>
      <c r="WV3" s="1">
        <v>0</v>
      </c>
      <c r="WW3" s="1">
        <v>0</v>
      </c>
      <c r="WX3" s="1">
        <v>0</v>
      </c>
      <c r="WY3" s="1">
        <v>0</v>
      </c>
      <c r="WZ3" s="1">
        <v>0</v>
      </c>
      <c r="XA3" s="1">
        <v>0</v>
      </c>
      <c r="XB3" s="1">
        <v>0</v>
      </c>
      <c r="XC3" s="1">
        <v>0</v>
      </c>
      <c r="XD3" s="1">
        <v>0</v>
      </c>
      <c r="XE3" s="1">
        <v>6.5413878331284273E-2</v>
      </c>
      <c r="XF3" s="1">
        <v>0</v>
      </c>
      <c r="XG3" s="1">
        <v>0</v>
      </c>
      <c r="XH3" s="1">
        <v>0</v>
      </c>
      <c r="XI3" s="1">
        <v>0</v>
      </c>
      <c r="XJ3" s="1">
        <v>0</v>
      </c>
      <c r="XK3" s="1">
        <v>0</v>
      </c>
      <c r="XL3" s="1">
        <v>0</v>
      </c>
      <c r="XM3" s="1">
        <v>0.13942825123861871</v>
      </c>
      <c r="XN3" s="1">
        <v>0</v>
      </c>
      <c r="XO3" s="1">
        <v>0</v>
      </c>
      <c r="XP3" s="1">
        <v>0</v>
      </c>
      <c r="XQ3" s="1">
        <v>0</v>
      </c>
      <c r="XR3" s="1">
        <v>0</v>
      </c>
      <c r="XS3" s="1">
        <v>0</v>
      </c>
      <c r="XT3" s="1">
        <v>0</v>
      </c>
      <c r="XU3" s="1">
        <v>0</v>
      </c>
      <c r="XV3" s="1">
        <v>0</v>
      </c>
      <c r="XW3" s="1">
        <v>4.5737380480836143E-2</v>
      </c>
      <c r="XX3" s="1">
        <v>0</v>
      </c>
      <c r="XY3" s="1">
        <v>0</v>
      </c>
      <c r="XZ3" s="1">
        <v>0</v>
      </c>
      <c r="YA3" s="1">
        <v>0</v>
      </c>
      <c r="YB3" s="1">
        <v>0</v>
      </c>
      <c r="YC3" s="1">
        <v>0</v>
      </c>
      <c r="YD3" s="1">
        <v>0</v>
      </c>
      <c r="YE3" s="1">
        <v>0</v>
      </c>
      <c r="YF3" s="1">
        <v>0</v>
      </c>
      <c r="YG3" s="1">
        <v>0</v>
      </c>
      <c r="YH3" s="1">
        <v>0</v>
      </c>
      <c r="YI3" s="1">
        <v>0</v>
      </c>
      <c r="YJ3" s="1">
        <v>0</v>
      </c>
      <c r="YK3" s="1">
        <v>7.5692556740972014E-2</v>
      </c>
      <c r="YL3" s="1">
        <v>0</v>
      </c>
      <c r="YM3" s="1">
        <v>0</v>
      </c>
      <c r="YN3" s="1">
        <v>0</v>
      </c>
      <c r="YO3" s="1">
        <v>0</v>
      </c>
      <c r="YP3" s="1">
        <v>7.1571221484988776E-2</v>
      </c>
      <c r="YQ3" s="1">
        <v>0</v>
      </c>
      <c r="YR3" s="1">
        <v>0</v>
      </c>
      <c r="YS3" s="1">
        <v>0</v>
      </c>
      <c r="YT3" s="1">
        <v>0</v>
      </c>
      <c r="YU3" s="1">
        <v>0</v>
      </c>
      <c r="YV3" s="1">
        <v>0</v>
      </c>
      <c r="YW3" s="1">
        <v>0</v>
      </c>
      <c r="YX3" s="1">
        <v>0</v>
      </c>
      <c r="YY3" s="1">
        <v>0</v>
      </c>
      <c r="YZ3" s="1">
        <v>0</v>
      </c>
      <c r="ZA3" s="1">
        <v>0</v>
      </c>
      <c r="ZB3" s="1">
        <v>0</v>
      </c>
      <c r="ZC3" s="1">
        <v>0</v>
      </c>
      <c r="ZD3" s="1">
        <v>0</v>
      </c>
      <c r="ZE3" s="1">
        <v>0</v>
      </c>
      <c r="ZF3" s="1">
        <v>0</v>
      </c>
      <c r="ZG3" s="1">
        <v>0</v>
      </c>
      <c r="ZH3" s="1">
        <v>0</v>
      </c>
      <c r="ZI3" s="1">
        <v>0</v>
      </c>
      <c r="ZJ3" s="1">
        <v>0</v>
      </c>
      <c r="ZK3" s="1">
        <v>0</v>
      </c>
      <c r="ZL3" s="1">
        <v>0</v>
      </c>
      <c r="ZM3" s="1">
        <v>0</v>
      </c>
      <c r="ZN3" s="1">
        <v>0</v>
      </c>
      <c r="ZO3" s="1">
        <v>0</v>
      </c>
      <c r="ZP3" s="1">
        <v>0</v>
      </c>
      <c r="ZQ3" s="1">
        <v>0</v>
      </c>
      <c r="ZR3" s="1">
        <v>0</v>
      </c>
      <c r="ZS3" s="1">
        <v>0</v>
      </c>
      <c r="ZT3" s="1">
        <v>0</v>
      </c>
      <c r="ZU3" s="1">
        <v>0</v>
      </c>
      <c r="ZV3" s="1">
        <v>0</v>
      </c>
      <c r="ZW3" s="1">
        <v>0</v>
      </c>
      <c r="ZX3" s="1">
        <v>0</v>
      </c>
      <c r="ZY3" s="1">
        <v>0</v>
      </c>
      <c r="ZZ3" s="1">
        <v>0</v>
      </c>
      <c r="AAA3" s="1">
        <v>0</v>
      </c>
      <c r="AAB3" s="1">
        <v>5.3633319451513277E-2</v>
      </c>
      <c r="AAC3" s="1">
        <v>0</v>
      </c>
      <c r="AAD3" s="1">
        <v>0</v>
      </c>
      <c r="AAE3" s="1">
        <v>0</v>
      </c>
      <c r="AAF3" s="1">
        <v>0</v>
      </c>
      <c r="AAG3" s="1">
        <v>0</v>
      </c>
      <c r="AAH3" s="1">
        <v>0</v>
      </c>
      <c r="AAI3" s="1">
        <v>0</v>
      </c>
      <c r="AAJ3" s="1">
        <v>0</v>
      </c>
      <c r="AAK3" s="1">
        <v>0</v>
      </c>
      <c r="AAL3" s="1">
        <v>0</v>
      </c>
      <c r="AAM3" s="1">
        <v>0</v>
      </c>
      <c r="AAN3" s="1">
        <v>0</v>
      </c>
      <c r="AAO3" s="1">
        <v>0</v>
      </c>
      <c r="AAP3" s="1">
        <v>0</v>
      </c>
      <c r="AAQ3" s="1">
        <v>0</v>
      </c>
      <c r="AAR3" s="1">
        <v>0</v>
      </c>
      <c r="AAS3" s="1">
        <v>0</v>
      </c>
      <c r="AAT3" s="1">
        <v>0</v>
      </c>
      <c r="AAU3" s="1">
        <v>0</v>
      </c>
      <c r="AAV3" s="1">
        <v>0</v>
      </c>
      <c r="AAW3" s="1">
        <v>0</v>
      </c>
      <c r="AAX3" s="1">
        <v>0</v>
      </c>
      <c r="AAY3" s="1">
        <v>0</v>
      </c>
      <c r="AAZ3" s="1">
        <v>0</v>
      </c>
      <c r="ABA3" s="1">
        <v>0</v>
      </c>
      <c r="ABB3" s="1">
        <v>0</v>
      </c>
      <c r="ABC3" s="1">
        <v>0</v>
      </c>
      <c r="ABD3" s="1">
        <v>0</v>
      </c>
      <c r="ABE3" s="1">
        <v>0</v>
      </c>
      <c r="ABF3" s="1">
        <v>0</v>
      </c>
      <c r="ABG3" s="1">
        <v>0</v>
      </c>
      <c r="ABH3" s="1">
        <v>0</v>
      </c>
      <c r="ABI3" s="1">
        <v>0</v>
      </c>
      <c r="ABJ3" s="1">
        <v>5.292830819813777E-2</v>
      </c>
      <c r="ABK3" s="1">
        <v>0</v>
      </c>
      <c r="ABL3" s="1">
        <v>0</v>
      </c>
      <c r="ABM3" s="1">
        <v>0</v>
      </c>
      <c r="ABN3" s="1">
        <v>0</v>
      </c>
      <c r="ABO3" s="1">
        <v>0</v>
      </c>
      <c r="ABP3" s="1">
        <v>0</v>
      </c>
      <c r="ABQ3" s="1">
        <v>0</v>
      </c>
      <c r="ABR3" s="1">
        <v>0</v>
      </c>
      <c r="ABS3" s="1">
        <v>0</v>
      </c>
      <c r="ABT3" s="1">
        <v>0</v>
      </c>
      <c r="ABU3" s="1">
        <v>0</v>
      </c>
      <c r="ABV3" s="1">
        <v>0</v>
      </c>
      <c r="ABW3" s="1">
        <v>0</v>
      </c>
      <c r="ABX3" s="1">
        <v>0</v>
      </c>
      <c r="ABY3" s="1">
        <v>0</v>
      </c>
      <c r="ABZ3" s="1">
        <v>0</v>
      </c>
      <c r="ACA3" s="1">
        <v>0</v>
      </c>
      <c r="ACB3" s="1">
        <v>0</v>
      </c>
      <c r="ACC3" s="1">
        <v>0</v>
      </c>
      <c r="ACD3" s="1">
        <v>0</v>
      </c>
      <c r="ACE3" s="1">
        <v>0</v>
      </c>
      <c r="ACF3" s="1">
        <v>0</v>
      </c>
      <c r="ACG3" s="1">
        <v>0.1201120579041615</v>
      </c>
      <c r="ACH3" s="1">
        <v>0</v>
      </c>
      <c r="ACI3" s="1">
        <v>0</v>
      </c>
      <c r="ACJ3" s="1">
        <v>0</v>
      </c>
      <c r="ACK3" s="1">
        <v>0</v>
      </c>
      <c r="ACL3" s="1">
        <v>0</v>
      </c>
      <c r="ACM3" s="1">
        <v>0</v>
      </c>
      <c r="ACN3" s="1">
        <v>0</v>
      </c>
      <c r="ACO3" s="1">
        <v>0</v>
      </c>
      <c r="ACP3" s="1">
        <v>0</v>
      </c>
      <c r="ACQ3" s="1">
        <v>0</v>
      </c>
      <c r="ACR3" s="1">
        <v>0</v>
      </c>
      <c r="ACS3" s="1">
        <v>0</v>
      </c>
      <c r="ACT3" s="1">
        <v>0</v>
      </c>
      <c r="ACU3" s="1">
        <v>0</v>
      </c>
      <c r="ACV3" s="1">
        <v>7.4455319794675984E-2</v>
      </c>
      <c r="ACW3" s="1">
        <v>0</v>
      </c>
      <c r="ACX3" s="1">
        <v>4.9032752872910292E-2</v>
      </c>
      <c r="ACY3" s="1">
        <v>0</v>
      </c>
      <c r="ACZ3" s="1">
        <v>0</v>
      </c>
      <c r="ADA3" s="1">
        <v>0</v>
      </c>
      <c r="ADB3" s="1">
        <v>0</v>
      </c>
      <c r="ADC3" s="1">
        <v>0</v>
      </c>
      <c r="ADD3" s="1">
        <v>0</v>
      </c>
      <c r="ADE3" s="1">
        <v>0</v>
      </c>
      <c r="ADF3" s="1">
        <v>0</v>
      </c>
      <c r="ADG3" s="1">
        <v>0</v>
      </c>
      <c r="ADH3" s="1">
        <v>0</v>
      </c>
      <c r="ADI3" s="1">
        <v>0</v>
      </c>
      <c r="ADJ3" s="1">
        <v>0</v>
      </c>
      <c r="ADK3" s="1">
        <v>0</v>
      </c>
      <c r="ADL3" s="1">
        <v>0</v>
      </c>
      <c r="ADM3" s="1">
        <v>0</v>
      </c>
      <c r="ADN3" s="1">
        <v>0</v>
      </c>
      <c r="ADO3" s="1">
        <v>0</v>
      </c>
      <c r="ADP3" s="1">
        <v>3.6651838530867148E-2</v>
      </c>
      <c r="ADQ3" s="1">
        <v>0</v>
      </c>
      <c r="ADR3" s="1">
        <v>0</v>
      </c>
      <c r="ADS3" s="1">
        <v>0</v>
      </c>
      <c r="ADT3" s="1">
        <v>0</v>
      </c>
      <c r="ADU3" s="1">
        <v>0</v>
      </c>
      <c r="ADV3" s="1">
        <v>0</v>
      </c>
      <c r="ADW3" s="1">
        <v>0</v>
      </c>
      <c r="ADX3" s="1">
        <v>0</v>
      </c>
      <c r="ADY3" s="1">
        <v>0</v>
      </c>
      <c r="ADZ3" s="1">
        <v>0</v>
      </c>
      <c r="AEA3" s="1">
        <v>0</v>
      </c>
      <c r="AEB3" s="1">
        <v>0</v>
      </c>
      <c r="AEC3" s="1">
        <v>0</v>
      </c>
      <c r="AED3" s="1">
        <v>0</v>
      </c>
      <c r="AEE3" s="1">
        <v>0</v>
      </c>
      <c r="AEF3" s="1">
        <v>0</v>
      </c>
      <c r="AEG3" s="1">
        <v>6.7042457953856938E-2</v>
      </c>
      <c r="AEH3" s="1">
        <v>0</v>
      </c>
      <c r="AEI3" s="1">
        <v>0</v>
      </c>
      <c r="AEJ3" s="1">
        <v>0</v>
      </c>
      <c r="AEK3" s="1">
        <v>0</v>
      </c>
      <c r="AEL3" s="1">
        <v>0</v>
      </c>
      <c r="AEM3" s="1">
        <v>0</v>
      </c>
      <c r="AEN3" s="1">
        <v>0</v>
      </c>
      <c r="AEO3" s="1">
        <v>0</v>
      </c>
      <c r="AEP3" s="1">
        <v>0</v>
      </c>
      <c r="AEQ3" s="1">
        <v>0</v>
      </c>
      <c r="AER3" s="1">
        <v>9.3256331567068543E-2</v>
      </c>
      <c r="AES3" s="1">
        <v>0</v>
      </c>
      <c r="AET3" s="1">
        <v>0</v>
      </c>
      <c r="AEU3" s="1">
        <v>0.11829303796635959</v>
      </c>
      <c r="AEV3" s="1">
        <v>0</v>
      </c>
      <c r="AEW3" s="1">
        <v>0</v>
      </c>
      <c r="AEX3" s="1">
        <v>7.4856828344426724E-2</v>
      </c>
      <c r="AEY3" s="1">
        <v>5.4699756758742599E-2</v>
      </c>
      <c r="AEZ3" s="1">
        <v>0</v>
      </c>
      <c r="AFA3" s="1">
        <v>0</v>
      </c>
      <c r="AFB3" s="1">
        <v>0</v>
      </c>
      <c r="AFC3" s="1">
        <v>0</v>
      </c>
      <c r="AFD3" s="1">
        <v>0</v>
      </c>
      <c r="AFE3" s="1">
        <v>0</v>
      </c>
      <c r="AFF3" s="1">
        <v>6.9714125619309356E-2</v>
      </c>
      <c r="AFG3" s="1">
        <v>0</v>
      </c>
      <c r="AFH3" s="1">
        <v>0</v>
      </c>
      <c r="AFI3" s="1">
        <v>0</v>
      </c>
      <c r="AFJ3" s="1">
        <v>0</v>
      </c>
      <c r="AFK3" s="1">
        <v>0</v>
      </c>
      <c r="AFL3" s="1">
        <v>5.9000004046767689E-2</v>
      </c>
      <c r="AFM3" s="1">
        <v>0</v>
      </c>
      <c r="AFN3" s="1">
        <v>0</v>
      </c>
      <c r="AFO3" s="1">
        <v>0</v>
      </c>
      <c r="AFP3" s="1">
        <v>0</v>
      </c>
      <c r="AFQ3" s="1">
        <v>4.286775952847293E-2</v>
      </c>
      <c r="AFR3" s="1">
        <v>0</v>
      </c>
      <c r="AFS3" s="1">
        <v>0</v>
      </c>
      <c r="AFT3" s="1">
        <v>2.3599204187713781E-2</v>
      </c>
      <c r="AFU3" s="1">
        <v>0.16912171202853241</v>
      </c>
      <c r="AFV3" s="1">
        <v>4.5552998055253778E-2</v>
      </c>
      <c r="AFW3" s="1">
        <v>0</v>
      </c>
      <c r="AFX3" s="1">
        <v>7.8510739342836547E-2</v>
      </c>
      <c r="AFY3" s="1">
        <v>0</v>
      </c>
      <c r="AFZ3" s="1">
        <v>0</v>
      </c>
      <c r="AGA3" s="1">
        <v>4.276539352480583E-2</v>
      </c>
      <c r="AGB3" s="1">
        <v>0</v>
      </c>
      <c r="AGC3" s="1">
        <v>3.3188928145287337E-2</v>
      </c>
      <c r="AGD3" s="1">
        <v>0</v>
      </c>
      <c r="AGE3" s="1">
        <v>0</v>
      </c>
      <c r="AGF3" s="1">
        <v>0</v>
      </c>
      <c r="AGG3" s="1">
        <v>0</v>
      </c>
      <c r="AGH3" s="1">
        <v>0</v>
      </c>
      <c r="AGI3" s="1">
        <v>8.4824717399520647E-2</v>
      </c>
      <c r="AGJ3" s="1">
        <v>0</v>
      </c>
      <c r="AGK3" s="1">
        <v>2.7490152534996409E-2</v>
      </c>
      <c r="AGL3" s="1">
        <v>0</v>
      </c>
      <c r="AGM3" s="1">
        <v>0</v>
      </c>
      <c r="AGN3" s="1">
        <v>0</v>
      </c>
      <c r="AGO3" s="1">
        <v>0</v>
      </c>
      <c r="AGP3" s="1">
        <v>0</v>
      </c>
      <c r="AGQ3" s="1">
        <v>0</v>
      </c>
      <c r="AGR3" s="1">
        <v>0</v>
      </c>
      <c r="AGS3" s="1">
        <v>0</v>
      </c>
      <c r="AGT3" s="1">
        <v>0</v>
      </c>
      <c r="AGU3" s="1">
        <v>0.20006019689527271</v>
      </c>
      <c r="AGV3" s="1">
        <v>0</v>
      </c>
      <c r="AGW3" s="1">
        <v>7.6576066350403219E-2</v>
      </c>
      <c r="AGX3" s="1">
        <v>0</v>
      </c>
      <c r="AGY3" s="1">
        <v>0</v>
      </c>
      <c r="AGZ3" s="1">
        <v>0</v>
      </c>
      <c r="AHA3" s="1">
        <v>0</v>
      </c>
      <c r="AHB3" s="1">
        <v>0</v>
      </c>
      <c r="AHC3" s="1">
        <v>0</v>
      </c>
      <c r="AHD3" s="1">
        <v>0</v>
      </c>
      <c r="AHE3" s="1">
        <v>0</v>
      </c>
      <c r="AHF3" s="1">
        <v>0</v>
      </c>
      <c r="AHG3" s="1">
        <v>0</v>
      </c>
      <c r="AHH3" s="1">
        <v>0</v>
      </c>
      <c r="AHI3" s="1">
        <v>0</v>
      </c>
      <c r="AHJ3" s="1">
        <v>0</v>
      </c>
      <c r="AHK3" s="1">
        <v>0</v>
      </c>
      <c r="AHL3" s="1">
        <v>0</v>
      </c>
      <c r="AHM3" s="1">
        <v>0</v>
      </c>
      <c r="AHN3" s="1">
        <v>0</v>
      </c>
      <c r="AHO3" s="1">
        <v>0</v>
      </c>
      <c r="AHP3" s="1">
        <v>0</v>
      </c>
      <c r="AHQ3" s="1">
        <v>0</v>
      </c>
      <c r="AHR3" s="1">
        <v>0</v>
      </c>
      <c r="AHS3" s="1">
        <v>0</v>
      </c>
      <c r="AHT3" s="1">
        <v>0</v>
      </c>
      <c r="AHU3" s="1">
        <v>0</v>
      </c>
      <c r="AHV3" s="1">
        <v>0</v>
      </c>
      <c r="AHW3" s="1">
        <v>0</v>
      </c>
      <c r="AHX3" s="1">
        <v>4.477848641222832E-2</v>
      </c>
      <c r="AHY3" s="1">
        <v>0</v>
      </c>
      <c r="AHZ3" s="1">
        <v>5.3126480272301983E-2</v>
      </c>
      <c r="AIA3" s="1">
        <v>0</v>
      </c>
      <c r="AIB3" s="1">
        <v>0</v>
      </c>
      <c r="AIC3" s="1">
        <v>0</v>
      </c>
      <c r="AID3" s="1">
        <v>0</v>
      </c>
      <c r="AIE3" s="1">
        <v>0</v>
      </c>
      <c r="AIF3" s="1">
        <v>0</v>
      </c>
      <c r="AIG3" s="1">
        <v>0</v>
      </c>
      <c r="AIH3" s="1">
        <v>0</v>
      </c>
      <c r="AII3" s="1">
        <v>0</v>
      </c>
      <c r="AIJ3" s="1">
        <v>0</v>
      </c>
      <c r="AIK3" s="1">
        <v>0</v>
      </c>
      <c r="AIL3" s="1">
        <v>0</v>
      </c>
      <c r="AIM3" s="1">
        <v>0</v>
      </c>
      <c r="AIN3" s="1">
        <v>0</v>
      </c>
      <c r="AIO3" s="1">
        <v>6.8320641175912175E-2</v>
      </c>
      <c r="AIP3" s="1">
        <v>0</v>
      </c>
      <c r="AIQ3" s="1">
        <v>0</v>
      </c>
      <c r="AIR3" s="1">
        <v>0</v>
      </c>
      <c r="AIS3" s="1">
        <v>0</v>
      </c>
      <c r="AIT3" s="1">
        <v>0</v>
      </c>
      <c r="AIU3" s="1">
        <v>0</v>
      </c>
      <c r="AIV3" s="1">
        <v>0</v>
      </c>
      <c r="AIW3" s="1">
        <v>0</v>
      </c>
      <c r="AIX3" s="1">
        <v>0</v>
      </c>
      <c r="AIY3" s="1">
        <v>0</v>
      </c>
      <c r="AIZ3" s="1">
        <v>0</v>
      </c>
      <c r="AJA3" s="1">
        <v>0</v>
      </c>
      <c r="AJB3" s="1">
        <v>0</v>
      </c>
      <c r="AJC3" s="1">
        <v>0</v>
      </c>
      <c r="AJD3" s="1">
        <v>0</v>
      </c>
      <c r="AJE3" s="1">
        <v>0</v>
      </c>
      <c r="AJF3" s="1">
        <v>0</v>
      </c>
      <c r="AJG3" s="1">
        <v>0</v>
      </c>
      <c r="AJH3" s="1">
        <v>0</v>
      </c>
      <c r="AJI3" s="1">
        <v>0</v>
      </c>
      <c r="AJJ3" s="1">
        <v>7.7037509872726867E-2</v>
      </c>
      <c r="AJK3" s="1">
        <v>0</v>
      </c>
      <c r="AJL3" s="1">
        <v>0</v>
      </c>
      <c r="AJM3" s="1">
        <v>0</v>
      </c>
      <c r="AJN3" s="1">
        <v>0</v>
      </c>
      <c r="AJO3" s="1">
        <v>0</v>
      </c>
      <c r="AJP3" s="1">
        <v>9.4458339482241319E-2</v>
      </c>
      <c r="AJQ3" s="1">
        <v>0.1035193516530425</v>
      </c>
      <c r="AJR3" s="1">
        <v>0</v>
      </c>
      <c r="AJS3" s="1">
        <v>0</v>
      </c>
      <c r="AJT3" s="1">
        <v>0</v>
      </c>
      <c r="AJU3" s="1">
        <v>0</v>
      </c>
      <c r="AJV3" s="1">
        <v>0</v>
      </c>
      <c r="AJW3" s="1">
        <v>0</v>
      </c>
      <c r="AJX3" s="1">
        <v>0</v>
      </c>
      <c r="AJY3" s="1">
        <v>0</v>
      </c>
      <c r="AJZ3" s="1">
        <v>0</v>
      </c>
      <c r="AKA3" s="1">
        <v>0</v>
      </c>
      <c r="AKB3" s="1">
        <v>0</v>
      </c>
      <c r="AKC3" s="1">
        <v>0</v>
      </c>
      <c r="AKD3" s="1">
        <v>0</v>
      </c>
      <c r="AKE3" s="1">
        <v>0</v>
      </c>
      <c r="AKF3" s="1">
        <v>0</v>
      </c>
      <c r="AKG3" s="1">
        <v>6.1137540020669262E-2</v>
      </c>
      <c r="AKH3" s="1">
        <v>0</v>
      </c>
      <c r="AKI3" s="1">
        <v>0</v>
      </c>
      <c r="AKJ3" s="1">
        <v>0</v>
      </c>
      <c r="AKK3" s="1">
        <v>0</v>
      </c>
      <c r="AKL3" s="1">
        <v>0</v>
      </c>
      <c r="AKM3" s="1">
        <v>0</v>
      </c>
      <c r="AKN3" s="1">
        <v>0</v>
      </c>
      <c r="AKO3" s="1">
        <v>0</v>
      </c>
      <c r="AKP3" s="1">
        <v>0</v>
      </c>
      <c r="AKQ3" s="1">
        <v>0</v>
      </c>
      <c r="AKR3" s="1">
        <v>0</v>
      </c>
      <c r="AKS3" s="1">
        <v>0</v>
      </c>
      <c r="AKT3" s="1">
        <v>0</v>
      </c>
      <c r="AKU3" s="1">
        <v>0.10451662944813631</v>
      </c>
      <c r="AKV3" s="1">
        <v>0</v>
      </c>
      <c r="AKW3" s="1">
        <v>0</v>
      </c>
      <c r="AKX3" s="1">
        <v>0</v>
      </c>
      <c r="AKY3" s="1">
        <v>0</v>
      </c>
      <c r="AKZ3" s="1">
        <v>0</v>
      </c>
      <c r="ALA3" s="1">
        <v>0</v>
      </c>
      <c r="ALB3" s="1">
        <v>0</v>
      </c>
      <c r="ALC3" s="1">
        <v>0</v>
      </c>
      <c r="ALD3" s="1">
        <v>0</v>
      </c>
      <c r="ALE3" s="1">
        <v>0</v>
      </c>
      <c r="ALF3" s="1">
        <v>0</v>
      </c>
      <c r="ALG3" s="1">
        <v>0</v>
      </c>
      <c r="ALH3" s="1">
        <v>0</v>
      </c>
      <c r="ALI3" s="1">
        <v>0</v>
      </c>
      <c r="ALJ3" s="1">
        <v>0.13392449691428521</v>
      </c>
      <c r="ALK3" s="1">
        <v>3.8903463102443227E-2</v>
      </c>
      <c r="ALL3" s="1">
        <v>0</v>
      </c>
      <c r="ALM3" s="1">
        <v>0</v>
      </c>
      <c r="ALN3" s="1">
        <v>-1</v>
      </c>
    </row>
    <row r="4" spans="1:1002" x14ac:dyDescent="0.3">
      <c r="A4" s="2">
        <v>2</v>
      </c>
      <c r="B4" s="1">
        <v>7.4706926222498854E-3</v>
      </c>
      <c r="C4" s="1">
        <v>3.909160182030298E-3</v>
      </c>
      <c r="D4" s="1">
        <v>2.0074581958158939E-2</v>
      </c>
      <c r="E4" s="1">
        <v>2.1245665470128652E-2</v>
      </c>
      <c r="F4" s="1">
        <v>1.8676731555624711E-2</v>
      </c>
      <c r="G4" s="1">
        <v>2.1349669471547331E-2</v>
      </c>
      <c r="H4" s="1">
        <v>0.19850101367828771</v>
      </c>
      <c r="I4" s="1">
        <v>4.9062709249019967E-2</v>
      </c>
      <c r="J4" s="1">
        <v>1.127356596007075E-2</v>
      </c>
      <c r="K4" s="1">
        <v>8.9204925907309038E-2</v>
      </c>
      <c r="L4" s="1">
        <v>2.268634212891369E-2</v>
      </c>
      <c r="M4" s="1">
        <v>1.0622832735064321E-2</v>
      </c>
      <c r="N4" s="1">
        <v>2.676610927754525E-2</v>
      </c>
      <c r="O4" s="1">
        <v>2.7563313616325979E-2</v>
      </c>
      <c r="P4" s="1">
        <v>3.3618116800124477E-2</v>
      </c>
      <c r="Q4" s="1">
        <v>3.8297187955047278E-3</v>
      </c>
      <c r="R4" s="1">
        <v>1.0037290979079469E-2</v>
      </c>
      <c r="S4" s="1">
        <v>3.1715998254406158E-2</v>
      </c>
      <c r="T4" s="1">
        <v>3.8297187955047278E-3</v>
      </c>
      <c r="U4" s="1">
        <v>1.089569172433234E-2</v>
      </c>
      <c r="V4" s="1">
        <v>4.313135579352545E-2</v>
      </c>
      <c r="W4" s="1">
        <v>1.134317106445684E-2</v>
      </c>
      <c r="X4" s="1">
        <v>0</v>
      </c>
      <c r="Y4" s="1">
        <v>1.6394600823964111E-2</v>
      </c>
      <c r="Z4" s="1">
        <v>3.9671884839812986E-3</v>
      </c>
      <c r="AA4" s="1">
        <v>6.9824244283671361E-3</v>
      </c>
      <c r="AB4" s="1">
        <v>1.476899642811263E-2</v>
      </c>
      <c r="AC4" s="1">
        <v>7.7634782619777709E-3</v>
      </c>
      <c r="AD4" s="1">
        <v>0.1253203114366454</v>
      </c>
      <c r="AE4" s="1">
        <v>1.476899642811263E-2</v>
      </c>
      <c r="AF4" s="1">
        <v>1.8257413245763771E-2</v>
      </c>
      <c r="AG4" s="1">
        <v>8.0601157342071236E-3</v>
      </c>
      <c r="AH4" s="1">
        <v>7.8752324618074233E-3</v>
      </c>
      <c r="AI4" s="1">
        <v>0</v>
      </c>
      <c r="AJ4" s="1">
        <v>1.2364708368955561E-2</v>
      </c>
      <c r="AK4" s="1">
        <v>1.376839527037396E-2</v>
      </c>
      <c r="AL4" s="1">
        <v>0</v>
      </c>
      <c r="AM4" s="1">
        <v>6.6088627119094107E-2</v>
      </c>
      <c r="AN4" s="1">
        <v>0</v>
      </c>
      <c r="AO4" s="1">
        <v>3.7251831293254142E-2</v>
      </c>
      <c r="AP4" s="1">
        <v>0</v>
      </c>
      <c r="AQ4" s="1">
        <v>0</v>
      </c>
      <c r="AR4" s="1">
        <v>7.1520402830585741E-3</v>
      </c>
      <c r="AS4" s="1">
        <v>3.7787523972521858E-2</v>
      </c>
      <c r="AT4" s="1">
        <v>0</v>
      </c>
      <c r="AU4" s="1">
        <v>2.7299291913365511E-3</v>
      </c>
      <c r="AV4" s="1">
        <v>0</v>
      </c>
      <c r="AW4" s="1">
        <v>0</v>
      </c>
      <c r="AX4" s="1">
        <v>6.5892514135163496E-3</v>
      </c>
      <c r="AY4" s="1">
        <v>0</v>
      </c>
      <c r="AZ4" s="1">
        <v>6.74538988807683E-3</v>
      </c>
      <c r="BA4" s="1">
        <v>3.5409442450214409E-3</v>
      </c>
      <c r="BB4" s="1">
        <v>6.9193280389035321E-3</v>
      </c>
      <c r="BC4" s="1">
        <v>0</v>
      </c>
      <c r="BD4" s="1">
        <v>0</v>
      </c>
      <c r="BE4" s="1">
        <v>0</v>
      </c>
      <c r="BF4" s="1">
        <v>3.3865301175685591E-3</v>
      </c>
      <c r="BG4" s="1">
        <v>0</v>
      </c>
      <c r="BH4" s="1">
        <v>7.1162806580538598E-2</v>
      </c>
      <c r="BI4" s="1">
        <v>0</v>
      </c>
      <c r="BJ4" s="1">
        <v>7.5157106400471664E-3</v>
      </c>
      <c r="BK4" s="1">
        <v>3.2017088131822248E-3</v>
      </c>
      <c r="BL4" s="1">
        <v>0</v>
      </c>
      <c r="BM4" s="1">
        <v>2.195698962652373E-3</v>
      </c>
      <c r="BN4" s="1">
        <v>0</v>
      </c>
      <c r="BO4" s="1">
        <v>0.10423149823364559</v>
      </c>
      <c r="BP4" s="1">
        <v>6.8891168390391184E-3</v>
      </c>
      <c r="BQ4" s="1">
        <v>0</v>
      </c>
      <c r="BR4" s="1">
        <v>4.6685381740945497E-2</v>
      </c>
      <c r="BS4" s="1">
        <v>1.846124553514078E-2</v>
      </c>
      <c r="BT4" s="1">
        <v>0.1933590492528359</v>
      </c>
      <c r="BU4" s="1">
        <v>4.4024891528391258E-2</v>
      </c>
      <c r="BV4" s="1">
        <v>7.5157106400471664E-3</v>
      </c>
      <c r="BW4" s="1">
        <v>1.5578197353607401E-2</v>
      </c>
      <c r="BX4" s="1">
        <v>3.090177656040847E-3</v>
      </c>
      <c r="BY4" s="1">
        <v>2.663496784718495E-2</v>
      </c>
      <c r="BZ4" s="1">
        <v>0</v>
      </c>
      <c r="CA4" s="1">
        <v>1.353608681358434E-2</v>
      </c>
      <c r="CB4" s="1">
        <v>0</v>
      </c>
      <c r="CC4" s="1">
        <v>2.1482972988980309E-3</v>
      </c>
      <c r="CD4" s="1">
        <v>0</v>
      </c>
      <c r="CE4" s="1">
        <v>3.2352252555618438E-3</v>
      </c>
      <c r="CF4" s="1">
        <v>3.507427802641822E-3</v>
      </c>
      <c r="CG4" s="1">
        <v>1.052228340792547E-2</v>
      </c>
      <c r="CH4" s="1">
        <v>0</v>
      </c>
      <c r="CI4" s="1">
        <v>3.2017088131822248E-3</v>
      </c>
      <c r="CJ4" s="1">
        <v>0.11922333851642709</v>
      </c>
      <c r="CK4" s="1">
        <v>9.6382010578922081E-2</v>
      </c>
      <c r="CL4" s="1">
        <v>5.0727380562450339E-2</v>
      </c>
      <c r="CM4" s="1">
        <v>6.8891168390391184E-3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3.0248456171884909E-2</v>
      </c>
      <c r="CT4" s="1">
        <v>1.247598516025189E-2</v>
      </c>
      <c r="CU4" s="1">
        <v>1.7537139013209111E-2</v>
      </c>
      <c r="CV4" s="1">
        <v>2.9992015806664191E-2</v>
      </c>
      <c r="CW4" s="1">
        <v>3.1696190425664181E-3</v>
      </c>
      <c r="CX4" s="1">
        <v>6.74538988807683E-3</v>
      </c>
      <c r="CY4" s="1">
        <v>0</v>
      </c>
      <c r="CZ4" s="1">
        <v>3.6391766778613083E-2</v>
      </c>
      <c r="DA4" s="1">
        <v>0</v>
      </c>
      <c r="DB4" s="1">
        <v>0</v>
      </c>
      <c r="DC4" s="1">
        <v>0</v>
      </c>
      <c r="DD4" s="1">
        <v>3.8297187955047281E-2</v>
      </c>
      <c r="DE4" s="1">
        <v>3.2703011520696892E-2</v>
      </c>
      <c r="DF4" s="1">
        <v>5.4598583826731023E-2</v>
      </c>
      <c r="DG4" s="1">
        <v>3.1092671769823738E-3</v>
      </c>
      <c r="DH4" s="1">
        <v>1.1112805616382121E-2</v>
      </c>
      <c r="DI4" s="1">
        <v>0</v>
      </c>
      <c r="DJ4" s="1">
        <v>1.19015654519439E-2</v>
      </c>
      <c r="DK4" s="1">
        <v>5.3514420306744068E-2</v>
      </c>
      <c r="DL4" s="1">
        <v>3.5409442450214409E-3</v>
      </c>
      <c r="DM4" s="1">
        <v>7.3029652983055077E-3</v>
      </c>
      <c r="DN4" s="1">
        <v>0</v>
      </c>
      <c r="DO4" s="1">
        <v>6.7438066743838343E-2</v>
      </c>
      <c r="DP4" s="1">
        <v>2.3425601297770798E-2</v>
      </c>
      <c r="DQ4" s="1">
        <v>2.2745010987774488E-3</v>
      </c>
      <c r="DR4" s="1">
        <v>0</v>
      </c>
      <c r="DS4" s="1">
        <v>2.2310489896130532E-3</v>
      </c>
      <c r="DT4" s="1">
        <v>8.3159869268893058E-3</v>
      </c>
      <c r="DU4" s="1">
        <v>2.4419520981483508E-3</v>
      </c>
      <c r="DV4" s="1">
        <v>0</v>
      </c>
      <c r="DW4" s="1">
        <v>0</v>
      </c>
      <c r="DX4" s="1">
        <v>0</v>
      </c>
      <c r="DY4" s="1">
        <v>7.0818884900428827E-3</v>
      </c>
      <c r="DZ4" s="1">
        <v>2.8364790020654058E-3</v>
      </c>
      <c r="EA4" s="1">
        <v>2.6628631602622298E-3</v>
      </c>
      <c r="EB4" s="1">
        <v>8.4893303190799862E-3</v>
      </c>
      <c r="EC4" s="1">
        <v>0</v>
      </c>
      <c r="ED4" s="1">
        <v>3.2584269570238738E-3</v>
      </c>
      <c r="EE4" s="1">
        <v>0</v>
      </c>
      <c r="EF4" s="1">
        <v>2.0770929804809869E-2</v>
      </c>
      <c r="EG4" s="1">
        <v>7.1165564905157777E-3</v>
      </c>
      <c r="EH4" s="1">
        <v>0</v>
      </c>
      <c r="EI4" s="1">
        <v>0</v>
      </c>
      <c r="EJ4" s="1">
        <v>1.4451230882010351E-2</v>
      </c>
      <c r="EK4" s="1">
        <v>0</v>
      </c>
      <c r="EL4" s="1">
        <v>3.9671884839812988E-2</v>
      </c>
      <c r="EM4" s="1">
        <v>2.823133595231416E-3</v>
      </c>
      <c r="EN4" s="1">
        <v>3.2352252555618438E-3</v>
      </c>
      <c r="EO4" s="1">
        <v>2.695650752123792E-3</v>
      </c>
      <c r="EP4" s="1">
        <v>7.2256154410051737E-3</v>
      </c>
      <c r="EQ4" s="1">
        <v>2.1074395857449479E-2</v>
      </c>
      <c r="ER4" s="1">
        <v>4.0986502059910269E-3</v>
      </c>
      <c r="ES4" s="1">
        <v>3.5760201415292871E-3</v>
      </c>
      <c r="ET4" s="1">
        <v>0</v>
      </c>
      <c r="EU4" s="1">
        <v>1.457958626056011E-2</v>
      </c>
      <c r="EV4" s="1">
        <v>0</v>
      </c>
      <c r="EW4" s="1">
        <v>4.8478781112543161E-2</v>
      </c>
      <c r="EX4" s="1">
        <v>4.7469274438985798E-2</v>
      </c>
      <c r="EY4" s="1">
        <v>5.4263465276988422E-2</v>
      </c>
      <c r="EZ4" s="1">
        <v>1.8955313613479938E-2</v>
      </c>
      <c r="FA4" s="1">
        <v>1.5312100374216681E-2</v>
      </c>
      <c r="FB4" s="1">
        <v>4.4525423391630327E-2</v>
      </c>
      <c r="FC4" s="1">
        <v>0</v>
      </c>
      <c r="FD4" s="1">
        <v>3.2352252555618438E-3</v>
      </c>
      <c r="FE4" s="1">
        <v>0</v>
      </c>
      <c r="FF4" s="1">
        <v>0</v>
      </c>
      <c r="FG4" s="1">
        <v>0</v>
      </c>
      <c r="FH4" s="1">
        <v>1.5421121692627529E-2</v>
      </c>
      <c r="FI4" s="1">
        <v>1.7880100707646431E-2</v>
      </c>
      <c r="FJ4" s="1">
        <v>0</v>
      </c>
      <c r="FK4" s="1">
        <v>0</v>
      </c>
      <c r="FL4" s="1">
        <v>6.2031566774464898E-2</v>
      </c>
      <c r="FM4" s="1">
        <v>6.4254324933264058E-3</v>
      </c>
      <c r="FN4" s="1">
        <v>3.692249107028157E-3</v>
      </c>
      <c r="FO4" s="1">
        <v>2.7319889331535781E-2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1.172748054609089E-2</v>
      </c>
      <c r="FZ4" s="1">
        <v>4.4960324707734457E-2</v>
      </c>
      <c r="GA4" s="1">
        <v>0</v>
      </c>
      <c r="GB4" s="1">
        <v>1.513465684617772E-2</v>
      </c>
      <c r="GC4" s="1">
        <v>3.4753380320260161E-3</v>
      </c>
      <c r="GD4" s="1">
        <v>0</v>
      </c>
      <c r="GE4" s="1">
        <v>9.8340107467327909E-2</v>
      </c>
      <c r="GF4" s="1">
        <v>2.8432413415838899E-3</v>
      </c>
      <c r="GG4" s="1">
        <v>0</v>
      </c>
      <c r="GH4" s="1">
        <v>3.6514826491527539E-3</v>
      </c>
      <c r="GI4" s="1">
        <v>1.089569172433234E-2</v>
      </c>
      <c r="GJ4" s="1">
        <v>0</v>
      </c>
      <c r="GK4" s="1">
        <v>5.1224792496629583E-2</v>
      </c>
      <c r="GL4" s="1">
        <v>3.7134898300058578E-3</v>
      </c>
      <c r="GM4" s="1">
        <v>0</v>
      </c>
      <c r="GN4" s="1">
        <v>1.04736366425507E-2</v>
      </c>
      <c r="GO4" s="1">
        <v>0</v>
      </c>
      <c r="GP4" s="1">
        <v>3.804995406740706E-3</v>
      </c>
      <c r="GQ4" s="1">
        <v>0</v>
      </c>
      <c r="GR4" s="1">
        <v>4.3310474075720737E-2</v>
      </c>
      <c r="GS4" s="1">
        <v>0</v>
      </c>
      <c r="GT4" s="1">
        <v>0</v>
      </c>
      <c r="GU4" s="1">
        <v>7.9959361929755109E-3</v>
      </c>
      <c r="GV4" s="1">
        <v>0</v>
      </c>
      <c r="GW4" s="1">
        <v>3.5239998060451298E-3</v>
      </c>
      <c r="GX4" s="1">
        <v>5.1009358610913463E-2</v>
      </c>
      <c r="GY4" s="1">
        <v>0</v>
      </c>
      <c r="GZ4" s="1">
        <v>2.663496784718495E-2</v>
      </c>
      <c r="HA4" s="1">
        <v>1.8357951977526141E-2</v>
      </c>
      <c r="HB4" s="1">
        <v>0</v>
      </c>
      <c r="HC4" s="1">
        <v>0</v>
      </c>
      <c r="HD4" s="1">
        <v>1.4376758377054559E-2</v>
      </c>
      <c r="HE4" s="1">
        <v>1.255535772023984E-2</v>
      </c>
      <c r="HF4" s="1">
        <v>2.015028933551781E-2</v>
      </c>
      <c r="HG4" s="1">
        <v>0</v>
      </c>
      <c r="HH4" s="1">
        <v>1.333060143478057E-2</v>
      </c>
      <c r="HI4" s="1">
        <v>0</v>
      </c>
      <c r="HJ4" s="1">
        <v>1.134317106445684E-2</v>
      </c>
      <c r="HK4" s="1">
        <v>4.1671849115350714E-3</v>
      </c>
      <c r="HL4" s="1">
        <v>0</v>
      </c>
      <c r="HM4" s="1">
        <v>0</v>
      </c>
      <c r="HN4" s="1">
        <v>5.5564028081910603E-3</v>
      </c>
      <c r="HO4" s="1">
        <v>3.3591090665271448E-3</v>
      </c>
      <c r="HP4" s="1">
        <v>3.4006239073942298E-3</v>
      </c>
      <c r="HQ4" s="1">
        <v>9.1913251092113485E-2</v>
      </c>
      <c r="HR4" s="1">
        <v>3.2703011520696891E-3</v>
      </c>
      <c r="HS4" s="1">
        <v>6.7182181330542896E-3</v>
      </c>
      <c r="HT4" s="1">
        <v>6.5092902105458636E-2</v>
      </c>
      <c r="HU4" s="1">
        <v>3.688785185391924E-2</v>
      </c>
      <c r="HV4" s="1">
        <v>1.120603893337483E-2</v>
      </c>
      <c r="HW4" s="1">
        <v>1.4686361582020911E-2</v>
      </c>
      <c r="HX4" s="1">
        <v>1.2806835252728899E-2</v>
      </c>
      <c r="HY4" s="1">
        <v>1.1076747321084469E-2</v>
      </c>
      <c r="HZ4" s="1">
        <v>1.8567449150029291E-2</v>
      </c>
      <c r="IA4" s="1">
        <v>0</v>
      </c>
      <c r="IB4" s="1">
        <v>0</v>
      </c>
      <c r="IC4" s="1">
        <v>3.9671884839812988E-2</v>
      </c>
      <c r="ID4" s="1">
        <v>0</v>
      </c>
      <c r="IE4" s="1">
        <v>3.4149861664419718E-3</v>
      </c>
      <c r="IF4" s="1">
        <v>0</v>
      </c>
      <c r="IG4" s="1">
        <v>0</v>
      </c>
      <c r="IH4" s="1">
        <v>0</v>
      </c>
      <c r="II4" s="1">
        <v>2.554785825352009E-2</v>
      </c>
      <c r="IJ4" s="1">
        <v>0</v>
      </c>
      <c r="IK4" s="1">
        <v>0</v>
      </c>
      <c r="IL4" s="1">
        <v>1.3964848856734271E-2</v>
      </c>
      <c r="IM4" s="1">
        <v>7.5157106400471664E-3</v>
      </c>
      <c r="IN4" s="1">
        <v>0</v>
      </c>
      <c r="IO4" s="1">
        <v>7.5157106400471664E-3</v>
      </c>
      <c r="IP4" s="1">
        <v>3.804995406740706E-3</v>
      </c>
      <c r="IQ4" s="1">
        <v>0</v>
      </c>
      <c r="IR4" s="1">
        <v>8.1271486189663632E-3</v>
      </c>
      <c r="IS4" s="1">
        <v>0</v>
      </c>
      <c r="IT4" s="1">
        <v>0</v>
      </c>
      <c r="IU4" s="1">
        <v>0</v>
      </c>
      <c r="IV4" s="1">
        <v>5.252660533163497E-3</v>
      </c>
      <c r="IW4" s="1">
        <v>0</v>
      </c>
      <c r="IX4" s="1">
        <v>7.2637944828882273E-3</v>
      </c>
      <c r="IY4" s="1">
        <v>3.4296273216653439E-3</v>
      </c>
      <c r="IZ4" s="1">
        <v>3.7725900538318792E-2</v>
      </c>
      <c r="JA4" s="1">
        <v>0</v>
      </c>
      <c r="JB4" s="1">
        <v>3.7810570214856141E-3</v>
      </c>
      <c r="JC4" s="1">
        <v>1.6119433795773519E-2</v>
      </c>
      <c r="JD4" s="1">
        <v>1.19015654519439E-2</v>
      </c>
      <c r="JE4" s="1">
        <v>1.575046492361485E-2</v>
      </c>
      <c r="JF4" s="1">
        <v>5.2081902463802874E-3</v>
      </c>
      <c r="JG4" s="1">
        <v>3.881739130988885E-3</v>
      </c>
      <c r="JH4" s="1">
        <v>3.9895690826201573E-3</v>
      </c>
      <c r="JI4" s="1">
        <v>2.679078748720485E-3</v>
      </c>
      <c r="JJ4" s="1">
        <v>0</v>
      </c>
      <c r="JK4" s="1">
        <v>1.8064038602512929E-2</v>
      </c>
      <c r="JL4" s="1">
        <v>5.6584577253459998E-3</v>
      </c>
      <c r="JM4" s="1">
        <v>0</v>
      </c>
      <c r="JN4" s="1">
        <v>1.9621806912418129E-2</v>
      </c>
      <c r="JO4" s="1">
        <v>0</v>
      </c>
      <c r="JP4" s="1">
        <v>6.4254324933264058E-3</v>
      </c>
      <c r="JQ4" s="1">
        <v>1.19015654519439E-2</v>
      </c>
      <c r="JR4" s="1">
        <v>1.0728060424587861E-2</v>
      </c>
      <c r="JS4" s="1">
        <v>3.881739130988885E-3</v>
      </c>
      <c r="JT4" s="1">
        <v>3.7134898300058578E-3</v>
      </c>
      <c r="JU4" s="1">
        <v>0</v>
      </c>
      <c r="JV4" s="1">
        <v>0</v>
      </c>
      <c r="JW4" s="1">
        <v>0</v>
      </c>
      <c r="JX4" s="1">
        <v>2.823133595231416E-3</v>
      </c>
      <c r="JY4" s="1">
        <v>0</v>
      </c>
      <c r="JZ4" s="1">
        <v>3.5760201415292871E-3</v>
      </c>
      <c r="KA4" s="1">
        <v>0</v>
      </c>
      <c r="KB4" s="1">
        <v>3.9671884839812986E-3</v>
      </c>
      <c r="KC4" s="1">
        <v>7.818320364060596E-3</v>
      </c>
      <c r="KD4" s="1">
        <v>0.29013287784843922</v>
      </c>
      <c r="KE4" s="1">
        <v>0</v>
      </c>
      <c r="KF4" s="1">
        <v>5.5564028081910603E-3</v>
      </c>
      <c r="KG4" s="1">
        <v>0</v>
      </c>
      <c r="KH4" s="1">
        <v>8.9791146344505111E-3</v>
      </c>
      <c r="KI4" s="1">
        <v>6.5168539140477476E-3</v>
      </c>
      <c r="KJ4" s="1">
        <v>0</v>
      </c>
      <c r="KK4" s="1">
        <v>0</v>
      </c>
      <c r="KL4" s="1">
        <v>7.3029652983055077E-3</v>
      </c>
      <c r="KM4" s="1">
        <v>0</v>
      </c>
      <c r="KN4" s="1">
        <v>0</v>
      </c>
      <c r="KO4" s="1">
        <v>6.4665927813015861E-2</v>
      </c>
      <c r="KP4" s="1">
        <v>0</v>
      </c>
      <c r="KQ4" s="1">
        <v>0</v>
      </c>
      <c r="KR4" s="1">
        <v>6.05386273847109E-3</v>
      </c>
      <c r="KS4" s="1">
        <v>2.8996411422490911E-3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5.5073581081495852E-3</v>
      </c>
      <c r="KZ4" s="1">
        <v>0</v>
      </c>
      <c r="LA4" s="1">
        <v>3.0808111281089611E-3</v>
      </c>
      <c r="LB4" s="1">
        <v>0</v>
      </c>
      <c r="LC4" s="1">
        <v>3.3865301175685591E-3</v>
      </c>
      <c r="LD4" s="1">
        <v>0</v>
      </c>
      <c r="LE4" s="1">
        <v>0</v>
      </c>
      <c r="LF4" s="1">
        <v>0</v>
      </c>
      <c r="LG4" s="1">
        <v>4.1354377849643267E-3</v>
      </c>
      <c r="LH4" s="1">
        <v>0</v>
      </c>
      <c r="LI4" s="1">
        <v>0</v>
      </c>
      <c r="LJ4" s="1">
        <v>0</v>
      </c>
      <c r="LK4" s="1">
        <v>0</v>
      </c>
      <c r="LL4" s="1">
        <v>2.8717737889897069E-2</v>
      </c>
      <c r="LM4" s="1">
        <v>0</v>
      </c>
      <c r="LN4" s="1">
        <v>6.7730602351371173E-3</v>
      </c>
      <c r="LO4" s="1">
        <v>0</v>
      </c>
      <c r="LP4" s="1">
        <v>2.421853823221292E-2</v>
      </c>
      <c r="LQ4" s="1">
        <v>2.1245665470128652E-2</v>
      </c>
      <c r="LR4" s="1">
        <v>3.2703011520696891E-3</v>
      </c>
      <c r="LS4" s="1">
        <v>5.5815365834094681E-3</v>
      </c>
      <c r="LT4" s="1">
        <v>5.109571650704018E-2</v>
      </c>
      <c r="LU4" s="1">
        <v>7.4706926222498854E-3</v>
      </c>
      <c r="LV4" s="1">
        <v>7.1048937296945128E-2</v>
      </c>
      <c r="LW4" s="1">
        <v>7.2632326919439494E-2</v>
      </c>
      <c r="LX4" s="1">
        <v>1.43732262314002E-2</v>
      </c>
      <c r="LY4" s="1">
        <v>3.3197612277009289E-3</v>
      </c>
      <c r="LZ4" s="1">
        <v>2.0318320083052781E-2</v>
      </c>
      <c r="MA4" s="1">
        <v>0</v>
      </c>
      <c r="MB4" s="1">
        <v>3.6514826491527539E-3</v>
      </c>
      <c r="MC4" s="1">
        <v>1.7310844656507118E-2</v>
      </c>
      <c r="MD4" s="1">
        <v>0.1599407402083349</v>
      </c>
      <c r="ME4" s="1">
        <v>6.4704505111236876E-3</v>
      </c>
      <c r="MF4" s="1">
        <v>6.9591387413978176E-2</v>
      </c>
      <c r="MG4" s="1">
        <v>4.7027526931380029E-2</v>
      </c>
      <c r="MH4" s="1">
        <v>8.6770683059406977E-3</v>
      </c>
      <c r="MI4" s="1">
        <v>0</v>
      </c>
      <c r="MJ4" s="1">
        <v>3.692249107028157E-3</v>
      </c>
      <c r="MK4" s="1">
        <v>0</v>
      </c>
      <c r="ML4" s="1">
        <v>3.859156794638377E-2</v>
      </c>
      <c r="MM4" s="1">
        <v>0</v>
      </c>
      <c r="MN4" s="1">
        <v>9.72083105986878E-2</v>
      </c>
      <c r="MO4" s="1">
        <v>0.11979906255737061</v>
      </c>
      <c r="MP4" s="1">
        <v>1.5954298827720599E-2</v>
      </c>
      <c r="MQ4" s="1">
        <v>3.6715903955052281E-3</v>
      </c>
      <c r="MR4" s="1">
        <v>0</v>
      </c>
      <c r="MS4" s="1">
        <v>0</v>
      </c>
      <c r="MT4" s="1">
        <v>1.1076747321084469E-2</v>
      </c>
      <c r="MU4" s="1">
        <v>0</v>
      </c>
      <c r="MV4" s="1">
        <v>6.2979206620869766E-3</v>
      </c>
      <c r="MW4" s="1">
        <v>3.8476153463836441E-2</v>
      </c>
      <c r="MX4" s="1">
        <v>0</v>
      </c>
      <c r="MY4" s="1">
        <v>9.0041092247501696E-3</v>
      </c>
      <c r="MZ4" s="1">
        <v>0</v>
      </c>
      <c r="NA4" s="1">
        <v>8.3159869268893058E-3</v>
      </c>
      <c r="NB4" s="1">
        <v>2.8500648795766752E-3</v>
      </c>
      <c r="NC4" s="1">
        <v>4.2148791714898957E-2</v>
      </c>
      <c r="ND4" s="1">
        <v>2.6417709932503768E-3</v>
      </c>
      <c r="NE4" s="1">
        <v>0</v>
      </c>
      <c r="NF4" s="1">
        <v>0</v>
      </c>
      <c r="NG4" s="1">
        <v>0</v>
      </c>
      <c r="NH4" s="1">
        <v>0</v>
      </c>
      <c r="NI4" s="1">
        <v>9.2419615045544953E-3</v>
      </c>
      <c r="NJ4" s="1">
        <v>0</v>
      </c>
      <c r="NK4" s="1">
        <v>8.4300608827002112E-3</v>
      </c>
      <c r="NL4" s="1">
        <v>7.9959361929755099E-2</v>
      </c>
      <c r="NM4" s="1">
        <v>0</v>
      </c>
      <c r="NN4" s="1">
        <v>0.23523017462042889</v>
      </c>
      <c r="NO4" s="1">
        <v>0</v>
      </c>
      <c r="NP4" s="1">
        <v>1.522233472840087E-2</v>
      </c>
      <c r="NQ4" s="1">
        <v>5.6330968743941116E-3</v>
      </c>
      <c r="NR4" s="1">
        <v>6.9824244283671361E-3</v>
      </c>
      <c r="NS4" s="1">
        <v>0</v>
      </c>
      <c r="NT4" s="1">
        <v>0</v>
      </c>
      <c r="NU4" s="1">
        <v>0</v>
      </c>
      <c r="NV4" s="1">
        <v>3.6715903955052281E-3</v>
      </c>
      <c r="NW4" s="1">
        <v>3.1801646103041831E-3</v>
      </c>
      <c r="NX4" s="1">
        <v>0</v>
      </c>
      <c r="NY4" s="1">
        <v>2.829228862673E-2</v>
      </c>
      <c r="NZ4" s="1">
        <v>1.6373730483557229E-2</v>
      </c>
      <c r="OA4" s="1">
        <v>0</v>
      </c>
      <c r="OB4" s="1">
        <v>6.1616222562179213E-3</v>
      </c>
      <c r="OC4" s="1">
        <v>0</v>
      </c>
      <c r="OD4" s="1">
        <v>7.7105608463137656E-3</v>
      </c>
      <c r="OE4" s="1">
        <v>0</v>
      </c>
      <c r="OF4" s="1">
        <v>3.223886759154704E-3</v>
      </c>
      <c r="OG4" s="1">
        <v>4.2721307977684968E-2</v>
      </c>
      <c r="OH4" s="1">
        <v>3.8297187955047278E-3</v>
      </c>
      <c r="OI4" s="1">
        <v>4.6412225542443002E-3</v>
      </c>
      <c r="OJ4" s="1">
        <v>0</v>
      </c>
      <c r="OK4" s="1">
        <v>0</v>
      </c>
      <c r="OL4" s="1">
        <v>3.6715903955052281E-3</v>
      </c>
      <c r="OM4" s="1">
        <v>0</v>
      </c>
      <c r="ON4" s="1">
        <v>5.252660533163497E-3</v>
      </c>
      <c r="OO4" s="1">
        <v>0</v>
      </c>
      <c r="OP4" s="1">
        <v>0</v>
      </c>
      <c r="OQ4" s="1">
        <v>0</v>
      </c>
      <c r="OR4" s="1">
        <v>1.2644637514469689E-2</v>
      </c>
      <c r="OS4" s="1">
        <v>8.1985791560446122E-3</v>
      </c>
      <c r="OT4" s="1">
        <v>0</v>
      </c>
      <c r="OU4" s="1">
        <v>1.9989840482438771E-2</v>
      </c>
      <c r="OV4" s="1">
        <v>9.2705329681225419E-3</v>
      </c>
      <c r="OW4" s="1">
        <v>0</v>
      </c>
      <c r="OX4" s="1">
        <v>6.6395224554018578E-3</v>
      </c>
      <c r="OY4" s="1">
        <v>0</v>
      </c>
      <c r="OZ4" s="1">
        <v>0</v>
      </c>
      <c r="PA4" s="1">
        <v>1.4440251159359371E-2</v>
      </c>
      <c r="PB4" s="1">
        <v>1.703190550234673E-2</v>
      </c>
      <c r="PC4" s="1">
        <v>7.2023695897240989E-2</v>
      </c>
      <c r="PD4" s="1">
        <v>7.7898800954282046E-2</v>
      </c>
      <c r="PE4" s="1">
        <v>6.01960521653645E-2</v>
      </c>
      <c r="PF4" s="1">
        <v>4.0300578671035618E-3</v>
      </c>
      <c r="PG4" s="1">
        <v>0</v>
      </c>
      <c r="PH4" s="1">
        <v>0.1127062737492819</v>
      </c>
      <c r="PI4" s="1">
        <v>1.8789276600117921E-2</v>
      </c>
      <c r="PJ4" s="1">
        <v>1.9343320554928229E-2</v>
      </c>
      <c r="PK4" s="1">
        <v>1.846124553514078E-2</v>
      </c>
      <c r="PL4" s="1">
        <v>2.8466225962063111E-2</v>
      </c>
      <c r="PM4" s="1">
        <v>3.3726949440384152E-2</v>
      </c>
      <c r="PN4" s="1">
        <v>0</v>
      </c>
      <c r="PO4" s="1">
        <v>3.7810570214856141E-3</v>
      </c>
      <c r="PP4" s="1">
        <v>0</v>
      </c>
      <c r="PQ4" s="1">
        <v>4.1910527869011158E-2</v>
      </c>
      <c r="PR4" s="1">
        <v>3.4757251256747487E-2</v>
      </c>
      <c r="PS4" s="1">
        <v>0</v>
      </c>
      <c r="PT4" s="1">
        <v>0</v>
      </c>
      <c r="PU4" s="1">
        <v>0</v>
      </c>
      <c r="PV4" s="1">
        <v>2.38031309038878E-2</v>
      </c>
      <c r="PW4" s="1">
        <v>1.033367525855868E-2</v>
      </c>
      <c r="PX4" s="1">
        <v>6.071296361592299E-3</v>
      </c>
      <c r="PY4" s="1">
        <v>9.7056757666855314E-3</v>
      </c>
      <c r="PZ4" s="1">
        <v>1.4376758377054559E-2</v>
      </c>
      <c r="QA4" s="1">
        <v>2.1349669471547331E-2</v>
      </c>
      <c r="QB4" s="1">
        <v>4.6548696302298707E-3</v>
      </c>
      <c r="QC4" s="1">
        <v>0</v>
      </c>
      <c r="QD4" s="1">
        <v>8.5456436964217744E-2</v>
      </c>
      <c r="QE4" s="1">
        <v>0</v>
      </c>
      <c r="QF4" s="1">
        <v>0</v>
      </c>
      <c r="QG4" s="1">
        <v>0</v>
      </c>
      <c r="QH4" s="1">
        <v>0</v>
      </c>
      <c r="QI4" s="1">
        <v>0</v>
      </c>
      <c r="QJ4" s="1">
        <v>7.3029652983055077E-3</v>
      </c>
      <c r="QK4" s="1">
        <v>5.4512965479655888E-2</v>
      </c>
      <c r="QL4" s="1">
        <v>7.789098676803702E-3</v>
      </c>
      <c r="QM4" s="1">
        <v>0</v>
      </c>
      <c r="QN4" s="1">
        <v>0</v>
      </c>
      <c r="QO4" s="1">
        <v>0</v>
      </c>
      <c r="QP4" s="1">
        <v>6.9824244283671361E-3</v>
      </c>
      <c r="QQ4" s="1">
        <v>1.383916470412166E-2</v>
      </c>
      <c r="QR4" s="1">
        <v>3.9590153855333654E-3</v>
      </c>
      <c r="QS4" s="1">
        <v>3.307088731042988E-3</v>
      </c>
      <c r="QT4" s="1">
        <v>0</v>
      </c>
      <c r="QU4" s="1">
        <v>0</v>
      </c>
      <c r="QV4" s="1">
        <v>0</v>
      </c>
      <c r="QW4" s="1">
        <v>3.772305150230667E-3</v>
      </c>
      <c r="QX4" s="1">
        <v>0</v>
      </c>
      <c r="QY4" s="1">
        <v>3.1801646103041831E-3</v>
      </c>
      <c r="QZ4" s="1">
        <v>0</v>
      </c>
      <c r="RA4" s="1">
        <v>0</v>
      </c>
      <c r="RB4" s="1">
        <v>1.052228340792547E-2</v>
      </c>
      <c r="RC4" s="1">
        <v>0</v>
      </c>
      <c r="RD4" s="1">
        <v>8.9299390584581077E-3</v>
      </c>
      <c r="RE4" s="1">
        <v>3.4006239073942298E-3</v>
      </c>
      <c r="RF4" s="1">
        <v>1.164521739296666E-2</v>
      </c>
      <c r="RG4" s="1">
        <v>0</v>
      </c>
      <c r="RH4" s="1">
        <v>5.6595535460533244E-3</v>
      </c>
      <c r="RI4" s="1">
        <v>0</v>
      </c>
      <c r="RJ4" s="1">
        <v>0</v>
      </c>
      <c r="RK4" s="1">
        <v>0</v>
      </c>
      <c r="RL4" s="1">
        <v>0</v>
      </c>
      <c r="RM4" s="1">
        <v>2.2976557395952769E-2</v>
      </c>
      <c r="RN4" s="1">
        <v>2.9371611115686768E-3</v>
      </c>
      <c r="RO4" s="1">
        <v>0</v>
      </c>
      <c r="RP4" s="1">
        <v>2.0768702301593039E-2</v>
      </c>
      <c r="RQ4" s="1">
        <v>0</v>
      </c>
      <c r="RR4" s="1">
        <v>0</v>
      </c>
      <c r="RS4" s="1">
        <v>4.9931738896667507E-2</v>
      </c>
      <c r="RT4" s="1">
        <v>4.2148791714898956E-3</v>
      </c>
      <c r="RU4" s="1">
        <v>9.921266193128964E-3</v>
      </c>
      <c r="RV4" s="1">
        <v>4.2359550441310373E-2</v>
      </c>
      <c r="RW4" s="1">
        <v>6.4555306289210301E-2</v>
      </c>
      <c r="RX4" s="1">
        <v>0</v>
      </c>
      <c r="RY4" s="1">
        <v>0</v>
      </c>
      <c r="RZ4" s="1">
        <v>5.40251338938593E-3</v>
      </c>
      <c r="SA4" s="1">
        <v>0</v>
      </c>
      <c r="SB4" s="1">
        <v>0</v>
      </c>
      <c r="SC4" s="1">
        <v>0</v>
      </c>
      <c r="SD4" s="1">
        <v>0</v>
      </c>
      <c r="SE4" s="1">
        <v>2.929506266102245E-3</v>
      </c>
      <c r="SF4" s="1">
        <v>1.3620534004986031E-2</v>
      </c>
      <c r="SG4" s="1">
        <v>5.2939779562093557E-3</v>
      </c>
      <c r="SH4" s="1">
        <v>0</v>
      </c>
      <c r="SI4" s="1">
        <v>0</v>
      </c>
      <c r="SJ4" s="1">
        <v>0</v>
      </c>
      <c r="SK4" s="1">
        <v>3.804995406740706E-3</v>
      </c>
      <c r="SL4" s="1">
        <v>2.6162409216557509E-2</v>
      </c>
      <c r="SM4" s="1">
        <v>2.156513756558185E-2</v>
      </c>
      <c r="SN4" s="1">
        <v>2.6808031568533099E-2</v>
      </c>
      <c r="SO4" s="1">
        <v>1.252233814084348E-2</v>
      </c>
      <c r="SP4" s="1">
        <v>0</v>
      </c>
      <c r="SQ4" s="1">
        <v>0.1607223012588351</v>
      </c>
      <c r="SR4" s="1">
        <v>2.0317871547415909E-2</v>
      </c>
      <c r="SS4" s="1">
        <v>3.5760201415292871E-3</v>
      </c>
      <c r="ST4" s="1">
        <v>2.341269988645079E-3</v>
      </c>
      <c r="SU4" s="1">
        <v>0</v>
      </c>
      <c r="SV4" s="1">
        <v>3.1388394300599612E-3</v>
      </c>
      <c r="SW4" s="1">
        <v>3.3591090665271448E-3</v>
      </c>
      <c r="SX4" s="1">
        <v>3.6572168785348642E-2</v>
      </c>
      <c r="SY4" s="1">
        <v>1.552695652395554E-2</v>
      </c>
      <c r="SZ4" s="1">
        <v>4.6142934171298451E-2</v>
      </c>
      <c r="TA4" s="1">
        <v>3.7353463111249418E-3</v>
      </c>
      <c r="TB4" s="1">
        <v>1.5219981626962829E-2</v>
      </c>
      <c r="TC4" s="1">
        <v>3.7134898300058582E-2</v>
      </c>
      <c r="TD4" s="1">
        <v>0</v>
      </c>
      <c r="TE4" s="1">
        <v>0</v>
      </c>
      <c r="TF4" s="1">
        <v>1.462783931547749E-2</v>
      </c>
      <c r="TG4" s="1">
        <v>0</v>
      </c>
      <c r="TH4" s="1">
        <v>1.233062017328951E-2</v>
      </c>
      <c r="TI4" s="1">
        <v>0</v>
      </c>
      <c r="TJ4" s="1">
        <v>0</v>
      </c>
      <c r="TK4" s="1">
        <v>2.9930382114835038E-3</v>
      </c>
      <c r="TL4" s="1">
        <v>0</v>
      </c>
      <c r="TM4" s="1">
        <v>0</v>
      </c>
      <c r="TN4" s="1">
        <v>0</v>
      </c>
      <c r="TO4" s="1">
        <v>4.0986502059910269E-3</v>
      </c>
      <c r="TP4" s="1">
        <v>8.2177618844748723E-2</v>
      </c>
      <c r="TQ4" s="1">
        <v>0</v>
      </c>
      <c r="TR4" s="1">
        <v>2.652243325516061E-3</v>
      </c>
      <c r="TS4" s="1">
        <v>3.832178738028013E-2</v>
      </c>
      <c r="TT4" s="1">
        <v>0</v>
      </c>
      <c r="TU4" s="1">
        <v>1.291106125784206E-2</v>
      </c>
      <c r="TV4" s="1">
        <v>4.508515226590129E-2</v>
      </c>
      <c r="TW4" s="1">
        <v>0</v>
      </c>
      <c r="TX4" s="1">
        <v>3.507427802641822E-3</v>
      </c>
      <c r="TY4" s="1">
        <v>3.7218940064678942E-2</v>
      </c>
      <c r="TZ4" s="1">
        <v>3.6128077205025868E-3</v>
      </c>
      <c r="UA4" s="1">
        <v>0</v>
      </c>
      <c r="UB4" s="1">
        <v>0</v>
      </c>
      <c r="UC4" s="1">
        <v>0</v>
      </c>
      <c r="UD4" s="1">
        <v>3.7205932235752297E-2</v>
      </c>
      <c r="UE4" s="1">
        <v>9.7203116124101475E-3</v>
      </c>
      <c r="UF4" s="1">
        <v>4.2579763755866817E-3</v>
      </c>
      <c r="UG4" s="1">
        <v>7.3844982140563141E-3</v>
      </c>
      <c r="UH4" s="1">
        <v>1.2644637514469689E-2</v>
      </c>
      <c r="UI4" s="1">
        <v>1.4451230882010351E-2</v>
      </c>
      <c r="UJ4" s="1">
        <v>3.5981712868389797E-2</v>
      </c>
      <c r="UK4" s="1">
        <v>1.859212261726257E-2</v>
      </c>
      <c r="UL4" s="1">
        <v>0</v>
      </c>
      <c r="UM4" s="1">
        <v>0</v>
      </c>
      <c r="UN4" s="1">
        <v>5.1445497069457858E-3</v>
      </c>
      <c r="UO4" s="1">
        <v>5.5196419414831228E-3</v>
      </c>
      <c r="UP4" s="1">
        <v>0</v>
      </c>
      <c r="UQ4" s="1">
        <v>2.7012327674250509E-2</v>
      </c>
      <c r="UR4" s="1">
        <v>4.4330636538139193E-2</v>
      </c>
      <c r="US4" s="1">
        <v>0</v>
      </c>
      <c r="UT4" s="1">
        <v>0</v>
      </c>
      <c r="UU4" s="1">
        <v>0</v>
      </c>
      <c r="UV4" s="1">
        <v>1.2190722928449541E-2</v>
      </c>
      <c r="UW4" s="1">
        <v>0</v>
      </c>
      <c r="UX4" s="1">
        <v>0</v>
      </c>
      <c r="UY4" s="1">
        <v>4.6142934171298448E-3</v>
      </c>
      <c r="UZ4" s="1">
        <v>3.4597911760304162E-3</v>
      </c>
      <c r="VA4" s="1">
        <v>1.349077977615366E-2</v>
      </c>
      <c r="VB4" s="1">
        <v>0</v>
      </c>
      <c r="VC4" s="1">
        <v>1.560766960646404E-2</v>
      </c>
      <c r="VD4" s="1">
        <v>4.0472339328460977E-2</v>
      </c>
      <c r="VE4" s="1">
        <v>0</v>
      </c>
      <c r="VF4" s="1">
        <v>3.4912122141835681E-3</v>
      </c>
      <c r="VG4" s="1">
        <v>6.2979206620869766E-3</v>
      </c>
      <c r="VH4" s="1">
        <v>1.7455838483309439E-2</v>
      </c>
      <c r="VI4" s="1">
        <v>8.698923426747272E-3</v>
      </c>
      <c r="VJ4" s="1">
        <v>0</v>
      </c>
      <c r="VK4" s="1">
        <v>2.178853603709548E-2</v>
      </c>
      <c r="VL4" s="1">
        <v>1.8213889084776901E-2</v>
      </c>
      <c r="VM4" s="1">
        <v>0</v>
      </c>
      <c r="VN4" s="1">
        <v>2.341269988645079E-2</v>
      </c>
      <c r="VO4" s="1">
        <v>1.9275753378523549E-2</v>
      </c>
      <c r="VP4" s="1">
        <v>3.3726949440384152E-2</v>
      </c>
      <c r="VQ4" s="1">
        <v>0</v>
      </c>
      <c r="VR4" s="1">
        <v>0.118151971424901</v>
      </c>
      <c r="VS4" s="1">
        <v>0</v>
      </c>
      <c r="VT4" s="1">
        <v>9.0280989181436261E-2</v>
      </c>
      <c r="VU4" s="1">
        <v>4.313135579352545E-2</v>
      </c>
      <c r="VV4" s="1">
        <v>0</v>
      </c>
      <c r="VW4" s="1">
        <v>0</v>
      </c>
      <c r="VX4" s="1">
        <v>1.312946136911587E-2</v>
      </c>
      <c r="VY4" s="1">
        <v>6.9832816827356384E-2</v>
      </c>
      <c r="VZ4" s="1">
        <v>0</v>
      </c>
      <c r="WA4" s="1">
        <v>1.23875567622807E-2</v>
      </c>
      <c r="WB4" s="1">
        <v>0</v>
      </c>
      <c r="WC4" s="1">
        <v>2.844502016638227E-2</v>
      </c>
      <c r="WD4" s="1">
        <v>2.2974262782008401E-2</v>
      </c>
      <c r="WE4" s="1">
        <v>3.4912122141835681E-3</v>
      </c>
      <c r="WF4" s="1">
        <v>0</v>
      </c>
      <c r="WG4" s="1">
        <v>7.1334110729506225E-2</v>
      </c>
      <c r="WH4" s="1">
        <v>1.5954298827720599E-2</v>
      </c>
      <c r="WI4" s="1">
        <v>5.164424503136824E-2</v>
      </c>
      <c r="WJ4" s="1">
        <v>3.0097943633313009E-3</v>
      </c>
      <c r="WK4" s="1">
        <v>3.9979680964877546E-3</v>
      </c>
      <c r="WL4" s="1">
        <v>3.1331311356422989E-2</v>
      </c>
      <c r="WM4" s="1">
        <v>1.990268939108723E-2</v>
      </c>
      <c r="WN4" s="1">
        <v>0</v>
      </c>
      <c r="WO4" s="1">
        <v>1.069453884823E-2</v>
      </c>
      <c r="WP4" s="1">
        <v>1.923322020798349E-3</v>
      </c>
      <c r="WQ4" s="1">
        <v>1.7619999030225649E-2</v>
      </c>
      <c r="WR4" s="1">
        <v>8.1037700840788946E-3</v>
      </c>
      <c r="WS4" s="1">
        <v>8.2975216210269091E-3</v>
      </c>
      <c r="WT4" s="1">
        <v>0</v>
      </c>
      <c r="WU4" s="1">
        <v>0</v>
      </c>
      <c r="WV4" s="1">
        <v>0</v>
      </c>
      <c r="WW4" s="1">
        <v>7.8487227649672517E-2</v>
      </c>
      <c r="WX4" s="1">
        <v>1.914859397752364E-2</v>
      </c>
      <c r="WY4" s="1">
        <v>0</v>
      </c>
      <c r="WZ4" s="1">
        <v>3.8552804231568828E-3</v>
      </c>
      <c r="XA4" s="1">
        <v>7.3431807910104554E-3</v>
      </c>
      <c r="XB4" s="1">
        <v>1.5991872385951018E-2</v>
      </c>
      <c r="XC4" s="1">
        <v>1.1565841269470649E-2</v>
      </c>
      <c r="XD4" s="1">
        <v>2.0096398126873541E-2</v>
      </c>
      <c r="XE4" s="1">
        <v>3.190859765544118E-3</v>
      </c>
      <c r="XF4" s="1">
        <v>3.3296245061590998E-2</v>
      </c>
      <c r="XG4" s="1">
        <v>8.6257947370349825E-3</v>
      </c>
      <c r="XH4" s="1">
        <v>1.8257413245763771E-2</v>
      </c>
      <c r="XI4" s="1">
        <v>0</v>
      </c>
      <c r="XJ4" s="1">
        <v>3.881739130988885E-3</v>
      </c>
      <c r="XK4" s="1">
        <v>0</v>
      </c>
      <c r="XL4" s="1">
        <v>3.062420074843337E-3</v>
      </c>
      <c r="XM4" s="1">
        <v>3.4006239073942298E-3</v>
      </c>
      <c r="XN4" s="1">
        <v>1.321310758635188E-2</v>
      </c>
      <c r="XO4" s="1">
        <v>4.0166309140680291E-2</v>
      </c>
      <c r="XP4" s="1">
        <v>3.4597911760304162E-3</v>
      </c>
      <c r="XQ4" s="1">
        <v>1.0674834735773671E-2</v>
      </c>
      <c r="XR4" s="1">
        <v>3.5239998060451298E-3</v>
      </c>
      <c r="XS4" s="1">
        <v>0</v>
      </c>
      <c r="XT4" s="1">
        <v>1.2895547036618819E-2</v>
      </c>
      <c r="XU4" s="1">
        <v>3.3230241963253422E-2</v>
      </c>
      <c r="XV4" s="1">
        <v>1.5636640728121189E-2</v>
      </c>
      <c r="XW4" s="1">
        <v>1.7848391916904429E-2</v>
      </c>
      <c r="XX4" s="1">
        <v>8.9204925907309038E-3</v>
      </c>
      <c r="XY4" s="1">
        <v>1.095444794745826E-2</v>
      </c>
      <c r="XZ4" s="1">
        <v>2.373359759260887E-3</v>
      </c>
      <c r="YA4" s="1">
        <v>0</v>
      </c>
      <c r="YB4" s="1">
        <v>3.7810570214856141E-3</v>
      </c>
      <c r="YC4" s="1">
        <v>8.0601157342071236E-3</v>
      </c>
      <c r="YD4" s="1">
        <v>0</v>
      </c>
      <c r="YE4" s="1">
        <v>2.8035481875227758E-3</v>
      </c>
      <c r="YF4" s="1">
        <v>0</v>
      </c>
      <c r="YG4" s="1">
        <v>1.0327276926308551E-2</v>
      </c>
      <c r="YH4" s="1">
        <v>3.332650358695143E-3</v>
      </c>
      <c r="YI4" s="1">
        <v>6.3184378711599789E-3</v>
      </c>
      <c r="YJ4" s="1">
        <v>7.9959361929755109E-3</v>
      </c>
      <c r="YK4" s="1">
        <v>0</v>
      </c>
      <c r="YL4" s="1">
        <v>1.9276402115784411E-2</v>
      </c>
      <c r="YM4" s="1">
        <v>4.1854949474147772E-2</v>
      </c>
      <c r="YN4" s="1">
        <v>3.507427802641822E-3</v>
      </c>
      <c r="YO4" s="1">
        <v>4.1741127136144937E-3</v>
      </c>
      <c r="YP4" s="1">
        <v>0</v>
      </c>
      <c r="YQ4" s="1">
        <v>0</v>
      </c>
      <c r="YR4" s="1">
        <v>0</v>
      </c>
      <c r="YS4" s="1">
        <v>3.692249107028157E-3</v>
      </c>
      <c r="YT4" s="1">
        <v>0</v>
      </c>
      <c r="YU4" s="1">
        <v>0</v>
      </c>
      <c r="YV4" s="1">
        <v>3.2127162466632029E-3</v>
      </c>
      <c r="YW4" s="1">
        <v>0</v>
      </c>
      <c r="YX4" s="1">
        <v>2.1143998836270779E-2</v>
      </c>
      <c r="YY4" s="1">
        <v>0</v>
      </c>
      <c r="YZ4" s="1">
        <v>0</v>
      </c>
      <c r="ZA4" s="1">
        <v>3.8303116122550863E-2</v>
      </c>
      <c r="ZB4" s="1">
        <v>1.402971121056729E-2</v>
      </c>
      <c r="ZC4" s="1">
        <v>9.0293830899939032E-3</v>
      </c>
      <c r="ZD4" s="1">
        <v>2.0074581958158939E-2</v>
      </c>
      <c r="ZE4" s="1">
        <v>0</v>
      </c>
      <c r="ZF4" s="1">
        <v>0</v>
      </c>
      <c r="ZG4" s="1">
        <v>0</v>
      </c>
      <c r="ZH4" s="1">
        <v>3.8297187955047278E-3</v>
      </c>
      <c r="ZI4" s="1">
        <v>0.28753516754109132</v>
      </c>
      <c r="ZJ4" s="1">
        <v>1.9918567366205571E-2</v>
      </c>
      <c r="ZK4" s="1">
        <v>0</v>
      </c>
      <c r="ZL4" s="1">
        <v>7.5157106400471664E-3</v>
      </c>
      <c r="ZM4" s="1">
        <v>0</v>
      </c>
      <c r="ZN4" s="1">
        <v>0</v>
      </c>
      <c r="ZO4" s="1">
        <v>4.5205981609494949E-3</v>
      </c>
      <c r="ZP4" s="1">
        <v>0</v>
      </c>
      <c r="ZQ4" s="1">
        <v>6.564730684557935E-3</v>
      </c>
      <c r="ZR4" s="1">
        <v>0</v>
      </c>
      <c r="ZS4" s="1">
        <v>0</v>
      </c>
      <c r="ZT4" s="1">
        <v>0</v>
      </c>
      <c r="ZU4" s="1">
        <v>7.7634782619777709E-3</v>
      </c>
      <c r="ZV4" s="1">
        <v>2.582212251568412E-2</v>
      </c>
      <c r="ZW4" s="1">
        <v>3.881739130988885E-3</v>
      </c>
      <c r="ZX4" s="1">
        <v>5.4482136019944113E-3</v>
      </c>
      <c r="ZY4" s="1">
        <v>0</v>
      </c>
      <c r="ZZ4" s="1">
        <v>0.17267599049621141</v>
      </c>
      <c r="AAA4" s="1">
        <v>0.13265025860664581</v>
      </c>
      <c r="AAB4" s="1">
        <v>7.8486280967946659E-3</v>
      </c>
      <c r="AAC4" s="1">
        <v>4.9491248087498076E-3</v>
      </c>
      <c r="AAD4" s="1">
        <v>9.508857127699253E-3</v>
      </c>
      <c r="AAE4" s="1">
        <v>1.7441983543221629E-2</v>
      </c>
      <c r="AAF4" s="1">
        <v>1.0622832735064321E-2</v>
      </c>
      <c r="AAG4" s="1">
        <v>0</v>
      </c>
      <c r="AAH4" s="1">
        <v>0</v>
      </c>
      <c r="AAI4" s="1">
        <v>0</v>
      </c>
      <c r="AAJ4" s="1">
        <v>3.5409442450214409E-3</v>
      </c>
      <c r="AAK4" s="1">
        <v>0</v>
      </c>
      <c r="AAL4" s="1">
        <v>0</v>
      </c>
      <c r="AAM4" s="1">
        <v>1.1812848692711139E-2</v>
      </c>
      <c r="AAN4" s="1">
        <v>3.2687075172997022E-2</v>
      </c>
      <c r="AAO4" s="1">
        <v>7.8752324618074233E-3</v>
      </c>
      <c r="AAP4" s="1">
        <v>0</v>
      </c>
      <c r="AAQ4" s="1">
        <v>0</v>
      </c>
      <c r="AAR4" s="1">
        <v>0</v>
      </c>
      <c r="AAS4" s="1">
        <v>0</v>
      </c>
      <c r="AAT4" s="1">
        <v>3.7810570214856142E-2</v>
      </c>
      <c r="AAU4" s="1">
        <v>1.0674834735773671E-2</v>
      </c>
      <c r="AAV4" s="1">
        <v>2.268634212891369E-2</v>
      </c>
      <c r="AAW4" s="1">
        <v>0</v>
      </c>
      <c r="AAX4" s="1">
        <v>3.5941895942636411E-3</v>
      </c>
      <c r="AAY4" s="1">
        <v>7.0148556052836448E-3</v>
      </c>
      <c r="AAZ4" s="1">
        <v>2.3238328593906499E-2</v>
      </c>
      <c r="ABA4" s="1">
        <v>3.5582782452578889E-3</v>
      </c>
      <c r="ABB4" s="1">
        <v>4.6837740131453497E-2</v>
      </c>
      <c r="ABC4" s="1">
        <v>1.9545800910151491E-2</v>
      </c>
      <c r="ABD4" s="1">
        <v>3.6514826491527539E-3</v>
      </c>
      <c r="ABE4" s="1">
        <v>0</v>
      </c>
      <c r="ABF4" s="1">
        <v>0</v>
      </c>
      <c r="ABG4" s="1">
        <v>0</v>
      </c>
      <c r="ABH4" s="1">
        <v>1.1812848692711139E-2</v>
      </c>
      <c r="ABI4" s="1">
        <v>3.7810570214856141E-3</v>
      </c>
      <c r="ABJ4" s="1">
        <v>0</v>
      </c>
      <c r="ABK4" s="1">
        <v>3.804995406740706E-3</v>
      </c>
      <c r="ABL4" s="1">
        <v>7.7634782619777709E-3</v>
      </c>
      <c r="ABM4" s="1">
        <v>0</v>
      </c>
      <c r="ABN4" s="1">
        <v>0</v>
      </c>
      <c r="ABO4" s="1">
        <v>1.2398648020087361E-2</v>
      </c>
      <c r="ABP4" s="1">
        <v>9.9592836831027855E-3</v>
      </c>
      <c r="ABQ4" s="1">
        <v>2.9707918640046869E-2</v>
      </c>
      <c r="ABR4" s="1">
        <v>0</v>
      </c>
      <c r="ABS4" s="1">
        <v>0</v>
      </c>
      <c r="ABT4" s="1">
        <v>0</v>
      </c>
      <c r="ABU4" s="1">
        <v>7.3844982140563141E-3</v>
      </c>
      <c r="ABV4" s="1">
        <v>0</v>
      </c>
      <c r="ABW4" s="1">
        <v>6.1248401496866731E-3</v>
      </c>
      <c r="ABX4" s="1">
        <v>0</v>
      </c>
      <c r="ABY4" s="1">
        <v>0</v>
      </c>
      <c r="ABZ4" s="1">
        <v>6.3817195310882369E-3</v>
      </c>
      <c r="ACA4" s="1">
        <v>7.4706926222498854E-3</v>
      </c>
      <c r="ACB4" s="1">
        <v>6.4477735183094088E-3</v>
      </c>
      <c r="ACC4" s="1">
        <v>1.7840985181461811E-2</v>
      </c>
      <c r="ACD4" s="1">
        <v>0</v>
      </c>
      <c r="ACE4" s="1">
        <v>0</v>
      </c>
      <c r="ACF4" s="1">
        <v>2.3071467085649229E-2</v>
      </c>
      <c r="ACG4" s="1">
        <v>2.929506266102245E-3</v>
      </c>
      <c r="ACH4" s="1">
        <v>2.695650752123792E-3</v>
      </c>
      <c r="ACI4" s="1">
        <v>0</v>
      </c>
      <c r="ACJ4" s="1">
        <v>0</v>
      </c>
      <c r="ACK4" s="1">
        <v>0.14347382934289679</v>
      </c>
      <c r="ACL4" s="1">
        <v>0</v>
      </c>
      <c r="ACM4" s="1">
        <v>1.114046949001758E-2</v>
      </c>
      <c r="ACN4" s="1">
        <v>0.1187212826606466</v>
      </c>
      <c r="ACO4" s="1">
        <v>1.7577037596613471E-2</v>
      </c>
      <c r="ACP4" s="1">
        <v>7.8752324618074233E-3</v>
      </c>
      <c r="ACQ4" s="1">
        <v>0</v>
      </c>
      <c r="ACR4" s="1">
        <v>6.3184378711599789E-3</v>
      </c>
      <c r="ACS4" s="1">
        <v>0</v>
      </c>
      <c r="ACT4" s="1">
        <v>7.4269796600117163E-2</v>
      </c>
      <c r="ACU4" s="1">
        <v>4.1591627236341751E-2</v>
      </c>
      <c r="ACV4" s="1">
        <v>0</v>
      </c>
      <c r="ACW4" s="1">
        <v>3.3591090665271448E-3</v>
      </c>
      <c r="ACX4" s="1">
        <v>7.1753873487063208E-3</v>
      </c>
      <c r="ACY4" s="1">
        <v>0</v>
      </c>
      <c r="ACZ4" s="1">
        <v>4.363907332379429E-2</v>
      </c>
      <c r="ADA4" s="1">
        <v>0</v>
      </c>
      <c r="ADB4" s="1">
        <v>1.2213560308270191E-2</v>
      </c>
      <c r="ADC4" s="1">
        <v>0</v>
      </c>
      <c r="ADD4" s="1">
        <v>1.39742035482782E-2</v>
      </c>
      <c r="ADE4" s="1">
        <v>2.526285246936591E-3</v>
      </c>
      <c r="ADF4" s="1">
        <v>0</v>
      </c>
      <c r="ADG4" s="1">
        <v>4.5454316116425232E-2</v>
      </c>
      <c r="ADH4" s="1">
        <v>2.4667998642315909E-2</v>
      </c>
      <c r="ADI4" s="1">
        <v>0</v>
      </c>
      <c r="ADJ4" s="1">
        <v>0</v>
      </c>
      <c r="ADK4" s="1">
        <v>3.2946257067581748E-3</v>
      </c>
      <c r="ADL4" s="1">
        <v>1.1875153405642261E-2</v>
      </c>
      <c r="ADM4" s="1">
        <v>0</v>
      </c>
      <c r="ADN4" s="1">
        <v>0</v>
      </c>
      <c r="ADO4" s="1">
        <v>4.7019289185819151E-2</v>
      </c>
      <c r="ADP4" s="1">
        <v>2.145432374012261E-2</v>
      </c>
      <c r="ADQ4" s="1">
        <v>2.668229701082379E-3</v>
      </c>
      <c r="ADR4" s="1">
        <v>4.7985965811921608E-3</v>
      </c>
      <c r="ADS4" s="1">
        <v>0</v>
      </c>
      <c r="ADT4" s="1">
        <v>1.9024977033703531E-2</v>
      </c>
      <c r="ADU4" s="1">
        <v>0</v>
      </c>
      <c r="ADV4" s="1">
        <v>0</v>
      </c>
      <c r="ADW4" s="1">
        <v>3.6715903955052281E-3</v>
      </c>
      <c r="ADX4" s="1">
        <v>2.7242382323119901E-2</v>
      </c>
      <c r="ADY4" s="1">
        <v>1.033367525855868E-2</v>
      </c>
      <c r="ADZ4" s="1">
        <v>3.047877105811703E-2</v>
      </c>
      <c r="AEA4" s="1">
        <v>3.4149861664419718E-3</v>
      </c>
      <c r="AEB4" s="1">
        <v>1.033367525855868E-2</v>
      </c>
      <c r="AEC4" s="1">
        <v>0</v>
      </c>
      <c r="AED4" s="1">
        <v>2.511071544047969E-2</v>
      </c>
      <c r="AEE4" s="1">
        <v>3.7578553200235832E-3</v>
      </c>
      <c r="AEF4" s="1">
        <v>8.7046977199329353E-3</v>
      </c>
      <c r="AEG4" s="1">
        <v>6.5406023041393773E-3</v>
      </c>
      <c r="AEH4" s="1">
        <v>6.5406023041393773E-3</v>
      </c>
      <c r="AEI4" s="1">
        <v>0</v>
      </c>
      <c r="AEJ4" s="1">
        <v>0</v>
      </c>
      <c r="AEK4" s="1">
        <v>0</v>
      </c>
      <c r="AEL4" s="1">
        <v>7.6099908134814129E-3</v>
      </c>
      <c r="AEM4" s="1">
        <v>5.3044866510321212E-3</v>
      </c>
      <c r="AEN4" s="1">
        <v>0</v>
      </c>
      <c r="AEO4" s="1">
        <v>0</v>
      </c>
      <c r="AEP4" s="1">
        <v>7.1832917075604089E-2</v>
      </c>
      <c r="AEQ4" s="1">
        <v>3.2127162466632032E-2</v>
      </c>
      <c r="AER4" s="1">
        <v>6.8235032963323483E-3</v>
      </c>
      <c r="AES4" s="1">
        <v>2.2301231476827259E-2</v>
      </c>
      <c r="AET4" s="1">
        <v>2.031918070541135E-2</v>
      </c>
      <c r="AEU4" s="1">
        <v>4.0391970865183292E-2</v>
      </c>
      <c r="AEV4" s="1">
        <v>7.1520402830585741E-3</v>
      </c>
      <c r="AEW4" s="1">
        <v>7.3431807910104554E-3</v>
      </c>
      <c r="AEX4" s="1">
        <v>0</v>
      </c>
      <c r="AEY4" s="1">
        <v>2.668229701082379E-3</v>
      </c>
      <c r="AEZ4" s="1">
        <v>1.8257413245763771E-2</v>
      </c>
      <c r="AFA4" s="1">
        <v>4.3809542989521701E-2</v>
      </c>
      <c r="AFB4" s="1">
        <v>2.798340459284137E-2</v>
      </c>
      <c r="AFC4" s="1">
        <v>0</v>
      </c>
      <c r="AFD4" s="1">
        <v>0</v>
      </c>
      <c r="AFE4" s="1">
        <v>0</v>
      </c>
      <c r="AFF4" s="1">
        <v>0</v>
      </c>
      <c r="AFG4" s="1">
        <v>9.1245335131569891E-2</v>
      </c>
      <c r="AFH4" s="1">
        <v>0</v>
      </c>
      <c r="AFI4" s="1">
        <v>1.3964848856734271E-2</v>
      </c>
      <c r="AFJ4" s="1">
        <v>1.083842316150776E-2</v>
      </c>
      <c r="AFK4" s="1">
        <v>8.4297583429797929E-3</v>
      </c>
      <c r="AFL4" s="1">
        <v>0</v>
      </c>
      <c r="AFM4" s="1">
        <v>0</v>
      </c>
      <c r="AFN4" s="1">
        <v>0</v>
      </c>
      <c r="AFO4" s="1">
        <v>1.7619999030225649E-2</v>
      </c>
      <c r="AFP4" s="1">
        <v>9.6051264395466737E-3</v>
      </c>
      <c r="AFQ4" s="1">
        <v>2.0910701613759408E-3</v>
      </c>
      <c r="AFR4" s="1">
        <v>0</v>
      </c>
      <c r="AFS4" s="1">
        <v>0</v>
      </c>
      <c r="AFT4" s="1">
        <v>2.8778965971133611E-2</v>
      </c>
      <c r="AFU4" s="1">
        <v>0.2218247710633241</v>
      </c>
      <c r="AFV4" s="1">
        <v>8.8882195890166871E-3</v>
      </c>
      <c r="AFW4" s="1">
        <v>0</v>
      </c>
      <c r="AFX4" s="1">
        <v>0</v>
      </c>
      <c r="AFY4" s="1">
        <v>1.288978379338819E-2</v>
      </c>
      <c r="AFZ4" s="1">
        <v>0</v>
      </c>
      <c r="AGA4" s="1">
        <v>4.1721535868850176E-3</v>
      </c>
      <c r="AGB4" s="1">
        <v>3.6128077205025868E-3</v>
      </c>
      <c r="AGC4" s="1">
        <v>4.2092468337438481E-2</v>
      </c>
      <c r="AGD4" s="1">
        <v>0</v>
      </c>
      <c r="AGE4" s="1">
        <v>2.0528263107549329E-2</v>
      </c>
      <c r="AGF4" s="1">
        <v>1.453517264409104E-2</v>
      </c>
      <c r="AGG4" s="1">
        <v>0</v>
      </c>
      <c r="AGH4" s="1">
        <v>1.063013818336977E-2</v>
      </c>
      <c r="AGI4" s="1">
        <v>2.0688559123724611E-3</v>
      </c>
      <c r="AGJ4" s="1">
        <v>3.6318972414441141E-3</v>
      </c>
      <c r="AGK4" s="1">
        <v>4.9615422364181601E-2</v>
      </c>
      <c r="AGL4" s="1">
        <v>2.4419520981483508E-3</v>
      </c>
      <c r="AGM4" s="1">
        <v>2.892356101980232E-3</v>
      </c>
      <c r="AGN4" s="1">
        <v>0</v>
      </c>
      <c r="AGO4" s="1">
        <v>3.332650358695143E-3</v>
      </c>
      <c r="AGP4" s="1">
        <v>8.7885187983067353E-3</v>
      </c>
      <c r="AGQ4" s="1">
        <v>0</v>
      </c>
      <c r="AGR4" s="1">
        <v>1.04736366425507E-2</v>
      </c>
      <c r="AGS4" s="1">
        <v>1.7945683807044512E-2</v>
      </c>
      <c r="AGT4" s="1">
        <v>3.2703011520696891E-3</v>
      </c>
      <c r="AGU4" s="1">
        <v>0.15223801383158039</v>
      </c>
      <c r="AGV4" s="1">
        <v>3.5941895942636411E-3</v>
      </c>
      <c r="AGW4" s="1">
        <v>3.7353463111249418E-3</v>
      </c>
      <c r="AGX4" s="1">
        <v>0</v>
      </c>
      <c r="AGY4" s="1">
        <v>0</v>
      </c>
      <c r="AGZ4" s="1">
        <v>8.0601157342071236E-3</v>
      </c>
      <c r="AHA4" s="1">
        <v>3.832178738028013E-2</v>
      </c>
      <c r="AHB4" s="1">
        <v>2.2547131920141499E-2</v>
      </c>
      <c r="AHC4" s="1">
        <v>9.8539985198247276E-2</v>
      </c>
      <c r="AHD4" s="1">
        <v>4.3000762002333277E-2</v>
      </c>
      <c r="AHE4" s="1">
        <v>0</v>
      </c>
      <c r="AHF4" s="1">
        <v>0</v>
      </c>
      <c r="AHG4" s="1">
        <v>0</v>
      </c>
      <c r="AHH4" s="1">
        <v>0</v>
      </c>
      <c r="AHI4" s="1">
        <v>0</v>
      </c>
      <c r="AHJ4" s="1">
        <v>7.6745431909416633E-3</v>
      </c>
      <c r="AHK4" s="1">
        <v>1.6351505760348439E-2</v>
      </c>
      <c r="AHL4" s="1">
        <v>7.3844982140563141E-3</v>
      </c>
      <c r="AHM4" s="1">
        <v>4.3523488599664676E-3</v>
      </c>
      <c r="AHN4" s="1">
        <v>4.2491330940257303E-2</v>
      </c>
      <c r="AHO4" s="1">
        <v>2.8851407760845198E-2</v>
      </c>
      <c r="AHP4" s="1">
        <v>0</v>
      </c>
      <c r="AHQ4" s="1">
        <v>3.7578553200235832E-3</v>
      </c>
      <c r="AHR4" s="1">
        <v>0</v>
      </c>
      <c r="AHS4" s="1">
        <v>0</v>
      </c>
      <c r="AHT4" s="1">
        <v>1.30337078280955E-2</v>
      </c>
      <c r="AHU4" s="1">
        <v>4.5784216128975638E-2</v>
      </c>
      <c r="AHV4" s="1">
        <v>0</v>
      </c>
      <c r="AHW4" s="1">
        <v>0</v>
      </c>
      <c r="AHX4" s="1">
        <v>1.747419652216645E-2</v>
      </c>
      <c r="AHY4" s="1">
        <v>0</v>
      </c>
      <c r="AHZ4" s="1">
        <v>1.03659439073368E-2</v>
      </c>
      <c r="AIA4" s="1">
        <v>2.7563313616325979E-2</v>
      </c>
      <c r="AIB4" s="1">
        <v>2.4743021356181651E-2</v>
      </c>
      <c r="AIC4" s="1">
        <v>1.5184560075634851E-2</v>
      </c>
      <c r="AID4" s="1">
        <v>3.307088731042988E-3</v>
      </c>
      <c r="AIE4" s="1">
        <v>2.6808031568533099E-2</v>
      </c>
      <c r="AIF4" s="1">
        <v>2.1349669471547331E-2</v>
      </c>
      <c r="AIG4" s="1">
        <v>3.7134898300058582E-2</v>
      </c>
      <c r="AIH4" s="1">
        <v>2.1143998836270779E-2</v>
      </c>
      <c r="AII4" s="1">
        <v>5.0172942278709238E-3</v>
      </c>
      <c r="AIJ4" s="1">
        <v>3.3591090665271448E-3</v>
      </c>
      <c r="AIK4" s="1">
        <v>6.0932884039530552E-2</v>
      </c>
      <c r="AIL4" s="1">
        <v>3.105391304791108E-2</v>
      </c>
      <c r="AIM4" s="1">
        <v>4.1354377849643267E-3</v>
      </c>
      <c r="AIN4" s="1">
        <v>0</v>
      </c>
      <c r="AIO4" s="1">
        <v>0</v>
      </c>
      <c r="AIP4" s="1">
        <v>5.0186454895397338E-2</v>
      </c>
      <c r="AIQ4" s="1">
        <v>0</v>
      </c>
      <c r="AIR4" s="1">
        <v>3.083903006275053E-2</v>
      </c>
      <c r="AIS4" s="1">
        <v>0</v>
      </c>
      <c r="AIT4" s="1">
        <v>4.7375092359516358E-3</v>
      </c>
      <c r="AIU4" s="1">
        <v>8.9121560893338208E-3</v>
      </c>
      <c r="AIV4" s="1">
        <v>0</v>
      </c>
      <c r="AIW4" s="1">
        <v>3.4149861664419718E-3</v>
      </c>
      <c r="AIX4" s="1">
        <v>2.7802704256208129E-2</v>
      </c>
      <c r="AIY4" s="1">
        <v>1.2437068707929501E-2</v>
      </c>
      <c r="AIZ4" s="1">
        <v>0</v>
      </c>
      <c r="AJA4" s="1">
        <v>1.1076747321084469E-2</v>
      </c>
      <c r="AJB4" s="1">
        <v>1.291106125784206E-2</v>
      </c>
      <c r="AJC4" s="1">
        <v>0</v>
      </c>
      <c r="AJD4" s="1">
        <v>1.134317106445684E-2</v>
      </c>
      <c r="AJE4" s="1">
        <v>4.1354377849643267E-3</v>
      </c>
      <c r="AJF4" s="1">
        <v>3.627052080393206E-2</v>
      </c>
      <c r="AJG4" s="1">
        <v>0</v>
      </c>
      <c r="AJH4" s="1">
        <v>4.7251394770844543E-2</v>
      </c>
      <c r="AJI4" s="1">
        <v>5.0086026095476112E-3</v>
      </c>
      <c r="AJJ4" s="1">
        <v>0</v>
      </c>
      <c r="AJK4" s="1">
        <v>3.6407746161056451E-3</v>
      </c>
      <c r="AJL4" s="1">
        <v>0</v>
      </c>
      <c r="AJM4" s="1">
        <v>0</v>
      </c>
      <c r="AJN4" s="1">
        <v>8.0235569829819452E-3</v>
      </c>
      <c r="AJO4" s="1">
        <v>4.4029534730709316E-3</v>
      </c>
      <c r="AJP4" s="1">
        <v>0</v>
      </c>
      <c r="AJQ4" s="1">
        <v>3.3664184886683548E-3</v>
      </c>
      <c r="AJR4" s="1">
        <v>3.159218935579989E-3</v>
      </c>
      <c r="AJS4" s="1">
        <v>0</v>
      </c>
      <c r="AJT4" s="1">
        <v>4.5682944641490522E-3</v>
      </c>
      <c r="AJU4" s="1">
        <v>0</v>
      </c>
      <c r="AJV4" s="1">
        <v>2.3965235830943721E-2</v>
      </c>
      <c r="AJW4" s="1">
        <v>0</v>
      </c>
      <c r="AJX4" s="1">
        <v>0</v>
      </c>
      <c r="AJY4" s="1">
        <v>0</v>
      </c>
      <c r="AJZ4" s="1">
        <v>0</v>
      </c>
      <c r="AKA4" s="1">
        <v>0</v>
      </c>
      <c r="AKB4" s="1">
        <v>3.2426613256893541E-2</v>
      </c>
      <c r="AKC4" s="1">
        <v>0</v>
      </c>
      <c r="AKD4" s="1">
        <v>7.3431807910104554E-3</v>
      </c>
      <c r="AKE4" s="1">
        <v>1.5048971816656509E-2</v>
      </c>
      <c r="AKF4" s="1">
        <v>1.114046949001758E-2</v>
      </c>
      <c r="AKG4" s="1">
        <v>6.4118630698043744E-2</v>
      </c>
      <c r="AKH4" s="1">
        <v>3.3197612277009289E-3</v>
      </c>
      <c r="AKI4" s="1">
        <v>1.9233697613255649E-2</v>
      </c>
      <c r="AKJ4" s="1">
        <v>0</v>
      </c>
      <c r="AKK4" s="1">
        <v>0</v>
      </c>
      <c r="AKL4" s="1">
        <v>9.6716602774641145E-3</v>
      </c>
      <c r="AKM4" s="1">
        <v>0</v>
      </c>
      <c r="AKN4" s="1">
        <v>7.8486280967946659E-3</v>
      </c>
      <c r="AKO4" s="1">
        <v>3.2946257067581748E-3</v>
      </c>
      <c r="AKP4" s="1">
        <v>0</v>
      </c>
      <c r="AKQ4" s="1">
        <v>1.8905285107428071E-2</v>
      </c>
      <c r="AKR4" s="1">
        <v>8.3913934897175656E-3</v>
      </c>
      <c r="AKS4" s="1">
        <v>0</v>
      </c>
      <c r="AKT4" s="1">
        <v>7.7634782619777709E-3</v>
      </c>
      <c r="AKU4" s="1">
        <v>5.0982744983772968E-3</v>
      </c>
      <c r="AKV4" s="1">
        <v>0</v>
      </c>
      <c r="AKW4" s="1">
        <v>1.200547896633356E-2</v>
      </c>
      <c r="AKX4" s="1">
        <v>6.564730684557935E-3</v>
      </c>
      <c r="AKY4" s="1">
        <v>2.8526571383097759E-2</v>
      </c>
      <c r="AKZ4" s="1">
        <v>2.8779938429324909E-3</v>
      </c>
      <c r="ALA4" s="1">
        <v>0</v>
      </c>
      <c r="ALB4" s="1">
        <v>2.38031309038878E-2</v>
      </c>
      <c r="ALC4" s="1">
        <v>4.6363670886388861E-2</v>
      </c>
      <c r="ALD4" s="1">
        <v>1.291106125784206E-2</v>
      </c>
      <c r="ALE4" s="1">
        <v>7.3844982140563141E-3</v>
      </c>
      <c r="ALF4" s="1">
        <v>0</v>
      </c>
      <c r="ALG4" s="1">
        <v>0</v>
      </c>
      <c r="ALH4" s="1">
        <v>0</v>
      </c>
      <c r="ALI4" s="1">
        <v>6.1616222562179213E-3</v>
      </c>
      <c r="ALJ4" s="1">
        <v>5.8794994235671437E-2</v>
      </c>
      <c r="ALK4" s="1">
        <v>2.4670016182622951E-2</v>
      </c>
      <c r="ALL4" s="1">
        <v>0</v>
      </c>
      <c r="ALM4" s="1">
        <v>2.329043478593331E-2</v>
      </c>
      <c r="ALN4" s="1">
        <v>1</v>
      </c>
    </row>
    <row r="5" spans="1:1002" x14ac:dyDescent="0.3">
      <c r="A5" s="2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0.20283354181353319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0.32119351518786821</v>
      </c>
      <c r="LI5" s="1">
        <v>0</v>
      </c>
      <c r="LJ5" s="1">
        <v>0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A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">
        <v>0</v>
      </c>
      <c r="MW5" s="1">
        <v>0</v>
      </c>
      <c r="MX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0</v>
      </c>
      <c r="NM5" s="1">
        <v>0</v>
      </c>
      <c r="NN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1">
        <v>0</v>
      </c>
      <c r="OT5" s="1">
        <v>0</v>
      </c>
      <c r="OU5" s="1">
        <v>0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  <c r="PA5" s="1">
        <v>0</v>
      </c>
      <c r="PB5" s="1">
        <v>0</v>
      </c>
      <c r="PC5" s="1">
        <v>0</v>
      </c>
      <c r="PD5" s="1">
        <v>0</v>
      </c>
      <c r="PE5" s="1">
        <v>0</v>
      </c>
      <c r="PF5" s="1">
        <v>0</v>
      </c>
      <c r="PG5" s="1">
        <v>0</v>
      </c>
      <c r="PH5" s="1">
        <v>0.12942018853108181</v>
      </c>
      <c r="PI5" s="1">
        <v>0</v>
      </c>
      <c r="PJ5" s="1">
        <v>0</v>
      </c>
      <c r="PK5" s="1">
        <v>0</v>
      </c>
      <c r="PL5" s="1">
        <v>0</v>
      </c>
      <c r="PM5" s="1">
        <v>0</v>
      </c>
      <c r="PN5" s="1">
        <v>0</v>
      </c>
      <c r="PO5" s="1">
        <v>0</v>
      </c>
      <c r="PP5" s="1">
        <v>0</v>
      </c>
      <c r="PQ5" s="1">
        <v>0</v>
      </c>
      <c r="PR5" s="1">
        <v>0</v>
      </c>
      <c r="PS5" s="1">
        <v>0</v>
      </c>
      <c r="PT5" s="1">
        <v>0</v>
      </c>
      <c r="PU5" s="1">
        <v>0</v>
      </c>
      <c r="PV5" s="1">
        <v>0</v>
      </c>
      <c r="PW5" s="1">
        <v>0</v>
      </c>
      <c r="PX5" s="1">
        <v>0</v>
      </c>
      <c r="PY5" s="1">
        <v>0</v>
      </c>
      <c r="PZ5" s="1">
        <v>0</v>
      </c>
      <c r="QA5" s="1">
        <v>0</v>
      </c>
      <c r="QB5" s="1">
        <v>0</v>
      </c>
      <c r="QC5" s="1">
        <v>0</v>
      </c>
      <c r="QD5" s="1">
        <v>0</v>
      </c>
      <c r="QE5" s="1">
        <v>0</v>
      </c>
      <c r="QF5" s="1">
        <v>0</v>
      </c>
      <c r="QG5" s="1">
        <v>0</v>
      </c>
      <c r="QH5" s="1">
        <v>0</v>
      </c>
      <c r="QI5" s="1">
        <v>0</v>
      </c>
      <c r="QJ5" s="1">
        <v>0</v>
      </c>
      <c r="QK5" s="1">
        <v>0.1331851753228934</v>
      </c>
      <c r="QL5" s="1">
        <v>0</v>
      </c>
      <c r="QM5" s="1">
        <v>0</v>
      </c>
      <c r="QN5" s="1">
        <v>0</v>
      </c>
      <c r="QO5" s="1">
        <v>0</v>
      </c>
      <c r="QP5" s="1">
        <v>0</v>
      </c>
      <c r="QQ5" s="1">
        <v>0</v>
      </c>
      <c r="QR5" s="1">
        <v>0</v>
      </c>
      <c r="QS5" s="1">
        <v>0</v>
      </c>
      <c r="QT5" s="1">
        <v>0</v>
      </c>
      <c r="QU5" s="1">
        <v>0</v>
      </c>
      <c r="QV5" s="1">
        <v>0</v>
      </c>
      <c r="QW5" s="1">
        <v>0</v>
      </c>
      <c r="QX5" s="1">
        <v>0</v>
      </c>
      <c r="QY5" s="1">
        <v>0</v>
      </c>
      <c r="QZ5" s="1">
        <v>0</v>
      </c>
      <c r="RA5" s="1">
        <v>0</v>
      </c>
      <c r="RB5" s="1">
        <v>0</v>
      </c>
      <c r="RC5" s="1">
        <v>0</v>
      </c>
      <c r="RD5" s="1">
        <v>0</v>
      </c>
      <c r="RE5" s="1">
        <v>0</v>
      </c>
      <c r="RF5" s="1">
        <v>0</v>
      </c>
      <c r="RG5" s="1">
        <v>0</v>
      </c>
      <c r="RH5" s="1">
        <v>0</v>
      </c>
      <c r="RI5" s="1">
        <v>0</v>
      </c>
      <c r="RJ5" s="1">
        <v>0</v>
      </c>
      <c r="RK5" s="1">
        <v>0</v>
      </c>
      <c r="RL5" s="1">
        <v>0</v>
      </c>
      <c r="RM5" s="1">
        <v>0</v>
      </c>
      <c r="RN5" s="1">
        <v>0</v>
      </c>
      <c r="RO5" s="1">
        <v>0</v>
      </c>
      <c r="RP5" s="1">
        <v>0</v>
      </c>
      <c r="RQ5" s="1">
        <v>0</v>
      </c>
      <c r="RR5" s="1">
        <v>0</v>
      </c>
      <c r="RS5" s="1">
        <v>0</v>
      </c>
      <c r="RT5" s="1">
        <v>0</v>
      </c>
      <c r="RU5" s="1">
        <v>0</v>
      </c>
      <c r="RV5" s="1">
        <v>0</v>
      </c>
      <c r="RW5" s="1">
        <v>0</v>
      </c>
      <c r="RX5" s="1">
        <v>0</v>
      </c>
      <c r="RY5" s="1">
        <v>0</v>
      </c>
      <c r="RZ5" s="1">
        <v>0</v>
      </c>
      <c r="SA5" s="1">
        <v>0</v>
      </c>
      <c r="SB5" s="1">
        <v>0</v>
      </c>
      <c r="SC5" s="1">
        <v>0</v>
      </c>
      <c r="SD5" s="1">
        <v>0</v>
      </c>
      <c r="SE5" s="1">
        <v>0</v>
      </c>
      <c r="SF5" s="1">
        <v>0</v>
      </c>
      <c r="SG5" s="1">
        <v>0</v>
      </c>
      <c r="SH5" s="1">
        <v>0</v>
      </c>
      <c r="SI5" s="1">
        <v>0</v>
      </c>
      <c r="SJ5" s="1">
        <v>0</v>
      </c>
      <c r="SK5" s="1">
        <v>0</v>
      </c>
      <c r="SL5" s="1">
        <v>0</v>
      </c>
      <c r="SM5" s="1">
        <v>0</v>
      </c>
      <c r="SN5" s="1">
        <v>0</v>
      </c>
      <c r="SO5" s="1">
        <v>0</v>
      </c>
      <c r="SP5" s="1">
        <v>0</v>
      </c>
      <c r="SQ5" s="1">
        <v>0</v>
      </c>
      <c r="SR5" s="1">
        <v>0</v>
      </c>
      <c r="SS5" s="1">
        <v>0</v>
      </c>
      <c r="ST5" s="1">
        <v>0</v>
      </c>
      <c r="SU5" s="1">
        <v>0</v>
      </c>
      <c r="SV5" s="1">
        <v>0.36043174642684161</v>
      </c>
      <c r="SW5" s="1">
        <v>0</v>
      </c>
      <c r="SX5" s="1">
        <v>0</v>
      </c>
      <c r="SY5" s="1">
        <v>0</v>
      </c>
      <c r="SZ5" s="1">
        <v>0</v>
      </c>
      <c r="TA5" s="1">
        <v>0</v>
      </c>
      <c r="TB5" s="1">
        <v>0</v>
      </c>
      <c r="TC5" s="1">
        <v>0</v>
      </c>
      <c r="TD5" s="1">
        <v>0</v>
      </c>
      <c r="TE5" s="1">
        <v>0</v>
      </c>
      <c r="TF5" s="1">
        <v>0</v>
      </c>
      <c r="TG5" s="1">
        <v>0</v>
      </c>
      <c r="TH5" s="1">
        <v>0</v>
      </c>
      <c r="TI5" s="1">
        <v>0</v>
      </c>
      <c r="TJ5" s="1">
        <v>0</v>
      </c>
      <c r="TK5" s="1">
        <v>0</v>
      </c>
      <c r="TL5" s="1">
        <v>0</v>
      </c>
      <c r="TM5" s="1">
        <v>0</v>
      </c>
      <c r="TN5" s="1">
        <v>0</v>
      </c>
      <c r="TO5" s="1">
        <v>0</v>
      </c>
      <c r="TP5" s="1">
        <v>0</v>
      </c>
      <c r="TQ5" s="1">
        <v>0</v>
      </c>
      <c r="TR5" s="1">
        <v>0</v>
      </c>
      <c r="TS5" s="1">
        <v>0</v>
      </c>
      <c r="TT5" s="1">
        <v>0</v>
      </c>
      <c r="TU5" s="1">
        <v>0</v>
      </c>
      <c r="TV5" s="1">
        <v>0</v>
      </c>
      <c r="TW5" s="1">
        <v>0</v>
      </c>
      <c r="TX5" s="1">
        <v>0</v>
      </c>
      <c r="TY5" s="1">
        <v>0</v>
      </c>
      <c r="TZ5" s="1">
        <v>0</v>
      </c>
      <c r="UA5" s="1">
        <v>0</v>
      </c>
      <c r="UB5" s="1">
        <v>0</v>
      </c>
      <c r="UC5" s="1">
        <v>0</v>
      </c>
      <c r="UD5" s="1">
        <v>0</v>
      </c>
      <c r="UE5" s="1">
        <v>0</v>
      </c>
      <c r="UF5" s="1">
        <v>0</v>
      </c>
      <c r="UG5" s="1">
        <v>0</v>
      </c>
      <c r="UH5" s="1">
        <v>0</v>
      </c>
      <c r="UI5" s="1">
        <v>0</v>
      </c>
      <c r="UJ5" s="1">
        <v>0</v>
      </c>
      <c r="UK5" s="1">
        <v>0</v>
      </c>
      <c r="UL5" s="1">
        <v>0</v>
      </c>
      <c r="UM5" s="1">
        <v>0</v>
      </c>
      <c r="UN5" s="1">
        <v>0</v>
      </c>
      <c r="UO5" s="1">
        <v>0</v>
      </c>
      <c r="UP5" s="1">
        <v>0</v>
      </c>
      <c r="UQ5" s="1">
        <v>0</v>
      </c>
      <c r="UR5" s="1">
        <v>0</v>
      </c>
      <c r="US5" s="1">
        <v>0</v>
      </c>
      <c r="UT5" s="1">
        <v>0</v>
      </c>
      <c r="UU5" s="1">
        <v>0</v>
      </c>
      <c r="UV5" s="1">
        <v>0</v>
      </c>
      <c r="UW5" s="1">
        <v>0</v>
      </c>
      <c r="UX5" s="1">
        <v>0</v>
      </c>
      <c r="UY5" s="1">
        <v>0</v>
      </c>
      <c r="UZ5" s="1">
        <v>0</v>
      </c>
      <c r="VA5" s="1">
        <v>0</v>
      </c>
      <c r="VB5" s="1">
        <v>0</v>
      </c>
      <c r="VC5" s="1">
        <v>0</v>
      </c>
      <c r="VD5" s="1">
        <v>0</v>
      </c>
      <c r="VE5" s="1">
        <v>0</v>
      </c>
      <c r="VF5" s="1">
        <v>0</v>
      </c>
      <c r="VG5" s="1">
        <v>0</v>
      </c>
      <c r="VH5" s="1">
        <v>0</v>
      </c>
      <c r="VI5" s="1">
        <v>0</v>
      </c>
      <c r="VJ5" s="1">
        <v>0</v>
      </c>
      <c r="VK5" s="1">
        <v>0</v>
      </c>
      <c r="VL5" s="1">
        <v>0</v>
      </c>
      <c r="VM5" s="1">
        <v>0</v>
      </c>
      <c r="VN5" s="1">
        <v>0</v>
      </c>
      <c r="VO5" s="1">
        <v>0</v>
      </c>
      <c r="VP5" s="1">
        <v>0</v>
      </c>
      <c r="VQ5" s="1">
        <v>0</v>
      </c>
      <c r="VR5" s="1">
        <v>0</v>
      </c>
      <c r="VS5" s="1">
        <v>0</v>
      </c>
      <c r="VT5" s="1">
        <v>0</v>
      </c>
      <c r="VU5" s="1">
        <v>0</v>
      </c>
      <c r="VV5" s="1">
        <v>0</v>
      </c>
      <c r="VW5" s="1">
        <v>0</v>
      </c>
      <c r="VX5" s="1">
        <v>0</v>
      </c>
      <c r="VY5" s="1">
        <v>0</v>
      </c>
      <c r="VZ5" s="1">
        <v>0</v>
      </c>
      <c r="WA5" s="1">
        <v>0</v>
      </c>
      <c r="WB5" s="1">
        <v>0</v>
      </c>
      <c r="WC5" s="1">
        <v>0</v>
      </c>
      <c r="WD5" s="1">
        <v>0</v>
      </c>
      <c r="WE5" s="1">
        <v>0</v>
      </c>
      <c r="WF5" s="1">
        <v>0</v>
      </c>
      <c r="WG5" s="1">
        <v>0</v>
      </c>
      <c r="WH5" s="1">
        <v>0</v>
      </c>
      <c r="WI5" s="1">
        <v>0</v>
      </c>
      <c r="WJ5" s="1">
        <v>0</v>
      </c>
      <c r="WK5" s="1">
        <v>0</v>
      </c>
      <c r="WL5" s="1">
        <v>0</v>
      </c>
      <c r="WM5" s="1">
        <v>0</v>
      </c>
      <c r="WN5" s="1">
        <v>0</v>
      </c>
      <c r="WO5" s="1">
        <v>0</v>
      </c>
      <c r="WP5" s="1">
        <v>0</v>
      </c>
      <c r="WQ5" s="1">
        <v>0</v>
      </c>
      <c r="WR5" s="1">
        <v>0</v>
      </c>
      <c r="WS5" s="1">
        <v>0</v>
      </c>
      <c r="WT5" s="1">
        <v>0</v>
      </c>
      <c r="WU5" s="1">
        <v>0</v>
      </c>
      <c r="WV5" s="1">
        <v>0</v>
      </c>
      <c r="WW5" s="1">
        <v>0</v>
      </c>
      <c r="WX5" s="1">
        <v>0</v>
      </c>
      <c r="WY5" s="1">
        <v>0</v>
      </c>
      <c r="WZ5" s="1">
        <v>0</v>
      </c>
      <c r="XA5" s="1">
        <v>0</v>
      </c>
      <c r="XB5" s="1">
        <v>0</v>
      </c>
      <c r="XC5" s="1">
        <v>0</v>
      </c>
      <c r="XD5" s="1">
        <v>0</v>
      </c>
      <c r="XE5" s="1">
        <v>0</v>
      </c>
      <c r="XF5" s="1">
        <v>0</v>
      </c>
      <c r="XG5" s="1">
        <v>0.24762418806889919</v>
      </c>
      <c r="XH5" s="1">
        <v>0</v>
      </c>
      <c r="XI5" s="1">
        <v>0</v>
      </c>
      <c r="XJ5" s="1">
        <v>0</v>
      </c>
      <c r="XK5" s="1">
        <v>0</v>
      </c>
      <c r="XL5" s="1">
        <v>0</v>
      </c>
      <c r="XM5" s="1">
        <v>0</v>
      </c>
      <c r="XN5" s="1">
        <v>0</v>
      </c>
      <c r="XO5" s="1">
        <v>0</v>
      </c>
      <c r="XP5" s="1">
        <v>0</v>
      </c>
      <c r="XQ5" s="1">
        <v>0</v>
      </c>
      <c r="XR5" s="1">
        <v>0</v>
      </c>
      <c r="XS5" s="1">
        <v>0</v>
      </c>
      <c r="XT5" s="1">
        <v>0</v>
      </c>
      <c r="XU5" s="1">
        <v>0</v>
      </c>
      <c r="XV5" s="1">
        <v>0</v>
      </c>
      <c r="XW5" s="1">
        <v>0</v>
      </c>
      <c r="XX5" s="1">
        <v>0</v>
      </c>
      <c r="XY5" s="1">
        <v>0</v>
      </c>
      <c r="XZ5" s="1">
        <v>0</v>
      </c>
      <c r="YA5" s="1">
        <v>0</v>
      </c>
      <c r="YB5" s="1">
        <v>0</v>
      </c>
      <c r="YC5" s="1">
        <v>0</v>
      </c>
      <c r="YD5" s="1">
        <v>0</v>
      </c>
      <c r="YE5" s="1">
        <v>0</v>
      </c>
      <c r="YF5" s="1">
        <v>0</v>
      </c>
      <c r="YG5" s="1">
        <v>0</v>
      </c>
      <c r="YH5" s="1">
        <v>0</v>
      </c>
      <c r="YI5" s="1">
        <v>0</v>
      </c>
      <c r="YJ5" s="1">
        <v>0</v>
      </c>
      <c r="YK5" s="1">
        <v>0</v>
      </c>
      <c r="YL5" s="1">
        <v>0</v>
      </c>
      <c r="YM5" s="1">
        <v>0</v>
      </c>
      <c r="YN5" s="1">
        <v>0</v>
      </c>
      <c r="YO5" s="1">
        <v>0</v>
      </c>
      <c r="YP5" s="1">
        <v>0</v>
      </c>
      <c r="YQ5" s="1">
        <v>0</v>
      </c>
      <c r="YR5" s="1">
        <v>0</v>
      </c>
      <c r="YS5" s="1">
        <v>0</v>
      </c>
      <c r="YT5" s="1">
        <v>0</v>
      </c>
      <c r="YU5" s="1">
        <v>0</v>
      </c>
      <c r="YV5" s="1">
        <v>0</v>
      </c>
      <c r="YW5" s="1">
        <v>0</v>
      </c>
      <c r="YX5" s="1">
        <v>0</v>
      </c>
      <c r="YY5" s="1">
        <v>0</v>
      </c>
      <c r="YZ5" s="1">
        <v>0</v>
      </c>
      <c r="ZA5" s="1">
        <v>0</v>
      </c>
      <c r="ZB5" s="1">
        <v>0</v>
      </c>
      <c r="ZC5" s="1">
        <v>0</v>
      </c>
      <c r="ZD5" s="1">
        <v>0</v>
      </c>
      <c r="ZE5" s="1">
        <v>0</v>
      </c>
      <c r="ZF5" s="1">
        <v>0</v>
      </c>
      <c r="ZG5" s="1">
        <v>0</v>
      </c>
      <c r="ZH5" s="1">
        <v>0</v>
      </c>
      <c r="ZI5" s="1">
        <v>0</v>
      </c>
      <c r="ZJ5" s="1">
        <v>0</v>
      </c>
      <c r="ZK5" s="1">
        <v>0</v>
      </c>
      <c r="ZL5" s="1">
        <v>0</v>
      </c>
      <c r="ZM5" s="1">
        <v>0</v>
      </c>
      <c r="ZN5" s="1">
        <v>0</v>
      </c>
      <c r="ZO5" s="1">
        <v>0</v>
      </c>
      <c r="ZP5" s="1">
        <v>0</v>
      </c>
      <c r="ZQ5" s="1">
        <v>0</v>
      </c>
      <c r="ZR5" s="1">
        <v>0</v>
      </c>
      <c r="ZS5" s="1">
        <v>0</v>
      </c>
      <c r="ZT5" s="1">
        <v>0</v>
      </c>
      <c r="ZU5" s="1">
        <v>0</v>
      </c>
      <c r="ZV5" s="1">
        <v>0</v>
      </c>
      <c r="ZW5" s="1">
        <v>0</v>
      </c>
      <c r="ZX5" s="1">
        <v>0</v>
      </c>
      <c r="ZY5" s="1">
        <v>0</v>
      </c>
      <c r="ZZ5" s="1">
        <v>0</v>
      </c>
      <c r="AAA5" s="1">
        <v>0</v>
      </c>
      <c r="AAB5" s="1">
        <v>0</v>
      </c>
      <c r="AAC5" s="1">
        <v>0</v>
      </c>
      <c r="AAD5" s="1">
        <v>0</v>
      </c>
      <c r="AAE5" s="1">
        <v>0</v>
      </c>
      <c r="AAF5" s="1">
        <v>0</v>
      </c>
      <c r="AAG5" s="1">
        <v>0</v>
      </c>
      <c r="AAH5" s="1">
        <v>0</v>
      </c>
      <c r="AAI5" s="1">
        <v>0</v>
      </c>
      <c r="AAJ5" s="1">
        <v>0</v>
      </c>
      <c r="AAK5" s="1">
        <v>0</v>
      </c>
      <c r="AAL5" s="1">
        <v>0</v>
      </c>
      <c r="AAM5" s="1">
        <v>0</v>
      </c>
      <c r="AAN5" s="1">
        <v>0</v>
      </c>
      <c r="AAO5" s="1">
        <v>0</v>
      </c>
      <c r="AAP5" s="1">
        <v>0</v>
      </c>
      <c r="AAQ5" s="1">
        <v>0</v>
      </c>
      <c r="AAR5" s="1">
        <v>0</v>
      </c>
      <c r="AAS5" s="1">
        <v>0</v>
      </c>
      <c r="AAT5" s="1">
        <v>0</v>
      </c>
      <c r="AAU5" s="1">
        <v>0</v>
      </c>
      <c r="AAV5" s="1">
        <v>0</v>
      </c>
      <c r="AAW5" s="1">
        <v>0</v>
      </c>
      <c r="AAX5" s="1">
        <v>0</v>
      </c>
      <c r="AAY5" s="1">
        <v>0</v>
      </c>
      <c r="AAZ5" s="1">
        <v>0</v>
      </c>
      <c r="ABA5" s="1">
        <v>0</v>
      </c>
      <c r="ABB5" s="1">
        <v>0</v>
      </c>
      <c r="ABC5" s="1">
        <v>0</v>
      </c>
      <c r="ABD5" s="1">
        <v>0</v>
      </c>
      <c r="ABE5" s="1">
        <v>0</v>
      </c>
      <c r="ABF5" s="1">
        <v>0</v>
      </c>
      <c r="ABG5" s="1">
        <v>0</v>
      </c>
      <c r="ABH5" s="1">
        <v>0</v>
      </c>
      <c r="ABI5" s="1">
        <v>0</v>
      </c>
      <c r="ABJ5" s="1">
        <v>0</v>
      </c>
      <c r="ABK5" s="1">
        <v>0</v>
      </c>
      <c r="ABL5" s="1">
        <v>0</v>
      </c>
      <c r="ABM5" s="1">
        <v>0</v>
      </c>
      <c r="ABN5" s="1">
        <v>0</v>
      </c>
      <c r="ABO5" s="1">
        <v>0</v>
      </c>
      <c r="ABP5" s="1">
        <v>0</v>
      </c>
      <c r="ABQ5" s="1">
        <v>0</v>
      </c>
      <c r="ABR5" s="1">
        <v>0</v>
      </c>
      <c r="ABS5" s="1">
        <v>0</v>
      </c>
      <c r="ABT5" s="1">
        <v>0</v>
      </c>
      <c r="ABU5" s="1">
        <v>0</v>
      </c>
      <c r="ABV5" s="1">
        <v>0</v>
      </c>
      <c r="ABW5" s="1">
        <v>0</v>
      </c>
      <c r="ABX5" s="1">
        <v>0</v>
      </c>
      <c r="ABY5" s="1">
        <v>0</v>
      </c>
      <c r="ABZ5" s="1">
        <v>0</v>
      </c>
      <c r="ACA5" s="1">
        <v>0</v>
      </c>
      <c r="ACB5" s="1">
        <v>0</v>
      </c>
      <c r="ACC5" s="1">
        <v>0</v>
      </c>
      <c r="ACD5" s="1">
        <v>0</v>
      </c>
      <c r="ACE5" s="1">
        <v>0</v>
      </c>
      <c r="ACF5" s="1">
        <v>0.26492878529154612</v>
      </c>
      <c r="ACG5" s="1">
        <v>0</v>
      </c>
      <c r="ACH5" s="1">
        <v>0</v>
      </c>
      <c r="ACI5" s="1">
        <v>0</v>
      </c>
      <c r="ACJ5" s="1">
        <v>0</v>
      </c>
      <c r="ACK5" s="1">
        <v>0</v>
      </c>
      <c r="ACL5" s="1">
        <v>0</v>
      </c>
      <c r="ACM5" s="1">
        <v>0</v>
      </c>
      <c r="ACN5" s="1">
        <v>0</v>
      </c>
      <c r="ACO5" s="1">
        <v>0</v>
      </c>
      <c r="ACP5" s="1">
        <v>0</v>
      </c>
      <c r="ACQ5" s="1">
        <v>0</v>
      </c>
      <c r="ACR5" s="1">
        <v>0</v>
      </c>
      <c r="ACS5" s="1">
        <v>0</v>
      </c>
      <c r="ACT5" s="1">
        <v>0</v>
      </c>
      <c r="ACU5" s="1">
        <v>0</v>
      </c>
      <c r="ACV5" s="1">
        <v>0</v>
      </c>
      <c r="ACW5" s="1">
        <v>0</v>
      </c>
      <c r="ACX5" s="1">
        <v>0</v>
      </c>
      <c r="ACY5" s="1">
        <v>0</v>
      </c>
      <c r="ACZ5" s="1">
        <v>0</v>
      </c>
      <c r="ADA5" s="1">
        <v>0</v>
      </c>
      <c r="ADB5" s="1">
        <v>0</v>
      </c>
      <c r="ADC5" s="1">
        <v>0</v>
      </c>
      <c r="ADD5" s="1">
        <v>0</v>
      </c>
      <c r="ADE5" s="1">
        <v>0</v>
      </c>
      <c r="ADF5" s="1">
        <v>0</v>
      </c>
      <c r="ADG5" s="1">
        <v>0</v>
      </c>
      <c r="ADH5" s="1">
        <v>0</v>
      </c>
      <c r="ADI5" s="1">
        <v>0</v>
      </c>
      <c r="ADJ5" s="1">
        <v>0</v>
      </c>
      <c r="ADK5" s="1">
        <v>0</v>
      </c>
      <c r="ADL5" s="1">
        <v>0</v>
      </c>
      <c r="ADM5" s="1">
        <v>0</v>
      </c>
      <c r="ADN5" s="1">
        <v>0</v>
      </c>
      <c r="ADO5" s="1">
        <v>0</v>
      </c>
      <c r="ADP5" s="1">
        <v>0</v>
      </c>
      <c r="ADQ5" s="1">
        <v>0</v>
      </c>
      <c r="ADR5" s="1">
        <v>0</v>
      </c>
      <c r="ADS5" s="1">
        <v>0</v>
      </c>
      <c r="ADT5" s="1">
        <v>0</v>
      </c>
      <c r="ADU5" s="1">
        <v>0</v>
      </c>
      <c r="ADV5" s="1">
        <v>0</v>
      </c>
      <c r="ADW5" s="1">
        <v>0</v>
      </c>
      <c r="ADX5" s="1">
        <v>0</v>
      </c>
      <c r="ADY5" s="1">
        <v>0</v>
      </c>
      <c r="ADZ5" s="1">
        <v>0</v>
      </c>
      <c r="AEA5" s="1">
        <v>0</v>
      </c>
      <c r="AEB5" s="1">
        <v>0</v>
      </c>
      <c r="AEC5" s="1">
        <v>0</v>
      </c>
      <c r="AED5" s="1">
        <v>0</v>
      </c>
      <c r="AEE5" s="1">
        <v>0</v>
      </c>
      <c r="AEF5" s="1">
        <v>0</v>
      </c>
      <c r="AEG5" s="1">
        <v>0</v>
      </c>
      <c r="AEH5" s="1">
        <v>0</v>
      </c>
      <c r="AEI5" s="1">
        <v>0.37019769911017808</v>
      </c>
      <c r="AEJ5" s="1">
        <v>0</v>
      </c>
      <c r="AEK5" s="1">
        <v>0</v>
      </c>
      <c r="AEL5" s="1">
        <v>0</v>
      </c>
      <c r="AEM5" s="1">
        <v>0</v>
      </c>
      <c r="AEN5" s="1">
        <v>0</v>
      </c>
      <c r="AEO5" s="1">
        <v>0</v>
      </c>
      <c r="AEP5" s="1">
        <v>0</v>
      </c>
      <c r="AEQ5" s="1">
        <v>0</v>
      </c>
      <c r="AER5" s="1">
        <v>0</v>
      </c>
      <c r="AES5" s="1">
        <v>0</v>
      </c>
      <c r="AET5" s="1">
        <v>0</v>
      </c>
      <c r="AEU5" s="1">
        <v>0</v>
      </c>
      <c r="AEV5" s="1">
        <v>0</v>
      </c>
      <c r="AEW5" s="1">
        <v>0</v>
      </c>
      <c r="AEX5" s="1">
        <v>0</v>
      </c>
      <c r="AEY5" s="1">
        <v>0</v>
      </c>
      <c r="AEZ5" s="1">
        <v>0</v>
      </c>
      <c r="AFA5" s="1">
        <v>0</v>
      </c>
      <c r="AFB5" s="1">
        <v>0</v>
      </c>
      <c r="AFC5" s="1">
        <v>0</v>
      </c>
      <c r="AFD5" s="1">
        <v>0</v>
      </c>
      <c r="AFE5" s="1">
        <v>0</v>
      </c>
      <c r="AFF5" s="1">
        <v>0</v>
      </c>
      <c r="AFG5" s="1">
        <v>0</v>
      </c>
      <c r="AFH5" s="1">
        <v>0</v>
      </c>
      <c r="AFI5" s="1">
        <v>0</v>
      </c>
      <c r="AFJ5" s="1">
        <v>0</v>
      </c>
      <c r="AFK5" s="1">
        <v>0</v>
      </c>
      <c r="AFL5" s="1">
        <v>0</v>
      </c>
      <c r="AFM5" s="1">
        <v>0</v>
      </c>
      <c r="AFN5" s="1">
        <v>0</v>
      </c>
      <c r="AFO5" s="1">
        <v>0</v>
      </c>
      <c r="AFP5" s="1">
        <v>0</v>
      </c>
      <c r="AFQ5" s="1">
        <v>0</v>
      </c>
      <c r="AFR5" s="1">
        <v>0</v>
      </c>
      <c r="AFS5" s="1">
        <v>0</v>
      </c>
      <c r="AFT5" s="1">
        <v>0.1321871117840033</v>
      </c>
      <c r="AFU5" s="1">
        <v>0</v>
      </c>
      <c r="AFV5" s="1">
        <v>0</v>
      </c>
      <c r="AFW5" s="1">
        <v>0</v>
      </c>
      <c r="AFX5" s="1">
        <v>0</v>
      </c>
      <c r="AFY5" s="1">
        <v>0</v>
      </c>
      <c r="AFZ5" s="1">
        <v>0</v>
      </c>
      <c r="AGA5" s="1">
        <v>0</v>
      </c>
      <c r="AGB5" s="1">
        <v>0</v>
      </c>
      <c r="AGC5" s="1">
        <v>0.18590239398904759</v>
      </c>
      <c r="AGD5" s="1">
        <v>0</v>
      </c>
      <c r="AGE5" s="1">
        <v>0</v>
      </c>
      <c r="AGF5" s="1">
        <v>0</v>
      </c>
      <c r="AGG5" s="1">
        <v>0</v>
      </c>
      <c r="AGH5" s="1">
        <v>0</v>
      </c>
      <c r="AGI5" s="1">
        <v>0.23756594315105131</v>
      </c>
      <c r="AGJ5" s="1">
        <v>0</v>
      </c>
      <c r="AGK5" s="1">
        <v>0</v>
      </c>
      <c r="AGL5" s="1">
        <v>0</v>
      </c>
      <c r="AGM5" s="1">
        <v>0</v>
      </c>
      <c r="AGN5" s="1">
        <v>0.34858233424222002</v>
      </c>
      <c r="AGO5" s="1">
        <v>0</v>
      </c>
      <c r="AGP5" s="1">
        <v>0</v>
      </c>
      <c r="AGQ5" s="1">
        <v>0</v>
      </c>
      <c r="AGR5" s="1">
        <v>0</v>
      </c>
      <c r="AGS5" s="1">
        <v>0</v>
      </c>
      <c r="AGT5" s="1">
        <v>0</v>
      </c>
      <c r="AGU5" s="1">
        <v>0</v>
      </c>
      <c r="AGV5" s="1">
        <v>0</v>
      </c>
      <c r="AGW5" s="1">
        <v>0</v>
      </c>
      <c r="AGX5" s="1">
        <v>0</v>
      </c>
      <c r="AGY5" s="1">
        <v>0</v>
      </c>
      <c r="AGZ5" s="1">
        <v>0</v>
      </c>
      <c r="AHA5" s="1">
        <v>0</v>
      </c>
      <c r="AHB5" s="1">
        <v>0</v>
      </c>
      <c r="AHC5" s="1">
        <v>0</v>
      </c>
      <c r="AHD5" s="1">
        <v>0</v>
      </c>
      <c r="AHE5" s="1">
        <v>0</v>
      </c>
      <c r="AHF5" s="1">
        <v>0</v>
      </c>
      <c r="AHG5" s="1">
        <v>0</v>
      </c>
      <c r="AHH5" s="1">
        <v>0</v>
      </c>
      <c r="AHI5" s="1">
        <v>0</v>
      </c>
      <c r="AHJ5" s="1">
        <v>0</v>
      </c>
      <c r="AHK5" s="1">
        <v>0</v>
      </c>
      <c r="AHL5" s="1">
        <v>0</v>
      </c>
      <c r="AHM5" s="1">
        <v>0</v>
      </c>
      <c r="AHN5" s="1">
        <v>0</v>
      </c>
      <c r="AHO5" s="1">
        <v>0</v>
      </c>
      <c r="AHP5" s="1">
        <v>0</v>
      </c>
      <c r="AHQ5" s="1">
        <v>0</v>
      </c>
      <c r="AHR5" s="1">
        <v>0</v>
      </c>
      <c r="AHS5" s="1">
        <v>0</v>
      </c>
      <c r="AHT5" s="1">
        <v>0</v>
      </c>
      <c r="AHU5" s="1">
        <v>0</v>
      </c>
      <c r="AHV5" s="1">
        <v>0</v>
      </c>
      <c r="AHW5" s="1">
        <v>0</v>
      </c>
      <c r="AHX5" s="1">
        <v>0.25081942347756458</v>
      </c>
      <c r="AHY5" s="1">
        <v>0</v>
      </c>
      <c r="AHZ5" s="1">
        <v>0</v>
      </c>
      <c r="AIA5" s="1">
        <v>0</v>
      </c>
      <c r="AIB5" s="1">
        <v>0</v>
      </c>
      <c r="AIC5" s="1">
        <v>0</v>
      </c>
      <c r="AID5" s="1">
        <v>0</v>
      </c>
      <c r="AIE5" s="1">
        <v>0</v>
      </c>
      <c r="AIF5" s="1">
        <v>0</v>
      </c>
      <c r="AIG5" s="1">
        <v>0</v>
      </c>
      <c r="AIH5" s="1">
        <v>0</v>
      </c>
      <c r="AII5" s="1">
        <v>0</v>
      </c>
      <c r="AIJ5" s="1">
        <v>0</v>
      </c>
      <c r="AIK5" s="1">
        <v>0</v>
      </c>
      <c r="AIL5" s="1">
        <v>0</v>
      </c>
      <c r="AIM5" s="1">
        <v>0</v>
      </c>
      <c r="AIN5" s="1">
        <v>0</v>
      </c>
      <c r="AIO5" s="1">
        <v>0</v>
      </c>
      <c r="AIP5" s="1">
        <v>0</v>
      </c>
      <c r="AIQ5" s="1">
        <v>0</v>
      </c>
      <c r="AIR5" s="1">
        <v>0</v>
      </c>
      <c r="AIS5" s="1">
        <v>0</v>
      </c>
      <c r="AIT5" s="1">
        <v>0</v>
      </c>
      <c r="AIU5" s="1">
        <v>0</v>
      </c>
      <c r="AIV5" s="1">
        <v>0</v>
      </c>
      <c r="AIW5" s="1">
        <v>0</v>
      </c>
      <c r="AIX5" s="1">
        <v>0</v>
      </c>
      <c r="AIY5" s="1">
        <v>0</v>
      </c>
      <c r="AIZ5" s="1">
        <v>0</v>
      </c>
      <c r="AJA5" s="1">
        <v>0</v>
      </c>
      <c r="AJB5" s="1">
        <v>0</v>
      </c>
      <c r="AJC5" s="1">
        <v>0</v>
      </c>
      <c r="AJD5" s="1">
        <v>0</v>
      </c>
      <c r="AJE5" s="1">
        <v>0</v>
      </c>
      <c r="AJF5" s="1">
        <v>0</v>
      </c>
      <c r="AJG5" s="1">
        <v>0</v>
      </c>
      <c r="AJH5" s="1">
        <v>0</v>
      </c>
      <c r="AJI5" s="1">
        <v>0</v>
      </c>
      <c r="AJJ5" s="1">
        <v>0</v>
      </c>
      <c r="AJK5" s="1">
        <v>0</v>
      </c>
      <c r="AJL5" s="1">
        <v>0</v>
      </c>
      <c r="AJM5" s="1">
        <v>0</v>
      </c>
      <c r="AJN5" s="1">
        <v>0</v>
      </c>
      <c r="AJO5" s="1">
        <v>0</v>
      </c>
      <c r="AJP5" s="1">
        <v>0.2645465283649463</v>
      </c>
      <c r="AJQ5" s="1">
        <v>0.19328228189282759</v>
      </c>
      <c r="AJR5" s="1">
        <v>0</v>
      </c>
      <c r="AJS5" s="1">
        <v>0</v>
      </c>
      <c r="AJT5" s="1">
        <v>0</v>
      </c>
      <c r="AJU5" s="1">
        <v>0</v>
      </c>
      <c r="AJV5" s="1">
        <v>0</v>
      </c>
      <c r="AJW5" s="1">
        <v>0</v>
      </c>
      <c r="AJX5" s="1">
        <v>0</v>
      </c>
      <c r="AJY5" s="1">
        <v>0</v>
      </c>
      <c r="AJZ5" s="1">
        <v>0</v>
      </c>
      <c r="AKA5" s="1">
        <v>0</v>
      </c>
      <c r="AKB5" s="1">
        <v>0</v>
      </c>
      <c r="AKC5" s="1">
        <v>0</v>
      </c>
      <c r="AKD5" s="1">
        <v>0</v>
      </c>
      <c r="AKE5" s="1">
        <v>0</v>
      </c>
      <c r="AKF5" s="1">
        <v>0</v>
      </c>
      <c r="AKG5" s="1">
        <v>0</v>
      </c>
      <c r="AKH5" s="1">
        <v>0</v>
      </c>
      <c r="AKI5" s="1">
        <v>0</v>
      </c>
      <c r="AKJ5" s="1">
        <v>0</v>
      </c>
      <c r="AKK5" s="1">
        <v>0</v>
      </c>
      <c r="AKL5" s="1">
        <v>0</v>
      </c>
      <c r="AKM5" s="1">
        <v>0</v>
      </c>
      <c r="AKN5" s="1">
        <v>0</v>
      </c>
      <c r="AKO5" s="1">
        <v>0</v>
      </c>
      <c r="AKP5" s="1">
        <v>0</v>
      </c>
      <c r="AKQ5" s="1">
        <v>0</v>
      </c>
      <c r="AKR5" s="1">
        <v>0</v>
      </c>
      <c r="AKS5" s="1">
        <v>0</v>
      </c>
      <c r="AKT5" s="1">
        <v>0</v>
      </c>
      <c r="AKU5" s="1">
        <v>0</v>
      </c>
      <c r="AKV5" s="1">
        <v>0</v>
      </c>
      <c r="AKW5" s="1">
        <v>0</v>
      </c>
      <c r="AKX5" s="1">
        <v>0</v>
      </c>
      <c r="AKY5" s="1">
        <v>0</v>
      </c>
      <c r="AKZ5" s="1">
        <v>0</v>
      </c>
      <c r="ALA5" s="1">
        <v>0</v>
      </c>
      <c r="ALB5" s="1">
        <v>0</v>
      </c>
      <c r="ALC5" s="1">
        <v>0</v>
      </c>
      <c r="ALD5" s="1">
        <v>0</v>
      </c>
      <c r="ALE5" s="1">
        <v>0</v>
      </c>
      <c r="ALF5" s="1">
        <v>0</v>
      </c>
      <c r="ALG5" s="1">
        <v>0</v>
      </c>
      <c r="ALH5" s="1">
        <v>0</v>
      </c>
      <c r="ALI5" s="1">
        <v>0</v>
      </c>
      <c r="ALJ5" s="1">
        <v>0.15003126633771499</v>
      </c>
      <c r="ALK5" s="1">
        <v>0</v>
      </c>
      <c r="ALL5" s="1">
        <v>0</v>
      </c>
      <c r="ALM5" s="1">
        <v>0</v>
      </c>
      <c r="ALN5" s="1">
        <v>-1</v>
      </c>
    </row>
    <row r="6" spans="1:1002" x14ac:dyDescent="0.3">
      <c r="A6" s="2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7.7677023360272782E-2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7.332120944274631E-2</v>
      </c>
      <c r="BS6" s="1">
        <v>0</v>
      </c>
      <c r="BT6" s="1">
        <v>0.13788618804192171</v>
      </c>
      <c r="BU6" s="1">
        <v>0.1489229667552622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7.4406329508117611E-2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0.13892693706612191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6.0596642688351819E-2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0.1247344194386998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0.11417543848017191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0.1185414844710006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6.7517569019283838E-2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0.1489229667552622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0.1154931098794738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0.14381178753521309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0.11829678200777689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0.1772221574675828</v>
      </c>
      <c r="ML6" s="1">
        <v>0</v>
      </c>
      <c r="MM6" s="1">
        <v>0</v>
      </c>
      <c r="MN6" s="1">
        <v>7.4995512433122288E-2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9.3999572886966629E-2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0.12000604531328481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S6" s="1">
        <v>0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0.13673030398543329</v>
      </c>
      <c r="OZ6" s="1">
        <v>0</v>
      </c>
      <c r="PA6" s="1">
        <v>0</v>
      </c>
      <c r="PB6" s="1">
        <v>0</v>
      </c>
      <c r="PC6" s="1">
        <v>0</v>
      </c>
      <c r="PD6" s="1">
        <v>0</v>
      </c>
      <c r="PE6" s="1">
        <v>0</v>
      </c>
      <c r="PF6" s="1">
        <v>0</v>
      </c>
      <c r="PG6" s="1">
        <v>0</v>
      </c>
      <c r="PH6" s="1">
        <v>0</v>
      </c>
      <c r="PI6" s="1">
        <v>0</v>
      </c>
      <c r="PJ6" s="1">
        <v>0</v>
      </c>
      <c r="PK6" s="1">
        <v>0</v>
      </c>
      <c r="PL6" s="1">
        <v>0</v>
      </c>
      <c r="PM6" s="1">
        <v>0</v>
      </c>
      <c r="PN6" s="1">
        <v>0</v>
      </c>
      <c r="PO6" s="1">
        <v>0</v>
      </c>
      <c r="PP6" s="1">
        <v>0</v>
      </c>
      <c r="PQ6" s="1">
        <v>0</v>
      </c>
      <c r="PR6" s="1">
        <v>0</v>
      </c>
      <c r="PS6" s="1">
        <v>0</v>
      </c>
      <c r="PT6" s="1">
        <v>0</v>
      </c>
      <c r="PU6" s="1">
        <v>0</v>
      </c>
      <c r="PV6" s="1">
        <v>0</v>
      </c>
      <c r="PW6" s="1">
        <v>0</v>
      </c>
      <c r="PX6" s="1">
        <v>0</v>
      </c>
      <c r="PY6" s="1">
        <v>0</v>
      </c>
      <c r="PZ6" s="1">
        <v>0</v>
      </c>
      <c r="QA6" s="1">
        <v>0</v>
      </c>
      <c r="QB6" s="1">
        <v>0</v>
      </c>
      <c r="QC6" s="1">
        <v>0</v>
      </c>
      <c r="QD6" s="1">
        <v>4.8804603997126987E-2</v>
      </c>
      <c r="QE6" s="1">
        <v>0</v>
      </c>
      <c r="QF6" s="1">
        <v>0</v>
      </c>
      <c r="QG6" s="1">
        <v>0</v>
      </c>
      <c r="QH6" s="1">
        <v>0</v>
      </c>
      <c r="QI6" s="1">
        <v>0</v>
      </c>
      <c r="QJ6" s="1">
        <v>0</v>
      </c>
      <c r="QK6" s="1">
        <v>0.2040180905445918</v>
      </c>
      <c r="QL6" s="1">
        <v>0</v>
      </c>
      <c r="QM6" s="1">
        <v>0</v>
      </c>
      <c r="QN6" s="1">
        <v>0</v>
      </c>
      <c r="QO6" s="1">
        <v>0</v>
      </c>
      <c r="QP6" s="1">
        <v>0</v>
      </c>
      <c r="QQ6" s="1">
        <v>0</v>
      </c>
      <c r="QR6" s="1">
        <v>8.7049028972857045E-2</v>
      </c>
      <c r="QS6" s="1">
        <v>0</v>
      </c>
      <c r="QT6" s="1">
        <v>0</v>
      </c>
      <c r="QU6" s="1">
        <v>0</v>
      </c>
      <c r="QV6" s="1">
        <v>0</v>
      </c>
      <c r="QW6" s="1">
        <v>8.2943729270869682E-2</v>
      </c>
      <c r="QX6" s="1">
        <v>0</v>
      </c>
      <c r="QY6" s="1">
        <v>0</v>
      </c>
      <c r="QZ6" s="1">
        <v>0</v>
      </c>
      <c r="RA6" s="1">
        <v>0</v>
      </c>
      <c r="RB6" s="1">
        <v>0</v>
      </c>
      <c r="RC6" s="1">
        <v>0</v>
      </c>
      <c r="RD6" s="1">
        <v>0</v>
      </c>
      <c r="RE6" s="1">
        <v>0</v>
      </c>
      <c r="RF6" s="1">
        <v>0</v>
      </c>
      <c r="RG6" s="1">
        <v>0</v>
      </c>
      <c r="RH6" s="1">
        <v>0</v>
      </c>
      <c r="RI6" s="1">
        <v>0</v>
      </c>
      <c r="RJ6" s="1">
        <v>0</v>
      </c>
      <c r="RK6" s="1">
        <v>0</v>
      </c>
      <c r="RL6" s="1">
        <v>0</v>
      </c>
      <c r="RM6" s="1">
        <v>0</v>
      </c>
      <c r="RN6" s="1">
        <v>0</v>
      </c>
      <c r="RO6" s="1">
        <v>0</v>
      </c>
      <c r="RP6" s="1">
        <v>0</v>
      </c>
      <c r="RQ6" s="1">
        <v>0</v>
      </c>
      <c r="RR6" s="1">
        <v>0</v>
      </c>
      <c r="RS6" s="1">
        <v>0</v>
      </c>
      <c r="RT6" s="1">
        <v>0</v>
      </c>
      <c r="RU6" s="1">
        <v>0</v>
      </c>
      <c r="RV6" s="1">
        <v>0</v>
      </c>
      <c r="RW6" s="1">
        <v>0</v>
      </c>
      <c r="RX6" s="1">
        <v>0</v>
      </c>
      <c r="RY6" s="1">
        <v>0</v>
      </c>
      <c r="RZ6" s="1">
        <v>0</v>
      </c>
      <c r="SA6" s="1">
        <v>0</v>
      </c>
      <c r="SB6" s="1">
        <v>0</v>
      </c>
      <c r="SC6" s="1">
        <v>0</v>
      </c>
      <c r="SD6" s="1">
        <v>0</v>
      </c>
      <c r="SE6" s="1">
        <v>0</v>
      </c>
      <c r="SF6" s="1">
        <v>0</v>
      </c>
      <c r="SG6" s="1">
        <v>0</v>
      </c>
      <c r="SH6" s="1">
        <v>0</v>
      </c>
      <c r="SI6" s="1">
        <v>0</v>
      </c>
      <c r="SJ6" s="1">
        <v>0</v>
      </c>
      <c r="SK6" s="1">
        <v>0</v>
      </c>
      <c r="SL6" s="1">
        <v>0</v>
      </c>
      <c r="SM6" s="1">
        <v>0</v>
      </c>
      <c r="SN6" s="1">
        <v>0</v>
      </c>
      <c r="SO6" s="1">
        <v>0</v>
      </c>
      <c r="SP6" s="1">
        <v>0</v>
      </c>
      <c r="SQ6" s="1">
        <v>0</v>
      </c>
      <c r="SR6" s="1">
        <v>0</v>
      </c>
      <c r="SS6" s="1">
        <v>0</v>
      </c>
      <c r="ST6" s="1">
        <v>0.10295755849778759</v>
      </c>
      <c r="SU6" s="1">
        <v>0</v>
      </c>
      <c r="SV6" s="1">
        <v>0.13803074647643751</v>
      </c>
      <c r="SW6" s="1">
        <v>0</v>
      </c>
      <c r="SX6" s="1">
        <v>0</v>
      </c>
      <c r="SY6" s="1">
        <v>0</v>
      </c>
      <c r="SZ6" s="1">
        <v>0</v>
      </c>
      <c r="TA6" s="1">
        <v>0</v>
      </c>
      <c r="TB6" s="1">
        <v>0</v>
      </c>
      <c r="TC6" s="1">
        <v>0</v>
      </c>
      <c r="TD6" s="1">
        <v>0</v>
      </c>
      <c r="TE6" s="1">
        <v>0</v>
      </c>
      <c r="TF6" s="1">
        <v>0</v>
      </c>
      <c r="TG6" s="1">
        <v>0</v>
      </c>
      <c r="TH6" s="1">
        <v>0</v>
      </c>
      <c r="TI6" s="1">
        <v>0</v>
      </c>
      <c r="TJ6" s="1">
        <v>0</v>
      </c>
      <c r="TK6" s="1">
        <v>0</v>
      </c>
      <c r="TL6" s="1">
        <v>0</v>
      </c>
      <c r="TM6" s="1">
        <v>0</v>
      </c>
      <c r="TN6" s="1">
        <v>0</v>
      </c>
      <c r="TO6" s="1">
        <v>0</v>
      </c>
      <c r="TP6" s="1">
        <v>0</v>
      </c>
      <c r="TQ6" s="1">
        <v>0</v>
      </c>
      <c r="TR6" s="1">
        <v>0</v>
      </c>
      <c r="TS6" s="1">
        <v>0</v>
      </c>
      <c r="TT6" s="1">
        <v>0</v>
      </c>
      <c r="TU6" s="1">
        <v>0</v>
      </c>
      <c r="TV6" s="1">
        <v>0</v>
      </c>
      <c r="TW6" s="1">
        <v>0</v>
      </c>
      <c r="TX6" s="1">
        <v>0</v>
      </c>
      <c r="TY6" s="1">
        <v>0</v>
      </c>
      <c r="TZ6" s="1">
        <v>0</v>
      </c>
      <c r="UA6" s="1">
        <v>0</v>
      </c>
      <c r="UB6" s="1">
        <v>0</v>
      </c>
      <c r="UC6" s="1">
        <v>0</v>
      </c>
      <c r="UD6" s="1">
        <v>0</v>
      </c>
      <c r="UE6" s="1">
        <v>0</v>
      </c>
      <c r="UF6" s="1">
        <v>0</v>
      </c>
      <c r="UG6" s="1">
        <v>0</v>
      </c>
      <c r="UH6" s="1">
        <v>0</v>
      </c>
      <c r="UI6" s="1">
        <v>0.1588735447124425</v>
      </c>
      <c r="UJ6" s="1">
        <v>0</v>
      </c>
      <c r="UK6" s="1">
        <v>0</v>
      </c>
      <c r="UL6" s="1">
        <v>0</v>
      </c>
      <c r="UM6" s="1">
        <v>0</v>
      </c>
      <c r="UN6" s="1">
        <v>0</v>
      </c>
      <c r="UO6" s="1">
        <v>8.090891707395749E-2</v>
      </c>
      <c r="UP6" s="1">
        <v>0</v>
      </c>
      <c r="UQ6" s="1">
        <v>0</v>
      </c>
      <c r="UR6" s="1">
        <v>0</v>
      </c>
      <c r="US6" s="1">
        <v>0</v>
      </c>
      <c r="UT6" s="1">
        <v>0</v>
      </c>
      <c r="UU6" s="1">
        <v>0</v>
      </c>
      <c r="UV6" s="1">
        <v>0</v>
      </c>
      <c r="UW6" s="1">
        <v>0</v>
      </c>
      <c r="UX6" s="1">
        <v>0</v>
      </c>
      <c r="UY6" s="1">
        <v>0</v>
      </c>
      <c r="UZ6" s="1">
        <v>0</v>
      </c>
      <c r="VA6" s="1">
        <v>0</v>
      </c>
      <c r="VB6" s="1">
        <v>0</v>
      </c>
      <c r="VC6" s="1">
        <v>0</v>
      </c>
      <c r="VD6" s="1">
        <v>0</v>
      </c>
      <c r="VE6" s="1">
        <v>0</v>
      </c>
      <c r="VF6" s="1">
        <v>0</v>
      </c>
      <c r="VG6" s="1">
        <v>0</v>
      </c>
      <c r="VH6" s="1">
        <v>0</v>
      </c>
      <c r="VI6" s="1">
        <v>0</v>
      </c>
      <c r="VJ6" s="1">
        <v>0</v>
      </c>
      <c r="VK6" s="1">
        <v>0</v>
      </c>
      <c r="VL6" s="1">
        <v>0</v>
      </c>
      <c r="VM6" s="1">
        <v>0</v>
      </c>
      <c r="VN6" s="1">
        <v>0.10295755849778759</v>
      </c>
      <c r="VO6" s="1">
        <v>0</v>
      </c>
      <c r="VP6" s="1">
        <v>0</v>
      </c>
      <c r="VQ6" s="1">
        <v>0</v>
      </c>
      <c r="VR6" s="1">
        <v>0</v>
      </c>
      <c r="VS6" s="1">
        <v>0</v>
      </c>
      <c r="VT6" s="1">
        <v>4.5633501446072373E-2</v>
      </c>
      <c r="VU6" s="1">
        <v>0</v>
      </c>
      <c r="VV6" s="1">
        <v>0</v>
      </c>
      <c r="VW6" s="1">
        <v>0.15147476655691811</v>
      </c>
      <c r="VX6" s="1">
        <v>0</v>
      </c>
      <c r="VY6" s="1">
        <v>0.18064143564208629</v>
      </c>
      <c r="VZ6" s="1">
        <v>0</v>
      </c>
      <c r="WA6" s="1">
        <v>0</v>
      </c>
      <c r="WB6" s="1">
        <v>0</v>
      </c>
      <c r="WC6" s="1">
        <v>0</v>
      </c>
      <c r="WD6" s="1">
        <v>0</v>
      </c>
      <c r="WE6" s="1">
        <v>0</v>
      </c>
      <c r="WF6" s="1">
        <v>0</v>
      </c>
      <c r="WG6" s="1">
        <v>0</v>
      </c>
      <c r="WH6" s="1">
        <v>0</v>
      </c>
      <c r="WI6" s="1">
        <v>0</v>
      </c>
      <c r="WJ6" s="1">
        <v>0</v>
      </c>
      <c r="WK6" s="1">
        <v>0</v>
      </c>
      <c r="WL6" s="1">
        <v>0</v>
      </c>
      <c r="WM6" s="1">
        <v>0</v>
      </c>
      <c r="WN6" s="1">
        <v>0</v>
      </c>
      <c r="WO6" s="1">
        <v>0</v>
      </c>
      <c r="WP6" s="1">
        <v>0</v>
      </c>
      <c r="WQ6" s="1">
        <v>0</v>
      </c>
      <c r="WR6" s="1">
        <v>0</v>
      </c>
      <c r="WS6" s="1">
        <v>0</v>
      </c>
      <c r="WT6" s="1">
        <v>0</v>
      </c>
      <c r="WU6" s="1">
        <v>0</v>
      </c>
      <c r="WV6" s="1">
        <v>0</v>
      </c>
      <c r="WW6" s="1">
        <v>0</v>
      </c>
      <c r="WX6" s="1">
        <v>0</v>
      </c>
      <c r="WY6" s="1">
        <v>0</v>
      </c>
      <c r="WZ6" s="1">
        <v>0</v>
      </c>
      <c r="XA6" s="1">
        <v>0.32291703627389678</v>
      </c>
      <c r="XB6" s="1">
        <v>0</v>
      </c>
      <c r="XC6" s="1">
        <v>0</v>
      </c>
      <c r="XD6" s="1">
        <v>0</v>
      </c>
      <c r="XE6" s="1">
        <v>0</v>
      </c>
      <c r="XF6" s="1">
        <v>0</v>
      </c>
      <c r="XG6" s="1">
        <v>0</v>
      </c>
      <c r="XH6" s="1">
        <v>0</v>
      </c>
      <c r="XI6" s="1">
        <v>0</v>
      </c>
      <c r="XJ6" s="1">
        <v>0</v>
      </c>
      <c r="XK6" s="1">
        <v>0</v>
      </c>
      <c r="XL6" s="1">
        <v>0</v>
      </c>
      <c r="XM6" s="1">
        <v>0</v>
      </c>
      <c r="XN6" s="1">
        <v>0</v>
      </c>
      <c r="XO6" s="1">
        <v>0</v>
      </c>
      <c r="XP6" s="1">
        <v>0.15214462839564469</v>
      </c>
      <c r="XQ6" s="1">
        <v>0.15647560613013969</v>
      </c>
      <c r="XR6" s="1">
        <v>0</v>
      </c>
      <c r="XS6" s="1">
        <v>0</v>
      </c>
      <c r="XT6" s="1">
        <v>0</v>
      </c>
      <c r="XU6" s="1">
        <v>0</v>
      </c>
      <c r="XV6" s="1">
        <v>0</v>
      </c>
      <c r="XW6" s="1">
        <v>0</v>
      </c>
      <c r="XX6" s="1">
        <v>0</v>
      </c>
      <c r="XY6" s="1">
        <v>0</v>
      </c>
      <c r="XZ6" s="1">
        <v>0</v>
      </c>
      <c r="YA6" s="1">
        <v>0</v>
      </c>
      <c r="YB6" s="1">
        <v>0</v>
      </c>
      <c r="YC6" s="1">
        <v>0</v>
      </c>
      <c r="YD6" s="1">
        <v>0</v>
      </c>
      <c r="YE6" s="1">
        <v>0.12328628390495271</v>
      </c>
      <c r="YF6" s="1">
        <v>0</v>
      </c>
      <c r="YG6" s="1">
        <v>0</v>
      </c>
      <c r="YH6" s="1">
        <v>0</v>
      </c>
      <c r="YI6" s="1">
        <v>0</v>
      </c>
      <c r="YJ6" s="1">
        <v>0</v>
      </c>
      <c r="YK6" s="1">
        <v>0</v>
      </c>
      <c r="YL6" s="1">
        <v>0</v>
      </c>
      <c r="YM6" s="1">
        <v>0</v>
      </c>
      <c r="YN6" s="1">
        <v>0</v>
      </c>
      <c r="YO6" s="1">
        <v>0</v>
      </c>
      <c r="YP6" s="1">
        <v>0</v>
      </c>
      <c r="YQ6" s="1">
        <v>0</v>
      </c>
      <c r="YR6" s="1">
        <v>0</v>
      </c>
      <c r="YS6" s="1">
        <v>0</v>
      </c>
      <c r="YT6" s="1">
        <v>0</v>
      </c>
      <c r="YU6" s="1">
        <v>0</v>
      </c>
      <c r="YV6" s="1">
        <v>0</v>
      </c>
      <c r="YW6" s="1">
        <v>0</v>
      </c>
      <c r="YX6" s="1">
        <v>0</v>
      </c>
      <c r="YY6" s="1">
        <v>0</v>
      </c>
      <c r="YZ6" s="1">
        <v>0</v>
      </c>
      <c r="ZA6" s="1">
        <v>0</v>
      </c>
      <c r="ZB6" s="1">
        <v>0</v>
      </c>
      <c r="ZC6" s="1">
        <v>0</v>
      </c>
      <c r="ZD6" s="1">
        <v>0</v>
      </c>
      <c r="ZE6" s="1">
        <v>0</v>
      </c>
      <c r="ZF6" s="1">
        <v>0</v>
      </c>
      <c r="ZG6" s="1">
        <v>0</v>
      </c>
      <c r="ZH6" s="1">
        <v>0</v>
      </c>
      <c r="ZI6" s="1">
        <v>0</v>
      </c>
      <c r="ZJ6" s="1">
        <v>0</v>
      </c>
      <c r="ZK6" s="1">
        <v>0</v>
      </c>
      <c r="ZL6" s="1">
        <v>0</v>
      </c>
      <c r="ZM6" s="1">
        <v>0</v>
      </c>
      <c r="ZN6" s="1">
        <v>0</v>
      </c>
      <c r="ZO6" s="1">
        <v>0</v>
      </c>
      <c r="ZP6" s="1">
        <v>0</v>
      </c>
      <c r="ZQ6" s="1">
        <v>0.1443423113856124</v>
      </c>
      <c r="ZR6" s="1">
        <v>0</v>
      </c>
      <c r="ZS6" s="1">
        <v>0</v>
      </c>
      <c r="ZT6" s="1">
        <v>0</v>
      </c>
      <c r="ZU6" s="1">
        <v>0</v>
      </c>
      <c r="ZV6" s="1">
        <v>0</v>
      </c>
      <c r="ZW6" s="1">
        <v>0</v>
      </c>
      <c r="ZX6" s="1">
        <v>0</v>
      </c>
      <c r="ZY6" s="1">
        <v>0</v>
      </c>
      <c r="ZZ6" s="1">
        <v>0</v>
      </c>
      <c r="AAA6" s="1">
        <v>0</v>
      </c>
      <c r="AAB6" s="1">
        <v>0</v>
      </c>
      <c r="AAC6" s="1">
        <v>0</v>
      </c>
      <c r="AAD6" s="1">
        <v>0</v>
      </c>
      <c r="AAE6" s="1">
        <v>0</v>
      </c>
      <c r="AAF6" s="1">
        <v>0</v>
      </c>
      <c r="AAG6" s="1">
        <v>0</v>
      </c>
      <c r="AAH6" s="1">
        <v>0</v>
      </c>
      <c r="AAI6" s="1">
        <v>0</v>
      </c>
      <c r="AAJ6" s="1">
        <v>0</v>
      </c>
      <c r="AAK6" s="1">
        <v>0</v>
      </c>
      <c r="AAL6" s="1">
        <v>0</v>
      </c>
      <c r="AAM6" s="1">
        <v>0</v>
      </c>
      <c r="AAN6" s="1">
        <v>0</v>
      </c>
      <c r="AAO6" s="1">
        <v>0</v>
      </c>
      <c r="AAP6" s="1">
        <v>0</v>
      </c>
      <c r="AAQ6" s="1">
        <v>0</v>
      </c>
      <c r="AAR6" s="1">
        <v>0</v>
      </c>
      <c r="AAS6" s="1">
        <v>0</v>
      </c>
      <c r="AAT6" s="1">
        <v>0</v>
      </c>
      <c r="AAU6" s="1">
        <v>0</v>
      </c>
      <c r="AAV6" s="1">
        <v>0</v>
      </c>
      <c r="AAW6" s="1">
        <v>0</v>
      </c>
      <c r="AAX6" s="1">
        <v>0</v>
      </c>
      <c r="AAY6" s="1">
        <v>0</v>
      </c>
      <c r="AAZ6" s="1">
        <v>0</v>
      </c>
      <c r="ABA6" s="1">
        <v>0</v>
      </c>
      <c r="ABB6" s="1">
        <v>0</v>
      </c>
      <c r="ABC6" s="1">
        <v>0</v>
      </c>
      <c r="ABD6" s="1">
        <v>0</v>
      </c>
      <c r="ABE6" s="1">
        <v>0</v>
      </c>
      <c r="ABF6" s="1">
        <v>0</v>
      </c>
      <c r="ABG6" s="1">
        <v>0</v>
      </c>
      <c r="ABH6" s="1">
        <v>0</v>
      </c>
      <c r="ABI6" s="1">
        <v>0</v>
      </c>
      <c r="ABJ6" s="1">
        <v>0</v>
      </c>
      <c r="ABK6" s="1">
        <v>0</v>
      </c>
      <c r="ABL6" s="1">
        <v>0</v>
      </c>
      <c r="ABM6" s="1">
        <v>0</v>
      </c>
      <c r="ABN6" s="1">
        <v>0</v>
      </c>
      <c r="ABO6" s="1">
        <v>0</v>
      </c>
      <c r="ABP6" s="1">
        <v>0</v>
      </c>
      <c r="ABQ6" s="1">
        <v>0</v>
      </c>
      <c r="ABR6" s="1">
        <v>0</v>
      </c>
      <c r="ABS6" s="1">
        <v>0</v>
      </c>
      <c r="ABT6" s="1">
        <v>0</v>
      </c>
      <c r="ABU6" s="1">
        <v>0</v>
      </c>
      <c r="ABV6" s="1">
        <v>0</v>
      </c>
      <c r="ABW6" s="1">
        <v>0</v>
      </c>
      <c r="ABX6" s="1">
        <v>0</v>
      </c>
      <c r="ABY6" s="1">
        <v>0</v>
      </c>
      <c r="ABZ6" s="1">
        <v>0</v>
      </c>
      <c r="ACA6" s="1">
        <v>0</v>
      </c>
      <c r="ACB6" s="1">
        <v>0.14177071042883069</v>
      </c>
      <c r="ACC6" s="1">
        <v>0</v>
      </c>
      <c r="ACD6" s="1">
        <v>0</v>
      </c>
      <c r="ACE6" s="1">
        <v>0</v>
      </c>
      <c r="ACF6" s="1">
        <v>0</v>
      </c>
      <c r="ACG6" s="1">
        <v>0</v>
      </c>
      <c r="ACH6" s="1">
        <v>0</v>
      </c>
      <c r="ACI6" s="1">
        <v>0</v>
      </c>
      <c r="ACJ6" s="1">
        <v>0</v>
      </c>
      <c r="ACK6" s="1">
        <v>0</v>
      </c>
      <c r="ACL6" s="1">
        <v>0</v>
      </c>
      <c r="ACM6" s="1">
        <v>0</v>
      </c>
      <c r="ACN6" s="1">
        <v>0</v>
      </c>
      <c r="ACO6" s="1">
        <v>0</v>
      </c>
      <c r="ACP6" s="1">
        <v>0</v>
      </c>
      <c r="ACQ6" s="1">
        <v>0</v>
      </c>
      <c r="ACR6" s="1">
        <v>0</v>
      </c>
      <c r="ACS6" s="1">
        <v>0</v>
      </c>
      <c r="ACT6" s="1">
        <v>0</v>
      </c>
      <c r="ACU6" s="1">
        <v>0</v>
      </c>
      <c r="ACV6" s="1">
        <v>0</v>
      </c>
      <c r="ACW6" s="1">
        <v>0</v>
      </c>
      <c r="ACX6" s="1">
        <v>0</v>
      </c>
      <c r="ACY6" s="1">
        <v>0</v>
      </c>
      <c r="ACZ6" s="1">
        <v>0</v>
      </c>
      <c r="ADA6" s="1">
        <v>0</v>
      </c>
      <c r="ADB6" s="1">
        <v>0</v>
      </c>
      <c r="ADC6" s="1">
        <v>0</v>
      </c>
      <c r="ADD6" s="1">
        <v>0</v>
      </c>
      <c r="ADE6" s="1">
        <v>0</v>
      </c>
      <c r="ADF6" s="1">
        <v>0</v>
      </c>
      <c r="ADG6" s="1">
        <v>0</v>
      </c>
      <c r="ADH6" s="1">
        <v>0</v>
      </c>
      <c r="ADI6" s="1">
        <v>0</v>
      </c>
      <c r="ADJ6" s="1">
        <v>0.1605742781811193</v>
      </c>
      <c r="ADK6" s="1">
        <v>0.14488146201719029</v>
      </c>
      <c r="ADL6" s="1">
        <v>0.14920312569811359</v>
      </c>
      <c r="ADM6" s="1">
        <v>0</v>
      </c>
      <c r="ADN6" s="1">
        <v>0</v>
      </c>
      <c r="ADO6" s="1">
        <v>0</v>
      </c>
      <c r="ADP6" s="1">
        <v>0</v>
      </c>
      <c r="ADQ6" s="1">
        <v>0</v>
      </c>
      <c r="ADR6" s="1">
        <v>0</v>
      </c>
      <c r="ADS6" s="1">
        <v>0</v>
      </c>
      <c r="ADT6" s="1">
        <v>0</v>
      </c>
      <c r="ADU6" s="1">
        <v>0</v>
      </c>
      <c r="ADV6" s="1">
        <v>0</v>
      </c>
      <c r="ADW6" s="1">
        <v>0</v>
      </c>
      <c r="ADX6" s="1">
        <v>0</v>
      </c>
      <c r="ADY6" s="1">
        <v>0</v>
      </c>
      <c r="ADZ6" s="1">
        <v>0</v>
      </c>
      <c r="AEA6" s="1">
        <v>0</v>
      </c>
      <c r="AEB6" s="1">
        <v>0</v>
      </c>
      <c r="AEC6" s="1">
        <v>0</v>
      </c>
      <c r="AED6" s="1">
        <v>0</v>
      </c>
      <c r="AEE6" s="1">
        <v>0</v>
      </c>
      <c r="AEF6" s="1">
        <v>0</v>
      </c>
      <c r="AEG6" s="1">
        <v>0</v>
      </c>
      <c r="AEH6" s="1">
        <v>0</v>
      </c>
      <c r="AEI6" s="1">
        <v>0</v>
      </c>
      <c r="AEJ6" s="1">
        <v>0</v>
      </c>
      <c r="AEK6" s="1">
        <v>0</v>
      </c>
      <c r="AEL6" s="1">
        <v>0</v>
      </c>
      <c r="AEM6" s="1">
        <v>0</v>
      </c>
      <c r="AEN6" s="1">
        <v>0</v>
      </c>
      <c r="AEO6" s="1">
        <v>0</v>
      </c>
      <c r="AEP6" s="1">
        <v>0</v>
      </c>
      <c r="AEQ6" s="1">
        <v>0</v>
      </c>
      <c r="AER6" s="1">
        <v>0</v>
      </c>
      <c r="AES6" s="1">
        <v>0</v>
      </c>
      <c r="AET6" s="1">
        <v>0</v>
      </c>
      <c r="AEU6" s="1">
        <v>0</v>
      </c>
      <c r="AEV6" s="1">
        <v>0</v>
      </c>
      <c r="AEW6" s="1">
        <v>0</v>
      </c>
      <c r="AEX6" s="1">
        <v>0</v>
      </c>
      <c r="AEY6" s="1">
        <v>0</v>
      </c>
      <c r="AEZ6" s="1">
        <v>0</v>
      </c>
      <c r="AFA6" s="1">
        <v>0</v>
      </c>
      <c r="AFB6" s="1">
        <v>0</v>
      </c>
      <c r="AFC6" s="1">
        <v>0.1133252115551313</v>
      </c>
      <c r="AFD6" s="1">
        <v>0</v>
      </c>
      <c r="AFE6" s="1">
        <v>0</v>
      </c>
      <c r="AFF6" s="1">
        <v>0</v>
      </c>
      <c r="AFG6" s="1">
        <v>0</v>
      </c>
      <c r="AFH6" s="1">
        <v>0.18185624884117979</v>
      </c>
      <c r="AFI6" s="1">
        <v>0</v>
      </c>
      <c r="AFJ6" s="1">
        <v>0</v>
      </c>
      <c r="AFK6" s="1">
        <v>0</v>
      </c>
      <c r="AFL6" s="1">
        <v>0</v>
      </c>
      <c r="AFM6" s="1">
        <v>0</v>
      </c>
      <c r="AFN6" s="1">
        <v>0</v>
      </c>
      <c r="AFO6" s="1">
        <v>0</v>
      </c>
      <c r="AFP6" s="1">
        <v>0</v>
      </c>
      <c r="AFQ6" s="1">
        <v>0</v>
      </c>
      <c r="AFR6" s="1">
        <v>0</v>
      </c>
      <c r="AFS6" s="1">
        <v>0</v>
      </c>
      <c r="AFT6" s="1">
        <v>0</v>
      </c>
      <c r="AFU6" s="1">
        <v>4.030894328449891E-2</v>
      </c>
      <c r="AFV6" s="1">
        <v>0</v>
      </c>
      <c r="AFW6" s="1">
        <v>0</v>
      </c>
      <c r="AFX6" s="1">
        <v>0</v>
      </c>
      <c r="AFY6" s="1">
        <v>0.18894313419182771</v>
      </c>
      <c r="AFZ6" s="1">
        <v>0</v>
      </c>
      <c r="AGA6" s="1">
        <v>0</v>
      </c>
      <c r="AGB6" s="1">
        <v>0</v>
      </c>
      <c r="AGC6" s="1">
        <v>0</v>
      </c>
      <c r="AGD6" s="1">
        <v>0</v>
      </c>
      <c r="AGE6" s="1">
        <v>0.1003035797762153</v>
      </c>
      <c r="AGF6" s="1">
        <v>0</v>
      </c>
      <c r="AGG6" s="1">
        <v>0</v>
      </c>
      <c r="AGH6" s="1">
        <v>0</v>
      </c>
      <c r="AGI6" s="1">
        <v>0</v>
      </c>
      <c r="AGJ6" s="1">
        <v>0.15971300811417061</v>
      </c>
      <c r="AGK6" s="1">
        <v>5.8968720663471232E-2</v>
      </c>
      <c r="AGL6" s="1">
        <v>0</v>
      </c>
      <c r="AGM6" s="1">
        <v>0</v>
      </c>
      <c r="AGN6" s="1">
        <v>0</v>
      </c>
      <c r="AGO6" s="1">
        <v>0</v>
      </c>
      <c r="AGP6" s="1">
        <v>0</v>
      </c>
      <c r="AGQ6" s="1">
        <v>0</v>
      </c>
      <c r="AGR6" s="1">
        <v>0</v>
      </c>
      <c r="AGS6" s="1">
        <v>0</v>
      </c>
      <c r="AGT6" s="1">
        <v>0</v>
      </c>
      <c r="AGU6" s="1">
        <v>0.21457308851920359</v>
      </c>
      <c r="AGV6" s="1">
        <v>0</v>
      </c>
      <c r="AGW6" s="1">
        <v>0</v>
      </c>
      <c r="AGX6" s="1">
        <v>0</v>
      </c>
      <c r="AGY6" s="1">
        <v>0</v>
      </c>
      <c r="AGZ6" s="1">
        <v>0</v>
      </c>
      <c r="AHA6" s="1">
        <v>0</v>
      </c>
      <c r="AHB6" s="1">
        <v>0</v>
      </c>
      <c r="AHC6" s="1">
        <v>0</v>
      </c>
      <c r="AHD6" s="1">
        <v>0</v>
      </c>
      <c r="AHE6" s="1">
        <v>0</v>
      </c>
      <c r="AHF6" s="1">
        <v>0</v>
      </c>
      <c r="AHG6" s="1">
        <v>0</v>
      </c>
      <c r="AHH6" s="1">
        <v>0</v>
      </c>
      <c r="AHI6" s="1">
        <v>0</v>
      </c>
      <c r="AHJ6" s="1">
        <v>0</v>
      </c>
      <c r="AHK6" s="1">
        <v>0</v>
      </c>
      <c r="AHL6" s="1">
        <v>0</v>
      </c>
      <c r="AHM6" s="1">
        <v>0</v>
      </c>
      <c r="AHN6" s="1">
        <v>0</v>
      </c>
      <c r="AHO6" s="1">
        <v>0</v>
      </c>
      <c r="AHP6" s="1">
        <v>0</v>
      </c>
      <c r="AHQ6" s="1">
        <v>0</v>
      </c>
      <c r="AHR6" s="1">
        <v>0</v>
      </c>
      <c r="AHS6" s="1">
        <v>0</v>
      </c>
      <c r="AHT6" s="1">
        <v>0</v>
      </c>
      <c r="AHU6" s="1">
        <v>0.14381178753521309</v>
      </c>
      <c r="AHV6" s="1">
        <v>0</v>
      </c>
      <c r="AHW6" s="1">
        <v>0</v>
      </c>
      <c r="AHX6" s="1">
        <v>0</v>
      </c>
      <c r="AHY6" s="1">
        <v>0</v>
      </c>
      <c r="AHZ6" s="1">
        <v>0</v>
      </c>
      <c r="AIA6" s="1">
        <v>0</v>
      </c>
      <c r="AIB6" s="1">
        <v>0</v>
      </c>
      <c r="AIC6" s="1">
        <v>0</v>
      </c>
      <c r="AID6" s="1">
        <v>0</v>
      </c>
      <c r="AIE6" s="1">
        <v>0</v>
      </c>
      <c r="AIF6" s="1">
        <v>0</v>
      </c>
      <c r="AIG6" s="1">
        <v>0</v>
      </c>
      <c r="AIH6" s="1">
        <v>0</v>
      </c>
      <c r="AII6" s="1">
        <v>0.1103179826487198</v>
      </c>
      <c r="AIJ6" s="1">
        <v>0</v>
      </c>
      <c r="AIK6" s="1">
        <v>0</v>
      </c>
      <c r="AIL6" s="1">
        <v>0</v>
      </c>
      <c r="AIM6" s="1">
        <v>0</v>
      </c>
      <c r="AIN6" s="1">
        <v>0</v>
      </c>
      <c r="AIO6" s="1">
        <v>0</v>
      </c>
      <c r="AIP6" s="1">
        <v>0</v>
      </c>
      <c r="AIQ6" s="1">
        <v>0</v>
      </c>
      <c r="AIR6" s="1">
        <v>0</v>
      </c>
      <c r="AIS6" s="1">
        <v>0</v>
      </c>
      <c r="AIT6" s="1">
        <v>0</v>
      </c>
      <c r="AIU6" s="1">
        <v>0</v>
      </c>
      <c r="AIV6" s="1">
        <v>0</v>
      </c>
      <c r="AIW6" s="1">
        <v>0</v>
      </c>
      <c r="AIX6" s="1">
        <v>0</v>
      </c>
      <c r="AIY6" s="1">
        <v>0</v>
      </c>
      <c r="AIZ6" s="1">
        <v>0.14328961873922949</v>
      </c>
      <c r="AJA6" s="1">
        <v>0</v>
      </c>
      <c r="AJB6" s="1">
        <v>0</v>
      </c>
      <c r="AJC6" s="1">
        <v>0</v>
      </c>
      <c r="AJD6" s="1">
        <v>0</v>
      </c>
      <c r="AJE6" s="1">
        <v>0</v>
      </c>
      <c r="AJF6" s="1">
        <v>0</v>
      </c>
      <c r="AJG6" s="1">
        <v>0</v>
      </c>
      <c r="AJH6" s="1">
        <v>0</v>
      </c>
      <c r="AJI6" s="1">
        <v>0</v>
      </c>
      <c r="AJJ6" s="1">
        <v>0</v>
      </c>
      <c r="AJK6" s="1">
        <v>8.00516957319998E-2</v>
      </c>
      <c r="AJL6" s="1">
        <v>0.102500212856904</v>
      </c>
      <c r="AJM6" s="1">
        <v>0</v>
      </c>
      <c r="AJN6" s="1">
        <v>0</v>
      </c>
      <c r="AJO6" s="1">
        <v>0</v>
      </c>
      <c r="AJP6" s="1">
        <v>0</v>
      </c>
      <c r="AJQ6" s="1">
        <v>7.40192780320236E-2</v>
      </c>
      <c r="AJR6" s="1">
        <v>0</v>
      </c>
      <c r="AJS6" s="1">
        <v>0</v>
      </c>
      <c r="AJT6" s="1">
        <v>0</v>
      </c>
      <c r="AJU6" s="1">
        <v>0</v>
      </c>
      <c r="AJV6" s="1">
        <v>0</v>
      </c>
      <c r="AJW6" s="1">
        <v>0</v>
      </c>
      <c r="AJX6" s="1">
        <v>0</v>
      </c>
      <c r="AJY6" s="1">
        <v>0</v>
      </c>
      <c r="AJZ6" s="1">
        <v>0</v>
      </c>
      <c r="AKA6" s="1">
        <v>0</v>
      </c>
      <c r="AKB6" s="1">
        <v>0</v>
      </c>
      <c r="AKC6" s="1">
        <v>0</v>
      </c>
      <c r="AKD6" s="1">
        <v>0</v>
      </c>
      <c r="AKE6" s="1">
        <v>0</v>
      </c>
      <c r="AKF6" s="1">
        <v>0</v>
      </c>
      <c r="AKG6" s="1">
        <v>6.5572617593536914E-2</v>
      </c>
      <c r="AKH6" s="1">
        <v>0</v>
      </c>
      <c r="AKI6" s="1">
        <v>0</v>
      </c>
      <c r="AKJ6" s="1">
        <v>0</v>
      </c>
      <c r="AKK6" s="1">
        <v>0</v>
      </c>
      <c r="AKL6" s="1">
        <v>0</v>
      </c>
      <c r="AKM6" s="1">
        <v>0</v>
      </c>
      <c r="AKN6" s="1">
        <v>0</v>
      </c>
      <c r="AKO6" s="1">
        <v>0</v>
      </c>
      <c r="AKP6" s="1">
        <v>0</v>
      </c>
      <c r="AKQ6" s="1">
        <v>0</v>
      </c>
      <c r="AKR6" s="1">
        <v>0</v>
      </c>
      <c r="AKS6" s="1">
        <v>0</v>
      </c>
      <c r="AKT6" s="1">
        <v>0</v>
      </c>
      <c r="AKU6" s="1">
        <v>7.4732359994105643E-2</v>
      </c>
      <c r="AKV6" s="1">
        <v>0</v>
      </c>
      <c r="AKW6" s="1">
        <v>0</v>
      </c>
      <c r="AKX6" s="1">
        <v>0</v>
      </c>
      <c r="AKY6" s="1">
        <v>0</v>
      </c>
      <c r="AKZ6" s="1">
        <v>0</v>
      </c>
      <c r="ALA6" s="1">
        <v>0</v>
      </c>
      <c r="ALB6" s="1">
        <v>0</v>
      </c>
      <c r="ALC6" s="1">
        <v>0</v>
      </c>
      <c r="ALD6" s="1">
        <v>0</v>
      </c>
      <c r="ALE6" s="1">
        <v>0</v>
      </c>
      <c r="ALF6" s="1">
        <v>0</v>
      </c>
      <c r="ALG6" s="1">
        <v>0</v>
      </c>
      <c r="ALH6" s="1">
        <v>0</v>
      </c>
      <c r="ALI6" s="1">
        <v>0</v>
      </c>
      <c r="ALJ6" s="1">
        <v>5.7455892530830097E-2</v>
      </c>
      <c r="ALK6" s="1">
        <v>0</v>
      </c>
      <c r="ALL6" s="1">
        <v>0</v>
      </c>
      <c r="ALM6" s="1">
        <v>0</v>
      </c>
      <c r="ALN6" s="1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F6"/>
  <sheetViews>
    <sheetView workbookViewId="0"/>
  </sheetViews>
  <sheetFormatPr defaultRowHeight="14.4" x14ac:dyDescent="0.3"/>
  <cols>
    <col min="1" max="1" width="7.21875" customWidth="1"/>
    <col min="2" max="2" width="26.44140625" customWidth="1"/>
    <col min="3" max="3" width="24" customWidth="1"/>
    <col min="4" max="6" width="25.21875" customWidth="1"/>
    <col min="7" max="7" width="26.44140625" customWidth="1"/>
    <col min="8" max="8" width="25.21875" customWidth="1"/>
    <col min="9" max="9" width="27.5546875" customWidth="1"/>
    <col min="10" max="10" width="25.21875" customWidth="1"/>
    <col min="11" max="11" width="28.77734375" customWidth="1"/>
    <col min="12" max="12" width="24" customWidth="1"/>
    <col min="13" max="13" width="28.77734375" customWidth="1"/>
    <col min="14" max="14" width="33.5546875" customWidth="1"/>
    <col min="15" max="15" width="25.21875" customWidth="1"/>
    <col min="16" max="16" width="27.5546875" customWidth="1"/>
    <col min="17" max="19" width="25.21875" customWidth="1"/>
    <col min="20" max="20" width="26.44140625" customWidth="1"/>
    <col min="21" max="23" width="25.21875" customWidth="1"/>
    <col min="24" max="24" width="26.44140625" customWidth="1"/>
    <col min="25" max="29" width="25.21875" customWidth="1"/>
    <col min="30" max="30" width="26.44140625" customWidth="1"/>
    <col min="31" max="31" width="27.5546875" customWidth="1"/>
    <col min="32" max="32" width="28.77734375" customWidth="1"/>
    <col min="33" max="33" width="30" customWidth="1"/>
    <col min="34" max="34" width="40.77734375" customWidth="1"/>
    <col min="35" max="35" width="42" customWidth="1"/>
    <col min="36" max="36" width="45.5546875" customWidth="1"/>
    <col min="37" max="37" width="36" customWidth="1"/>
    <col min="38" max="38" width="31.21875" customWidth="1"/>
    <col min="39" max="39" width="28.77734375" customWidth="1"/>
    <col min="40" max="40" width="24" customWidth="1"/>
    <col min="41" max="43" width="30" customWidth="1"/>
    <col min="44" max="45" width="33.5546875" customWidth="1"/>
    <col min="46" max="47" width="36" customWidth="1"/>
    <col min="48" max="48" width="31.21875" customWidth="1"/>
    <col min="49" max="49" width="33.5546875" customWidth="1"/>
    <col min="50" max="50" width="32.44140625" customWidth="1"/>
    <col min="51" max="51" width="33.5546875" customWidth="1"/>
    <col min="52" max="52" width="25.21875" customWidth="1"/>
    <col min="53" max="53" width="30" customWidth="1"/>
    <col min="54" max="54" width="34.77734375" customWidth="1"/>
    <col min="55" max="55" width="26.44140625" customWidth="1"/>
    <col min="56" max="56" width="33.5546875" customWidth="1"/>
    <col min="57" max="57" width="34.77734375" customWidth="1"/>
    <col min="58" max="59" width="28.77734375" customWidth="1"/>
    <col min="60" max="60" width="25.21875" customWidth="1"/>
    <col min="61" max="62" width="30" customWidth="1"/>
    <col min="63" max="63" width="25.21875" customWidth="1"/>
    <col min="64" max="64" width="26.44140625" customWidth="1"/>
    <col min="65" max="65" width="24" customWidth="1"/>
    <col min="66" max="66" width="25.21875" customWidth="1"/>
    <col min="67" max="67" width="24" customWidth="1"/>
    <col min="68" max="68" width="25.21875" customWidth="1"/>
    <col min="69" max="69" width="30" customWidth="1"/>
    <col min="70" max="70" width="27.5546875" customWidth="1"/>
    <col min="71" max="71" width="26.44140625" customWidth="1"/>
    <col min="72" max="72" width="30" customWidth="1"/>
    <col min="73" max="73" width="26.44140625" customWidth="1"/>
    <col min="74" max="74" width="42" customWidth="1"/>
    <col min="75" max="75" width="28.77734375" customWidth="1"/>
    <col min="76" max="76" width="33.5546875" customWidth="1"/>
    <col min="77" max="77" width="28.77734375" customWidth="1"/>
    <col min="78" max="78" width="27.5546875" customWidth="1"/>
    <col min="79" max="79" width="28.77734375" customWidth="1"/>
    <col min="80" max="80" width="27.5546875" customWidth="1"/>
    <col min="81" max="81" width="31.21875" customWidth="1"/>
    <col min="82" max="82" width="26.44140625" customWidth="1"/>
    <col min="83" max="83" width="42" customWidth="1"/>
    <col min="84" max="84" width="30" customWidth="1"/>
    <col min="85" max="85" width="26.44140625" customWidth="1"/>
    <col min="86" max="86" width="28.77734375" customWidth="1"/>
    <col min="87" max="88" width="26.44140625" customWidth="1"/>
    <col min="89" max="89" width="28.77734375" customWidth="1"/>
    <col min="90" max="90" width="26.44140625" customWidth="1"/>
    <col min="91" max="91" width="28.77734375" customWidth="1"/>
    <col min="92" max="93" width="26.44140625" customWidth="1"/>
    <col min="94" max="94" width="27.5546875" customWidth="1"/>
    <col min="95" max="95" width="31.21875" customWidth="1"/>
    <col min="96" max="96" width="51.5546875" customWidth="1"/>
    <col min="97" max="97" width="26.44140625" customWidth="1"/>
    <col min="98" max="98" width="33.5546875" customWidth="1"/>
    <col min="99" max="99" width="27.5546875" customWidth="1"/>
    <col min="100" max="100" width="30" customWidth="1"/>
    <col min="101" max="101" width="33.5546875" customWidth="1"/>
    <col min="102" max="102" width="30" customWidth="1"/>
    <col min="103" max="103" width="26.44140625" customWidth="1"/>
    <col min="104" max="104" width="27.5546875" customWidth="1"/>
    <col min="105" max="105" width="30" customWidth="1"/>
    <col min="106" max="106" width="38.44140625" customWidth="1"/>
    <col min="107" max="107" width="36" customWidth="1"/>
    <col min="108" max="108" width="28.77734375" customWidth="1"/>
    <col min="109" max="109" width="32.44140625" customWidth="1"/>
    <col min="110" max="110" width="9.5546875" customWidth="1"/>
  </cols>
  <sheetData>
    <row r="1" spans="1:110" x14ac:dyDescent="0.3">
      <c r="A1" s="1"/>
      <c r="B1" s="2" t="s">
        <v>31</v>
      </c>
      <c r="C1" s="2" t="s">
        <v>1122</v>
      </c>
      <c r="D1" s="2" t="s">
        <v>1123</v>
      </c>
      <c r="E1" s="2" t="s">
        <v>1124</v>
      </c>
      <c r="F1" s="2" t="s">
        <v>1125</v>
      </c>
      <c r="G1" s="2" t="s">
        <v>1126</v>
      </c>
      <c r="H1" s="2" t="s">
        <v>1127</v>
      </c>
      <c r="I1" s="2" t="s">
        <v>1128</v>
      </c>
      <c r="J1" s="2" t="s">
        <v>1129</v>
      </c>
      <c r="K1" s="2" t="s">
        <v>1130</v>
      </c>
      <c r="L1" s="2" t="s">
        <v>1131</v>
      </c>
      <c r="M1" s="2" t="s">
        <v>1132</v>
      </c>
      <c r="N1" s="2" t="s">
        <v>1133</v>
      </c>
      <c r="O1" s="2" t="s">
        <v>1134</v>
      </c>
      <c r="P1" s="2" t="s">
        <v>1135</v>
      </c>
      <c r="Q1" s="2" t="s">
        <v>1136</v>
      </c>
      <c r="R1" s="2" t="s">
        <v>1137</v>
      </c>
      <c r="S1" s="2" t="s">
        <v>1138</v>
      </c>
      <c r="T1" s="2" t="s">
        <v>1139</v>
      </c>
      <c r="U1" s="2" t="s">
        <v>1140</v>
      </c>
      <c r="V1" s="2" t="s">
        <v>1141</v>
      </c>
      <c r="W1" s="2" t="s">
        <v>1142</v>
      </c>
      <c r="X1" s="2" t="s">
        <v>1143</v>
      </c>
      <c r="Y1" s="2" t="s">
        <v>1144</v>
      </c>
      <c r="Z1" s="2" t="s">
        <v>1145</v>
      </c>
      <c r="AA1" s="2" t="s">
        <v>1146</v>
      </c>
      <c r="AB1" s="2" t="s">
        <v>1147</v>
      </c>
      <c r="AC1" s="2" t="s">
        <v>1148</v>
      </c>
      <c r="AD1" s="2" t="s">
        <v>1149</v>
      </c>
      <c r="AE1" s="2" t="s">
        <v>1150</v>
      </c>
      <c r="AF1" s="2" t="s">
        <v>1151</v>
      </c>
      <c r="AG1" s="2" t="s">
        <v>1152</v>
      </c>
      <c r="AH1" s="2" t="s">
        <v>1153</v>
      </c>
      <c r="AI1" s="2" t="s">
        <v>1154</v>
      </c>
      <c r="AJ1" s="2" t="s">
        <v>1155</v>
      </c>
      <c r="AK1" s="2" t="s">
        <v>1156</v>
      </c>
      <c r="AL1" s="2" t="s">
        <v>1157</v>
      </c>
      <c r="AM1" s="2" t="s">
        <v>1158</v>
      </c>
      <c r="AN1" s="2" t="s">
        <v>1159</v>
      </c>
      <c r="AO1" s="2" t="s">
        <v>1160</v>
      </c>
      <c r="AP1" s="2" t="s">
        <v>1161</v>
      </c>
      <c r="AQ1" s="2" t="s">
        <v>1162</v>
      </c>
      <c r="AR1" s="2" t="s">
        <v>1163</v>
      </c>
      <c r="AS1" s="2" t="s">
        <v>1164</v>
      </c>
      <c r="AT1" s="2" t="s">
        <v>1165</v>
      </c>
      <c r="AU1" s="2" t="s">
        <v>1166</v>
      </c>
      <c r="AV1" s="2" t="s">
        <v>1167</v>
      </c>
      <c r="AW1" s="2" t="s">
        <v>1168</v>
      </c>
      <c r="AX1" s="2" t="s">
        <v>1169</v>
      </c>
      <c r="AY1" s="2" t="s">
        <v>1170</v>
      </c>
      <c r="AZ1" s="2" t="s">
        <v>1171</v>
      </c>
      <c r="BA1" s="2" t="s">
        <v>1172</v>
      </c>
      <c r="BB1" s="2" t="s">
        <v>1173</v>
      </c>
      <c r="BC1" s="2" t="s">
        <v>1174</v>
      </c>
      <c r="BD1" s="2" t="s">
        <v>1175</v>
      </c>
      <c r="BE1" s="2" t="s">
        <v>1176</v>
      </c>
      <c r="BF1" s="2" t="s">
        <v>1177</v>
      </c>
      <c r="BG1" s="2" t="s">
        <v>1178</v>
      </c>
      <c r="BH1" s="2" t="s">
        <v>1179</v>
      </c>
      <c r="BI1" s="2" t="s">
        <v>1180</v>
      </c>
      <c r="BJ1" s="2" t="s">
        <v>1181</v>
      </c>
      <c r="BK1" s="2" t="s">
        <v>1182</v>
      </c>
      <c r="BL1" s="2" t="s">
        <v>1183</v>
      </c>
      <c r="BM1" s="2" t="s">
        <v>1184</v>
      </c>
      <c r="BN1" s="2" t="s">
        <v>1185</v>
      </c>
      <c r="BO1" s="2" t="s">
        <v>1186</v>
      </c>
      <c r="BP1" s="2" t="s">
        <v>1187</v>
      </c>
      <c r="BQ1" s="2" t="s">
        <v>1188</v>
      </c>
      <c r="BR1" s="2" t="s">
        <v>1189</v>
      </c>
      <c r="BS1" s="2" t="s">
        <v>1190</v>
      </c>
      <c r="BT1" s="2" t="s">
        <v>1191</v>
      </c>
      <c r="BU1" s="2" t="s">
        <v>1192</v>
      </c>
      <c r="BV1" s="2" t="s">
        <v>1193</v>
      </c>
      <c r="BW1" s="2" t="s">
        <v>1194</v>
      </c>
      <c r="BX1" s="2" t="s">
        <v>1195</v>
      </c>
      <c r="BY1" s="2" t="s">
        <v>1196</v>
      </c>
      <c r="BZ1" s="2" t="s">
        <v>1197</v>
      </c>
      <c r="CA1" s="2" t="s">
        <v>1198</v>
      </c>
      <c r="CB1" s="2" t="s">
        <v>1199</v>
      </c>
      <c r="CC1" s="2" t="s">
        <v>1200</v>
      </c>
      <c r="CD1" s="2" t="s">
        <v>1201</v>
      </c>
      <c r="CE1" s="2" t="s">
        <v>1202</v>
      </c>
      <c r="CF1" s="2" t="s">
        <v>1203</v>
      </c>
      <c r="CG1" s="2" t="s">
        <v>1204</v>
      </c>
      <c r="CH1" s="2" t="s">
        <v>1205</v>
      </c>
      <c r="CI1" s="2" t="s">
        <v>1206</v>
      </c>
      <c r="CJ1" s="2" t="s">
        <v>1207</v>
      </c>
      <c r="CK1" s="2" t="s">
        <v>1208</v>
      </c>
      <c r="CL1" s="2" t="s">
        <v>1209</v>
      </c>
      <c r="CM1" s="2" t="s">
        <v>1210</v>
      </c>
      <c r="CN1" s="2" t="s">
        <v>1211</v>
      </c>
      <c r="CO1" s="2" t="s">
        <v>1212</v>
      </c>
      <c r="CP1" s="2" t="s">
        <v>1213</v>
      </c>
      <c r="CQ1" s="2" t="s">
        <v>1214</v>
      </c>
      <c r="CR1" s="2" t="s">
        <v>1215</v>
      </c>
      <c r="CS1" s="2" t="s">
        <v>1216</v>
      </c>
      <c r="CT1" s="2" t="s">
        <v>1217</v>
      </c>
      <c r="CU1" s="2" t="s">
        <v>1218</v>
      </c>
      <c r="CV1" s="2" t="s">
        <v>1219</v>
      </c>
      <c r="CW1" s="2" t="s">
        <v>1220</v>
      </c>
      <c r="CX1" s="2" t="s">
        <v>1221</v>
      </c>
      <c r="CY1" s="2" t="s">
        <v>1222</v>
      </c>
      <c r="CZ1" s="2" t="s">
        <v>1223</v>
      </c>
      <c r="DA1" s="2" t="s">
        <v>1224</v>
      </c>
      <c r="DB1" s="2" t="s">
        <v>1225</v>
      </c>
      <c r="DC1" s="2" t="s">
        <v>1226</v>
      </c>
      <c r="DD1" s="2" t="s">
        <v>1227</v>
      </c>
      <c r="DE1" s="2" t="s">
        <v>1228</v>
      </c>
      <c r="DF1" s="2" t="s">
        <v>30</v>
      </c>
    </row>
    <row r="2" spans="1:110" x14ac:dyDescent="0.3">
      <c r="A2" s="2">
        <v>0</v>
      </c>
      <c r="B2" s="1">
        <v>3.067055735439175E-2</v>
      </c>
      <c r="C2" s="1">
        <v>-1.0636107451560881</v>
      </c>
      <c r="D2" s="1">
        <v>1.1347387637961639</v>
      </c>
      <c r="E2" s="1">
        <v>0.1484528952174794</v>
      </c>
      <c r="F2" s="1">
        <v>-0.21665952703259009</v>
      </c>
      <c r="G2" s="1">
        <v>-3.5429446972776911E-2</v>
      </c>
      <c r="H2" s="1">
        <v>-0.24445019759649081</v>
      </c>
      <c r="I2" s="1">
        <v>-0.17429511032003189</v>
      </c>
      <c r="J2" s="1">
        <v>-0.26209735650665628</v>
      </c>
      <c r="K2" s="1">
        <v>-1.466381052763123E-2</v>
      </c>
      <c r="L2" s="1">
        <v>-1.516792304530725</v>
      </c>
      <c r="M2" s="1">
        <v>-0.18838932835066</v>
      </c>
      <c r="N2" s="1">
        <v>-0.29093568181420831</v>
      </c>
      <c r="O2" s="1">
        <v>4.9076996830222317</v>
      </c>
      <c r="P2" s="1">
        <v>-2.0739989676524559E-2</v>
      </c>
      <c r="Q2" s="1">
        <v>-0.17175324725778629</v>
      </c>
      <c r="R2" s="1">
        <v>-0.1934866244849624</v>
      </c>
      <c r="S2" s="1">
        <v>-0.11609194906387869</v>
      </c>
      <c r="T2" s="1">
        <v>-7.2016009909787709E-2</v>
      </c>
      <c r="U2" s="1">
        <v>-0.10164954506130559</v>
      </c>
      <c r="V2" s="1">
        <v>-0.1422718027665606</v>
      </c>
      <c r="W2" s="1">
        <v>-0.1266449477980012</v>
      </c>
      <c r="X2" s="1">
        <v>-0.18406376369406979</v>
      </c>
      <c r="Y2" s="1">
        <v>-0.21053433385417639</v>
      </c>
      <c r="Z2" s="1">
        <v>2.2539932403501912</v>
      </c>
      <c r="AA2" s="1">
        <v>-0.1133438723334685</v>
      </c>
      <c r="AB2" s="1">
        <v>-0.68994198712855648</v>
      </c>
      <c r="AC2" s="1">
        <v>-0.23637390863593991</v>
      </c>
      <c r="AD2" s="1">
        <v>-3.9607424525139351E-2</v>
      </c>
      <c r="AE2" s="1">
        <v>-0.1341955344150205</v>
      </c>
      <c r="AF2" s="1">
        <v>-0.5371442463924645</v>
      </c>
      <c r="AG2" s="1">
        <v>-0.39750806397976668</v>
      </c>
      <c r="AH2" s="1">
        <v>-2.6586948272182061E-2</v>
      </c>
      <c r="AI2" s="1">
        <v>-0.92284067753957133</v>
      </c>
      <c r="AJ2" s="1">
        <v>-0.1140367776077983</v>
      </c>
      <c r="AK2" s="1">
        <v>1.4310578647891219</v>
      </c>
      <c r="AL2" s="1">
        <v>-0.18028459940704511</v>
      </c>
      <c r="AM2" s="1">
        <v>-0.17735812559235639</v>
      </c>
      <c r="AN2" s="1">
        <v>-0.244943658141582</v>
      </c>
      <c r="AO2" s="1">
        <v>2.7634887418850109</v>
      </c>
      <c r="AP2" s="1">
        <v>-1.6627709036142409E-2</v>
      </c>
      <c r="AQ2" s="1">
        <v>-0.37949516929054827</v>
      </c>
      <c r="AR2" s="1">
        <v>-0.37774554967371621</v>
      </c>
      <c r="AS2" s="1">
        <v>-0.17745021793743099</v>
      </c>
      <c r="AT2" s="1">
        <v>-0.20957797232821029</v>
      </c>
      <c r="AU2" s="1">
        <v>-0.25595432198263107</v>
      </c>
      <c r="AV2" s="1">
        <v>-0.33554133286214982</v>
      </c>
      <c r="AW2" s="1">
        <v>-6.7801643167705733E-2</v>
      </c>
      <c r="AX2" s="1">
        <v>-0.38166338103131231</v>
      </c>
      <c r="AY2" s="1">
        <v>-0.14260847533510371</v>
      </c>
      <c r="AZ2" s="1">
        <v>-0.35531609082966759</v>
      </c>
      <c r="BA2" s="1">
        <v>-0.17127887329997449</v>
      </c>
      <c r="BB2" s="1">
        <v>-0.2271035529654673</v>
      </c>
      <c r="BC2" s="1">
        <v>-0.8253333473464215</v>
      </c>
      <c r="BD2" s="1">
        <v>1.708990991993941</v>
      </c>
      <c r="BE2" s="1">
        <v>-0.17624972208351281</v>
      </c>
      <c r="BF2" s="1">
        <v>-0.42934581801620592</v>
      </c>
      <c r="BG2" s="1">
        <v>-0.34403231619570662</v>
      </c>
      <c r="BH2" s="1">
        <v>-0.22492680848869689</v>
      </c>
      <c r="BI2" s="1">
        <v>-9.8200869918311701E-2</v>
      </c>
      <c r="BJ2" s="1">
        <v>-0.18155193892870869</v>
      </c>
      <c r="BK2" s="1">
        <v>-0.32576823785839509</v>
      </c>
      <c r="BL2" s="1">
        <v>-9.1611632643877033E-2</v>
      </c>
      <c r="BM2" s="1">
        <v>0.41301970251074582</v>
      </c>
      <c r="BN2" s="1">
        <v>-0.70307134502843438</v>
      </c>
      <c r="BO2" s="1">
        <v>0.70307134502843427</v>
      </c>
      <c r="BP2" s="1">
        <v>-0.13502327209690679</v>
      </c>
      <c r="BQ2" s="1">
        <v>-2.4163212881133659E-2</v>
      </c>
      <c r="BR2" s="1">
        <v>-6.1073423095740417E-2</v>
      </c>
      <c r="BS2" s="1">
        <v>-4.8048796227766082E-2</v>
      </c>
      <c r="BT2" s="1">
        <v>-4.2606019601491657E-2</v>
      </c>
      <c r="BU2" s="1">
        <v>-5.4093789973701872E-2</v>
      </c>
      <c r="BV2" s="1">
        <v>-4.6415975361579292E-2</v>
      </c>
      <c r="BW2" s="1">
        <v>-2.9337084994751999E-2</v>
      </c>
      <c r="BX2" s="1">
        <v>-5.7149459310040548E-2</v>
      </c>
      <c r="BY2" s="1">
        <v>-5.2646975050943998E-2</v>
      </c>
      <c r="BZ2" s="1">
        <v>-2.985682462416904E-2</v>
      </c>
      <c r="CA2" s="1">
        <v>-6.500204024204112E-2</v>
      </c>
      <c r="CB2" s="1">
        <v>-2.985682462416904E-2</v>
      </c>
      <c r="CC2" s="1">
        <v>-4.4378063963623871E-2</v>
      </c>
      <c r="CD2" s="1">
        <v>-3.6785028998182749E-2</v>
      </c>
      <c r="CE2" s="1">
        <v>-5.5418887315184066E-3</v>
      </c>
      <c r="CF2" s="1">
        <v>-1.9985247108884979E-2</v>
      </c>
      <c r="CG2" s="1">
        <v>-2.479131424837297E-2</v>
      </c>
      <c r="CH2" s="1">
        <v>-1.9985247108884979E-2</v>
      </c>
      <c r="CI2" s="1">
        <v>-5.5503331618092323E-2</v>
      </c>
      <c r="CJ2" s="1">
        <v>-3.6364055709383628E-2</v>
      </c>
      <c r="CK2" s="1">
        <v>-2.7159193368545269E-2</v>
      </c>
      <c r="CL2" s="1">
        <v>-4.7402357553191291E-2</v>
      </c>
      <c r="CM2" s="1">
        <v>-4.9938385682078472E-2</v>
      </c>
      <c r="CN2" s="1">
        <v>-4.3677809099396392E-2</v>
      </c>
      <c r="CO2" s="1">
        <v>-2.3518383044455238E-2</v>
      </c>
      <c r="CP2" s="1">
        <v>-0.14193439511645869</v>
      </c>
      <c r="CQ2" s="1">
        <v>-3.233087464267443E-2</v>
      </c>
      <c r="CR2" s="1">
        <v>-2.0739989676524559E-2</v>
      </c>
      <c r="CS2" s="1">
        <v>-3.0870155368389239E-2</v>
      </c>
      <c r="CT2" s="1">
        <v>-7.8218270421726119E-2</v>
      </c>
      <c r="CU2" s="1">
        <v>-4.2966231428505593E-2</v>
      </c>
      <c r="CV2" s="1">
        <v>-3.3728644336472942E-2</v>
      </c>
      <c r="CW2" s="1">
        <v>-5.9274124945054851E-2</v>
      </c>
      <c r="CX2" s="1">
        <v>-1.920090937660263E-2</v>
      </c>
      <c r="CY2" s="1">
        <v>-4.9628402720394829E-2</v>
      </c>
      <c r="CZ2" s="1">
        <v>-3.9607424525139351E-2</v>
      </c>
      <c r="DA2" s="1">
        <v>-2.3518383044455238E-2</v>
      </c>
      <c r="DB2" s="1">
        <v>-2.4163212881133659E-2</v>
      </c>
      <c r="DC2" s="1">
        <v>0.34095391400825048</v>
      </c>
      <c r="DD2" s="1">
        <v>-4.5408359621665458E-2</v>
      </c>
      <c r="DE2" s="1">
        <v>-2.2172662853848189E-2</v>
      </c>
      <c r="DF2" s="1">
        <v>-1</v>
      </c>
    </row>
    <row r="3" spans="1:110" x14ac:dyDescent="0.3">
      <c r="A3" s="2">
        <v>1</v>
      </c>
      <c r="B3" s="1">
        <v>0.83710898035981374</v>
      </c>
      <c r="C3" s="1">
        <v>-1.0087070008321519</v>
      </c>
      <c r="D3" s="1">
        <v>1.1347387637961639</v>
      </c>
      <c r="E3" s="1">
        <v>-0.14592048355885351</v>
      </c>
      <c r="F3" s="1">
        <v>-0.21665952703259009</v>
      </c>
      <c r="G3" s="1">
        <v>-2.222153121346258</v>
      </c>
      <c r="H3" s="1">
        <v>-0.24445019759649081</v>
      </c>
      <c r="I3" s="1">
        <v>-0.17429511032003189</v>
      </c>
      <c r="J3" s="1">
        <v>-0.26209735650665628</v>
      </c>
      <c r="K3" s="1">
        <v>-1.466381052763123E-2</v>
      </c>
      <c r="L3" s="1">
        <v>-1.516792304530725</v>
      </c>
      <c r="M3" s="1">
        <v>-0.18838932835066</v>
      </c>
      <c r="N3" s="1">
        <v>3.43718581978061</v>
      </c>
      <c r="O3" s="1">
        <v>-0.20376144927111459</v>
      </c>
      <c r="P3" s="1">
        <v>-2.0739989676524559E-2</v>
      </c>
      <c r="Q3" s="1">
        <v>-0.17175324725778629</v>
      </c>
      <c r="R3" s="1">
        <v>-0.1934866244849624</v>
      </c>
      <c r="S3" s="1">
        <v>-0.11609194906387869</v>
      </c>
      <c r="T3" s="1">
        <v>-7.2016009909787709E-2</v>
      </c>
      <c r="U3" s="1">
        <v>-0.10164954506130559</v>
      </c>
      <c r="V3" s="1">
        <v>-0.1422718027665606</v>
      </c>
      <c r="W3" s="1">
        <v>-0.1266449477980012</v>
      </c>
      <c r="X3" s="1">
        <v>-0.18406376369406979</v>
      </c>
      <c r="Y3" s="1">
        <v>-0.21053433385417639</v>
      </c>
      <c r="Z3" s="1">
        <v>2.2539932403501912</v>
      </c>
      <c r="AA3" s="1">
        <v>-0.1133438723334685</v>
      </c>
      <c r="AB3" s="1">
        <v>-0.68994198712855648</v>
      </c>
      <c r="AC3" s="1">
        <v>-0.23637390863593991</v>
      </c>
      <c r="AD3" s="1">
        <v>-3.9607424525139351E-2</v>
      </c>
      <c r="AE3" s="1">
        <v>-0.1341955344150205</v>
      </c>
      <c r="AF3" s="1">
        <v>-0.5371442463924645</v>
      </c>
      <c r="AG3" s="1">
        <v>-0.39750806397976668</v>
      </c>
      <c r="AH3" s="1">
        <v>-2.6586948272182061E-2</v>
      </c>
      <c r="AI3" s="1">
        <v>1.083610664699076</v>
      </c>
      <c r="AJ3" s="1">
        <v>-0.1140367776077983</v>
      </c>
      <c r="AK3" s="1">
        <v>-0.69878376312012935</v>
      </c>
      <c r="AL3" s="1">
        <v>-0.18028459940704511</v>
      </c>
      <c r="AM3" s="1">
        <v>-0.17735812559235639</v>
      </c>
      <c r="AN3" s="1">
        <v>-0.244943658141582</v>
      </c>
      <c r="AO3" s="1">
        <v>-0.36186143436860452</v>
      </c>
      <c r="AP3" s="1">
        <v>-1.6627709036142409E-2</v>
      </c>
      <c r="AQ3" s="1">
        <v>-0.37949516929054827</v>
      </c>
      <c r="AR3" s="1">
        <v>2.6472846625559621</v>
      </c>
      <c r="AS3" s="1">
        <v>-0.17745021793743099</v>
      </c>
      <c r="AT3" s="1">
        <v>-0.20957797232821029</v>
      </c>
      <c r="AU3" s="1">
        <v>-0.25595432198263107</v>
      </c>
      <c r="AV3" s="1">
        <v>-0.33554133286214982</v>
      </c>
      <c r="AW3" s="1">
        <v>-6.7801643167705733E-2</v>
      </c>
      <c r="AX3" s="1">
        <v>-0.38166338103131231</v>
      </c>
      <c r="AY3" s="1">
        <v>-0.14260847533510371</v>
      </c>
      <c r="AZ3" s="1">
        <v>-0.35531609082966759</v>
      </c>
      <c r="BA3" s="1">
        <v>-0.17127887329997449</v>
      </c>
      <c r="BB3" s="1">
        <v>-0.2271035529654673</v>
      </c>
      <c r="BC3" s="1">
        <v>1.2116316434022201</v>
      </c>
      <c r="BD3" s="1">
        <v>-0.58514059154475939</v>
      </c>
      <c r="BE3" s="1">
        <v>-0.17624972208351281</v>
      </c>
      <c r="BF3" s="1">
        <v>-0.42934581801620592</v>
      </c>
      <c r="BG3" s="1">
        <v>-0.34403231619570662</v>
      </c>
      <c r="BH3" s="1">
        <v>-0.22492680848869689</v>
      </c>
      <c r="BI3" s="1">
        <v>-9.8200869918311701E-2</v>
      </c>
      <c r="BJ3" s="1">
        <v>-0.18155193892870869</v>
      </c>
      <c r="BK3" s="1">
        <v>-0.32576823785839509</v>
      </c>
      <c r="BL3" s="1">
        <v>-9.1611632643877033E-2</v>
      </c>
      <c r="BM3" s="1">
        <v>0.41301970251074582</v>
      </c>
      <c r="BN3" s="1">
        <v>-0.70307134502843438</v>
      </c>
      <c r="BO3" s="1">
        <v>0.70307134502843427</v>
      </c>
      <c r="BP3" s="1">
        <v>-0.13502327209690679</v>
      </c>
      <c r="BQ3" s="1">
        <v>-2.4163212881133659E-2</v>
      </c>
      <c r="BR3" s="1">
        <v>-6.1073423095740417E-2</v>
      </c>
      <c r="BS3" s="1">
        <v>-4.8048796227766082E-2</v>
      </c>
      <c r="BT3" s="1">
        <v>-4.2606019601491657E-2</v>
      </c>
      <c r="BU3" s="1">
        <v>-5.4093789973701872E-2</v>
      </c>
      <c r="BV3" s="1">
        <v>-4.6415975361579292E-2</v>
      </c>
      <c r="BW3" s="1">
        <v>-2.9337084994751999E-2</v>
      </c>
      <c r="BX3" s="1">
        <v>-5.7149459310040548E-2</v>
      </c>
      <c r="BY3" s="1">
        <v>-5.2646975050943998E-2</v>
      </c>
      <c r="BZ3" s="1">
        <v>-2.985682462416904E-2</v>
      </c>
      <c r="CA3" s="1">
        <v>-6.500204024204112E-2</v>
      </c>
      <c r="CB3" s="1">
        <v>-2.985682462416904E-2</v>
      </c>
      <c r="CC3" s="1">
        <v>-4.4378063963623871E-2</v>
      </c>
      <c r="CD3" s="1">
        <v>-3.6785028998182749E-2</v>
      </c>
      <c r="CE3" s="1">
        <v>-5.5418887315184066E-3</v>
      </c>
      <c r="CF3" s="1">
        <v>-1.9985247108884979E-2</v>
      </c>
      <c r="CG3" s="1">
        <v>-2.479131424837297E-2</v>
      </c>
      <c r="CH3" s="1">
        <v>-1.9985247108884979E-2</v>
      </c>
      <c r="CI3" s="1">
        <v>-5.5503331618092323E-2</v>
      </c>
      <c r="CJ3" s="1">
        <v>-3.6364055709383628E-2</v>
      </c>
      <c r="CK3" s="1">
        <v>-2.7159193368545269E-2</v>
      </c>
      <c r="CL3" s="1">
        <v>-4.7402357553191291E-2</v>
      </c>
      <c r="CM3" s="1">
        <v>-4.9938385682078472E-2</v>
      </c>
      <c r="CN3" s="1">
        <v>-4.3677809099396392E-2</v>
      </c>
      <c r="CO3" s="1">
        <v>-2.3518383044455238E-2</v>
      </c>
      <c r="CP3" s="1">
        <v>-0.14193439511645869</v>
      </c>
      <c r="CQ3" s="1">
        <v>-3.233087464267443E-2</v>
      </c>
      <c r="CR3" s="1">
        <v>-2.0739989676524559E-2</v>
      </c>
      <c r="CS3" s="1">
        <v>-3.0870155368389239E-2</v>
      </c>
      <c r="CT3" s="1">
        <v>-7.8218270421726119E-2</v>
      </c>
      <c r="CU3" s="1">
        <v>-4.2966231428505593E-2</v>
      </c>
      <c r="CV3" s="1">
        <v>-3.3728644336472942E-2</v>
      </c>
      <c r="CW3" s="1">
        <v>-5.9274124945054851E-2</v>
      </c>
      <c r="CX3" s="1">
        <v>-1.920090937660263E-2</v>
      </c>
      <c r="CY3" s="1">
        <v>-4.9628402720394829E-2</v>
      </c>
      <c r="CZ3" s="1">
        <v>-3.9607424525139351E-2</v>
      </c>
      <c r="DA3" s="1">
        <v>-2.3518383044455238E-2</v>
      </c>
      <c r="DB3" s="1">
        <v>-2.4163212881133659E-2</v>
      </c>
      <c r="DC3" s="1">
        <v>0.34095391400825048</v>
      </c>
      <c r="DD3" s="1">
        <v>-4.5408359621665458E-2</v>
      </c>
      <c r="DE3" s="1">
        <v>-2.2172662853848189E-2</v>
      </c>
      <c r="DF3" s="1">
        <v>-1</v>
      </c>
    </row>
    <row r="4" spans="1:110" x14ac:dyDescent="0.3">
      <c r="A4" s="2">
        <v>2</v>
      </c>
      <c r="B4" s="1">
        <v>-4.2642026555192072E-2</v>
      </c>
      <c r="C4" s="1">
        <v>0.2450785047947841</v>
      </c>
      <c r="D4" s="1">
        <v>-0.42005962401594232</v>
      </c>
      <c r="E4" s="1">
        <v>-0.14592048355885351</v>
      </c>
      <c r="F4" s="1">
        <v>-0.21665952703259009</v>
      </c>
      <c r="G4" s="1">
        <v>-3.5429446972776911E-2</v>
      </c>
      <c r="H4" s="1">
        <v>-0.24445019759649081</v>
      </c>
      <c r="I4" s="1">
        <v>-0.17429511032003189</v>
      </c>
      <c r="J4" s="1">
        <v>-0.26209735650665628</v>
      </c>
      <c r="K4" s="1">
        <v>-1.466381052763123E-2</v>
      </c>
      <c r="L4" s="1">
        <v>0.65928604530294355</v>
      </c>
      <c r="M4" s="1">
        <v>-0.18838932835066</v>
      </c>
      <c r="N4" s="1">
        <v>-0.29093568181420831</v>
      </c>
      <c r="O4" s="1">
        <v>-0.20376144927111459</v>
      </c>
      <c r="P4" s="1">
        <v>-2.0739989676524559E-2</v>
      </c>
      <c r="Q4" s="1">
        <v>-0.17175324725778629</v>
      </c>
      <c r="R4" s="1">
        <v>-0.1934866244849624</v>
      </c>
      <c r="S4" s="1">
        <v>-0.11609194906387869</v>
      </c>
      <c r="T4" s="1">
        <v>-7.2016009909787709E-2</v>
      </c>
      <c r="U4" s="1">
        <v>-0.10164954506130559</v>
      </c>
      <c r="V4" s="1">
        <v>-0.1422718027665606</v>
      </c>
      <c r="W4" s="1">
        <v>-0.1266449477980012</v>
      </c>
      <c r="X4" s="1">
        <v>-0.18406376369406979</v>
      </c>
      <c r="Y4" s="1">
        <v>-0.21053433385417639</v>
      </c>
      <c r="Z4" s="1">
        <v>-0.44365705366739949</v>
      </c>
      <c r="AA4" s="1">
        <v>-0.1133438723334685</v>
      </c>
      <c r="AB4" s="1">
        <v>1.4493972227460199</v>
      </c>
      <c r="AC4" s="1">
        <v>-0.23637390863593991</v>
      </c>
      <c r="AD4" s="1">
        <v>-3.9607424525139351E-2</v>
      </c>
      <c r="AE4" s="1">
        <v>-0.1341955344150205</v>
      </c>
      <c r="AF4" s="1">
        <v>-0.5371442463924645</v>
      </c>
      <c r="AG4" s="1">
        <v>2.515672235647779</v>
      </c>
      <c r="AH4" s="1">
        <v>-2.6586948272182061E-2</v>
      </c>
      <c r="AI4" s="1">
        <v>-0.92284067753957133</v>
      </c>
      <c r="AJ4" s="1">
        <v>-0.1140367776077983</v>
      </c>
      <c r="AK4" s="1">
        <v>-0.69878376312012935</v>
      </c>
      <c r="AL4" s="1">
        <v>-0.18028459940704511</v>
      </c>
      <c r="AM4" s="1">
        <v>-0.17735812559235639</v>
      </c>
      <c r="AN4" s="1">
        <v>-0.244943658141582</v>
      </c>
      <c r="AO4" s="1">
        <v>-0.36186143436860452</v>
      </c>
      <c r="AP4" s="1">
        <v>-1.6627709036142409E-2</v>
      </c>
      <c r="AQ4" s="1">
        <v>-0.37949516929054827</v>
      </c>
      <c r="AR4" s="1">
        <v>-0.37774554967371621</v>
      </c>
      <c r="AS4" s="1">
        <v>-0.17745021793743099</v>
      </c>
      <c r="AT4" s="1">
        <v>4.7714938210870121</v>
      </c>
      <c r="AU4" s="1">
        <v>-0.25595432198263107</v>
      </c>
      <c r="AV4" s="1">
        <v>-0.33554133286214982</v>
      </c>
      <c r="AW4" s="1">
        <v>-6.7801643167705733E-2</v>
      </c>
      <c r="AX4" s="1">
        <v>-0.38166338103131231</v>
      </c>
      <c r="AY4" s="1">
        <v>-0.14260847533510371</v>
      </c>
      <c r="AZ4" s="1">
        <v>-0.35531609082966759</v>
      </c>
      <c r="BA4" s="1">
        <v>-0.17127887329997449</v>
      </c>
      <c r="BB4" s="1">
        <v>-0.2271035529654673</v>
      </c>
      <c r="BC4" s="1">
        <v>-0.8253333473464215</v>
      </c>
      <c r="BD4" s="1">
        <v>1.708990991993941</v>
      </c>
      <c r="BE4" s="1">
        <v>-0.17624972208351281</v>
      </c>
      <c r="BF4" s="1">
        <v>-0.42934581801620592</v>
      </c>
      <c r="BG4" s="1">
        <v>-0.34403231619570662</v>
      </c>
      <c r="BH4" s="1">
        <v>-0.22492680848869689</v>
      </c>
      <c r="BI4" s="1">
        <v>-9.8200869918311701E-2</v>
      </c>
      <c r="BJ4" s="1">
        <v>-0.18155193892870869</v>
      </c>
      <c r="BK4" s="1">
        <v>-0.32576823785839509</v>
      </c>
      <c r="BL4" s="1">
        <v>-9.1611632643877033E-2</v>
      </c>
      <c r="BM4" s="1">
        <v>0.41301970251074582</v>
      </c>
      <c r="BN4" s="1">
        <v>-0.70307134502843438</v>
      </c>
      <c r="BO4" s="1">
        <v>0.70307134502843427</v>
      </c>
      <c r="BP4" s="1">
        <v>-0.13502327209690679</v>
      </c>
      <c r="BQ4" s="1">
        <v>-2.4163212881133659E-2</v>
      </c>
      <c r="BR4" s="1">
        <v>-6.1073423095740417E-2</v>
      </c>
      <c r="BS4" s="1">
        <v>-4.8048796227766082E-2</v>
      </c>
      <c r="BT4" s="1">
        <v>-4.2606019601491657E-2</v>
      </c>
      <c r="BU4" s="1">
        <v>-5.4093789973701872E-2</v>
      </c>
      <c r="BV4" s="1">
        <v>-4.6415975361579292E-2</v>
      </c>
      <c r="BW4" s="1">
        <v>-2.9337084994751999E-2</v>
      </c>
      <c r="BX4" s="1">
        <v>-5.7149459310040548E-2</v>
      </c>
      <c r="BY4" s="1">
        <v>-5.2646975050943998E-2</v>
      </c>
      <c r="BZ4" s="1">
        <v>-2.985682462416904E-2</v>
      </c>
      <c r="CA4" s="1">
        <v>-6.500204024204112E-2</v>
      </c>
      <c r="CB4" s="1">
        <v>-2.985682462416904E-2</v>
      </c>
      <c r="CC4" s="1">
        <v>-4.4378063963623871E-2</v>
      </c>
      <c r="CD4" s="1">
        <v>-3.6785028998182749E-2</v>
      </c>
      <c r="CE4" s="1">
        <v>-5.5418887315184066E-3</v>
      </c>
      <c r="CF4" s="1">
        <v>-1.9985247108884979E-2</v>
      </c>
      <c r="CG4" s="1">
        <v>-2.479131424837297E-2</v>
      </c>
      <c r="CH4" s="1">
        <v>-1.9985247108884979E-2</v>
      </c>
      <c r="CI4" s="1">
        <v>-5.5503331618092323E-2</v>
      </c>
      <c r="CJ4" s="1">
        <v>-3.6364055709383628E-2</v>
      </c>
      <c r="CK4" s="1">
        <v>-2.7159193368545269E-2</v>
      </c>
      <c r="CL4" s="1">
        <v>-4.7402357553191291E-2</v>
      </c>
      <c r="CM4" s="1">
        <v>-4.9938385682078472E-2</v>
      </c>
      <c r="CN4" s="1">
        <v>-4.3677809099396392E-2</v>
      </c>
      <c r="CO4" s="1">
        <v>-2.3518383044455238E-2</v>
      </c>
      <c r="CP4" s="1">
        <v>-0.14193439511645869</v>
      </c>
      <c r="CQ4" s="1">
        <v>-3.233087464267443E-2</v>
      </c>
      <c r="CR4" s="1">
        <v>-2.0739989676524559E-2</v>
      </c>
      <c r="CS4" s="1">
        <v>-3.0870155368389239E-2</v>
      </c>
      <c r="CT4" s="1">
        <v>-7.8218270421726119E-2</v>
      </c>
      <c r="CU4" s="1">
        <v>-4.2966231428505593E-2</v>
      </c>
      <c r="CV4" s="1">
        <v>-3.3728644336472942E-2</v>
      </c>
      <c r="CW4" s="1">
        <v>-5.9274124945054851E-2</v>
      </c>
      <c r="CX4" s="1">
        <v>-1.920090937660263E-2</v>
      </c>
      <c r="CY4" s="1">
        <v>-4.9628402720394829E-2</v>
      </c>
      <c r="CZ4" s="1">
        <v>-3.9607424525139351E-2</v>
      </c>
      <c r="DA4" s="1">
        <v>-2.3518383044455238E-2</v>
      </c>
      <c r="DB4" s="1">
        <v>-2.4163212881133659E-2</v>
      </c>
      <c r="DC4" s="1">
        <v>0.34095391400825048</v>
      </c>
      <c r="DD4" s="1">
        <v>-4.5408359621665458E-2</v>
      </c>
      <c r="DE4" s="1">
        <v>-2.2172662853848189E-2</v>
      </c>
      <c r="DF4" s="1">
        <v>-1</v>
      </c>
    </row>
    <row r="5" spans="1:110" x14ac:dyDescent="0.3">
      <c r="A5" s="2">
        <v>3</v>
      </c>
      <c r="B5" s="1">
        <v>1.057046732088565</v>
      </c>
      <c r="C5" s="1">
        <v>0.42580135604225311</v>
      </c>
      <c r="D5" s="1">
        <v>-1.197458817921996</v>
      </c>
      <c r="E5" s="1">
        <v>-0.14592048355885351</v>
      </c>
      <c r="F5" s="1">
        <v>-0.21665952703259009</v>
      </c>
      <c r="G5" s="1">
        <v>-3.5429446972776911E-2</v>
      </c>
      <c r="H5" s="1">
        <v>-0.24445019759649081</v>
      </c>
      <c r="I5" s="1">
        <v>-0.17429511032003189</v>
      </c>
      <c r="J5" s="1">
        <v>-0.26209735650665628</v>
      </c>
      <c r="K5" s="1">
        <v>-1.466381052763123E-2</v>
      </c>
      <c r="L5" s="1">
        <v>0.65928604530294355</v>
      </c>
      <c r="M5" s="1">
        <v>-0.18838932835066</v>
      </c>
      <c r="N5" s="1">
        <v>-0.29093568181420831</v>
      </c>
      <c r="O5" s="1">
        <v>-0.20376144927111459</v>
      </c>
      <c r="P5" s="1">
        <v>-2.0739989676524559E-2</v>
      </c>
      <c r="Q5" s="1">
        <v>-0.17175324725778629</v>
      </c>
      <c r="R5" s="1">
        <v>5.1683159115617263</v>
      </c>
      <c r="S5" s="1">
        <v>-0.11609194906387869</v>
      </c>
      <c r="T5" s="1">
        <v>-7.2016009909787709E-2</v>
      </c>
      <c r="U5" s="1">
        <v>-0.10164954506130559</v>
      </c>
      <c r="V5" s="1">
        <v>-0.1422718027665606</v>
      </c>
      <c r="W5" s="1">
        <v>-0.1266449477980012</v>
      </c>
      <c r="X5" s="1">
        <v>-0.18406376369406979</v>
      </c>
      <c r="Y5" s="1">
        <v>-0.21053433385417639</v>
      </c>
      <c r="Z5" s="1">
        <v>-0.44365705366739949</v>
      </c>
      <c r="AA5" s="1">
        <v>-0.1133438723334685</v>
      </c>
      <c r="AB5" s="1">
        <v>-0.68994198712855648</v>
      </c>
      <c r="AC5" s="1">
        <v>-0.23637390863593991</v>
      </c>
      <c r="AD5" s="1">
        <v>-3.9607424525139351E-2</v>
      </c>
      <c r="AE5" s="1">
        <v>-0.1341955344150205</v>
      </c>
      <c r="AF5" s="1">
        <v>-0.5371442463924645</v>
      </c>
      <c r="AG5" s="1">
        <v>-0.39750806397976668</v>
      </c>
      <c r="AH5" s="1">
        <v>-2.6586948272182061E-2</v>
      </c>
      <c r="AI5" s="1">
        <v>1.083610664699076</v>
      </c>
      <c r="AJ5" s="1">
        <v>-0.1140367776077983</v>
      </c>
      <c r="AK5" s="1">
        <v>-0.69878376312012935</v>
      </c>
      <c r="AL5" s="1">
        <v>-0.18028459940704511</v>
      </c>
      <c r="AM5" s="1">
        <v>-0.17735812559235639</v>
      </c>
      <c r="AN5" s="1">
        <v>-0.244943658141582</v>
      </c>
      <c r="AO5" s="1">
        <v>-0.36186143436860452</v>
      </c>
      <c r="AP5" s="1">
        <v>-1.6627709036142409E-2</v>
      </c>
      <c r="AQ5" s="1">
        <v>-0.37949516929054827</v>
      </c>
      <c r="AR5" s="1">
        <v>-0.37774554967371621</v>
      </c>
      <c r="AS5" s="1">
        <v>-0.17745021793743099</v>
      </c>
      <c r="AT5" s="1">
        <v>4.7714938210870121</v>
      </c>
      <c r="AU5" s="1">
        <v>-0.25595432198263107</v>
      </c>
      <c r="AV5" s="1">
        <v>-0.33554133286214982</v>
      </c>
      <c r="AW5" s="1">
        <v>-6.7801643167705733E-2</v>
      </c>
      <c r="AX5" s="1">
        <v>-0.38166338103131231</v>
      </c>
      <c r="AY5" s="1">
        <v>-0.14260847533510371</v>
      </c>
      <c r="AZ5" s="1">
        <v>-0.35531609082966759</v>
      </c>
      <c r="BA5" s="1">
        <v>-0.17127887329997449</v>
      </c>
      <c r="BB5" s="1">
        <v>-0.2271035529654673</v>
      </c>
      <c r="BC5" s="1">
        <v>1.2116316434022201</v>
      </c>
      <c r="BD5" s="1">
        <v>-0.58514059154475939</v>
      </c>
      <c r="BE5" s="1">
        <v>-0.17624972208351281</v>
      </c>
      <c r="BF5" s="1">
        <v>-0.42934581801620592</v>
      </c>
      <c r="BG5" s="1">
        <v>-0.34403231619570662</v>
      </c>
      <c r="BH5" s="1">
        <v>-0.22492680848869689</v>
      </c>
      <c r="BI5" s="1">
        <v>-9.8200869918311701E-2</v>
      </c>
      <c r="BJ5" s="1">
        <v>-0.18155193892870869</v>
      </c>
      <c r="BK5" s="1">
        <v>3.0696669711387878</v>
      </c>
      <c r="BL5" s="1">
        <v>-9.1611632643877033E-2</v>
      </c>
      <c r="BM5" s="1">
        <v>-2.4211920010619399</v>
      </c>
      <c r="BN5" s="1">
        <v>-0.70307134502843438</v>
      </c>
      <c r="BO5" s="1">
        <v>0.70307134502843427</v>
      </c>
      <c r="BP5" s="1">
        <v>-0.13502327209690679</v>
      </c>
      <c r="BQ5" s="1">
        <v>-2.4163212881133659E-2</v>
      </c>
      <c r="BR5" s="1">
        <v>-6.1073423095740417E-2</v>
      </c>
      <c r="BS5" s="1">
        <v>-4.8048796227766082E-2</v>
      </c>
      <c r="BT5" s="1">
        <v>-4.2606019601491657E-2</v>
      </c>
      <c r="BU5" s="1">
        <v>-5.4093789973701872E-2</v>
      </c>
      <c r="BV5" s="1">
        <v>-4.6415975361579292E-2</v>
      </c>
      <c r="BW5" s="1">
        <v>-2.9337084994751999E-2</v>
      </c>
      <c r="BX5" s="1">
        <v>-5.7149459310040548E-2</v>
      </c>
      <c r="BY5" s="1">
        <v>-5.2646975050943998E-2</v>
      </c>
      <c r="BZ5" s="1">
        <v>-2.985682462416904E-2</v>
      </c>
      <c r="CA5" s="1">
        <v>-6.500204024204112E-2</v>
      </c>
      <c r="CB5" s="1">
        <v>-2.985682462416904E-2</v>
      </c>
      <c r="CC5" s="1">
        <v>-4.4378063963623871E-2</v>
      </c>
      <c r="CD5" s="1">
        <v>-3.6785028998182749E-2</v>
      </c>
      <c r="CE5" s="1">
        <v>-5.5418887315184066E-3</v>
      </c>
      <c r="CF5" s="1">
        <v>-1.9985247108884979E-2</v>
      </c>
      <c r="CG5" s="1">
        <v>-2.479131424837297E-2</v>
      </c>
      <c r="CH5" s="1">
        <v>-1.9985247108884979E-2</v>
      </c>
      <c r="CI5" s="1">
        <v>-5.5503331618092323E-2</v>
      </c>
      <c r="CJ5" s="1">
        <v>-3.6364055709383628E-2</v>
      </c>
      <c r="CK5" s="1">
        <v>-2.7159193368545269E-2</v>
      </c>
      <c r="CL5" s="1">
        <v>-4.7402357553191291E-2</v>
      </c>
      <c r="CM5" s="1">
        <v>-4.9938385682078472E-2</v>
      </c>
      <c r="CN5" s="1">
        <v>-4.3677809099396392E-2</v>
      </c>
      <c r="CO5" s="1">
        <v>-2.3518383044455238E-2</v>
      </c>
      <c r="CP5" s="1">
        <v>-0.14193439511645869</v>
      </c>
      <c r="CQ5" s="1">
        <v>-3.233087464267443E-2</v>
      </c>
      <c r="CR5" s="1">
        <v>-2.0739989676524559E-2</v>
      </c>
      <c r="CS5" s="1">
        <v>-3.0870155368389239E-2</v>
      </c>
      <c r="CT5" s="1">
        <v>-7.8218270421726119E-2</v>
      </c>
      <c r="CU5" s="1">
        <v>-4.2966231428505593E-2</v>
      </c>
      <c r="CV5" s="1">
        <v>-3.3728644336472942E-2</v>
      </c>
      <c r="CW5" s="1">
        <v>-5.9274124945054851E-2</v>
      </c>
      <c r="CX5" s="1">
        <v>-1.920090937660263E-2</v>
      </c>
      <c r="CY5" s="1">
        <v>-4.9628402720394829E-2</v>
      </c>
      <c r="CZ5" s="1">
        <v>-3.9607424525139351E-2</v>
      </c>
      <c r="DA5" s="1">
        <v>-2.3518383044455238E-2</v>
      </c>
      <c r="DB5" s="1">
        <v>-2.4163212881133659E-2</v>
      </c>
      <c r="DC5" s="1">
        <v>0.34095391400825048</v>
      </c>
      <c r="DD5" s="1">
        <v>-4.5408359621665458E-2</v>
      </c>
      <c r="DE5" s="1">
        <v>-2.2172662853848189E-2</v>
      </c>
      <c r="DF5" s="1">
        <v>-1</v>
      </c>
    </row>
    <row r="6" spans="1:110" x14ac:dyDescent="0.3">
      <c r="A6" s="2">
        <v>4</v>
      </c>
      <c r="B6" s="1">
        <v>-0.77576786565103018</v>
      </c>
      <c r="C6" s="1">
        <v>1.408175720401234</v>
      </c>
      <c r="D6" s="1">
        <v>1.1347387637961639</v>
      </c>
      <c r="E6" s="1">
        <v>-0.14592048355885351</v>
      </c>
      <c r="F6" s="1">
        <v>-0.21665952703259009</v>
      </c>
      <c r="G6" s="1">
        <v>-3.5429446972776911E-2</v>
      </c>
      <c r="H6" s="1">
        <v>-0.24445019759649081</v>
      </c>
      <c r="I6" s="1">
        <v>-0.17429511032003189</v>
      </c>
      <c r="J6" s="1">
        <v>-0.26209735650665628</v>
      </c>
      <c r="K6" s="1">
        <v>-1.466381052763123E-2</v>
      </c>
      <c r="L6" s="1">
        <v>0.65928604530294355</v>
      </c>
      <c r="M6" s="1">
        <v>-0.18838932835066</v>
      </c>
      <c r="N6" s="1">
        <v>-0.29093568181420831</v>
      </c>
      <c r="O6" s="1">
        <v>-0.20376144927111459</v>
      </c>
      <c r="P6" s="1">
        <v>-2.0739989676524559E-2</v>
      </c>
      <c r="Q6" s="1">
        <v>-0.17175324725778629</v>
      </c>
      <c r="R6" s="1">
        <v>-0.1934866244849624</v>
      </c>
      <c r="S6" s="1">
        <v>-0.11609194906387869</v>
      </c>
      <c r="T6" s="1">
        <v>-7.2016009909787709E-2</v>
      </c>
      <c r="U6" s="1">
        <v>-0.10164954506130559</v>
      </c>
      <c r="V6" s="1">
        <v>-0.1422718027665606</v>
      </c>
      <c r="W6" s="1">
        <v>-0.1266449477980012</v>
      </c>
      <c r="X6" s="1">
        <v>-0.18406376369406979</v>
      </c>
      <c r="Y6" s="1">
        <v>-0.21053433385417639</v>
      </c>
      <c r="Z6" s="1">
        <v>2.2539932403501912</v>
      </c>
      <c r="AA6" s="1">
        <v>-0.1133438723334685</v>
      </c>
      <c r="AB6" s="1">
        <v>-0.68994198712855648</v>
      </c>
      <c r="AC6" s="1">
        <v>-0.23637390863593991</v>
      </c>
      <c r="AD6" s="1">
        <v>-3.9607424525139351E-2</v>
      </c>
      <c r="AE6" s="1">
        <v>-0.1341955344150205</v>
      </c>
      <c r="AF6" s="1">
        <v>-0.5371442463924645</v>
      </c>
      <c r="AG6" s="1">
        <v>-0.39750806397976668</v>
      </c>
      <c r="AH6" s="1">
        <v>-2.6586948272182061E-2</v>
      </c>
      <c r="AI6" s="1">
        <v>1.083610664699076</v>
      </c>
      <c r="AJ6" s="1">
        <v>-0.1140367776077983</v>
      </c>
      <c r="AK6" s="1">
        <v>-0.69878376312012935</v>
      </c>
      <c r="AL6" s="1">
        <v>-0.18028459940704511</v>
      </c>
      <c r="AM6" s="1">
        <v>-0.17735812559235639</v>
      </c>
      <c r="AN6" s="1">
        <v>-0.244943658141582</v>
      </c>
      <c r="AO6" s="1">
        <v>-0.36186143436860452</v>
      </c>
      <c r="AP6" s="1">
        <v>-1.6627709036142409E-2</v>
      </c>
      <c r="AQ6" s="1">
        <v>-0.37949516929054827</v>
      </c>
      <c r="AR6" s="1">
        <v>-0.37774554967371621</v>
      </c>
      <c r="AS6" s="1">
        <v>-0.17745021793743099</v>
      </c>
      <c r="AT6" s="1">
        <v>-0.20957797232821029</v>
      </c>
      <c r="AU6" s="1">
        <v>-0.25595432198263107</v>
      </c>
      <c r="AV6" s="1">
        <v>-0.33554133286214982</v>
      </c>
      <c r="AW6" s="1">
        <v>-6.7801643167705733E-2</v>
      </c>
      <c r="AX6" s="1">
        <v>2.620109891857711</v>
      </c>
      <c r="AY6" s="1">
        <v>-0.14260847533510371</v>
      </c>
      <c r="AZ6" s="1">
        <v>-0.35531609082966759</v>
      </c>
      <c r="BA6" s="1">
        <v>-0.17127887329997449</v>
      </c>
      <c r="BB6" s="1">
        <v>-0.2271035529654673</v>
      </c>
      <c r="BC6" s="1">
        <v>-0.8253333473464215</v>
      </c>
      <c r="BD6" s="1">
        <v>-0.58514059154475939</v>
      </c>
      <c r="BE6" s="1">
        <v>-0.17624972208351281</v>
      </c>
      <c r="BF6" s="1">
        <v>-0.42934581801620592</v>
      </c>
      <c r="BG6" s="1">
        <v>-0.34403231619570662</v>
      </c>
      <c r="BH6" s="1">
        <v>4.4458906731442482</v>
      </c>
      <c r="BI6" s="1">
        <v>-9.8200869918311701E-2</v>
      </c>
      <c r="BJ6" s="1">
        <v>-0.18155193892870869</v>
      </c>
      <c r="BK6" s="1">
        <v>3.0696669711387878</v>
      </c>
      <c r="BL6" s="1">
        <v>-9.1611632643877033E-2</v>
      </c>
      <c r="BM6" s="1">
        <v>-2.4211920010619399</v>
      </c>
      <c r="BN6" s="1">
        <v>1.4223307592767229</v>
      </c>
      <c r="BO6" s="1">
        <v>-1.4223307592767229</v>
      </c>
      <c r="BP6" s="1">
        <v>-0.13502327209690679</v>
      </c>
      <c r="BQ6" s="1">
        <v>-2.4163212881133659E-2</v>
      </c>
      <c r="BR6" s="1">
        <v>-6.1073423095740417E-2</v>
      </c>
      <c r="BS6" s="1">
        <v>-4.8048796227766082E-2</v>
      </c>
      <c r="BT6" s="1">
        <v>-4.2606019601491657E-2</v>
      </c>
      <c r="BU6" s="1">
        <v>18.486410371433731</v>
      </c>
      <c r="BV6" s="1">
        <v>-4.6415975361579292E-2</v>
      </c>
      <c r="BW6" s="1">
        <v>-2.9337084994751999E-2</v>
      </c>
      <c r="BX6" s="1">
        <v>-5.7149459310040548E-2</v>
      </c>
      <c r="BY6" s="1">
        <v>-5.2646975050943998E-2</v>
      </c>
      <c r="BZ6" s="1">
        <v>-2.985682462416904E-2</v>
      </c>
      <c r="CA6" s="1">
        <v>-6.500204024204112E-2</v>
      </c>
      <c r="CB6" s="1">
        <v>-2.985682462416904E-2</v>
      </c>
      <c r="CC6" s="1">
        <v>-4.4378063963623871E-2</v>
      </c>
      <c r="CD6" s="1">
        <v>-3.6785028998182749E-2</v>
      </c>
      <c r="CE6" s="1">
        <v>-5.5418887315184066E-3</v>
      </c>
      <c r="CF6" s="1">
        <v>-1.9985247108884979E-2</v>
      </c>
      <c r="CG6" s="1">
        <v>-2.479131424837297E-2</v>
      </c>
      <c r="CH6" s="1">
        <v>-1.9985247108884979E-2</v>
      </c>
      <c r="CI6" s="1">
        <v>-5.5503331618092323E-2</v>
      </c>
      <c r="CJ6" s="1">
        <v>-3.6364055709383628E-2</v>
      </c>
      <c r="CK6" s="1">
        <v>-2.7159193368545269E-2</v>
      </c>
      <c r="CL6" s="1">
        <v>-4.7402357553191291E-2</v>
      </c>
      <c r="CM6" s="1">
        <v>-4.9938385682078472E-2</v>
      </c>
      <c r="CN6" s="1">
        <v>-4.3677809099396392E-2</v>
      </c>
      <c r="CO6" s="1">
        <v>-2.3518383044455238E-2</v>
      </c>
      <c r="CP6" s="1">
        <v>-0.14193439511645869</v>
      </c>
      <c r="CQ6" s="1">
        <v>-3.233087464267443E-2</v>
      </c>
      <c r="CR6" s="1">
        <v>-2.0739989676524559E-2</v>
      </c>
      <c r="CS6" s="1">
        <v>-3.0870155368389239E-2</v>
      </c>
      <c r="CT6" s="1">
        <v>-7.8218270421726119E-2</v>
      </c>
      <c r="CU6" s="1">
        <v>-4.2966231428505593E-2</v>
      </c>
      <c r="CV6" s="1">
        <v>-3.3728644336472942E-2</v>
      </c>
      <c r="CW6" s="1">
        <v>-5.9274124945054851E-2</v>
      </c>
      <c r="CX6" s="1">
        <v>-1.920090937660263E-2</v>
      </c>
      <c r="CY6" s="1">
        <v>-4.9628402720394829E-2</v>
      </c>
      <c r="CZ6" s="1">
        <v>-3.9607424525139351E-2</v>
      </c>
      <c r="DA6" s="1">
        <v>-2.3518383044455238E-2</v>
      </c>
      <c r="DB6" s="1">
        <v>-2.4163212881133659E-2</v>
      </c>
      <c r="DC6" s="1">
        <v>-2.9329477061694669</v>
      </c>
      <c r="DD6" s="1">
        <v>-4.5408359621665458E-2</v>
      </c>
      <c r="DE6" s="1">
        <v>-2.2172662853848189E-2</v>
      </c>
      <c r="DF6" s="1">
        <v>-1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46"/>
  <sheetViews>
    <sheetView workbookViewId="0">
      <pane xSplit="3" ySplit="1" topLeftCell="G2" activePane="bottomRight" state="frozen"/>
      <selection pane="topRight"/>
      <selection pane="bottomLeft"/>
      <selection pane="bottomRight" activeCell="H211" sqref="H211"/>
    </sheetView>
  </sheetViews>
  <sheetFormatPr defaultRowHeight="14.4" x14ac:dyDescent="0.3"/>
  <cols>
    <col min="1" max="1" width="14.44140625" customWidth="1"/>
    <col min="2" max="2" width="18" customWidth="1"/>
    <col min="3" max="3" width="30" customWidth="1"/>
    <col min="4" max="4" width="22.77734375" customWidth="1"/>
    <col min="5" max="5" width="30" customWidth="1"/>
    <col min="6" max="6" width="24" customWidth="1"/>
    <col min="7" max="7" width="27.5546875" customWidth="1"/>
    <col min="8" max="8" width="14.77734375" customWidth="1"/>
    <col min="9" max="9" width="12" customWidth="1"/>
    <col min="10" max="10" width="28.77734375" customWidth="1"/>
    <col min="11" max="11" width="22.77734375" customWidth="1"/>
    <col min="12" max="12" width="13.21875" customWidth="1"/>
    <col min="13" max="13" width="25.21875" customWidth="1"/>
  </cols>
  <sheetData>
    <row r="1" spans="1:13" x14ac:dyDescent="0.3">
      <c r="A1" s="3" t="s">
        <v>1229</v>
      </c>
      <c r="B1" s="3" t="s">
        <v>1230</v>
      </c>
      <c r="C1" s="3" t="s">
        <v>1231</v>
      </c>
      <c r="D1" s="3" t="s">
        <v>1232</v>
      </c>
      <c r="E1" s="3" t="s">
        <v>1233</v>
      </c>
      <c r="F1" s="3" t="s">
        <v>1234</v>
      </c>
      <c r="G1" s="3" t="s">
        <v>1235</v>
      </c>
      <c r="H1" s="3" t="s">
        <v>1236</v>
      </c>
      <c r="I1" s="3" t="s">
        <v>1237</v>
      </c>
      <c r="J1" s="3" t="s">
        <v>1238</v>
      </c>
      <c r="K1" s="3" t="s">
        <v>1239</v>
      </c>
      <c r="L1" s="3" t="s">
        <v>1240</v>
      </c>
      <c r="M1" s="3" t="s">
        <v>1241</v>
      </c>
    </row>
    <row r="2" spans="1:13" x14ac:dyDescent="0.3">
      <c r="A2" s="4">
        <v>1</v>
      </c>
      <c r="B2" s="4" t="s">
        <v>1242</v>
      </c>
      <c r="C2" s="4" t="s">
        <v>1243</v>
      </c>
      <c r="D2" s="4">
        <v>99</v>
      </c>
      <c r="E2" s="4">
        <v>0.23994030799985919</v>
      </c>
      <c r="F2" s="4">
        <v>0.20987243077872711</v>
      </c>
      <c r="G2" s="4">
        <v>2.5232623045603819E-6</v>
      </c>
      <c r="H2" s="4" t="str">
        <f>HYPERLINK("plots_Breast_Cancer/Gauss-Seidel_plot1.png", "Vedi grafico")</f>
        <v>Vedi grafico</v>
      </c>
      <c r="I2" s="5"/>
      <c r="J2" s="4">
        <v>30</v>
      </c>
      <c r="K2" s="4">
        <v>569</v>
      </c>
      <c r="L2" s="4">
        <v>1</v>
      </c>
      <c r="M2" s="4">
        <v>8</v>
      </c>
    </row>
    <row r="3" spans="1:13" x14ac:dyDescent="0.3">
      <c r="A3" s="4">
        <v>1</v>
      </c>
      <c r="B3" s="4" t="s">
        <v>1242</v>
      </c>
      <c r="C3" s="4" t="s">
        <v>1244</v>
      </c>
      <c r="D3" s="4">
        <v>100</v>
      </c>
      <c r="E3" s="4">
        <v>1.244559299993853E-2</v>
      </c>
      <c r="F3" s="4">
        <v>0.21024932776281</v>
      </c>
      <c r="G3" s="4">
        <v>1.207764533447778E-2</v>
      </c>
      <c r="H3" s="4" t="str">
        <f>HYPERLINK("plots_Breast_Cancer/Gradient Descent_plot1.png", "Vedi grafico")</f>
        <v>Vedi grafico</v>
      </c>
      <c r="I3" s="5"/>
      <c r="J3" s="4">
        <v>30</v>
      </c>
      <c r="K3" s="4">
        <v>569</v>
      </c>
      <c r="L3" s="4">
        <v>1</v>
      </c>
      <c r="M3" s="4">
        <v>1</v>
      </c>
    </row>
    <row r="4" spans="1:13" x14ac:dyDescent="0.3">
      <c r="A4" s="4">
        <v>1</v>
      </c>
      <c r="B4" s="4" t="s">
        <v>1242</v>
      </c>
      <c r="C4" s="4" t="s">
        <v>1245</v>
      </c>
      <c r="D4" s="4">
        <v>100</v>
      </c>
      <c r="E4" s="4">
        <v>2.2771479998482391E-2</v>
      </c>
      <c r="F4" s="4">
        <v>0.2098724307504316</v>
      </c>
      <c r="G4" s="4">
        <v>1.4925095899640461E-7</v>
      </c>
      <c r="H4" s="4" t="str">
        <f>HYPERLINK("plots_Breast_Cancer/Gradient Descent Armijo_plot1.png", "Vedi grafico")</f>
        <v>Vedi grafico</v>
      </c>
      <c r="I4" s="5"/>
      <c r="J4" s="4">
        <v>30</v>
      </c>
      <c r="K4" s="4">
        <v>569</v>
      </c>
      <c r="L4" s="4">
        <v>1</v>
      </c>
      <c r="M4" s="4">
        <v>1</v>
      </c>
    </row>
    <row r="5" spans="1:13" x14ac:dyDescent="0.3">
      <c r="A5" s="4">
        <v>1</v>
      </c>
      <c r="B5" s="4" t="s">
        <v>1242</v>
      </c>
      <c r="C5" s="4" t="s">
        <v>1246</v>
      </c>
      <c r="D5" s="4">
        <v>99</v>
      </c>
      <c r="E5" s="4">
        <v>2.2531510730004811</v>
      </c>
      <c r="F5" s="4">
        <v>0.20987243078480131</v>
      </c>
      <c r="G5" s="4">
        <v>2.6821266472861162E-6</v>
      </c>
      <c r="H5" s="4" t="str">
        <f>HYPERLINK("plots_Breast_Cancer/Jacobi_plot1.png", "Vedi grafico")</f>
        <v>Vedi grafico</v>
      </c>
      <c r="I5" s="5"/>
      <c r="J5" s="4">
        <v>30</v>
      </c>
      <c r="K5" s="4">
        <v>569</v>
      </c>
      <c r="L5" s="4">
        <v>4</v>
      </c>
      <c r="M5" s="4">
        <v>8</v>
      </c>
    </row>
    <row r="6" spans="1:13" x14ac:dyDescent="0.3">
      <c r="A6" s="4">
        <v>1</v>
      </c>
      <c r="B6" s="5"/>
      <c r="C6" s="5"/>
      <c r="D6" s="5"/>
      <c r="E6" s="5"/>
      <c r="F6" s="4" t="s">
        <v>1247</v>
      </c>
      <c r="G6" s="5"/>
      <c r="H6" s="4" t="str">
        <f>HYPERLINK("plots_Breast_Cancer/loss_overlay.png", "Vedi grafico")</f>
        <v>Vedi grafico</v>
      </c>
      <c r="I6" s="5"/>
      <c r="J6" s="5"/>
      <c r="K6" s="5"/>
      <c r="L6" s="5"/>
      <c r="M6" s="5"/>
    </row>
    <row r="7" spans="1:13" x14ac:dyDescent="0.3">
      <c r="A7" s="4">
        <v>1</v>
      </c>
      <c r="B7" s="4" t="s">
        <v>1248</v>
      </c>
      <c r="C7" s="4" t="s">
        <v>1243</v>
      </c>
      <c r="D7" s="4">
        <v>99</v>
      </c>
      <c r="E7" s="4">
        <v>0.19881259800058609</v>
      </c>
      <c r="F7" s="4">
        <v>0.53234021856400937</v>
      </c>
      <c r="G7" s="4">
        <v>2.3111612259345889E-6</v>
      </c>
      <c r="H7" s="4" t="str">
        <f>HYPERLINK("plots_Diabetes/Gauss-Seidel_plot1.png", "Vedi grafico")</f>
        <v>Vedi grafico</v>
      </c>
      <c r="I7" s="5"/>
      <c r="J7" s="4">
        <v>10</v>
      </c>
      <c r="K7" s="4">
        <v>442</v>
      </c>
      <c r="L7" s="4">
        <v>1</v>
      </c>
      <c r="M7" s="4">
        <v>8</v>
      </c>
    </row>
    <row r="8" spans="1:13" x14ac:dyDescent="0.3">
      <c r="A8" s="4">
        <v>1</v>
      </c>
      <c r="B8" s="4" t="s">
        <v>1248</v>
      </c>
      <c r="C8" s="4" t="s">
        <v>1244</v>
      </c>
      <c r="D8" s="4">
        <v>100</v>
      </c>
      <c r="E8" s="4">
        <v>1.264088500101934E-2</v>
      </c>
      <c r="F8" s="4">
        <v>0.53263822042975961</v>
      </c>
      <c r="G8" s="4">
        <v>1.2182936658034649E-2</v>
      </c>
      <c r="H8" s="4" t="str">
        <f>HYPERLINK("plots_Diabetes/Gradient Descent_plot1.png", "Vedi grafico")</f>
        <v>Vedi grafico</v>
      </c>
      <c r="I8" s="5"/>
      <c r="J8" s="4">
        <v>10</v>
      </c>
      <c r="K8" s="4">
        <v>442</v>
      </c>
      <c r="L8" s="4">
        <v>1</v>
      </c>
      <c r="M8" s="4">
        <v>1</v>
      </c>
    </row>
    <row r="9" spans="1:13" x14ac:dyDescent="0.3">
      <c r="A9" s="4">
        <v>1</v>
      </c>
      <c r="B9" s="4" t="s">
        <v>1248</v>
      </c>
      <c r="C9" s="4" t="s">
        <v>1245</v>
      </c>
      <c r="D9" s="4">
        <v>100</v>
      </c>
      <c r="E9" s="4">
        <v>2.1680885000023409E-2</v>
      </c>
      <c r="F9" s="4">
        <v>0.5323402185455357</v>
      </c>
      <c r="G9" s="4">
        <v>6.1510589046363571E-8</v>
      </c>
      <c r="H9" s="4" t="str">
        <f>HYPERLINK("plots_Diabetes/Gradient Descent Armijo_plot1.png", "Vedi grafico")</f>
        <v>Vedi grafico</v>
      </c>
      <c r="I9" s="5"/>
      <c r="J9" s="4">
        <v>10</v>
      </c>
      <c r="K9" s="4">
        <v>442</v>
      </c>
      <c r="L9" s="4">
        <v>1</v>
      </c>
      <c r="M9" s="4">
        <v>1</v>
      </c>
    </row>
    <row r="10" spans="1:13" x14ac:dyDescent="0.3">
      <c r="A10" s="4">
        <v>1</v>
      </c>
      <c r="B10" s="4" t="s">
        <v>1248</v>
      </c>
      <c r="C10" s="4" t="s">
        <v>1246</v>
      </c>
      <c r="D10" s="4">
        <v>99</v>
      </c>
      <c r="E10" s="4">
        <v>1.226186514999426</v>
      </c>
      <c r="F10" s="4">
        <v>0.53234021856489966</v>
      </c>
      <c r="G10" s="4">
        <v>2.434749041535385E-6</v>
      </c>
      <c r="H10" s="4" t="str">
        <f>HYPERLINK("plots_Diabetes/Jacobi_plot1.png", "Vedi grafico")</f>
        <v>Vedi grafico</v>
      </c>
      <c r="I10" s="5"/>
      <c r="J10" s="4">
        <v>10</v>
      </c>
      <c r="K10" s="4">
        <v>442</v>
      </c>
      <c r="L10" s="4">
        <v>4</v>
      </c>
      <c r="M10" s="4">
        <v>8</v>
      </c>
    </row>
    <row r="11" spans="1:13" x14ac:dyDescent="0.3">
      <c r="A11" s="4">
        <v>1</v>
      </c>
      <c r="B11" s="5"/>
      <c r="C11" s="5"/>
      <c r="D11" s="5"/>
      <c r="E11" s="5"/>
      <c r="F11" s="4" t="s">
        <v>1247</v>
      </c>
      <c r="G11" s="5"/>
      <c r="H11" s="4" t="str">
        <f>HYPERLINK("plots_Diabetes/loss_overlay.png", "Vedi grafico")</f>
        <v>Vedi grafico</v>
      </c>
      <c r="I11" s="5"/>
      <c r="J11" s="5"/>
      <c r="K11" s="5"/>
      <c r="L11" s="5"/>
      <c r="M11" s="5"/>
    </row>
    <row r="12" spans="1:13" x14ac:dyDescent="0.3">
      <c r="A12" s="4">
        <v>1</v>
      </c>
      <c r="B12" s="4" t="s">
        <v>1249</v>
      </c>
      <c r="C12" s="4" t="s">
        <v>1243</v>
      </c>
      <c r="D12" s="4">
        <v>99</v>
      </c>
      <c r="E12" s="4">
        <v>0.5432594899994001</v>
      </c>
      <c r="F12" s="4">
        <v>0.34434747737831523</v>
      </c>
      <c r="G12" s="4">
        <v>2.4462405900394231E-6</v>
      </c>
      <c r="H12" s="4" t="str">
        <f>HYPERLINK("plots_Digits/Gauss-Seidel_plot1.png", "Vedi grafico")</f>
        <v>Vedi grafico</v>
      </c>
      <c r="I12" s="5"/>
      <c r="J12" s="4">
        <v>64</v>
      </c>
      <c r="K12" s="4">
        <v>1797</v>
      </c>
      <c r="L12" s="4">
        <v>1</v>
      </c>
      <c r="M12" s="4">
        <v>8</v>
      </c>
    </row>
    <row r="13" spans="1:13" x14ac:dyDescent="0.3">
      <c r="A13" s="4">
        <v>1</v>
      </c>
      <c r="B13" s="4" t="s">
        <v>1249</v>
      </c>
      <c r="C13" s="4" t="s">
        <v>1244</v>
      </c>
      <c r="D13" s="4">
        <v>100</v>
      </c>
      <c r="E13" s="4">
        <v>2.6803156999449129E-2</v>
      </c>
      <c r="F13" s="4">
        <v>0.34537500106744229</v>
      </c>
      <c r="G13" s="4">
        <v>1.9786438650008439E-2</v>
      </c>
      <c r="H13" s="4" t="str">
        <f>HYPERLINK("plots_Digits/Gradient Descent_plot1.png", "Vedi grafico")</f>
        <v>Vedi grafico</v>
      </c>
      <c r="I13" s="5"/>
      <c r="J13" s="4">
        <v>64</v>
      </c>
      <c r="K13" s="4">
        <v>1797</v>
      </c>
      <c r="L13" s="4">
        <v>1</v>
      </c>
      <c r="M13" s="4">
        <v>1</v>
      </c>
    </row>
    <row r="14" spans="1:13" x14ac:dyDescent="0.3">
      <c r="A14" s="4">
        <v>1</v>
      </c>
      <c r="B14" s="4" t="s">
        <v>1249</v>
      </c>
      <c r="C14" s="4" t="s">
        <v>1245</v>
      </c>
      <c r="D14" s="4">
        <v>100</v>
      </c>
      <c r="E14" s="4">
        <v>5.5873301000247011E-2</v>
      </c>
      <c r="F14" s="4">
        <v>0.34434747736105209</v>
      </c>
      <c r="G14" s="4">
        <v>1.033194216913189E-7</v>
      </c>
      <c r="H14" s="4" t="str">
        <f>HYPERLINK("plots_Digits/Gradient Descent Armijo_plot1.png", "Vedi grafico")</f>
        <v>Vedi grafico</v>
      </c>
      <c r="I14" s="5"/>
      <c r="J14" s="4">
        <v>64</v>
      </c>
      <c r="K14" s="4">
        <v>1797</v>
      </c>
      <c r="L14" s="4">
        <v>1</v>
      </c>
      <c r="M14" s="4">
        <v>1</v>
      </c>
    </row>
    <row r="15" spans="1:13" x14ac:dyDescent="0.3">
      <c r="A15" s="4">
        <v>1</v>
      </c>
      <c r="B15" s="4" t="s">
        <v>1249</v>
      </c>
      <c r="C15" s="4" t="s">
        <v>1246</v>
      </c>
      <c r="D15" s="4">
        <v>99</v>
      </c>
      <c r="E15" s="4">
        <v>3.5913980479999741</v>
      </c>
      <c r="F15" s="4">
        <v>0.3443474774693096</v>
      </c>
      <c r="G15" s="4">
        <v>5.3919414681793042E-6</v>
      </c>
      <c r="H15" s="4" t="str">
        <f>HYPERLINK("plots_Digits/Jacobi_plot1.png", "Vedi grafico")</f>
        <v>Vedi grafico</v>
      </c>
      <c r="I15" s="5"/>
      <c r="J15" s="4">
        <v>64</v>
      </c>
      <c r="K15" s="4">
        <v>1797</v>
      </c>
      <c r="L15" s="4">
        <v>4</v>
      </c>
      <c r="M15" s="4">
        <v>8</v>
      </c>
    </row>
    <row r="16" spans="1:13" x14ac:dyDescent="0.3">
      <c r="A16" s="4">
        <v>1</v>
      </c>
      <c r="B16" s="5"/>
      <c r="C16" s="5"/>
      <c r="D16" s="5"/>
      <c r="E16" s="5"/>
      <c r="F16" s="4" t="s">
        <v>1247</v>
      </c>
      <c r="G16" s="5"/>
      <c r="H16" s="4" t="str">
        <f>HYPERLINK("plots_Digits/loss_overlay.png", "Vedi grafico")</f>
        <v>Vedi grafico</v>
      </c>
      <c r="I16" s="5"/>
      <c r="J16" s="5"/>
      <c r="K16" s="5"/>
      <c r="L16" s="5"/>
      <c r="M16" s="5"/>
    </row>
    <row r="17" spans="1:13" x14ac:dyDescent="0.3">
      <c r="A17" s="4">
        <v>1</v>
      </c>
      <c r="B17" s="4" t="s">
        <v>1250</v>
      </c>
      <c r="C17" s="4" t="s">
        <v>1243</v>
      </c>
      <c r="D17" s="4">
        <v>7</v>
      </c>
      <c r="E17" s="4">
        <v>1.515027099958388E-2</v>
      </c>
      <c r="F17" s="4">
        <v>0.27704814805132388</v>
      </c>
      <c r="G17" s="4">
        <v>9.1062659785214536E-7</v>
      </c>
      <c r="H17" s="4" t="str">
        <f>HYPERLINK("plots_Iris/Gauss-Seidel_plot1.png", "Vedi grafico")</f>
        <v>Vedi grafico</v>
      </c>
      <c r="I17" s="5"/>
      <c r="J17" s="4">
        <v>4</v>
      </c>
      <c r="K17" s="4">
        <v>150</v>
      </c>
      <c r="L17" s="4">
        <v>1</v>
      </c>
      <c r="M17" s="4">
        <v>8</v>
      </c>
    </row>
    <row r="18" spans="1:13" x14ac:dyDescent="0.3">
      <c r="A18" s="4">
        <v>1</v>
      </c>
      <c r="B18" s="4" t="s">
        <v>1250</v>
      </c>
      <c r="C18" s="4" t="s">
        <v>1244</v>
      </c>
      <c r="D18" s="4">
        <v>100</v>
      </c>
      <c r="E18" s="4">
        <v>1.3204102999225141E-2</v>
      </c>
      <c r="F18" s="4">
        <v>0.27776652481322572</v>
      </c>
      <c r="G18" s="4">
        <v>1.8187512148941268E-2</v>
      </c>
      <c r="H18" s="4" t="str">
        <f>HYPERLINK("plots_Iris/Gradient Descent_plot1.png", "Vedi grafico")</f>
        <v>Vedi grafico</v>
      </c>
      <c r="I18" s="5"/>
      <c r="J18" s="4">
        <v>4</v>
      </c>
      <c r="K18" s="4">
        <v>150</v>
      </c>
      <c r="L18" s="4">
        <v>1</v>
      </c>
      <c r="M18" s="4">
        <v>1</v>
      </c>
    </row>
    <row r="19" spans="1:13" x14ac:dyDescent="0.3">
      <c r="A19" s="4">
        <v>1</v>
      </c>
      <c r="B19" s="4" t="s">
        <v>1250</v>
      </c>
      <c r="C19" s="4" t="s">
        <v>1245</v>
      </c>
      <c r="D19" s="4">
        <v>100</v>
      </c>
      <c r="E19" s="4">
        <v>1.8197072999100779E-2</v>
      </c>
      <c r="F19" s="4">
        <v>0.2770481480474194</v>
      </c>
      <c r="G19" s="4">
        <v>1.0008744736275179E-7</v>
      </c>
      <c r="H19" s="4" t="str">
        <f>HYPERLINK("plots_Iris/Gradient Descent Armijo_plot1.png", "Vedi grafico")</f>
        <v>Vedi grafico</v>
      </c>
      <c r="I19" s="5"/>
      <c r="J19" s="4">
        <v>4</v>
      </c>
      <c r="K19" s="4">
        <v>150</v>
      </c>
      <c r="L19" s="4">
        <v>1</v>
      </c>
      <c r="M19" s="4">
        <v>1</v>
      </c>
    </row>
    <row r="20" spans="1:13" x14ac:dyDescent="0.3">
      <c r="A20" s="4">
        <v>1</v>
      </c>
      <c r="B20" s="4" t="s">
        <v>1250</v>
      </c>
      <c r="C20" s="4" t="s">
        <v>1246</v>
      </c>
      <c r="D20" s="4">
        <v>7</v>
      </c>
      <c r="E20" s="4">
        <v>0.1187429279998469</v>
      </c>
      <c r="F20" s="4">
        <v>0.27704814805132388</v>
      </c>
      <c r="G20" s="4">
        <v>9.1062659785214536E-7</v>
      </c>
      <c r="H20" s="4" t="str">
        <f>HYPERLINK("plots_Iris/Jacobi_plot1.png", "Vedi grafico")</f>
        <v>Vedi grafico</v>
      </c>
      <c r="I20" s="5"/>
      <c r="J20" s="4">
        <v>4</v>
      </c>
      <c r="K20" s="4">
        <v>150</v>
      </c>
      <c r="L20" s="4">
        <v>4</v>
      </c>
      <c r="M20" s="4">
        <v>8</v>
      </c>
    </row>
    <row r="21" spans="1:13" x14ac:dyDescent="0.3">
      <c r="A21" s="4">
        <v>1</v>
      </c>
      <c r="B21" s="5"/>
      <c r="C21" s="5"/>
      <c r="D21" s="5"/>
      <c r="E21" s="5"/>
      <c r="F21" s="4" t="s">
        <v>1247</v>
      </c>
      <c r="G21" s="5"/>
      <c r="H21" s="4" t="str">
        <f>HYPERLINK("plots_Iris/loss_overlay.png", "Vedi grafico")</f>
        <v>Vedi grafico</v>
      </c>
      <c r="I21" s="5"/>
      <c r="J21" s="5"/>
      <c r="K21" s="5"/>
      <c r="L21" s="5"/>
      <c r="M21" s="5"/>
    </row>
    <row r="22" spans="1:13" x14ac:dyDescent="0.3">
      <c r="A22" s="4">
        <v>1</v>
      </c>
      <c r="B22" s="4" t="s">
        <v>1251</v>
      </c>
      <c r="C22" s="4" t="s">
        <v>1243</v>
      </c>
      <c r="D22" s="4">
        <v>99</v>
      </c>
      <c r="E22" s="4">
        <v>0.16884995799955499</v>
      </c>
      <c r="F22" s="4">
        <v>0.28687255999555278</v>
      </c>
      <c r="G22" s="4">
        <v>2.4675003211954671E-6</v>
      </c>
      <c r="H22" s="4" t="str">
        <f>HYPERLINK("plots_Wine/Gauss-Seidel_plot1.png", "Vedi grafico")</f>
        <v>Vedi grafico</v>
      </c>
      <c r="I22" s="5"/>
      <c r="J22" s="4">
        <v>13</v>
      </c>
      <c r="K22" s="4">
        <v>178</v>
      </c>
      <c r="L22" s="4">
        <v>1</v>
      </c>
      <c r="M22" s="4">
        <v>8</v>
      </c>
    </row>
    <row r="23" spans="1:13" x14ac:dyDescent="0.3">
      <c r="A23" s="4">
        <v>1</v>
      </c>
      <c r="B23" s="4" t="s">
        <v>1251</v>
      </c>
      <c r="C23" s="4" t="s">
        <v>1244</v>
      </c>
      <c r="D23" s="4">
        <v>100</v>
      </c>
      <c r="E23" s="4">
        <v>9.4339669994951691E-3</v>
      </c>
      <c r="F23" s="4">
        <v>0.288147784334295</v>
      </c>
      <c r="G23" s="4">
        <v>2.226338153822115E-2</v>
      </c>
      <c r="H23" s="4" t="str">
        <f>HYPERLINK("plots_Wine/Gradient Descent_plot1.png", "Vedi grafico")</f>
        <v>Vedi grafico</v>
      </c>
      <c r="I23" s="5"/>
      <c r="J23" s="4">
        <v>13</v>
      </c>
      <c r="K23" s="4">
        <v>178</v>
      </c>
      <c r="L23" s="4">
        <v>1</v>
      </c>
      <c r="M23" s="4">
        <v>1</v>
      </c>
    </row>
    <row r="24" spans="1:13" x14ac:dyDescent="0.3">
      <c r="A24" s="4">
        <v>1</v>
      </c>
      <c r="B24" s="4" t="s">
        <v>1251</v>
      </c>
      <c r="C24" s="4" t="s">
        <v>1245</v>
      </c>
      <c r="D24" s="4">
        <v>100</v>
      </c>
      <c r="E24" s="4">
        <v>1.789710199955152E-2</v>
      </c>
      <c r="F24" s="4">
        <v>0.28687255997585598</v>
      </c>
      <c r="G24" s="4">
        <v>5.1639985112820927E-8</v>
      </c>
      <c r="H24" s="4" t="str">
        <f>HYPERLINK("plots_Wine/Gradient Descent Armijo_plot1.png", "Vedi grafico")</f>
        <v>Vedi grafico</v>
      </c>
      <c r="I24" s="5"/>
      <c r="J24" s="4">
        <v>13</v>
      </c>
      <c r="K24" s="4">
        <v>178</v>
      </c>
      <c r="L24" s="4">
        <v>1</v>
      </c>
      <c r="M24" s="4">
        <v>1</v>
      </c>
    </row>
    <row r="25" spans="1:13" x14ac:dyDescent="0.3">
      <c r="A25" s="4">
        <v>1</v>
      </c>
      <c r="B25" s="4" t="s">
        <v>1251</v>
      </c>
      <c r="C25" s="4" t="s">
        <v>1246</v>
      </c>
      <c r="D25" s="4">
        <v>99</v>
      </c>
      <c r="E25" s="4">
        <v>1.277500934000273</v>
      </c>
      <c r="F25" s="4">
        <v>0.28687255999638972</v>
      </c>
      <c r="G25" s="4">
        <v>2.4808231148221321E-6</v>
      </c>
      <c r="H25" s="4" t="str">
        <f>HYPERLINK("plots_Wine/Jacobi_plot1.png", "Vedi grafico")</f>
        <v>Vedi grafico</v>
      </c>
      <c r="I25" s="5"/>
      <c r="J25" s="4">
        <v>13</v>
      </c>
      <c r="K25" s="4">
        <v>178</v>
      </c>
      <c r="L25" s="4">
        <v>4</v>
      </c>
      <c r="M25" s="4">
        <v>8</v>
      </c>
    </row>
    <row r="26" spans="1:13" x14ac:dyDescent="0.3">
      <c r="A26" s="4">
        <v>1</v>
      </c>
      <c r="B26" s="5"/>
      <c r="C26" s="5"/>
      <c r="D26" s="5"/>
      <c r="E26" s="5"/>
      <c r="F26" s="4" t="s">
        <v>1247</v>
      </c>
      <c r="G26" s="5"/>
      <c r="H26" s="4" t="str">
        <f>HYPERLINK("plots_Wine/loss_overlay.png", "Vedi grafico")</f>
        <v>Vedi grafico</v>
      </c>
      <c r="I26" s="5"/>
      <c r="J26" s="5"/>
      <c r="K26" s="5"/>
      <c r="L26" s="5"/>
      <c r="M26" s="5"/>
    </row>
    <row r="27" spans="1:13" x14ac:dyDescent="0.3">
      <c r="A27" s="4">
        <v>1</v>
      </c>
      <c r="B27" s="4" t="s">
        <v>1252</v>
      </c>
      <c r="C27" s="4" t="s">
        <v>1243</v>
      </c>
      <c r="D27" s="4">
        <v>99</v>
      </c>
      <c r="E27" s="4">
        <v>9.2140623779996531</v>
      </c>
      <c r="F27" s="4">
        <v>0.68096181067719008</v>
      </c>
      <c r="G27" s="4">
        <v>2.6320202557894909E-6</v>
      </c>
      <c r="H27" s="4" t="str">
        <f>HYPERLINK("plots_Fetch/Gauss-Seidel_plot1.png", "Vedi grafico")</f>
        <v>Vedi grafico</v>
      </c>
      <c r="I27" s="5"/>
      <c r="J27" s="4">
        <v>1000</v>
      </c>
      <c r="K27" s="4">
        <v>1772</v>
      </c>
      <c r="L27" s="4">
        <v>1</v>
      </c>
      <c r="M27" s="4">
        <v>8</v>
      </c>
    </row>
    <row r="28" spans="1:13" x14ac:dyDescent="0.3">
      <c r="A28" s="4">
        <v>1</v>
      </c>
      <c r="B28" s="4" t="s">
        <v>1252</v>
      </c>
      <c r="C28" s="4" t="s">
        <v>1244</v>
      </c>
      <c r="D28" s="4">
        <v>100</v>
      </c>
      <c r="E28" s="4">
        <v>1.207256117000725</v>
      </c>
      <c r="F28" s="4">
        <v>0.68246591166439041</v>
      </c>
      <c r="G28" s="4">
        <v>1.7870159283770851E-2</v>
      </c>
      <c r="H28" s="4" t="str">
        <f>HYPERLINK("plots_Fetch/Gradient Descent_plot1.png", "Vedi grafico")</f>
        <v>Vedi grafico</v>
      </c>
      <c r="I28" s="5"/>
      <c r="J28" s="4">
        <v>1000</v>
      </c>
      <c r="K28" s="4">
        <v>1772</v>
      </c>
      <c r="L28" s="4">
        <v>1</v>
      </c>
      <c r="M28" s="4">
        <v>1</v>
      </c>
    </row>
    <row r="29" spans="1:13" x14ac:dyDescent="0.3">
      <c r="A29" s="4">
        <v>1</v>
      </c>
      <c r="B29" s="4" t="s">
        <v>1252</v>
      </c>
      <c r="C29" s="4" t="s">
        <v>1245</v>
      </c>
      <c r="D29" s="4">
        <v>100</v>
      </c>
      <c r="E29" s="4">
        <v>2.4348443630005931</v>
      </c>
      <c r="F29" s="4">
        <v>0.68096181064839212</v>
      </c>
      <c r="G29" s="4">
        <v>9.8127357946551937E-7</v>
      </c>
      <c r="H29" s="4" t="str">
        <f>HYPERLINK("plots_Fetch/Gradient Descent Armijo_plot1.png", "Vedi grafico")</f>
        <v>Vedi grafico</v>
      </c>
      <c r="I29" s="5"/>
      <c r="J29" s="4">
        <v>1000</v>
      </c>
      <c r="K29" s="4">
        <v>1772</v>
      </c>
      <c r="L29" s="4">
        <v>1</v>
      </c>
      <c r="M29" s="4">
        <v>1</v>
      </c>
    </row>
    <row r="30" spans="1:13" x14ac:dyDescent="0.3">
      <c r="A30" s="4">
        <v>1</v>
      </c>
      <c r="B30" s="4" t="s">
        <v>1252</v>
      </c>
      <c r="C30" s="4" t="s">
        <v>1246</v>
      </c>
      <c r="D30" s="4">
        <v>99</v>
      </c>
      <c r="E30" s="4">
        <v>26.84235366699977</v>
      </c>
      <c r="F30" s="4">
        <v>0.68096181067606376</v>
      </c>
      <c r="G30" s="4">
        <v>2.5869245764150491E-6</v>
      </c>
      <c r="H30" s="4" t="str">
        <f>HYPERLINK("plots_Fetch/Jacobi_plot1.png", "Vedi grafico")</f>
        <v>Vedi grafico</v>
      </c>
      <c r="I30" s="5"/>
      <c r="J30" s="4">
        <v>1000</v>
      </c>
      <c r="K30" s="4">
        <v>1772</v>
      </c>
      <c r="L30" s="4">
        <v>4</v>
      </c>
      <c r="M30" s="4">
        <v>8</v>
      </c>
    </row>
    <row r="31" spans="1:13" x14ac:dyDescent="0.3">
      <c r="A31" s="4">
        <v>1</v>
      </c>
      <c r="B31" s="5"/>
      <c r="C31" s="5"/>
      <c r="D31" s="5"/>
      <c r="E31" s="5"/>
      <c r="F31" s="4" t="s">
        <v>1247</v>
      </c>
      <c r="G31" s="5"/>
      <c r="H31" s="4" t="str">
        <f>HYPERLINK("plots_Fetch/loss_overlay.png", "Vedi grafico")</f>
        <v>Vedi grafico</v>
      </c>
      <c r="I31" s="5"/>
      <c r="J31" s="5"/>
      <c r="K31" s="5"/>
      <c r="L31" s="5"/>
      <c r="M31" s="5"/>
    </row>
    <row r="32" spans="1:13" x14ac:dyDescent="0.3">
      <c r="A32" s="4">
        <v>1</v>
      </c>
      <c r="B32" s="4" t="s">
        <v>1253</v>
      </c>
      <c r="C32" s="4" t="s">
        <v>1243</v>
      </c>
      <c r="D32" s="4">
        <v>99</v>
      </c>
      <c r="E32" s="4">
        <v>0.26589761600007478</v>
      </c>
      <c r="F32" s="4">
        <v>0.51015408035438103</v>
      </c>
      <c r="G32" s="4">
        <v>2.4100749483528432E-6</v>
      </c>
      <c r="H32" s="4" t="str">
        <f>HYPERLINK("plots_Adult/Gauss-Seidel_plot1.png", "Vedi grafico")</f>
        <v>Vedi grafico</v>
      </c>
      <c r="I32" s="5"/>
      <c r="J32" s="4">
        <v>108</v>
      </c>
      <c r="K32" s="4">
        <v>500</v>
      </c>
      <c r="L32" s="4">
        <v>1</v>
      </c>
      <c r="M32" s="4">
        <v>8</v>
      </c>
    </row>
    <row r="33" spans="1:13" x14ac:dyDescent="0.3">
      <c r="A33" s="4">
        <v>1</v>
      </c>
      <c r="B33" s="4" t="s">
        <v>1253</v>
      </c>
      <c r="C33" s="4" t="s">
        <v>1244</v>
      </c>
      <c r="D33" s="4">
        <v>100</v>
      </c>
      <c r="E33" s="4">
        <v>1.148506599929533E-2</v>
      </c>
      <c r="F33" s="4">
        <v>0.5121771278438636</v>
      </c>
      <c r="G33" s="4">
        <v>2.422305615100654E-2</v>
      </c>
      <c r="H33" s="4" t="str">
        <f>HYPERLINK("plots_Adult/Gradient Descent_plot1.png", "Vedi grafico")</f>
        <v>Vedi grafico</v>
      </c>
      <c r="I33" s="5"/>
      <c r="J33" s="4">
        <v>108</v>
      </c>
      <c r="K33" s="4">
        <v>500</v>
      </c>
      <c r="L33" s="4">
        <v>1</v>
      </c>
      <c r="M33" s="4">
        <v>1</v>
      </c>
    </row>
    <row r="34" spans="1:13" x14ac:dyDescent="0.3">
      <c r="A34" s="4">
        <v>1</v>
      </c>
      <c r="B34" s="4" t="s">
        <v>1253</v>
      </c>
      <c r="C34" s="4" t="s">
        <v>1245</v>
      </c>
      <c r="D34" s="4">
        <v>100</v>
      </c>
      <c r="E34" s="4">
        <v>2.5577241000064529E-2</v>
      </c>
      <c r="F34" s="4">
        <v>0.51015408033466247</v>
      </c>
      <c r="G34" s="4">
        <v>4.9174024418088745E-7</v>
      </c>
      <c r="H34" s="4" t="str">
        <f>HYPERLINK("plots_Adult/Gradient Descent Armijo_plot1.png", "Vedi grafico")</f>
        <v>Vedi grafico</v>
      </c>
      <c r="I34" s="5"/>
      <c r="J34" s="4">
        <v>108</v>
      </c>
      <c r="K34" s="4">
        <v>500</v>
      </c>
      <c r="L34" s="4">
        <v>1</v>
      </c>
      <c r="M34" s="4">
        <v>1</v>
      </c>
    </row>
    <row r="35" spans="1:13" x14ac:dyDescent="0.3">
      <c r="A35" s="4">
        <v>1</v>
      </c>
      <c r="B35" s="4" t="s">
        <v>1253</v>
      </c>
      <c r="C35" s="4" t="s">
        <v>1246</v>
      </c>
      <c r="D35" s="4">
        <v>99</v>
      </c>
      <c r="E35" s="4">
        <v>2.35287734800113</v>
      </c>
      <c r="F35" s="4">
        <v>0.51015408045635524</v>
      </c>
      <c r="G35" s="4">
        <v>5.4398686843032477E-6</v>
      </c>
      <c r="H35" s="4" t="str">
        <f>HYPERLINK("plots_Adult/Jacobi_plot1.png", "Vedi grafico")</f>
        <v>Vedi grafico</v>
      </c>
      <c r="I35" s="5"/>
      <c r="J35" s="4">
        <v>108</v>
      </c>
      <c r="K35" s="4">
        <v>500</v>
      </c>
      <c r="L35" s="4">
        <v>4</v>
      </c>
      <c r="M35" s="4">
        <v>8</v>
      </c>
    </row>
    <row r="36" spans="1:13" x14ac:dyDescent="0.3">
      <c r="A36" s="4">
        <v>1</v>
      </c>
      <c r="B36" s="5"/>
      <c r="C36" s="5"/>
      <c r="D36" s="5"/>
      <c r="E36" s="5"/>
      <c r="F36" s="4" t="s">
        <v>1247</v>
      </c>
      <c r="G36" s="5"/>
      <c r="H36" s="4" t="str">
        <f>HYPERLINK("plots_Adult/loss_overlay.png", "Vedi grafico")</f>
        <v>Vedi grafico</v>
      </c>
      <c r="I36" s="5"/>
      <c r="J36" s="5"/>
      <c r="K36" s="5"/>
      <c r="L36" s="5"/>
      <c r="M36" s="5"/>
    </row>
    <row r="37" spans="1:13" x14ac:dyDescent="0.3">
      <c r="A37" s="6">
        <v>2</v>
      </c>
      <c r="B37" s="6" t="s">
        <v>1242</v>
      </c>
      <c r="C37" s="6" t="s">
        <v>1243</v>
      </c>
      <c r="D37" s="6">
        <v>99</v>
      </c>
      <c r="E37" s="6">
        <v>0.2114618640007393</v>
      </c>
      <c r="F37" s="6">
        <v>0.20987243077632639</v>
      </c>
      <c r="G37" s="6">
        <v>2.368456102811821E-6</v>
      </c>
      <c r="H37" s="6" t="str">
        <f>HYPERLINK("plots_Breast_Cancer/Gauss-Seidel_plot_2.png", "Vedi grafico")</f>
        <v>Vedi grafico</v>
      </c>
      <c r="I37" s="7"/>
      <c r="J37" s="6">
        <v>30</v>
      </c>
      <c r="K37" s="6">
        <v>569</v>
      </c>
      <c r="L37" s="6">
        <v>1</v>
      </c>
      <c r="M37" s="6">
        <v>7</v>
      </c>
    </row>
    <row r="38" spans="1:13" x14ac:dyDescent="0.3">
      <c r="A38" s="6">
        <v>2</v>
      </c>
      <c r="B38" s="6" t="s">
        <v>1242</v>
      </c>
      <c r="C38" s="6" t="s">
        <v>1244</v>
      </c>
      <c r="D38" s="6">
        <v>100</v>
      </c>
      <c r="E38" s="6">
        <v>1.1387767999622159E-2</v>
      </c>
      <c r="F38" s="6">
        <v>0.21024932776281</v>
      </c>
      <c r="G38" s="6">
        <v>1.207764533447778E-2</v>
      </c>
      <c r="H38" s="6" t="str">
        <f>HYPERLINK("plots_Breast_Cancer/Gradient Descent_plot_2.png", "Vedi grafico")</f>
        <v>Vedi grafico</v>
      </c>
      <c r="I38" s="7"/>
      <c r="J38" s="6">
        <v>30</v>
      </c>
      <c r="K38" s="6">
        <v>569</v>
      </c>
      <c r="L38" s="6">
        <v>1</v>
      </c>
      <c r="M38" s="6">
        <v>1</v>
      </c>
    </row>
    <row r="39" spans="1:13" x14ac:dyDescent="0.3">
      <c r="A39" s="6">
        <v>2</v>
      </c>
      <c r="B39" s="6" t="s">
        <v>1242</v>
      </c>
      <c r="C39" s="6" t="s">
        <v>1245</v>
      </c>
      <c r="D39" s="6">
        <v>100</v>
      </c>
      <c r="E39" s="6">
        <v>2.5110012000368439E-2</v>
      </c>
      <c r="F39" s="6">
        <v>0.2098724307504316</v>
      </c>
      <c r="G39" s="6">
        <v>1.4925095899640461E-7</v>
      </c>
      <c r="H39" s="6" t="str">
        <f>HYPERLINK("plots_Breast_Cancer/Gradient Descent Armijo_plot_2.png", "Vedi grafico")</f>
        <v>Vedi grafico</v>
      </c>
      <c r="I39" s="7"/>
      <c r="J39" s="6">
        <v>30</v>
      </c>
      <c r="K39" s="6">
        <v>569</v>
      </c>
      <c r="L39" s="6">
        <v>1</v>
      </c>
      <c r="M39" s="6">
        <v>1</v>
      </c>
    </row>
    <row r="40" spans="1:13" x14ac:dyDescent="0.3">
      <c r="A40" s="6">
        <v>2</v>
      </c>
      <c r="B40" s="6" t="s">
        <v>1242</v>
      </c>
      <c r="C40" s="6" t="s">
        <v>1246</v>
      </c>
      <c r="D40" s="6">
        <v>99</v>
      </c>
      <c r="E40" s="6">
        <v>2.3904089340012429</v>
      </c>
      <c r="F40" s="6">
        <v>0.20987243077995479</v>
      </c>
      <c r="G40" s="6">
        <v>2.5124005606836879E-6</v>
      </c>
      <c r="H40" s="6" t="str">
        <f>HYPERLINK("plots_Breast_Cancer/Jacobi_plot_2.png", "Vedi grafico")</f>
        <v>Vedi grafico</v>
      </c>
      <c r="I40" s="7"/>
      <c r="J40" s="6">
        <v>30</v>
      </c>
      <c r="K40" s="6">
        <v>569</v>
      </c>
      <c r="L40" s="6">
        <v>4</v>
      </c>
      <c r="M40" s="6">
        <v>7</v>
      </c>
    </row>
    <row r="41" spans="1:13" x14ac:dyDescent="0.3">
      <c r="A41" s="6">
        <v>2</v>
      </c>
      <c r="B41" s="7"/>
      <c r="C41" s="7"/>
      <c r="D41" s="7"/>
      <c r="E41" s="7"/>
      <c r="F41" s="6" t="s">
        <v>1247</v>
      </c>
      <c r="G41" s="7"/>
      <c r="H41" s="6" t="str">
        <f>HYPERLINK("plots_Breast_Cancer/loss_overlay.png", "Vedi grafico")</f>
        <v>Vedi grafico</v>
      </c>
      <c r="I41" s="7"/>
      <c r="J41" s="7"/>
      <c r="K41" s="7"/>
      <c r="L41" s="7"/>
      <c r="M41" s="7"/>
    </row>
    <row r="42" spans="1:13" x14ac:dyDescent="0.3">
      <c r="A42" s="6">
        <v>2</v>
      </c>
      <c r="B42" s="6" t="s">
        <v>1248</v>
      </c>
      <c r="C42" s="6" t="s">
        <v>1243</v>
      </c>
      <c r="D42" s="6">
        <v>99</v>
      </c>
      <c r="E42" s="6">
        <v>0.24092148399904539</v>
      </c>
      <c r="F42" s="6">
        <v>0.53234021855991598</v>
      </c>
      <c r="G42" s="6">
        <v>2.1799754783403709E-6</v>
      </c>
      <c r="H42" s="6" t="str">
        <f>HYPERLINK("plots_Diabetes/Gauss-Seidel_plot_2.png", "Vedi grafico")</f>
        <v>Vedi grafico</v>
      </c>
      <c r="I42" s="7"/>
      <c r="J42" s="6">
        <v>10</v>
      </c>
      <c r="K42" s="6">
        <v>442</v>
      </c>
      <c r="L42" s="6">
        <v>1</v>
      </c>
      <c r="M42" s="6">
        <v>7</v>
      </c>
    </row>
    <row r="43" spans="1:13" x14ac:dyDescent="0.3">
      <c r="A43" s="6">
        <v>2</v>
      </c>
      <c r="B43" s="6" t="s">
        <v>1248</v>
      </c>
      <c r="C43" s="6" t="s">
        <v>1244</v>
      </c>
      <c r="D43" s="6">
        <v>100</v>
      </c>
      <c r="E43" s="6">
        <v>1.253221099977964E-2</v>
      </c>
      <c r="F43" s="6">
        <v>0.53263822042975961</v>
      </c>
      <c r="G43" s="6">
        <v>1.2182936658034649E-2</v>
      </c>
      <c r="H43" s="6" t="str">
        <f>HYPERLINK("plots_Diabetes/Gradient Descent_plot_2.png", "Vedi grafico")</f>
        <v>Vedi grafico</v>
      </c>
      <c r="I43" s="7"/>
      <c r="J43" s="6">
        <v>10</v>
      </c>
      <c r="K43" s="6">
        <v>442</v>
      </c>
      <c r="L43" s="6">
        <v>1</v>
      </c>
      <c r="M43" s="6">
        <v>1</v>
      </c>
    </row>
    <row r="44" spans="1:13" x14ac:dyDescent="0.3">
      <c r="A44" s="6">
        <v>2</v>
      </c>
      <c r="B44" s="6" t="s">
        <v>1248</v>
      </c>
      <c r="C44" s="6" t="s">
        <v>1245</v>
      </c>
      <c r="D44" s="6">
        <v>100</v>
      </c>
      <c r="E44" s="6">
        <v>2.1725538001192039E-2</v>
      </c>
      <c r="F44" s="6">
        <v>0.5323402185455357</v>
      </c>
      <c r="G44" s="6">
        <v>6.1510589046363571E-8</v>
      </c>
      <c r="H44" s="6" t="str">
        <f>HYPERLINK("plots_Diabetes/Gradient Descent Armijo_plot_2.png", "Vedi grafico")</f>
        <v>Vedi grafico</v>
      </c>
      <c r="I44" s="7"/>
      <c r="J44" s="6">
        <v>10</v>
      </c>
      <c r="K44" s="6">
        <v>442</v>
      </c>
      <c r="L44" s="6">
        <v>1</v>
      </c>
      <c r="M44" s="6">
        <v>1</v>
      </c>
    </row>
    <row r="45" spans="1:13" x14ac:dyDescent="0.3">
      <c r="A45" s="6">
        <v>2</v>
      </c>
      <c r="B45" s="6" t="s">
        <v>1248</v>
      </c>
      <c r="C45" s="6" t="s">
        <v>1246</v>
      </c>
      <c r="D45" s="6">
        <v>99</v>
      </c>
      <c r="E45" s="6">
        <v>1.458816913000192</v>
      </c>
      <c r="F45" s="6">
        <v>0.53234021856426617</v>
      </c>
      <c r="G45" s="6">
        <v>2.3027814265670322E-6</v>
      </c>
      <c r="H45" s="6" t="str">
        <f>HYPERLINK("plots_Diabetes/Jacobi_plot_2.png", "Vedi grafico")</f>
        <v>Vedi grafico</v>
      </c>
      <c r="I45" s="7"/>
      <c r="J45" s="6">
        <v>10</v>
      </c>
      <c r="K45" s="6">
        <v>442</v>
      </c>
      <c r="L45" s="6">
        <v>4</v>
      </c>
      <c r="M45" s="6">
        <v>7</v>
      </c>
    </row>
    <row r="46" spans="1:13" x14ac:dyDescent="0.3">
      <c r="A46" s="6">
        <v>2</v>
      </c>
      <c r="B46" s="7"/>
      <c r="C46" s="7"/>
      <c r="D46" s="7"/>
      <c r="E46" s="7"/>
      <c r="F46" s="6" t="s">
        <v>1247</v>
      </c>
      <c r="G46" s="7"/>
      <c r="H46" s="6" t="str">
        <f>HYPERLINK("plots_Diabetes/loss_overlay.png", "Vedi grafico")</f>
        <v>Vedi grafico</v>
      </c>
      <c r="I46" s="7"/>
      <c r="J46" s="7"/>
      <c r="K46" s="7"/>
      <c r="L46" s="7"/>
      <c r="M46" s="7"/>
    </row>
    <row r="47" spans="1:13" x14ac:dyDescent="0.3">
      <c r="A47" s="6">
        <v>2</v>
      </c>
      <c r="B47" s="6" t="s">
        <v>1249</v>
      </c>
      <c r="C47" s="6" t="s">
        <v>1243</v>
      </c>
      <c r="D47" s="6">
        <v>99</v>
      </c>
      <c r="E47" s="6">
        <v>0.48835863600106683</v>
      </c>
      <c r="F47" s="6">
        <v>0.34434747737806543</v>
      </c>
      <c r="G47" s="6">
        <v>2.2158412220333128E-6</v>
      </c>
      <c r="H47" s="6" t="str">
        <f>HYPERLINK("plots_Digits/Gauss-Seidel_plot_2.png", "Vedi grafico")</f>
        <v>Vedi grafico</v>
      </c>
      <c r="I47" s="7"/>
      <c r="J47" s="6">
        <v>64</v>
      </c>
      <c r="K47" s="6">
        <v>1797</v>
      </c>
      <c r="L47" s="6">
        <v>1</v>
      </c>
      <c r="M47" s="6">
        <v>7</v>
      </c>
    </row>
    <row r="48" spans="1:13" x14ac:dyDescent="0.3">
      <c r="A48" s="6">
        <v>2</v>
      </c>
      <c r="B48" s="6" t="s">
        <v>1249</v>
      </c>
      <c r="C48" s="6" t="s">
        <v>1244</v>
      </c>
      <c r="D48" s="6">
        <v>100</v>
      </c>
      <c r="E48" s="6">
        <v>3.64364460001525E-2</v>
      </c>
      <c r="F48" s="6">
        <v>0.34537500106744229</v>
      </c>
      <c r="G48" s="6">
        <v>1.9786438650008439E-2</v>
      </c>
      <c r="H48" s="6" t="str">
        <f>HYPERLINK("plots_Digits/Gradient Descent_plot_2.png", "Vedi grafico")</f>
        <v>Vedi grafico</v>
      </c>
      <c r="I48" s="7"/>
      <c r="J48" s="6">
        <v>64</v>
      </c>
      <c r="K48" s="6">
        <v>1797</v>
      </c>
      <c r="L48" s="6">
        <v>1</v>
      </c>
      <c r="M48" s="6">
        <v>1</v>
      </c>
    </row>
    <row r="49" spans="1:13" x14ac:dyDescent="0.3">
      <c r="A49" s="6">
        <v>2</v>
      </c>
      <c r="B49" s="6" t="s">
        <v>1249</v>
      </c>
      <c r="C49" s="6" t="s">
        <v>1245</v>
      </c>
      <c r="D49" s="6">
        <v>100</v>
      </c>
      <c r="E49" s="6">
        <v>4.8431178998725948E-2</v>
      </c>
      <c r="F49" s="6">
        <v>0.34434747736105209</v>
      </c>
      <c r="G49" s="6">
        <v>1.033194216913189E-7</v>
      </c>
      <c r="H49" s="6" t="str">
        <f>HYPERLINK("plots_Digits/Gradient Descent Armijo_plot_2.png", "Vedi grafico")</f>
        <v>Vedi grafico</v>
      </c>
      <c r="I49" s="7"/>
      <c r="J49" s="6">
        <v>64</v>
      </c>
      <c r="K49" s="6">
        <v>1797</v>
      </c>
      <c r="L49" s="6">
        <v>1</v>
      </c>
      <c r="M49" s="6">
        <v>1</v>
      </c>
    </row>
    <row r="50" spans="1:13" x14ac:dyDescent="0.3">
      <c r="A50" s="6">
        <v>2</v>
      </c>
      <c r="B50" s="6" t="s">
        <v>1249</v>
      </c>
      <c r="C50" s="6" t="s">
        <v>1246</v>
      </c>
      <c r="D50" s="6">
        <v>99</v>
      </c>
      <c r="E50" s="6">
        <v>3.636833934000606</v>
      </c>
      <c r="F50" s="6">
        <v>0.34434747738727312</v>
      </c>
      <c r="G50" s="6">
        <v>2.495035297973926E-6</v>
      </c>
      <c r="H50" s="6" t="str">
        <f>HYPERLINK("plots_Digits/Jacobi_plot_2.png", "Vedi grafico")</f>
        <v>Vedi grafico</v>
      </c>
      <c r="I50" s="7"/>
      <c r="J50" s="6">
        <v>64</v>
      </c>
      <c r="K50" s="6">
        <v>1797</v>
      </c>
      <c r="L50" s="6">
        <v>4</v>
      </c>
      <c r="M50" s="6">
        <v>7</v>
      </c>
    </row>
    <row r="51" spans="1:13" x14ac:dyDescent="0.3">
      <c r="A51" s="6">
        <v>2</v>
      </c>
      <c r="B51" s="7"/>
      <c r="C51" s="7"/>
      <c r="D51" s="7"/>
      <c r="E51" s="7"/>
      <c r="F51" s="6" t="s">
        <v>1247</v>
      </c>
      <c r="G51" s="7"/>
      <c r="H51" s="6" t="str">
        <f>HYPERLINK("plots_Digits/loss_overlay.png", "Vedi grafico")</f>
        <v>Vedi grafico</v>
      </c>
      <c r="I51" s="7"/>
      <c r="J51" s="7"/>
      <c r="K51" s="7"/>
      <c r="L51" s="7"/>
      <c r="M51" s="7"/>
    </row>
    <row r="52" spans="1:13" x14ac:dyDescent="0.3">
      <c r="A52" s="6">
        <v>2</v>
      </c>
      <c r="B52" s="6" t="s">
        <v>1250</v>
      </c>
      <c r="C52" s="6" t="s">
        <v>1243</v>
      </c>
      <c r="D52" s="6">
        <v>7</v>
      </c>
      <c r="E52" s="6">
        <v>1.469298100164451E-2</v>
      </c>
      <c r="F52" s="6">
        <v>0.27704814805132388</v>
      </c>
      <c r="G52" s="6">
        <v>9.1062659785214536E-7</v>
      </c>
      <c r="H52" s="6" t="str">
        <f>HYPERLINK("plots_Iris/Gauss-Seidel_plot_2.png", "Vedi grafico")</f>
        <v>Vedi grafico</v>
      </c>
      <c r="I52" s="7"/>
      <c r="J52" s="6">
        <v>4</v>
      </c>
      <c r="K52" s="6">
        <v>150</v>
      </c>
      <c r="L52" s="6">
        <v>1</v>
      </c>
      <c r="M52" s="6">
        <v>7</v>
      </c>
    </row>
    <row r="53" spans="1:13" x14ac:dyDescent="0.3">
      <c r="A53" s="6">
        <v>2</v>
      </c>
      <c r="B53" s="6" t="s">
        <v>1250</v>
      </c>
      <c r="C53" s="6" t="s">
        <v>1244</v>
      </c>
      <c r="D53" s="6">
        <v>100</v>
      </c>
      <c r="E53" s="6">
        <v>1.0483149000719999E-2</v>
      </c>
      <c r="F53" s="6">
        <v>0.27776652481322572</v>
      </c>
      <c r="G53" s="6">
        <v>1.8187512148941268E-2</v>
      </c>
      <c r="H53" s="6" t="str">
        <f>HYPERLINK("plots_Iris/Gradient Descent_plot_2.png", "Vedi grafico")</f>
        <v>Vedi grafico</v>
      </c>
      <c r="I53" s="7"/>
      <c r="J53" s="6">
        <v>4</v>
      </c>
      <c r="K53" s="6">
        <v>150</v>
      </c>
      <c r="L53" s="6">
        <v>1</v>
      </c>
      <c r="M53" s="6">
        <v>1</v>
      </c>
    </row>
    <row r="54" spans="1:13" x14ac:dyDescent="0.3">
      <c r="A54" s="6">
        <v>2</v>
      </c>
      <c r="B54" s="6" t="s">
        <v>1250</v>
      </c>
      <c r="C54" s="6" t="s">
        <v>1245</v>
      </c>
      <c r="D54" s="6">
        <v>100</v>
      </c>
      <c r="E54" s="6">
        <v>2.1334732000468652E-2</v>
      </c>
      <c r="F54" s="6">
        <v>0.2770481480474194</v>
      </c>
      <c r="G54" s="6">
        <v>1.0008744736275179E-7</v>
      </c>
      <c r="H54" s="6" t="str">
        <f>HYPERLINK("plots_Iris/Gradient Descent Armijo_plot_2.png", "Vedi grafico")</f>
        <v>Vedi grafico</v>
      </c>
      <c r="I54" s="7"/>
      <c r="J54" s="6">
        <v>4</v>
      </c>
      <c r="K54" s="6">
        <v>150</v>
      </c>
      <c r="L54" s="6">
        <v>1</v>
      </c>
      <c r="M54" s="6">
        <v>1</v>
      </c>
    </row>
    <row r="55" spans="1:13" x14ac:dyDescent="0.3">
      <c r="A55" s="6">
        <v>2</v>
      </c>
      <c r="B55" s="6" t="s">
        <v>1250</v>
      </c>
      <c r="C55" s="6" t="s">
        <v>1246</v>
      </c>
      <c r="D55" s="6">
        <v>7</v>
      </c>
      <c r="E55" s="6">
        <v>0.1211033979998319</v>
      </c>
      <c r="F55" s="6">
        <v>0.27704814805132388</v>
      </c>
      <c r="G55" s="6">
        <v>9.1062659785214536E-7</v>
      </c>
      <c r="H55" s="6" t="str">
        <f>HYPERLINK("plots_Iris/Jacobi_plot_2.png", "Vedi grafico")</f>
        <v>Vedi grafico</v>
      </c>
      <c r="I55" s="7"/>
      <c r="J55" s="6">
        <v>4</v>
      </c>
      <c r="K55" s="6">
        <v>150</v>
      </c>
      <c r="L55" s="6">
        <v>4</v>
      </c>
      <c r="M55" s="6">
        <v>7</v>
      </c>
    </row>
    <row r="56" spans="1:13" x14ac:dyDescent="0.3">
      <c r="A56" s="6">
        <v>2</v>
      </c>
      <c r="B56" s="7"/>
      <c r="C56" s="7"/>
      <c r="D56" s="7"/>
      <c r="E56" s="7"/>
      <c r="F56" s="6" t="s">
        <v>1247</v>
      </c>
      <c r="G56" s="7"/>
      <c r="H56" s="6" t="str">
        <f>HYPERLINK("plots_Iris/loss_overlay.png", "Vedi grafico")</f>
        <v>Vedi grafico</v>
      </c>
      <c r="I56" s="7"/>
      <c r="J56" s="7"/>
      <c r="K56" s="7"/>
      <c r="L56" s="7"/>
      <c r="M56" s="7"/>
    </row>
    <row r="57" spans="1:13" x14ac:dyDescent="0.3">
      <c r="A57" s="6">
        <v>2</v>
      </c>
      <c r="B57" s="6" t="s">
        <v>1251</v>
      </c>
      <c r="C57" s="6" t="s">
        <v>1243</v>
      </c>
      <c r="D57" s="6">
        <v>99</v>
      </c>
      <c r="E57" s="6">
        <v>0.13926153499960489</v>
      </c>
      <c r="F57" s="6">
        <v>0.28687255999510908</v>
      </c>
      <c r="G57" s="6">
        <v>2.314461151830829E-6</v>
      </c>
      <c r="H57" s="6" t="str">
        <f>HYPERLINK("plots_Wine/Gauss-Seidel_plot_2.png", "Vedi grafico")</f>
        <v>Vedi grafico</v>
      </c>
      <c r="I57" s="7"/>
      <c r="J57" s="6">
        <v>13</v>
      </c>
      <c r="K57" s="6">
        <v>178</v>
      </c>
      <c r="L57" s="6">
        <v>1</v>
      </c>
      <c r="M57" s="6">
        <v>7</v>
      </c>
    </row>
    <row r="58" spans="1:13" x14ac:dyDescent="0.3">
      <c r="A58" s="6">
        <v>2</v>
      </c>
      <c r="B58" s="6" t="s">
        <v>1251</v>
      </c>
      <c r="C58" s="6" t="s">
        <v>1244</v>
      </c>
      <c r="D58" s="6">
        <v>100</v>
      </c>
      <c r="E58" s="6">
        <v>8.8133039989770623E-3</v>
      </c>
      <c r="F58" s="6">
        <v>0.288147784334295</v>
      </c>
      <c r="G58" s="6">
        <v>2.226338153822115E-2</v>
      </c>
      <c r="H58" s="6" t="str">
        <f>HYPERLINK("plots_Wine/Gradient Descent_plot_2.png", "Vedi grafico")</f>
        <v>Vedi grafico</v>
      </c>
      <c r="I58" s="7"/>
      <c r="J58" s="6">
        <v>13</v>
      </c>
      <c r="K58" s="6">
        <v>178</v>
      </c>
      <c r="L58" s="6">
        <v>1</v>
      </c>
      <c r="M58" s="6">
        <v>1</v>
      </c>
    </row>
    <row r="59" spans="1:13" x14ac:dyDescent="0.3">
      <c r="A59" s="6">
        <v>2</v>
      </c>
      <c r="B59" s="6" t="s">
        <v>1251</v>
      </c>
      <c r="C59" s="6" t="s">
        <v>1245</v>
      </c>
      <c r="D59" s="6">
        <v>100</v>
      </c>
      <c r="E59" s="6">
        <v>2.1530089999941989E-2</v>
      </c>
      <c r="F59" s="6">
        <v>0.28687255997585598</v>
      </c>
      <c r="G59" s="6">
        <v>5.1639985112820927E-8</v>
      </c>
      <c r="H59" s="6" t="str">
        <f>HYPERLINK("plots_Wine/Gradient Descent Armijo_plot_2.png", "Vedi grafico")</f>
        <v>Vedi grafico</v>
      </c>
      <c r="I59" s="7"/>
      <c r="J59" s="6">
        <v>13</v>
      </c>
      <c r="K59" s="6">
        <v>178</v>
      </c>
      <c r="L59" s="6">
        <v>1</v>
      </c>
      <c r="M59" s="6">
        <v>1</v>
      </c>
    </row>
    <row r="60" spans="1:13" x14ac:dyDescent="0.3">
      <c r="A60" s="6">
        <v>2</v>
      </c>
      <c r="B60" s="6" t="s">
        <v>1251</v>
      </c>
      <c r="C60" s="6" t="s">
        <v>1246</v>
      </c>
      <c r="D60" s="6">
        <v>99</v>
      </c>
      <c r="E60" s="6">
        <v>1.25131870900077</v>
      </c>
      <c r="F60" s="6">
        <v>0.28687255999571221</v>
      </c>
      <c r="G60" s="6">
        <v>2.397096518257474E-6</v>
      </c>
      <c r="H60" s="6" t="str">
        <f>HYPERLINK("plots_Wine/Jacobi_plot_2.png", "Vedi grafico")</f>
        <v>Vedi grafico</v>
      </c>
      <c r="I60" s="7"/>
      <c r="J60" s="6">
        <v>13</v>
      </c>
      <c r="K60" s="6">
        <v>178</v>
      </c>
      <c r="L60" s="6">
        <v>4</v>
      </c>
      <c r="M60" s="6">
        <v>7</v>
      </c>
    </row>
    <row r="61" spans="1:13" x14ac:dyDescent="0.3">
      <c r="A61" s="6">
        <v>2</v>
      </c>
      <c r="B61" s="7"/>
      <c r="C61" s="7"/>
      <c r="D61" s="7"/>
      <c r="E61" s="7"/>
      <c r="F61" s="6" t="s">
        <v>1247</v>
      </c>
      <c r="G61" s="7"/>
      <c r="H61" s="6" t="str">
        <f>HYPERLINK("plots_Wine/loss_overlay.png", "Vedi grafico")</f>
        <v>Vedi grafico</v>
      </c>
      <c r="I61" s="7"/>
      <c r="J61" s="7"/>
      <c r="K61" s="7"/>
      <c r="L61" s="7"/>
      <c r="M61" s="7"/>
    </row>
    <row r="62" spans="1:13" x14ac:dyDescent="0.3">
      <c r="A62" s="6">
        <v>2</v>
      </c>
      <c r="B62" s="6" t="s">
        <v>1252</v>
      </c>
      <c r="C62" s="6" t="s">
        <v>1243</v>
      </c>
      <c r="D62" s="6">
        <v>99</v>
      </c>
      <c r="E62" s="6">
        <v>6.3676457479996316</v>
      </c>
      <c r="F62" s="6">
        <v>0.68096181067198269</v>
      </c>
      <c r="G62" s="6">
        <v>2.4172457946177011E-6</v>
      </c>
      <c r="H62" s="6" t="str">
        <f>HYPERLINK("plots_Fetch/Gauss-Seidel_plot_2.png", "Vedi grafico")</f>
        <v>Vedi grafico</v>
      </c>
      <c r="I62" s="7"/>
      <c r="J62" s="6">
        <v>1000</v>
      </c>
      <c r="K62" s="6">
        <v>1772</v>
      </c>
      <c r="L62" s="6">
        <v>1</v>
      </c>
      <c r="M62" s="6">
        <v>7</v>
      </c>
    </row>
    <row r="63" spans="1:13" x14ac:dyDescent="0.3">
      <c r="A63" s="6">
        <v>2</v>
      </c>
      <c r="B63" s="6" t="s">
        <v>1252</v>
      </c>
      <c r="C63" s="6" t="s">
        <v>1244</v>
      </c>
      <c r="D63" s="6">
        <v>100</v>
      </c>
      <c r="E63" s="6">
        <v>0.86196307799946226</v>
      </c>
      <c r="F63" s="6">
        <v>0.68246591166439041</v>
      </c>
      <c r="G63" s="6">
        <v>1.7870159283770851E-2</v>
      </c>
      <c r="H63" s="6" t="str">
        <f>HYPERLINK("plots_Fetch/Gradient Descent_plot_2.png", "Vedi grafico")</f>
        <v>Vedi grafico</v>
      </c>
      <c r="I63" s="7"/>
      <c r="J63" s="6">
        <v>1000</v>
      </c>
      <c r="K63" s="6">
        <v>1772</v>
      </c>
      <c r="L63" s="6">
        <v>1</v>
      </c>
      <c r="M63" s="6">
        <v>1</v>
      </c>
    </row>
    <row r="64" spans="1:13" x14ac:dyDescent="0.3">
      <c r="A64" s="6">
        <v>2</v>
      </c>
      <c r="B64" s="6" t="s">
        <v>1252</v>
      </c>
      <c r="C64" s="6" t="s">
        <v>1245</v>
      </c>
      <c r="D64" s="6">
        <v>100</v>
      </c>
      <c r="E64" s="6">
        <v>1.5034180140009989</v>
      </c>
      <c r="F64" s="6">
        <v>0.68096181064839212</v>
      </c>
      <c r="G64" s="6">
        <v>9.8127357946551937E-7</v>
      </c>
      <c r="H64" s="6" t="str">
        <f>HYPERLINK("plots_Fetch/Gradient Descent Armijo_plot_2.png", "Vedi grafico")</f>
        <v>Vedi grafico</v>
      </c>
      <c r="I64" s="7"/>
      <c r="J64" s="6">
        <v>1000</v>
      </c>
      <c r="K64" s="6">
        <v>1772</v>
      </c>
      <c r="L64" s="6">
        <v>1</v>
      </c>
      <c r="M64" s="6">
        <v>1</v>
      </c>
    </row>
    <row r="65" spans="1:13" x14ac:dyDescent="0.3">
      <c r="A65" s="6">
        <v>2</v>
      </c>
      <c r="B65" s="6" t="s">
        <v>1252</v>
      </c>
      <c r="C65" s="6" t="s">
        <v>1246</v>
      </c>
      <c r="D65" s="6">
        <v>99</v>
      </c>
      <c r="E65" s="6">
        <v>25.177691109000079</v>
      </c>
      <c r="F65" s="6">
        <v>0.68096181067582606</v>
      </c>
      <c r="G65" s="6">
        <v>2.5768638426781021E-6</v>
      </c>
      <c r="H65" s="6" t="str">
        <f>HYPERLINK("plots_Fetch/Jacobi_plot_2.png", "Vedi grafico")</f>
        <v>Vedi grafico</v>
      </c>
      <c r="I65" s="7"/>
      <c r="J65" s="6">
        <v>1000</v>
      </c>
      <c r="K65" s="6">
        <v>1772</v>
      </c>
      <c r="L65" s="6">
        <v>4</v>
      </c>
      <c r="M65" s="6">
        <v>7</v>
      </c>
    </row>
    <row r="66" spans="1:13" x14ac:dyDescent="0.3">
      <c r="A66" s="6">
        <v>2</v>
      </c>
      <c r="B66" s="7"/>
      <c r="C66" s="7"/>
      <c r="D66" s="7"/>
      <c r="E66" s="7"/>
      <c r="F66" s="6" t="s">
        <v>1247</v>
      </c>
      <c r="G66" s="7"/>
      <c r="H66" s="6" t="str">
        <f>HYPERLINK("plots_Fetch/loss_overlay.png", "Vedi grafico")</f>
        <v>Vedi grafico</v>
      </c>
      <c r="I66" s="7"/>
      <c r="J66" s="7"/>
      <c r="K66" s="7"/>
      <c r="L66" s="7"/>
      <c r="M66" s="7"/>
    </row>
    <row r="67" spans="1:13" x14ac:dyDescent="0.3">
      <c r="A67" s="6">
        <v>2</v>
      </c>
      <c r="B67" s="6" t="s">
        <v>1253</v>
      </c>
      <c r="C67" s="6" t="s">
        <v>1243</v>
      </c>
      <c r="D67" s="6">
        <v>99</v>
      </c>
      <c r="E67" s="6">
        <v>0.22989296500054479</v>
      </c>
      <c r="F67" s="6">
        <v>0.51015408034920928</v>
      </c>
      <c r="G67" s="6">
        <v>2.2036656599300852E-6</v>
      </c>
      <c r="H67" s="6" t="str">
        <f>HYPERLINK("plots_Adult/Gauss-Seidel_plot_2.png", "Vedi grafico")</f>
        <v>Vedi grafico</v>
      </c>
      <c r="I67" s="7"/>
      <c r="J67" s="6">
        <v>108</v>
      </c>
      <c r="K67" s="6">
        <v>500</v>
      </c>
      <c r="L67" s="6">
        <v>1</v>
      </c>
      <c r="M67" s="6">
        <v>7</v>
      </c>
    </row>
    <row r="68" spans="1:13" x14ac:dyDescent="0.3">
      <c r="A68" s="6">
        <v>2</v>
      </c>
      <c r="B68" s="6" t="s">
        <v>1253</v>
      </c>
      <c r="C68" s="6" t="s">
        <v>1244</v>
      </c>
      <c r="D68" s="6">
        <v>100</v>
      </c>
      <c r="E68" s="6">
        <v>1.4877950998197781E-2</v>
      </c>
      <c r="F68" s="6">
        <v>0.5121771278438636</v>
      </c>
      <c r="G68" s="6">
        <v>2.422305615100654E-2</v>
      </c>
      <c r="H68" s="6" t="str">
        <f>HYPERLINK("plots_Adult/Gradient Descent_plot_2.png", "Vedi grafico")</f>
        <v>Vedi grafico</v>
      </c>
      <c r="I68" s="7"/>
      <c r="J68" s="6">
        <v>108</v>
      </c>
      <c r="K68" s="6">
        <v>500</v>
      </c>
      <c r="L68" s="6">
        <v>1</v>
      </c>
      <c r="M68" s="6">
        <v>1</v>
      </c>
    </row>
    <row r="69" spans="1:13" x14ac:dyDescent="0.3">
      <c r="A69" s="6">
        <v>2</v>
      </c>
      <c r="B69" s="6" t="s">
        <v>1253</v>
      </c>
      <c r="C69" s="6" t="s">
        <v>1245</v>
      </c>
      <c r="D69" s="6">
        <v>100</v>
      </c>
      <c r="E69" s="6">
        <v>3.1311383998399833E-2</v>
      </c>
      <c r="F69" s="6">
        <v>0.51015408033466247</v>
      </c>
      <c r="G69" s="6">
        <v>4.9174024418088745E-7</v>
      </c>
      <c r="H69" s="6" t="str">
        <f>HYPERLINK("plots_Adult/Gradient Descent Armijo_plot_2.png", "Vedi grafico")</f>
        <v>Vedi grafico</v>
      </c>
      <c r="I69" s="7"/>
      <c r="J69" s="6">
        <v>108</v>
      </c>
      <c r="K69" s="6">
        <v>500</v>
      </c>
      <c r="L69" s="6">
        <v>1</v>
      </c>
      <c r="M69" s="6">
        <v>1</v>
      </c>
    </row>
    <row r="70" spans="1:13" x14ac:dyDescent="0.3">
      <c r="A70" s="6">
        <v>2</v>
      </c>
      <c r="B70" s="6" t="s">
        <v>1253</v>
      </c>
      <c r="C70" s="6" t="s">
        <v>1246</v>
      </c>
      <c r="D70" s="6">
        <v>99</v>
      </c>
      <c r="E70" s="6">
        <v>2.456414626998594</v>
      </c>
      <c r="F70" s="6">
        <v>0.51015408037953336</v>
      </c>
      <c r="G70" s="6">
        <v>3.3320544189853419E-6</v>
      </c>
      <c r="H70" s="6" t="str">
        <f>HYPERLINK("plots_Adult/Jacobi_plot_2.png", "Vedi grafico")</f>
        <v>Vedi grafico</v>
      </c>
      <c r="I70" s="7"/>
      <c r="J70" s="6">
        <v>108</v>
      </c>
      <c r="K70" s="6">
        <v>500</v>
      </c>
      <c r="L70" s="6">
        <v>4</v>
      </c>
      <c r="M70" s="6">
        <v>7</v>
      </c>
    </row>
    <row r="71" spans="1:13" x14ac:dyDescent="0.3">
      <c r="A71" s="6">
        <v>2</v>
      </c>
      <c r="B71" s="7"/>
      <c r="C71" s="7"/>
      <c r="D71" s="7"/>
      <c r="E71" s="7"/>
      <c r="F71" s="6" t="s">
        <v>1247</v>
      </c>
      <c r="G71" s="7"/>
      <c r="H71" s="6" t="str">
        <f>HYPERLINK("plots_Adult/loss_overlay.png", "Vedi grafico")</f>
        <v>Vedi grafico</v>
      </c>
      <c r="I71" s="7"/>
      <c r="J71" s="7"/>
      <c r="K71" s="7"/>
      <c r="L71" s="7"/>
      <c r="M71" s="7"/>
    </row>
    <row r="72" spans="1:13" x14ac:dyDescent="0.3">
      <c r="A72" s="8">
        <v>3</v>
      </c>
      <c r="B72" s="8" t="s">
        <v>1242</v>
      </c>
      <c r="C72" s="8" t="s">
        <v>1243</v>
      </c>
      <c r="D72" s="8">
        <v>99</v>
      </c>
      <c r="E72" s="8">
        <v>0.2012687389997154</v>
      </c>
      <c r="F72" s="8">
        <v>0.20987243077218989</v>
      </c>
      <c r="G72" s="8">
        <v>2.207144852934213E-6</v>
      </c>
      <c r="H72" s="8" t="str">
        <f>HYPERLINK("plots_Breast_Cancer/Gauss-Seidel_plot_3.png", "Vedi grafico")</f>
        <v>Vedi grafico</v>
      </c>
      <c r="I72" s="9"/>
      <c r="J72" s="8">
        <v>30</v>
      </c>
      <c r="K72" s="8">
        <v>569</v>
      </c>
      <c r="L72" s="8">
        <v>1</v>
      </c>
      <c r="M72" s="8">
        <v>6</v>
      </c>
    </row>
    <row r="73" spans="1:13" x14ac:dyDescent="0.3">
      <c r="A73" s="8">
        <v>3</v>
      </c>
      <c r="B73" s="8" t="s">
        <v>1242</v>
      </c>
      <c r="C73" s="8" t="s">
        <v>1244</v>
      </c>
      <c r="D73" s="8">
        <v>100</v>
      </c>
      <c r="E73" s="8">
        <v>1.1052529000153299E-2</v>
      </c>
      <c r="F73" s="8">
        <v>0.21024932776281</v>
      </c>
      <c r="G73" s="8">
        <v>1.207764533447778E-2</v>
      </c>
      <c r="H73" s="8" t="str">
        <f>HYPERLINK("plots_Breast_Cancer/Gradient Descent_plot_3.png", "Vedi grafico")</f>
        <v>Vedi grafico</v>
      </c>
      <c r="I73" s="9"/>
      <c r="J73" s="8">
        <v>30</v>
      </c>
      <c r="K73" s="8">
        <v>569</v>
      </c>
      <c r="L73" s="8">
        <v>1</v>
      </c>
      <c r="M73" s="8">
        <v>1</v>
      </c>
    </row>
    <row r="74" spans="1:13" x14ac:dyDescent="0.3">
      <c r="A74" s="8">
        <v>3</v>
      </c>
      <c r="B74" s="8" t="s">
        <v>1242</v>
      </c>
      <c r="C74" s="8" t="s">
        <v>1245</v>
      </c>
      <c r="D74" s="8">
        <v>100</v>
      </c>
      <c r="E74" s="8">
        <v>2.869961999931547E-2</v>
      </c>
      <c r="F74" s="8">
        <v>0.2098724307504316</v>
      </c>
      <c r="G74" s="8">
        <v>1.4925095899640461E-7</v>
      </c>
      <c r="H74" s="8" t="str">
        <f>HYPERLINK("plots_Breast_Cancer/Gradient Descent Armijo_plot_3.png", "Vedi grafico")</f>
        <v>Vedi grafico</v>
      </c>
      <c r="I74" s="9"/>
      <c r="J74" s="8">
        <v>30</v>
      </c>
      <c r="K74" s="8">
        <v>569</v>
      </c>
      <c r="L74" s="8">
        <v>1</v>
      </c>
      <c r="M74" s="8">
        <v>1</v>
      </c>
    </row>
    <row r="75" spans="1:13" x14ac:dyDescent="0.3">
      <c r="A75" s="8">
        <v>3</v>
      </c>
      <c r="B75" s="8" t="s">
        <v>1242</v>
      </c>
      <c r="C75" s="8" t="s">
        <v>1246</v>
      </c>
      <c r="D75" s="8">
        <v>99</v>
      </c>
      <c r="E75" s="8">
        <v>1.711396100001366</v>
      </c>
      <c r="F75" s="8">
        <v>0.2098724307734032</v>
      </c>
      <c r="G75" s="8">
        <v>2.244351085309618E-6</v>
      </c>
      <c r="H75" s="8" t="str">
        <f>HYPERLINK("plots_Breast_Cancer/Jacobi_plot_3.png", "Vedi grafico")</f>
        <v>Vedi grafico</v>
      </c>
      <c r="I75" s="9"/>
      <c r="J75" s="8">
        <v>30</v>
      </c>
      <c r="K75" s="8">
        <v>569</v>
      </c>
      <c r="L75" s="8">
        <v>4</v>
      </c>
      <c r="M75" s="8">
        <v>6</v>
      </c>
    </row>
    <row r="76" spans="1:13" x14ac:dyDescent="0.3">
      <c r="A76" s="8">
        <v>3</v>
      </c>
      <c r="B76" s="9"/>
      <c r="C76" s="9"/>
      <c r="D76" s="9"/>
      <c r="E76" s="9"/>
      <c r="F76" s="8" t="s">
        <v>1247</v>
      </c>
      <c r="G76" s="9"/>
      <c r="H76" s="8" t="str">
        <f>HYPERLINK("plots_Breast_Cancer/loss_overlay.png", "Vedi grafico")</f>
        <v>Vedi grafico</v>
      </c>
      <c r="I76" s="9"/>
      <c r="J76" s="9"/>
      <c r="K76" s="9"/>
      <c r="L76" s="9"/>
      <c r="M76" s="9"/>
    </row>
    <row r="77" spans="1:13" x14ac:dyDescent="0.3">
      <c r="A77" s="8">
        <v>3</v>
      </c>
      <c r="B77" s="8" t="s">
        <v>1248</v>
      </c>
      <c r="C77" s="8" t="s">
        <v>1243</v>
      </c>
      <c r="D77" s="8">
        <v>99</v>
      </c>
      <c r="E77" s="8">
        <v>0.2089323029995285</v>
      </c>
      <c r="F77" s="8">
        <v>0.53234021855862879</v>
      </c>
      <c r="G77" s="8">
        <v>2.1687535308214958E-6</v>
      </c>
      <c r="H77" s="8" t="str">
        <f>HYPERLINK("plots_Diabetes/Gauss-Seidel_plot_3.png", "Vedi grafico")</f>
        <v>Vedi grafico</v>
      </c>
      <c r="I77" s="9"/>
      <c r="J77" s="8">
        <v>10</v>
      </c>
      <c r="K77" s="8">
        <v>442</v>
      </c>
      <c r="L77" s="8">
        <v>1</v>
      </c>
      <c r="M77" s="8">
        <v>6</v>
      </c>
    </row>
    <row r="78" spans="1:13" x14ac:dyDescent="0.3">
      <c r="A78" s="8">
        <v>3</v>
      </c>
      <c r="B78" s="8" t="s">
        <v>1248</v>
      </c>
      <c r="C78" s="8" t="s">
        <v>1244</v>
      </c>
      <c r="D78" s="8">
        <v>100</v>
      </c>
      <c r="E78" s="8">
        <v>1.504245499927492E-2</v>
      </c>
      <c r="F78" s="8">
        <v>0.53263822042975961</v>
      </c>
      <c r="G78" s="8">
        <v>1.2182936658034649E-2</v>
      </c>
      <c r="H78" s="8" t="str">
        <f>HYPERLINK("plots_Diabetes/Gradient Descent_plot_3.png", "Vedi grafico")</f>
        <v>Vedi grafico</v>
      </c>
      <c r="I78" s="9"/>
      <c r="J78" s="8">
        <v>10</v>
      </c>
      <c r="K78" s="8">
        <v>442</v>
      </c>
      <c r="L78" s="8">
        <v>1</v>
      </c>
      <c r="M78" s="8">
        <v>1</v>
      </c>
    </row>
    <row r="79" spans="1:13" x14ac:dyDescent="0.3">
      <c r="A79" s="8">
        <v>3</v>
      </c>
      <c r="B79" s="8" t="s">
        <v>1248</v>
      </c>
      <c r="C79" s="8" t="s">
        <v>1245</v>
      </c>
      <c r="D79" s="8">
        <v>100</v>
      </c>
      <c r="E79" s="8">
        <v>2.190623699971184E-2</v>
      </c>
      <c r="F79" s="8">
        <v>0.5323402185455357</v>
      </c>
      <c r="G79" s="8">
        <v>6.1510589046363571E-8</v>
      </c>
      <c r="H79" s="8" t="str">
        <f>HYPERLINK("plots_Diabetes/Gradient Descent Armijo_plot_3.png", "Vedi grafico")</f>
        <v>Vedi grafico</v>
      </c>
      <c r="I79" s="9"/>
      <c r="J79" s="8">
        <v>10</v>
      </c>
      <c r="K79" s="8">
        <v>442</v>
      </c>
      <c r="L79" s="8">
        <v>1</v>
      </c>
      <c r="M79" s="8">
        <v>1</v>
      </c>
    </row>
    <row r="80" spans="1:13" x14ac:dyDescent="0.3">
      <c r="A80" s="8">
        <v>3</v>
      </c>
      <c r="B80" s="8" t="s">
        <v>1248</v>
      </c>
      <c r="C80" s="8" t="s">
        <v>1246</v>
      </c>
      <c r="D80" s="8">
        <v>99</v>
      </c>
      <c r="E80" s="8">
        <v>1.4112306959996199</v>
      </c>
      <c r="F80" s="8">
        <v>0.5323402185600018</v>
      </c>
      <c r="G80" s="8">
        <v>2.1196362062631349E-6</v>
      </c>
      <c r="H80" s="8" t="str">
        <f>HYPERLINK("plots_Diabetes/Jacobi_plot_3.png", "Vedi grafico")</f>
        <v>Vedi grafico</v>
      </c>
      <c r="I80" s="9"/>
      <c r="J80" s="8">
        <v>10</v>
      </c>
      <c r="K80" s="8">
        <v>442</v>
      </c>
      <c r="L80" s="8">
        <v>4</v>
      </c>
      <c r="M80" s="8">
        <v>6</v>
      </c>
    </row>
    <row r="81" spans="1:13" x14ac:dyDescent="0.3">
      <c r="A81" s="8">
        <v>3</v>
      </c>
      <c r="B81" s="9"/>
      <c r="C81" s="9"/>
      <c r="D81" s="9"/>
      <c r="E81" s="9"/>
      <c r="F81" s="8" t="s">
        <v>1247</v>
      </c>
      <c r="G81" s="9"/>
      <c r="H81" s="8" t="str">
        <f>HYPERLINK("plots_Diabetes/loss_overlay.png", "Vedi grafico")</f>
        <v>Vedi grafico</v>
      </c>
      <c r="I81" s="9"/>
      <c r="J81" s="9"/>
      <c r="K81" s="9"/>
      <c r="L81" s="9"/>
      <c r="M81" s="9"/>
    </row>
    <row r="82" spans="1:13" x14ac:dyDescent="0.3">
      <c r="A82" s="8">
        <v>3</v>
      </c>
      <c r="B82" s="8" t="s">
        <v>1249</v>
      </c>
      <c r="C82" s="8" t="s">
        <v>1243</v>
      </c>
      <c r="D82" s="8">
        <v>99</v>
      </c>
      <c r="E82" s="8">
        <v>0.36637283300115092</v>
      </c>
      <c r="F82" s="8">
        <v>0.34434747737945481</v>
      </c>
      <c r="G82" s="8">
        <v>2.2740318954806869E-6</v>
      </c>
      <c r="H82" s="8" t="str">
        <f>HYPERLINK("plots_Digits/Gauss-Seidel_plot_3.png", "Vedi grafico")</f>
        <v>Vedi grafico</v>
      </c>
      <c r="I82" s="9"/>
      <c r="J82" s="8">
        <v>64</v>
      </c>
      <c r="K82" s="8">
        <v>1797</v>
      </c>
      <c r="L82" s="8">
        <v>1</v>
      </c>
      <c r="M82" s="8">
        <v>6</v>
      </c>
    </row>
    <row r="83" spans="1:13" x14ac:dyDescent="0.3">
      <c r="A83" s="8">
        <v>3</v>
      </c>
      <c r="B83" s="8" t="s">
        <v>1249</v>
      </c>
      <c r="C83" s="8" t="s">
        <v>1244</v>
      </c>
      <c r="D83" s="8">
        <v>100</v>
      </c>
      <c r="E83" s="8">
        <v>2.142634500160057E-2</v>
      </c>
      <c r="F83" s="8">
        <v>0.34537500106744229</v>
      </c>
      <c r="G83" s="8">
        <v>1.9786438650008439E-2</v>
      </c>
      <c r="H83" s="8" t="str">
        <f>HYPERLINK("plots_Digits/Gradient Descent_plot_3.png", "Vedi grafico")</f>
        <v>Vedi grafico</v>
      </c>
      <c r="I83" s="9"/>
      <c r="J83" s="8">
        <v>64</v>
      </c>
      <c r="K83" s="8">
        <v>1797</v>
      </c>
      <c r="L83" s="8">
        <v>1</v>
      </c>
      <c r="M83" s="8">
        <v>1</v>
      </c>
    </row>
    <row r="84" spans="1:13" x14ac:dyDescent="0.3">
      <c r="A84" s="8">
        <v>3</v>
      </c>
      <c r="B84" s="8" t="s">
        <v>1249</v>
      </c>
      <c r="C84" s="8" t="s">
        <v>1245</v>
      </c>
      <c r="D84" s="8">
        <v>100</v>
      </c>
      <c r="E84" s="8">
        <v>4.8107996999533498E-2</v>
      </c>
      <c r="F84" s="8">
        <v>0.34434747736105209</v>
      </c>
      <c r="G84" s="8">
        <v>1.033194216913189E-7</v>
      </c>
      <c r="H84" s="8" t="str">
        <f>HYPERLINK("plots_Digits/Gradient Descent Armijo_plot_3.png", "Vedi grafico")</f>
        <v>Vedi grafico</v>
      </c>
      <c r="I84" s="9"/>
      <c r="J84" s="8">
        <v>64</v>
      </c>
      <c r="K84" s="8">
        <v>1797</v>
      </c>
      <c r="L84" s="8">
        <v>1</v>
      </c>
      <c r="M84" s="8">
        <v>1</v>
      </c>
    </row>
    <row r="85" spans="1:13" x14ac:dyDescent="0.3">
      <c r="A85" s="8">
        <v>3</v>
      </c>
      <c r="B85" s="8" t="s">
        <v>1249</v>
      </c>
      <c r="C85" s="8" t="s">
        <v>1246</v>
      </c>
      <c r="D85" s="8">
        <v>99</v>
      </c>
      <c r="E85" s="8">
        <v>3.3124083509992488</v>
      </c>
      <c r="F85" s="8">
        <v>0.34434747737884142</v>
      </c>
      <c r="G85" s="8">
        <v>2.077644021323302E-6</v>
      </c>
      <c r="H85" s="8" t="str">
        <f>HYPERLINK("plots_Digits/Jacobi_plot_3.png", "Vedi grafico")</f>
        <v>Vedi grafico</v>
      </c>
      <c r="I85" s="9"/>
      <c r="J85" s="8">
        <v>64</v>
      </c>
      <c r="K85" s="8">
        <v>1797</v>
      </c>
      <c r="L85" s="8">
        <v>4</v>
      </c>
      <c r="M85" s="8">
        <v>6</v>
      </c>
    </row>
    <row r="86" spans="1:13" x14ac:dyDescent="0.3">
      <c r="A86" s="8">
        <v>3</v>
      </c>
      <c r="B86" s="9"/>
      <c r="C86" s="9"/>
      <c r="D86" s="9"/>
      <c r="E86" s="9"/>
      <c r="F86" s="8" t="s">
        <v>1247</v>
      </c>
      <c r="G86" s="9"/>
      <c r="H86" s="8" t="str">
        <f>HYPERLINK("plots_Digits/loss_overlay.png", "Vedi grafico")</f>
        <v>Vedi grafico</v>
      </c>
      <c r="I86" s="9"/>
      <c r="J86" s="9"/>
      <c r="K86" s="9"/>
      <c r="L86" s="9"/>
      <c r="M86" s="9"/>
    </row>
    <row r="87" spans="1:13" x14ac:dyDescent="0.3">
      <c r="A87" s="8">
        <v>3</v>
      </c>
      <c r="B87" s="8" t="s">
        <v>1250</v>
      </c>
      <c r="C87" s="8" t="s">
        <v>1243</v>
      </c>
      <c r="D87" s="8">
        <v>7</v>
      </c>
      <c r="E87" s="8">
        <v>1.5761055999973909E-2</v>
      </c>
      <c r="F87" s="8">
        <v>0.27704814805132388</v>
      </c>
      <c r="G87" s="8">
        <v>9.1062659785214536E-7</v>
      </c>
      <c r="H87" s="8" t="str">
        <f>HYPERLINK("plots_Iris/Gauss-Seidel_plot_3.png", "Vedi grafico")</f>
        <v>Vedi grafico</v>
      </c>
      <c r="I87" s="9"/>
      <c r="J87" s="8">
        <v>4</v>
      </c>
      <c r="K87" s="8">
        <v>150</v>
      </c>
      <c r="L87" s="8">
        <v>1</v>
      </c>
      <c r="M87" s="8">
        <v>6</v>
      </c>
    </row>
    <row r="88" spans="1:13" x14ac:dyDescent="0.3">
      <c r="A88" s="8">
        <v>3</v>
      </c>
      <c r="B88" s="8" t="s">
        <v>1250</v>
      </c>
      <c r="C88" s="8" t="s">
        <v>1244</v>
      </c>
      <c r="D88" s="8">
        <v>100</v>
      </c>
      <c r="E88" s="8">
        <v>9.829320000790176E-3</v>
      </c>
      <c r="F88" s="8">
        <v>0.27776652481322572</v>
      </c>
      <c r="G88" s="8">
        <v>1.8187512148941268E-2</v>
      </c>
      <c r="H88" s="8" t="str">
        <f>HYPERLINK("plots_Iris/Gradient Descent_plot_3.png", "Vedi grafico")</f>
        <v>Vedi grafico</v>
      </c>
      <c r="I88" s="9"/>
      <c r="J88" s="8">
        <v>4</v>
      </c>
      <c r="K88" s="8">
        <v>150</v>
      </c>
      <c r="L88" s="8">
        <v>1</v>
      </c>
      <c r="M88" s="8">
        <v>1</v>
      </c>
    </row>
    <row r="89" spans="1:13" x14ac:dyDescent="0.3">
      <c r="A89" s="8">
        <v>3</v>
      </c>
      <c r="B89" s="8" t="s">
        <v>1250</v>
      </c>
      <c r="C89" s="8" t="s">
        <v>1245</v>
      </c>
      <c r="D89" s="8">
        <v>100</v>
      </c>
      <c r="E89" s="8">
        <v>1.6281824000543569E-2</v>
      </c>
      <c r="F89" s="8">
        <v>0.2770481480474194</v>
      </c>
      <c r="G89" s="8">
        <v>1.0008744736275179E-7</v>
      </c>
      <c r="H89" s="8" t="str">
        <f>HYPERLINK("plots_Iris/Gradient Descent Armijo_plot_3.png", "Vedi grafico")</f>
        <v>Vedi grafico</v>
      </c>
      <c r="I89" s="9"/>
      <c r="J89" s="8">
        <v>4</v>
      </c>
      <c r="K89" s="8">
        <v>150</v>
      </c>
      <c r="L89" s="8">
        <v>1</v>
      </c>
      <c r="M89" s="8">
        <v>1</v>
      </c>
    </row>
    <row r="90" spans="1:13" x14ac:dyDescent="0.3">
      <c r="A90" s="8">
        <v>3</v>
      </c>
      <c r="B90" s="8" t="s">
        <v>1250</v>
      </c>
      <c r="C90" s="8" t="s">
        <v>1246</v>
      </c>
      <c r="D90" s="8">
        <v>7</v>
      </c>
      <c r="E90" s="8">
        <v>0.1181568600004539</v>
      </c>
      <c r="F90" s="8">
        <v>0.27704814805132388</v>
      </c>
      <c r="G90" s="8">
        <v>9.1062659785214536E-7</v>
      </c>
      <c r="H90" s="8" t="str">
        <f>HYPERLINK("plots_Iris/Jacobi_plot_3.png", "Vedi grafico")</f>
        <v>Vedi grafico</v>
      </c>
      <c r="I90" s="9"/>
      <c r="J90" s="8">
        <v>4</v>
      </c>
      <c r="K90" s="8">
        <v>150</v>
      </c>
      <c r="L90" s="8">
        <v>4</v>
      </c>
      <c r="M90" s="8">
        <v>6</v>
      </c>
    </row>
    <row r="91" spans="1:13" x14ac:dyDescent="0.3">
      <c r="A91" s="8">
        <v>3</v>
      </c>
      <c r="B91" s="9"/>
      <c r="C91" s="9"/>
      <c r="D91" s="9"/>
      <c r="E91" s="9"/>
      <c r="F91" s="8" t="s">
        <v>1247</v>
      </c>
      <c r="G91" s="9"/>
      <c r="H91" s="8" t="str">
        <f>HYPERLINK("plots_Iris/loss_overlay.png", "Vedi grafico")</f>
        <v>Vedi grafico</v>
      </c>
      <c r="I91" s="9"/>
      <c r="J91" s="9"/>
      <c r="K91" s="9"/>
      <c r="L91" s="9"/>
      <c r="M91" s="9"/>
    </row>
    <row r="92" spans="1:13" x14ac:dyDescent="0.3">
      <c r="A92" s="8">
        <v>3</v>
      </c>
      <c r="B92" s="8" t="s">
        <v>1251</v>
      </c>
      <c r="C92" s="8" t="s">
        <v>1243</v>
      </c>
      <c r="D92" s="8">
        <v>99</v>
      </c>
      <c r="E92" s="8">
        <v>0.18988490300034749</v>
      </c>
      <c r="F92" s="8">
        <v>0.28687255999176298</v>
      </c>
      <c r="G92" s="8">
        <v>2.074861516348615E-6</v>
      </c>
      <c r="H92" s="8" t="str">
        <f>HYPERLINK("plots_Wine/Gauss-Seidel_plot_3.png", "Vedi grafico")</f>
        <v>Vedi grafico</v>
      </c>
      <c r="I92" s="9"/>
      <c r="J92" s="8">
        <v>13</v>
      </c>
      <c r="K92" s="8">
        <v>178</v>
      </c>
      <c r="L92" s="8">
        <v>1</v>
      </c>
      <c r="M92" s="8">
        <v>6</v>
      </c>
    </row>
    <row r="93" spans="1:13" x14ac:dyDescent="0.3">
      <c r="A93" s="8">
        <v>3</v>
      </c>
      <c r="B93" s="8" t="s">
        <v>1251</v>
      </c>
      <c r="C93" s="8" t="s">
        <v>1244</v>
      </c>
      <c r="D93" s="8">
        <v>100</v>
      </c>
      <c r="E93" s="8">
        <v>9.0550330005498836E-3</v>
      </c>
      <c r="F93" s="8">
        <v>0.288147784334295</v>
      </c>
      <c r="G93" s="8">
        <v>2.226338153822115E-2</v>
      </c>
      <c r="H93" s="8" t="str">
        <f>HYPERLINK("plots_Wine/Gradient Descent_plot_3.png", "Vedi grafico")</f>
        <v>Vedi grafico</v>
      </c>
      <c r="I93" s="9"/>
      <c r="J93" s="8">
        <v>13</v>
      </c>
      <c r="K93" s="8">
        <v>178</v>
      </c>
      <c r="L93" s="8">
        <v>1</v>
      </c>
      <c r="M93" s="8">
        <v>1</v>
      </c>
    </row>
    <row r="94" spans="1:13" x14ac:dyDescent="0.3">
      <c r="A94" s="8">
        <v>3</v>
      </c>
      <c r="B94" s="8" t="s">
        <v>1251</v>
      </c>
      <c r="C94" s="8" t="s">
        <v>1245</v>
      </c>
      <c r="D94" s="8">
        <v>100</v>
      </c>
      <c r="E94" s="8">
        <v>3.5503170000083628E-2</v>
      </c>
      <c r="F94" s="8">
        <v>0.28687255997585598</v>
      </c>
      <c r="G94" s="8">
        <v>5.1639985112820927E-8</v>
      </c>
      <c r="H94" s="8" t="str">
        <f>HYPERLINK("plots_Wine/Gradient Descent Armijo_plot_3.png", "Vedi grafico")</f>
        <v>Vedi grafico</v>
      </c>
      <c r="I94" s="9"/>
      <c r="J94" s="8">
        <v>13</v>
      </c>
      <c r="K94" s="8">
        <v>178</v>
      </c>
      <c r="L94" s="8">
        <v>1</v>
      </c>
      <c r="M94" s="8">
        <v>1</v>
      </c>
    </row>
    <row r="95" spans="1:13" x14ac:dyDescent="0.3">
      <c r="A95" s="8">
        <v>3</v>
      </c>
      <c r="B95" s="8" t="s">
        <v>1251</v>
      </c>
      <c r="C95" s="8" t="s">
        <v>1246</v>
      </c>
      <c r="D95" s="8">
        <v>99</v>
      </c>
      <c r="E95" s="8">
        <v>1.2524402710005229</v>
      </c>
      <c r="F95" s="8">
        <v>0.28687255999350941</v>
      </c>
      <c r="G95" s="8">
        <v>2.233644981611103E-6</v>
      </c>
      <c r="H95" s="8" t="str">
        <f>HYPERLINK("plots_Wine/Jacobi_plot_3.png", "Vedi grafico")</f>
        <v>Vedi grafico</v>
      </c>
      <c r="I95" s="9"/>
      <c r="J95" s="8">
        <v>13</v>
      </c>
      <c r="K95" s="8">
        <v>178</v>
      </c>
      <c r="L95" s="8">
        <v>4</v>
      </c>
      <c r="M95" s="8">
        <v>6</v>
      </c>
    </row>
    <row r="96" spans="1:13" x14ac:dyDescent="0.3">
      <c r="A96" s="8">
        <v>3</v>
      </c>
      <c r="B96" s="9"/>
      <c r="C96" s="9"/>
      <c r="D96" s="9"/>
      <c r="E96" s="9"/>
      <c r="F96" s="8" t="s">
        <v>1247</v>
      </c>
      <c r="G96" s="9"/>
      <c r="H96" s="8" t="str">
        <f>HYPERLINK("plots_Wine/loss_overlay.png", "Vedi grafico")</f>
        <v>Vedi grafico</v>
      </c>
      <c r="I96" s="9"/>
      <c r="J96" s="9"/>
      <c r="K96" s="9"/>
      <c r="L96" s="9"/>
      <c r="M96" s="9"/>
    </row>
    <row r="97" spans="1:13" x14ac:dyDescent="0.3">
      <c r="A97" s="8">
        <v>3</v>
      </c>
      <c r="B97" s="8" t="s">
        <v>1252</v>
      </c>
      <c r="C97" s="8" t="s">
        <v>1243</v>
      </c>
      <c r="D97" s="8">
        <v>99</v>
      </c>
      <c r="E97" s="8">
        <v>5.39169988499998</v>
      </c>
      <c r="F97" s="8">
        <v>0.68096181066903294</v>
      </c>
      <c r="G97" s="8">
        <v>2.287670034737886E-6</v>
      </c>
      <c r="H97" s="8" t="str">
        <f>HYPERLINK("plots_Fetch/Gauss-Seidel_plot_3.png", "Vedi grafico")</f>
        <v>Vedi grafico</v>
      </c>
      <c r="I97" s="9"/>
      <c r="J97" s="8">
        <v>1000</v>
      </c>
      <c r="K97" s="8">
        <v>1772</v>
      </c>
      <c r="L97" s="8">
        <v>1</v>
      </c>
      <c r="M97" s="8">
        <v>6</v>
      </c>
    </row>
    <row r="98" spans="1:13" x14ac:dyDescent="0.3">
      <c r="A98" s="8">
        <v>3</v>
      </c>
      <c r="B98" s="8" t="s">
        <v>1252</v>
      </c>
      <c r="C98" s="8" t="s">
        <v>1244</v>
      </c>
      <c r="D98" s="8">
        <v>100</v>
      </c>
      <c r="E98" s="8">
        <v>0.81369139500020538</v>
      </c>
      <c r="F98" s="8">
        <v>0.68246591166439041</v>
      </c>
      <c r="G98" s="8">
        <v>1.7870159283770851E-2</v>
      </c>
      <c r="H98" s="8" t="str">
        <f>HYPERLINK("plots_Fetch/Gradient Descent_plot_3.png", "Vedi grafico")</f>
        <v>Vedi grafico</v>
      </c>
      <c r="I98" s="9"/>
      <c r="J98" s="8">
        <v>1000</v>
      </c>
      <c r="K98" s="8">
        <v>1772</v>
      </c>
      <c r="L98" s="8">
        <v>1</v>
      </c>
      <c r="M98" s="8">
        <v>1</v>
      </c>
    </row>
    <row r="99" spans="1:13" x14ac:dyDescent="0.3">
      <c r="A99" s="8">
        <v>3</v>
      </c>
      <c r="B99" s="8" t="s">
        <v>1252</v>
      </c>
      <c r="C99" s="8" t="s">
        <v>1245</v>
      </c>
      <c r="D99" s="8">
        <v>100</v>
      </c>
      <c r="E99" s="8">
        <v>1.304953102000582</v>
      </c>
      <c r="F99" s="8">
        <v>0.68096181064839212</v>
      </c>
      <c r="G99" s="8">
        <v>9.8127357946551937E-7</v>
      </c>
      <c r="H99" s="8" t="str">
        <f>HYPERLINK("plots_Fetch/Gradient Descent Armijo_plot_3.png", "Vedi grafico")</f>
        <v>Vedi grafico</v>
      </c>
      <c r="I99" s="9"/>
      <c r="J99" s="8">
        <v>1000</v>
      </c>
      <c r="K99" s="8">
        <v>1772</v>
      </c>
      <c r="L99" s="8">
        <v>1</v>
      </c>
      <c r="M99" s="8">
        <v>1</v>
      </c>
    </row>
    <row r="100" spans="1:13" x14ac:dyDescent="0.3">
      <c r="A100" s="8">
        <v>3</v>
      </c>
      <c r="B100" s="8" t="s">
        <v>1252</v>
      </c>
      <c r="C100" s="8" t="s">
        <v>1246</v>
      </c>
      <c r="D100" s="8">
        <v>99</v>
      </c>
      <c r="E100" s="8">
        <v>24.4348746529995</v>
      </c>
      <c r="F100" s="8">
        <v>0.68096181066979611</v>
      </c>
      <c r="G100" s="8">
        <v>2.3213945399127628E-6</v>
      </c>
      <c r="H100" s="8" t="str">
        <f>HYPERLINK("plots_Fetch/Jacobi_plot_3.png", "Vedi grafico")</f>
        <v>Vedi grafico</v>
      </c>
      <c r="I100" s="9"/>
      <c r="J100" s="8">
        <v>1000</v>
      </c>
      <c r="K100" s="8">
        <v>1772</v>
      </c>
      <c r="L100" s="8">
        <v>4</v>
      </c>
      <c r="M100" s="8">
        <v>6</v>
      </c>
    </row>
    <row r="101" spans="1:13" x14ac:dyDescent="0.3">
      <c r="A101" s="8">
        <v>3</v>
      </c>
      <c r="B101" s="9"/>
      <c r="C101" s="9"/>
      <c r="D101" s="9"/>
      <c r="E101" s="9"/>
      <c r="F101" s="8" t="s">
        <v>1247</v>
      </c>
      <c r="G101" s="9"/>
      <c r="H101" s="8" t="str">
        <f>HYPERLINK("plots_Fetch/loss_overlay.png", "Vedi grafico")</f>
        <v>Vedi grafico</v>
      </c>
      <c r="I101" s="9"/>
      <c r="J101" s="9"/>
      <c r="K101" s="9"/>
      <c r="L101" s="9"/>
      <c r="M101" s="9"/>
    </row>
    <row r="102" spans="1:13" x14ac:dyDescent="0.3">
      <c r="A102" s="8">
        <v>3</v>
      </c>
      <c r="B102" s="8" t="s">
        <v>1253</v>
      </c>
      <c r="C102" s="8" t="s">
        <v>1243</v>
      </c>
      <c r="D102" s="8">
        <v>99</v>
      </c>
      <c r="E102" s="8">
        <v>0.20436185899961859</v>
      </c>
      <c r="F102" s="8">
        <v>0.51015408034888909</v>
      </c>
      <c r="G102" s="8">
        <v>2.1360375435192421E-6</v>
      </c>
      <c r="H102" s="8" t="str">
        <f>HYPERLINK("plots_Adult/Gauss-Seidel_plot_3.png", "Vedi grafico")</f>
        <v>Vedi grafico</v>
      </c>
      <c r="I102" s="9"/>
      <c r="J102" s="8">
        <v>108</v>
      </c>
      <c r="K102" s="8">
        <v>500</v>
      </c>
      <c r="L102" s="8">
        <v>1</v>
      </c>
      <c r="M102" s="8">
        <v>6</v>
      </c>
    </row>
    <row r="103" spans="1:13" x14ac:dyDescent="0.3">
      <c r="A103" s="8">
        <v>3</v>
      </c>
      <c r="B103" s="8" t="s">
        <v>1253</v>
      </c>
      <c r="C103" s="8" t="s">
        <v>1244</v>
      </c>
      <c r="D103" s="8">
        <v>100</v>
      </c>
      <c r="E103" s="8">
        <v>1.3795744000162809E-2</v>
      </c>
      <c r="F103" s="8">
        <v>0.5121771278438636</v>
      </c>
      <c r="G103" s="8">
        <v>2.422305615100654E-2</v>
      </c>
      <c r="H103" s="8" t="str">
        <f>HYPERLINK("plots_Adult/Gradient Descent_plot_3.png", "Vedi grafico")</f>
        <v>Vedi grafico</v>
      </c>
      <c r="I103" s="9"/>
      <c r="J103" s="8">
        <v>108</v>
      </c>
      <c r="K103" s="8">
        <v>500</v>
      </c>
      <c r="L103" s="8">
        <v>1</v>
      </c>
      <c r="M103" s="8">
        <v>1</v>
      </c>
    </row>
    <row r="104" spans="1:13" x14ac:dyDescent="0.3">
      <c r="A104" s="8">
        <v>3</v>
      </c>
      <c r="B104" s="8" t="s">
        <v>1253</v>
      </c>
      <c r="C104" s="8" t="s">
        <v>1245</v>
      </c>
      <c r="D104" s="8">
        <v>100</v>
      </c>
      <c r="E104" s="8">
        <v>2.8813083001296039E-2</v>
      </c>
      <c r="F104" s="8">
        <v>0.51015408033466247</v>
      </c>
      <c r="G104" s="8">
        <v>4.9174024418088745E-7</v>
      </c>
      <c r="H104" s="8" t="str">
        <f>HYPERLINK("plots_Adult/Gradient Descent Armijo_plot_3.png", "Vedi grafico")</f>
        <v>Vedi grafico</v>
      </c>
      <c r="I104" s="9"/>
      <c r="J104" s="8">
        <v>108</v>
      </c>
      <c r="K104" s="8">
        <v>500</v>
      </c>
      <c r="L104" s="8">
        <v>1</v>
      </c>
      <c r="M104" s="8">
        <v>1</v>
      </c>
    </row>
    <row r="105" spans="1:13" x14ac:dyDescent="0.3">
      <c r="A105" s="8">
        <v>3</v>
      </c>
      <c r="B105" s="8" t="s">
        <v>1253</v>
      </c>
      <c r="C105" s="8" t="s">
        <v>1246</v>
      </c>
      <c r="D105" s="8">
        <v>99</v>
      </c>
      <c r="E105" s="8">
        <v>2.0673125020002772</v>
      </c>
      <c r="F105" s="8">
        <v>0.51015408035557497</v>
      </c>
      <c r="G105" s="8">
        <v>2.1624856769397938E-6</v>
      </c>
      <c r="H105" s="8" t="str">
        <f>HYPERLINK("plots_Adult/Jacobi_plot_3.png", "Vedi grafico")</f>
        <v>Vedi grafico</v>
      </c>
      <c r="I105" s="9"/>
      <c r="J105" s="8">
        <v>108</v>
      </c>
      <c r="K105" s="8">
        <v>500</v>
      </c>
      <c r="L105" s="8">
        <v>4</v>
      </c>
      <c r="M105" s="8">
        <v>6</v>
      </c>
    </row>
    <row r="106" spans="1:13" x14ac:dyDescent="0.3">
      <c r="A106" s="8">
        <v>3</v>
      </c>
      <c r="B106" s="9"/>
      <c r="C106" s="9"/>
      <c r="D106" s="9"/>
      <c r="E106" s="9"/>
      <c r="F106" s="8" t="s">
        <v>1247</v>
      </c>
      <c r="G106" s="9"/>
      <c r="H106" s="8" t="str">
        <f>HYPERLINK("plots_Adult/loss_overlay.png", "Vedi grafico")</f>
        <v>Vedi grafico</v>
      </c>
      <c r="I106" s="9"/>
      <c r="J106" s="9"/>
      <c r="K106" s="9"/>
      <c r="L106" s="9"/>
      <c r="M106" s="9"/>
    </row>
    <row r="107" spans="1:13" x14ac:dyDescent="0.3">
      <c r="A107" s="10">
        <v>4</v>
      </c>
      <c r="B107" s="10" t="s">
        <v>1242</v>
      </c>
      <c r="C107" s="10" t="s">
        <v>1243</v>
      </c>
      <c r="D107" s="10">
        <v>99</v>
      </c>
      <c r="E107" s="10">
        <v>0.1812965090011858</v>
      </c>
      <c r="F107" s="10">
        <v>0.2098724307665488</v>
      </c>
      <c r="G107" s="10">
        <v>1.8928502210617229E-6</v>
      </c>
      <c r="H107" s="10" t="str">
        <f>HYPERLINK("plots_Breast_Cancer/Gauss-Seidel_plot_4.png", "Vedi grafico")</f>
        <v>Vedi grafico</v>
      </c>
      <c r="I107" s="11"/>
      <c r="J107" s="10">
        <v>30</v>
      </c>
      <c r="K107" s="10">
        <v>569</v>
      </c>
      <c r="L107" s="10">
        <v>1</v>
      </c>
      <c r="M107" s="10">
        <v>5</v>
      </c>
    </row>
    <row r="108" spans="1:13" x14ac:dyDescent="0.3">
      <c r="A108" s="10">
        <v>4</v>
      </c>
      <c r="B108" s="10" t="s">
        <v>1242</v>
      </c>
      <c r="C108" s="10" t="s">
        <v>1244</v>
      </c>
      <c r="D108" s="10">
        <v>100</v>
      </c>
      <c r="E108" s="10">
        <v>1.1895845000253759E-2</v>
      </c>
      <c r="F108" s="10">
        <v>0.21024932776281</v>
      </c>
      <c r="G108" s="10">
        <v>1.207764533447778E-2</v>
      </c>
      <c r="H108" s="10" t="str">
        <f>HYPERLINK("plots_Breast_Cancer/Gradient Descent_plot_4.png", "Vedi grafico")</f>
        <v>Vedi grafico</v>
      </c>
      <c r="I108" s="11"/>
      <c r="J108" s="10">
        <v>30</v>
      </c>
      <c r="K108" s="10">
        <v>569</v>
      </c>
      <c r="L108" s="10">
        <v>1</v>
      </c>
      <c r="M108" s="10">
        <v>1</v>
      </c>
    </row>
    <row r="109" spans="1:13" x14ac:dyDescent="0.3">
      <c r="A109" s="10">
        <v>4</v>
      </c>
      <c r="B109" s="10" t="s">
        <v>1242</v>
      </c>
      <c r="C109" s="10" t="s">
        <v>1245</v>
      </c>
      <c r="D109" s="10">
        <v>100</v>
      </c>
      <c r="E109" s="10">
        <v>3.2204051000007887E-2</v>
      </c>
      <c r="F109" s="10">
        <v>0.2098724307504316</v>
      </c>
      <c r="G109" s="10">
        <v>1.4925095899640461E-7</v>
      </c>
      <c r="H109" s="10" t="str">
        <f>HYPERLINK("plots_Breast_Cancer/Gradient Descent Armijo_plot_4.png", "Vedi grafico")</f>
        <v>Vedi grafico</v>
      </c>
      <c r="I109" s="11"/>
      <c r="J109" s="10">
        <v>30</v>
      </c>
      <c r="K109" s="10">
        <v>569</v>
      </c>
      <c r="L109" s="10">
        <v>1</v>
      </c>
      <c r="M109" s="10">
        <v>1</v>
      </c>
    </row>
    <row r="110" spans="1:13" x14ac:dyDescent="0.3">
      <c r="A110" s="10">
        <v>4</v>
      </c>
      <c r="B110" s="10" t="s">
        <v>1242</v>
      </c>
      <c r="C110" s="10" t="s">
        <v>1246</v>
      </c>
      <c r="D110" s="10">
        <v>99</v>
      </c>
      <c r="E110" s="10">
        <v>1.9473040289994969</v>
      </c>
      <c r="F110" s="10">
        <v>0.2098724307701699</v>
      </c>
      <c r="G110" s="10">
        <v>2.0611772674765781E-6</v>
      </c>
      <c r="H110" s="10" t="str">
        <f>HYPERLINK("plots_Breast_Cancer/Jacobi_plot_4.png", "Vedi grafico")</f>
        <v>Vedi grafico</v>
      </c>
      <c r="I110" s="11"/>
      <c r="J110" s="10">
        <v>30</v>
      </c>
      <c r="K110" s="10">
        <v>569</v>
      </c>
      <c r="L110" s="10">
        <v>4</v>
      </c>
      <c r="M110" s="10">
        <v>5</v>
      </c>
    </row>
    <row r="111" spans="1:13" x14ac:dyDescent="0.3">
      <c r="A111" s="10">
        <v>4</v>
      </c>
      <c r="B111" s="11"/>
      <c r="C111" s="11"/>
      <c r="D111" s="11"/>
      <c r="E111" s="11"/>
      <c r="F111" s="10" t="s">
        <v>1247</v>
      </c>
      <c r="G111" s="11"/>
      <c r="H111" s="10" t="str">
        <f>HYPERLINK("plots_Breast_Cancer/loss_overlay.png", "Vedi grafico")</f>
        <v>Vedi grafico</v>
      </c>
      <c r="I111" s="11"/>
      <c r="J111" s="11"/>
      <c r="K111" s="11"/>
      <c r="L111" s="11"/>
      <c r="M111" s="11"/>
    </row>
    <row r="112" spans="1:13" x14ac:dyDescent="0.3">
      <c r="A112" s="10">
        <v>4</v>
      </c>
      <c r="B112" s="10" t="s">
        <v>1248</v>
      </c>
      <c r="C112" s="10" t="s">
        <v>1243</v>
      </c>
      <c r="D112" s="10">
        <v>99</v>
      </c>
      <c r="E112" s="10">
        <v>0.14230740400125799</v>
      </c>
      <c r="F112" s="10">
        <v>0.53234021855789915</v>
      </c>
      <c r="G112" s="10">
        <v>1.863528377957195E-6</v>
      </c>
      <c r="H112" s="10" t="str">
        <f>HYPERLINK("plots_Diabetes/Gauss-Seidel_plot_4.png", "Vedi grafico")</f>
        <v>Vedi grafico</v>
      </c>
      <c r="I112" s="11"/>
      <c r="J112" s="10">
        <v>10</v>
      </c>
      <c r="K112" s="10">
        <v>442</v>
      </c>
      <c r="L112" s="10">
        <v>1</v>
      </c>
      <c r="M112" s="10">
        <v>5</v>
      </c>
    </row>
    <row r="113" spans="1:13" x14ac:dyDescent="0.3">
      <c r="A113" s="10">
        <v>4</v>
      </c>
      <c r="B113" s="10" t="s">
        <v>1248</v>
      </c>
      <c r="C113" s="10" t="s">
        <v>1244</v>
      </c>
      <c r="D113" s="10">
        <v>100</v>
      </c>
      <c r="E113" s="10">
        <v>1.2555208000776469E-2</v>
      </c>
      <c r="F113" s="10">
        <v>0.53263822042975961</v>
      </c>
      <c r="G113" s="10">
        <v>1.2182936658034649E-2</v>
      </c>
      <c r="H113" s="10" t="str">
        <f>HYPERLINK("plots_Diabetes/Gradient Descent_plot_4.png", "Vedi grafico")</f>
        <v>Vedi grafico</v>
      </c>
      <c r="I113" s="11"/>
      <c r="J113" s="10">
        <v>10</v>
      </c>
      <c r="K113" s="10">
        <v>442</v>
      </c>
      <c r="L113" s="10">
        <v>1</v>
      </c>
      <c r="M113" s="10">
        <v>1</v>
      </c>
    </row>
    <row r="114" spans="1:13" x14ac:dyDescent="0.3">
      <c r="A114" s="10">
        <v>4</v>
      </c>
      <c r="B114" s="10" t="s">
        <v>1248</v>
      </c>
      <c r="C114" s="10" t="s">
        <v>1245</v>
      </c>
      <c r="D114" s="10">
        <v>100</v>
      </c>
      <c r="E114" s="10">
        <v>2.4184654999771741E-2</v>
      </c>
      <c r="F114" s="10">
        <v>0.5323402185455357</v>
      </c>
      <c r="G114" s="10">
        <v>6.1510589046363571E-8</v>
      </c>
      <c r="H114" s="10" t="str">
        <f>HYPERLINK("plots_Diabetes/Gradient Descent Armijo_plot_4.png", "Vedi grafico")</f>
        <v>Vedi grafico</v>
      </c>
      <c r="I114" s="11"/>
      <c r="J114" s="10">
        <v>10</v>
      </c>
      <c r="K114" s="10">
        <v>442</v>
      </c>
      <c r="L114" s="10">
        <v>1</v>
      </c>
      <c r="M114" s="10">
        <v>1</v>
      </c>
    </row>
    <row r="115" spans="1:13" x14ac:dyDescent="0.3">
      <c r="A115" s="10">
        <v>4</v>
      </c>
      <c r="B115" s="10" t="s">
        <v>1248</v>
      </c>
      <c r="C115" s="10" t="s">
        <v>1246</v>
      </c>
      <c r="D115" s="10">
        <v>99</v>
      </c>
      <c r="E115" s="10">
        <v>1.29834379300155</v>
      </c>
      <c r="F115" s="10">
        <v>0.53234021855640556</v>
      </c>
      <c r="G115" s="10">
        <v>1.89881279857653E-6</v>
      </c>
      <c r="H115" s="10" t="str">
        <f>HYPERLINK("plots_Diabetes/Jacobi_plot_4.png", "Vedi grafico")</f>
        <v>Vedi grafico</v>
      </c>
      <c r="I115" s="11"/>
      <c r="J115" s="10">
        <v>10</v>
      </c>
      <c r="K115" s="10">
        <v>442</v>
      </c>
      <c r="L115" s="10">
        <v>4</v>
      </c>
      <c r="M115" s="10">
        <v>5</v>
      </c>
    </row>
    <row r="116" spans="1:13" x14ac:dyDescent="0.3">
      <c r="A116" s="10">
        <v>4</v>
      </c>
      <c r="B116" s="11"/>
      <c r="C116" s="11"/>
      <c r="D116" s="11"/>
      <c r="E116" s="11"/>
      <c r="F116" s="10" t="s">
        <v>1247</v>
      </c>
      <c r="G116" s="11"/>
      <c r="H116" s="10" t="str">
        <f>HYPERLINK("plots_Diabetes/loss_overlay.png", "Vedi grafico")</f>
        <v>Vedi grafico</v>
      </c>
      <c r="I116" s="11"/>
      <c r="J116" s="11"/>
      <c r="K116" s="11"/>
      <c r="L116" s="11"/>
      <c r="M116" s="11"/>
    </row>
    <row r="117" spans="1:13" x14ac:dyDescent="0.3">
      <c r="A117" s="10">
        <v>4</v>
      </c>
      <c r="B117" s="10" t="s">
        <v>1249</v>
      </c>
      <c r="C117" s="10" t="s">
        <v>1243</v>
      </c>
      <c r="D117" s="10">
        <v>99</v>
      </c>
      <c r="E117" s="10">
        <v>0.30480820099910488</v>
      </c>
      <c r="F117" s="10">
        <v>0.34434747737533378</v>
      </c>
      <c r="G117" s="10">
        <v>1.9138361269801621E-6</v>
      </c>
      <c r="H117" s="10" t="str">
        <f>HYPERLINK("plots_Digits/Gauss-Seidel_plot_4.png", "Vedi grafico")</f>
        <v>Vedi grafico</v>
      </c>
      <c r="I117" s="11"/>
      <c r="J117" s="10">
        <v>64</v>
      </c>
      <c r="K117" s="10">
        <v>1797</v>
      </c>
      <c r="L117" s="10">
        <v>1</v>
      </c>
      <c r="M117" s="10">
        <v>5</v>
      </c>
    </row>
    <row r="118" spans="1:13" x14ac:dyDescent="0.3">
      <c r="A118" s="10">
        <v>4</v>
      </c>
      <c r="B118" s="10" t="s">
        <v>1249</v>
      </c>
      <c r="C118" s="10" t="s">
        <v>1244</v>
      </c>
      <c r="D118" s="10">
        <v>100</v>
      </c>
      <c r="E118" s="10">
        <v>2.514716000041517E-2</v>
      </c>
      <c r="F118" s="10">
        <v>0.34537500106744229</v>
      </c>
      <c r="G118" s="10">
        <v>1.9786438650008439E-2</v>
      </c>
      <c r="H118" s="10" t="str">
        <f>HYPERLINK("plots_Digits/Gradient Descent_plot_4.png", "Vedi grafico")</f>
        <v>Vedi grafico</v>
      </c>
      <c r="I118" s="11"/>
      <c r="J118" s="10">
        <v>64</v>
      </c>
      <c r="K118" s="10">
        <v>1797</v>
      </c>
      <c r="L118" s="10">
        <v>1</v>
      </c>
      <c r="M118" s="10">
        <v>1</v>
      </c>
    </row>
    <row r="119" spans="1:13" x14ac:dyDescent="0.3">
      <c r="A119" s="10">
        <v>4</v>
      </c>
      <c r="B119" s="10" t="s">
        <v>1249</v>
      </c>
      <c r="C119" s="10" t="s">
        <v>1245</v>
      </c>
      <c r="D119" s="10">
        <v>100</v>
      </c>
      <c r="E119" s="10">
        <v>5.1953996000520419E-2</v>
      </c>
      <c r="F119" s="10">
        <v>0.34434747736105209</v>
      </c>
      <c r="G119" s="10">
        <v>1.033194216913189E-7</v>
      </c>
      <c r="H119" s="10" t="str">
        <f>HYPERLINK("plots_Digits/Gradient Descent Armijo_plot_4.png", "Vedi grafico")</f>
        <v>Vedi grafico</v>
      </c>
      <c r="I119" s="11"/>
      <c r="J119" s="10">
        <v>64</v>
      </c>
      <c r="K119" s="10">
        <v>1797</v>
      </c>
      <c r="L119" s="10">
        <v>1</v>
      </c>
      <c r="M119" s="10">
        <v>1</v>
      </c>
    </row>
    <row r="120" spans="1:13" x14ac:dyDescent="0.3">
      <c r="A120" s="10">
        <v>4</v>
      </c>
      <c r="B120" s="10" t="s">
        <v>1249</v>
      </c>
      <c r="C120" s="10" t="s">
        <v>1246</v>
      </c>
      <c r="D120" s="10">
        <v>99</v>
      </c>
      <c r="E120" s="10">
        <v>2.623816448000071</v>
      </c>
      <c r="F120" s="10">
        <v>0.34434747737802301</v>
      </c>
      <c r="G120" s="10">
        <v>2.069000614577601E-6</v>
      </c>
      <c r="H120" s="10" t="str">
        <f>HYPERLINK("plots_Digits/Jacobi_plot_4.png", "Vedi grafico")</f>
        <v>Vedi grafico</v>
      </c>
      <c r="I120" s="11"/>
      <c r="J120" s="10">
        <v>64</v>
      </c>
      <c r="K120" s="10">
        <v>1797</v>
      </c>
      <c r="L120" s="10">
        <v>4</v>
      </c>
      <c r="M120" s="10">
        <v>5</v>
      </c>
    </row>
    <row r="121" spans="1:13" x14ac:dyDescent="0.3">
      <c r="A121" s="10">
        <v>4</v>
      </c>
      <c r="B121" s="11"/>
      <c r="C121" s="11"/>
      <c r="D121" s="11"/>
      <c r="E121" s="11"/>
      <c r="F121" s="10" t="s">
        <v>1247</v>
      </c>
      <c r="G121" s="11"/>
      <c r="H121" s="10" t="str">
        <f>HYPERLINK("plots_Digits/loss_overlay.png", "Vedi grafico")</f>
        <v>Vedi grafico</v>
      </c>
      <c r="I121" s="11"/>
      <c r="J121" s="11"/>
      <c r="K121" s="11"/>
      <c r="L121" s="11"/>
      <c r="M121" s="11"/>
    </row>
    <row r="122" spans="1:13" x14ac:dyDescent="0.3">
      <c r="A122" s="10">
        <v>4</v>
      </c>
      <c r="B122" s="10" t="s">
        <v>1250</v>
      </c>
      <c r="C122" s="10" t="s">
        <v>1243</v>
      </c>
      <c r="D122" s="10">
        <v>7</v>
      </c>
      <c r="E122" s="10">
        <v>1.9511550000970601E-2</v>
      </c>
      <c r="F122" s="10">
        <v>0.27704814805132388</v>
      </c>
      <c r="G122" s="10">
        <v>9.1062659785214536E-7</v>
      </c>
      <c r="H122" s="10" t="str">
        <f>HYPERLINK("plots_Iris/Gauss-Seidel_plot_4.png", "Vedi grafico")</f>
        <v>Vedi grafico</v>
      </c>
      <c r="I122" s="11"/>
      <c r="J122" s="10">
        <v>4</v>
      </c>
      <c r="K122" s="10">
        <v>150</v>
      </c>
      <c r="L122" s="10">
        <v>1</v>
      </c>
      <c r="M122" s="10">
        <v>5</v>
      </c>
    </row>
    <row r="123" spans="1:13" x14ac:dyDescent="0.3">
      <c r="A123" s="10">
        <v>4</v>
      </c>
      <c r="B123" s="10" t="s">
        <v>1250</v>
      </c>
      <c r="C123" s="10" t="s">
        <v>1244</v>
      </c>
      <c r="D123" s="10">
        <v>100</v>
      </c>
      <c r="E123" s="10">
        <v>1.156972799981304E-2</v>
      </c>
      <c r="F123" s="10">
        <v>0.27776652481322572</v>
      </c>
      <c r="G123" s="10">
        <v>1.8187512148941268E-2</v>
      </c>
      <c r="H123" s="10" t="str">
        <f>HYPERLINK("plots_Iris/Gradient Descent_plot_4.png", "Vedi grafico")</f>
        <v>Vedi grafico</v>
      </c>
      <c r="I123" s="11"/>
      <c r="J123" s="10">
        <v>4</v>
      </c>
      <c r="K123" s="10">
        <v>150</v>
      </c>
      <c r="L123" s="10">
        <v>1</v>
      </c>
      <c r="M123" s="10">
        <v>1</v>
      </c>
    </row>
    <row r="124" spans="1:13" x14ac:dyDescent="0.3">
      <c r="A124" s="10">
        <v>4</v>
      </c>
      <c r="B124" s="10" t="s">
        <v>1250</v>
      </c>
      <c r="C124" s="10" t="s">
        <v>1245</v>
      </c>
      <c r="D124" s="10">
        <v>100</v>
      </c>
      <c r="E124" s="10">
        <v>1.986871100052667E-2</v>
      </c>
      <c r="F124" s="10">
        <v>0.2770481480474194</v>
      </c>
      <c r="G124" s="10">
        <v>1.0008744736275179E-7</v>
      </c>
      <c r="H124" s="10" t="str">
        <f>HYPERLINK("plots_Iris/Gradient Descent Armijo_plot_4.png", "Vedi grafico")</f>
        <v>Vedi grafico</v>
      </c>
      <c r="I124" s="11"/>
      <c r="J124" s="10">
        <v>4</v>
      </c>
      <c r="K124" s="10">
        <v>150</v>
      </c>
      <c r="L124" s="10">
        <v>1</v>
      </c>
      <c r="M124" s="10">
        <v>1</v>
      </c>
    </row>
    <row r="125" spans="1:13" x14ac:dyDescent="0.3">
      <c r="A125" s="10">
        <v>4</v>
      </c>
      <c r="B125" s="10" t="s">
        <v>1250</v>
      </c>
      <c r="C125" s="10" t="s">
        <v>1246</v>
      </c>
      <c r="D125" s="10">
        <v>7</v>
      </c>
      <c r="E125" s="10">
        <v>0.1107876589994703</v>
      </c>
      <c r="F125" s="10">
        <v>0.27704814805132388</v>
      </c>
      <c r="G125" s="10">
        <v>9.1062659785214536E-7</v>
      </c>
      <c r="H125" s="10" t="str">
        <f>HYPERLINK("plots_Iris/Jacobi_plot_4.png", "Vedi grafico")</f>
        <v>Vedi grafico</v>
      </c>
      <c r="I125" s="11"/>
      <c r="J125" s="10">
        <v>4</v>
      </c>
      <c r="K125" s="10">
        <v>150</v>
      </c>
      <c r="L125" s="10">
        <v>4</v>
      </c>
      <c r="M125" s="10">
        <v>5</v>
      </c>
    </row>
    <row r="126" spans="1:13" x14ac:dyDescent="0.3">
      <c r="A126" s="10">
        <v>4</v>
      </c>
      <c r="B126" s="11"/>
      <c r="C126" s="11"/>
      <c r="D126" s="11"/>
      <c r="E126" s="11"/>
      <c r="F126" s="10" t="s">
        <v>1247</v>
      </c>
      <c r="G126" s="11"/>
      <c r="H126" s="10" t="str">
        <f>HYPERLINK("plots_Iris/loss_overlay.png", "Vedi grafico")</f>
        <v>Vedi grafico</v>
      </c>
      <c r="I126" s="11"/>
      <c r="J126" s="11"/>
      <c r="K126" s="11"/>
      <c r="L126" s="11"/>
      <c r="M126" s="11"/>
    </row>
    <row r="127" spans="1:13" x14ac:dyDescent="0.3">
      <c r="A127" s="10">
        <v>4</v>
      </c>
      <c r="B127" s="10" t="s">
        <v>1251</v>
      </c>
      <c r="C127" s="10" t="s">
        <v>1243</v>
      </c>
      <c r="D127" s="10">
        <v>99</v>
      </c>
      <c r="E127" s="10">
        <v>0.1427007150014106</v>
      </c>
      <c r="F127" s="10">
        <v>0.28687255998738898</v>
      </c>
      <c r="G127" s="10">
        <v>1.8938372936443399E-6</v>
      </c>
      <c r="H127" s="10" t="str">
        <f>HYPERLINK("plots_Wine/Gauss-Seidel_plot_4.png", "Vedi grafico")</f>
        <v>Vedi grafico</v>
      </c>
      <c r="I127" s="11"/>
      <c r="J127" s="10">
        <v>13</v>
      </c>
      <c r="K127" s="10">
        <v>178</v>
      </c>
      <c r="L127" s="10">
        <v>1</v>
      </c>
      <c r="M127" s="10">
        <v>5</v>
      </c>
    </row>
    <row r="128" spans="1:13" x14ac:dyDescent="0.3">
      <c r="A128" s="10">
        <v>4</v>
      </c>
      <c r="B128" s="10" t="s">
        <v>1251</v>
      </c>
      <c r="C128" s="10" t="s">
        <v>1244</v>
      </c>
      <c r="D128" s="10">
        <v>100</v>
      </c>
      <c r="E128" s="10">
        <v>9.7741530007624533E-3</v>
      </c>
      <c r="F128" s="10">
        <v>0.288147784334295</v>
      </c>
      <c r="G128" s="10">
        <v>2.226338153822115E-2</v>
      </c>
      <c r="H128" s="10" t="str">
        <f>HYPERLINK("plots_Wine/Gradient Descent_plot_4.png", "Vedi grafico")</f>
        <v>Vedi grafico</v>
      </c>
      <c r="I128" s="11"/>
      <c r="J128" s="10">
        <v>13</v>
      </c>
      <c r="K128" s="10">
        <v>178</v>
      </c>
      <c r="L128" s="10">
        <v>1</v>
      </c>
      <c r="M128" s="10">
        <v>1</v>
      </c>
    </row>
    <row r="129" spans="1:13" x14ac:dyDescent="0.3">
      <c r="A129" s="10">
        <v>4</v>
      </c>
      <c r="B129" s="10" t="s">
        <v>1251</v>
      </c>
      <c r="C129" s="10" t="s">
        <v>1245</v>
      </c>
      <c r="D129" s="10">
        <v>100</v>
      </c>
      <c r="E129" s="10">
        <v>2.20399619993259E-2</v>
      </c>
      <c r="F129" s="10">
        <v>0.28687255997585598</v>
      </c>
      <c r="G129" s="10">
        <v>5.1639985112820927E-8</v>
      </c>
      <c r="H129" s="10" t="str">
        <f>HYPERLINK("plots_Wine/Gradient Descent Armijo_plot_4.png", "Vedi grafico")</f>
        <v>Vedi grafico</v>
      </c>
      <c r="I129" s="11"/>
      <c r="J129" s="10">
        <v>13</v>
      </c>
      <c r="K129" s="10">
        <v>178</v>
      </c>
      <c r="L129" s="10">
        <v>1</v>
      </c>
      <c r="M129" s="10">
        <v>1</v>
      </c>
    </row>
    <row r="130" spans="1:13" x14ac:dyDescent="0.3">
      <c r="A130" s="10">
        <v>4</v>
      </c>
      <c r="B130" s="10" t="s">
        <v>1251</v>
      </c>
      <c r="C130" s="10" t="s">
        <v>1246</v>
      </c>
      <c r="D130" s="10">
        <v>99</v>
      </c>
      <c r="E130" s="10">
        <v>1.2939735250001829</v>
      </c>
      <c r="F130" s="10">
        <v>0.28687255998980771</v>
      </c>
      <c r="G130" s="10">
        <v>2.005784897036644E-6</v>
      </c>
      <c r="H130" s="10" t="str">
        <f>HYPERLINK("plots_Wine/Jacobi_plot_4.png", "Vedi grafico")</f>
        <v>Vedi grafico</v>
      </c>
      <c r="I130" s="11"/>
      <c r="J130" s="10">
        <v>13</v>
      </c>
      <c r="K130" s="10">
        <v>178</v>
      </c>
      <c r="L130" s="10">
        <v>4</v>
      </c>
      <c r="M130" s="10">
        <v>5</v>
      </c>
    </row>
    <row r="131" spans="1:13" x14ac:dyDescent="0.3">
      <c r="A131" s="10">
        <v>4</v>
      </c>
      <c r="B131" s="11"/>
      <c r="C131" s="11"/>
      <c r="D131" s="11"/>
      <c r="E131" s="11"/>
      <c r="F131" s="10" t="s">
        <v>1247</v>
      </c>
      <c r="G131" s="11"/>
      <c r="H131" s="10" t="str">
        <f>HYPERLINK("plots_Wine/loss_overlay.png", "Vedi grafico")</f>
        <v>Vedi grafico</v>
      </c>
      <c r="I131" s="11"/>
      <c r="J131" s="11"/>
      <c r="K131" s="11"/>
      <c r="L131" s="11"/>
      <c r="M131" s="11"/>
    </row>
    <row r="132" spans="1:13" x14ac:dyDescent="0.3">
      <c r="A132" s="10">
        <v>4</v>
      </c>
      <c r="B132" s="10" t="s">
        <v>1252</v>
      </c>
      <c r="C132" s="10" t="s">
        <v>1243</v>
      </c>
      <c r="D132" s="10">
        <v>99</v>
      </c>
      <c r="E132" s="10">
        <v>5.5752761250005278</v>
      </c>
      <c r="F132" s="10">
        <v>0.68096181066531802</v>
      </c>
      <c r="G132" s="10">
        <v>2.1147300843531739E-6</v>
      </c>
      <c r="H132" s="10" t="str">
        <f>HYPERLINK("plots_Fetch/Gauss-Seidel_plot_4.png", "Vedi grafico")</f>
        <v>Vedi grafico</v>
      </c>
      <c r="I132" s="11"/>
      <c r="J132" s="10">
        <v>1000</v>
      </c>
      <c r="K132" s="10">
        <v>1772</v>
      </c>
      <c r="L132" s="10">
        <v>1</v>
      </c>
      <c r="M132" s="10">
        <v>5</v>
      </c>
    </row>
    <row r="133" spans="1:13" x14ac:dyDescent="0.3">
      <c r="A133" s="10">
        <v>4</v>
      </c>
      <c r="B133" s="10" t="s">
        <v>1252</v>
      </c>
      <c r="C133" s="10" t="s">
        <v>1244</v>
      </c>
      <c r="D133" s="10">
        <v>100</v>
      </c>
      <c r="E133" s="10">
        <v>0.90079753499958315</v>
      </c>
      <c r="F133" s="10">
        <v>0.68246591166439041</v>
      </c>
      <c r="G133" s="10">
        <v>1.7870159283770851E-2</v>
      </c>
      <c r="H133" s="10" t="str">
        <f>HYPERLINK("plots_Fetch/Gradient Descent_plot_4.png", "Vedi grafico")</f>
        <v>Vedi grafico</v>
      </c>
      <c r="I133" s="11"/>
      <c r="J133" s="10">
        <v>1000</v>
      </c>
      <c r="K133" s="10">
        <v>1772</v>
      </c>
      <c r="L133" s="10">
        <v>1</v>
      </c>
      <c r="M133" s="10">
        <v>1</v>
      </c>
    </row>
    <row r="134" spans="1:13" x14ac:dyDescent="0.3">
      <c r="A134" s="10">
        <v>4</v>
      </c>
      <c r="B134" s="10" t="s">
        <v>1252</v>
      </c>
      <c r="C134" s="10" t="s">
        <v>1245</v>
      </c>
      <c r="D134" s="10">
        <v>100</v>
      </c>
      <c r="E134" s="10">
        <v>1.4065703239994041</v>
      </c>
      <c r="F134" s="10">
        <v>0.68096181064839212</v>
      </c>
      <c r="G134" s="10">
        <v>9.8127357946551937E-7</v>
      </c>
      <c r="H134" s="10" t="str">
        <f>HYPERLINK("plots_Fetch/Gradient Descent Armijo_plot_4.png", "Vedi grafico")</f>
        <v>Vedi grafico</v>
      </c>
      <c r="I134" s="11"/>
      <c r="J134" s="10">
        <v>1000</v>
      </c>
      <c r="K134" s="10">
        <v>1772</v>
      </c>
      <c r="L134" s="10">
        <v>1</v>
      </c>
      <c r="M134" s="10">
        <v>1</v>
      </c>
    </row>
    <row r="135" spans="1:13" x14ac:dyDescent="0.3">
      <c r="A135" s="10">
        <v>4</v>
      </c>
      <c r="B135" s="10" t="s">
        <v>1252</v>
      </c>
      <c r="C135" s="10" t="s">
        <v>1246</v>
      </c>
      <c r="D135" s="10">
        <v>99</v>
      </c>
      <c r="E135" s="10">
        <v>23.126803322000342</v>
      </c>
      <c r="F135" s="10">
        <v>0.68096181066416206</v>
      </c>
      <c r="G135" s="10">
        <v>2.0561798461342851E-6</v>
      </c>
      <c r="H135" s="10" t="str">
        <f>HYPERLINK("plots_Fetch/Jacobi_plot_4.png", "Vedi grafico")</f>
        <v>Vedi grafico</v>
      </c>
      <c r="I135" s="11"/>
      <c r="J135" s="10">
        <v>1000</v>
      </c>
      <c r="K135" s="10">
        <v>1772</v>
      </c>
      <c r="L135" s="10">
        <v>4</v>
      </c>
      <c r="M135" s="10">
        <v>5</v>
      </c>
    </row>
    <row r="136" spans="1:13" x14ac:dyDescent="0.3">
      <c r="A136" s="10">
        <v>4</v>
      </c>
      <c r="B136" s="11"/>
      <c r="C136" s="11"/>
      <c r="D136" s="11"/>
      <c r="E136" s="11"/>
      <c r="F136" s="10" t="s">
        <v>1247</v>
      </c>
      <c r="G136" s="11"/>
      <c r="H136" s="10" t="str">
        <f>HYPERLINK("plots_Fetch/loss_overlay.png", "Vedi grafico")</f>
        <v>Vedi grafico</v>
      </c>
      <c r="I136" s="11"/>
      <c r="J136" s="11"/>
      <c r="K136" s="11"/>
      <c r="L136" s="11"/>
      <c r="M136" s="11"/>
    </row>
    <row r="137" spans="1:13" x14ac:dyDescent="0.3">
      <c r="A137" s="10">
        <v>4</v>
      </c>
      <c r="B137" s="10" t="s">
        <v>1253</v>
      </c>
      <c r="C137" s="10" t="s">
        <v>1243</v>
      </c>
      <c r="D137" s="10">
        <v>99</v>
      </c>
      <c r="E137" s="10">
        <v>0.18803951100017</v>
      </c>
      <c r="F137" s="10">
        <v>0.51015408034741627</v>
      </c>
      <c r="G137" s="10">
        <v>1.9925892142297448E-6</v>
      </c>
      <c r="H137" s="10" t="str">
        <f>HYPERLINK("plots_Adult/Gauss-Seidel_plot_4.png", "Vedi grafico")</f>
        <v>Vedi grafico</v>
      </c>
      <c r="I137" s="11"/>
      <c r="J137" s="10">
        <v>108</v>
      </c>
      <c r="K137" s="10">
        <v>500</v>
      </c>
      <c r="L137" s="10">
        <v>1</v>
      </c>
      <c r="M137" s="10">
        <v>5</v>
      </c>
    </row>
    <row r="138" spans="1:13" x14ac:dyDescent="0.3">
      <c r="A138" s="10">
        <v>4</v>
      </c>
      <c r="B138" s="10" t="s">
        <v>1253</v>
      </c>
      <c r="C138" s="10" t="s">
        <v>1244</v>
      </c>
      <c r="D138" s="10">
        <v>100</v>
      </c>
      <c r="E138" s="10">
        <v>1.242936999915401E-2</v>
      </c>
      <c r="F138" s="10">
        <v>0.5121771278438636</v>
      </c>
      <c r="G138" s="10">
        <v>2.422305615100654E-2</v>
      </c>
      <c r="H138" s="10" t="str">
        <f>HYPERLINK("plots_Adult/Gradient Descent_plot_4.png", "Vedi grafico")</f>
        <v>Vedi grafico</v>
      </c>
      <c r="I138" s="11"/>
      <c r="J138" s="10">
        <v>108</v>
      </c>
      <c r="K138" s="10">
        <v>500</v>
      </c>
      <c r="L138" s="10">
        <v>1</v>
      </c>
      <c r="M138" s="10">
        <v>1</v>
      </c>
    </row>
    <row r="139" spans="1:13" x14ac:dyDescent="0.3">
      <c r="A139" s="10">
        <v>4</v>
      </c>
      <c r="B139" s="10" t="s">
        <v>1253</v>
      </c>
      <c r="C139" s="10" t="s">
        <v>1245</v>
      </c>
      <c r="D139" s="10">
        <v>100</v>
      </c>
      <c r="E139" s="10">
        <v>3.1623450999177287E-2</v>
      </c>
      <c r="F139" s="10">
        <v>0.51015408033466247</v>
      </c>
      <c r="G139" s="10">
        <v>4.9174024418088745E-7</v>
      </c>
      <c r="H139" s="10" t="str">
        <f>HYPERLINK("plots_Adult/Gradient Descent Armijo_plot_4.png", "Vedi grafico")</f>
        <v>Vedi grafico</v>
      </c>
      <c r="I139" s="11"/>
      <c r="J139" s="10">
        <v>108</v>
      </c>
      <c r="K139" s="10">
        <v>500</v>
      </c>
      <c r="L139" s="10">
        <v>1</v>
      </c>
      <c r="M139" s="10">
        <v>1</v>
      </c>
    </row>
    <row r="140" spans="1:13" x14ac:dyDescent="0.3">
      <c r="A140" s="10">
        <v>4</v>
      </c>
      <c r="B140" s="10" t="s">
        <v>1253</v>
      </c>
      <c r="C140" s="10" t="s">
        <v>1246</v>
      </c>
      <c r="D140" s="10">
        <v>99</v>
      </c>
      <c r="E140" s="10">
        <v>1.752117730999089</v>
      </c>
      <c r="F140" s="10">
        <v>0.51015408035203802</v>
      </c>
      <c r="G140" s="10">
        <v>2.0078981840832138E-6</v>
      </c>
      <c r="H140" s="10" t="str">
        <f>HYPERLINK("plots_Adult/Jacobi_plot_4.png", "Vedi grafico")</f>
        <v>Vedi grafico</v>
      </c>
      <c r="I140" s="11"/>
      <c r="J140" s="10">
        <v>108</v>
      </c>
      <c r="K140" s="10">
        <v>500</v>
      </c>
      <c r="L140" s="10">
        <v>4</v>
      </c>
      <c r="M140" s="10">
        <v>5</v>
      </c>
    </row>
    <row r="141" spans="1:13" x14ac:dyDescent="0.3">
      <c r="A141" s="10">
        <v>4</v>
      </c>
      <c r="B141" s="11"/>
      <c r="C141" s="11"/>
      <c r="D141" s="11"/>
      <c r="E141" s="11"/>
      <c r="F141" s="10" t="s">
        <v>1247</v>
      </c>
      <c r="G141" s="11"/>
      <c r="H141" s="10" t="str">
        <f>HYPERLINK("plots_Adult/loss_overlay.png", "Vedi grafico")</f>
        <v>Vedi grafico</v>
      </c>
      <c r="I141" s="11"/>
      <c r="J141" s="11"/>
      <c r="K141" s="11"/>
      <c r="L141" s="11"/>
      <c r="M141" s="11"/>
    </row>
    <row r="142" spans="1:13" x14ac:dyDescent="0.3">
      <c r="A142" s="4">
        <v>5</v>
      </c>
      <c r="B142" s="4" t="s">
        <v>1242</v>
      </c>
      <c r="C142" s="4" t="s">
        <v>1243</v>
      </c>
      <c r="D142" s="4">
        <v>99</v>
      </c>
      <c r="E142" s="4">
        <v>0.1811283570004889</v>
      </c>
      <c r="F142" s="4">
        <v>0.20987243076431111</v>
      </c>
      <c r="G142" s="4">
        <v>1.7688934421459481E-6</v>
      </c>
      <c r="H142" s="4" t="str">
        <f>HYPERLINK("plots_Breast_Cancer/Gauss-Seidel_plot_5.png", "Vedi grafico")</f>
        <v>Vedi grafico</v>
      </c>
      <c r="I142" s="5"/>
      <c r="J142" s="4">
        <v>30</v>
      </c>
      <c r="K142" s="4">
        <v>569</v>
      </c>
      <c r="L142" s="4">
        <v>1</v>
      </c>
      <c r="M142" s="4">
        <v>4</v>
      </c>
    </row>
    <row r="143" spans="1:13" x14ac:dyDescent="0.3">
      <c r="A143" s="4">
        <v>5</v>
      </c>
      <c r="B143" s="4" t="s">
        <v>1242</v>
      </c>
      <c r="C143" s="4" t="s">
        <v>1244</v>
      </c>
      <c r="D143" s="4">
        <v>100</v>
      </c>
      <c r="E143" s="4">
        <v>1.2170668998805921E-2</v>
      </c>
      <c r="F143" s="4">
        <v>0.21024932776281</v>
      </c>
      <c r="G143" s="4">
        <v>1.207764533447778E-2</v>
      </c>
      <c r="H143" s="4" t="str">
        <f>HYPERLINK("plots_Breast_Cancer/Gradient Descent_plot_5.png", "Vedi grafico")</f>
        <v>Vedi grafico</v>
      </c>
      <c r="I143" s="5"/>
      <c r="J143" s="4">
        <v>30</v>
      </c>
      <c r="K143" s="4">
        <v>569</v>
      </c>
      <c r="L143" s="4">
        <v>1</v>
      </c>
      <c r="M143" s="4">
        <v>1</v>
      </c>
    </row>
    <row r="144" spans="1:13" x14ac:dyDescent="0.3">
      <c r="A144" s="4">
        <v>5</v>
      </c>
      <c r="B144" s="4" t="s">
        <v>1242</v>
      </c>
      <c r="C144" s="4" t="s">
        <v>1245</v>
      </c>
      <c r="D144" s="4">
        <v>100</v>
      </c>
      <c r="E144" s="4">
        <v>3.2947694999165833E-2</v>
      </c>
      <c r="F144" s="4">
        <v>0.2098724307504316</v>
      </c>
      <c r="G144" s="4">
        <v>1.4925095899640461E-7</v>
      </c>
      <c r="H144" s="4" t="str">
        <f>HYPERLINK("plots_Breast_Cancer/Gradient Descent Armijo_plot_5.png", "Vedi grafico")</f>
        <v>Vedi grafico</v>
      </c>
      <c r="I144" s="5"/>
      <c r="J144" s="4">
        <v>30</v>
      </c>
      <c r="K144" s="4">
        <v>569</v>
      </c>
      <c r="L144" s="4">
        <v>1</v>
      </c>
      <c r="M144" s="4">
        <v>1</v>
      </c>
    </row>
    <row r="145" spans="1:13" x14ac:dyDescent="0.3">
      <c r="A145" s="4">
        <v>5</v>
      </c>
      <c r="B145" s="4" t="s">
        <v>1242</v>
      </c>
      <c r="C145" s="4" t="s">
        <v>1246</v>
      </c>
      <c r="D145" s="4">
        <v>99</v>
      </c>
      <c r="E145" s="4">
        <v>1.7775864689992891</v>
      </c>
      <c r="F145" s="4">
        <v>0.20987243076557791</v>
      </c>
      <c r="G145" s="4">
        <v>1.8472243648102579E-6</v>
      </c>
      <c r="H145" s="4" t="str">
        <f>HYPERLINK("plots_Breast_Cancer/Jacobi_plot_5.png", "Vedi grafico")</f>
        <v>Vedi grafico</v>
      </c>
      <c r="I145" s="5"/>
      <c r="J145" s="4">
        <v>30</v>
      </c>
      <c r="K145" s="4">
        <v>569</v>
      </c>
      <c r="L145" s="4">
        <v>4</v>
      </c>
      <c r="M145" s="4">
        <v>4</v>
      </c>
    </row>
    <row r="146" spans="1:13" x14ac:dyDescent="0.3">
      <c r="A146" s="4">
        <v>5</v>
      </c>
      <c r="B146" s="5"/>
      <c r="C146" s="5"/>
      <c r="D146" s="5"/>
      <c r="E146" s="5"/>
      <c r="F146" s="4" t="s">
        <v>1247</v>
      </c>
      <c r="G146" s="5"/>
      <c r="H146" s="4" t="str">
        <f>HYPERLINK("plots_Breast_Cancer/loss_overlay.png", "Vedi grafico")</f>
        <v>Vedi grafico</v>
      </c>
      <c r="I146" s="5"/>
      <c r="J146" s="5"/>
      <c r="K146" s="5"/>
      <c r="L146" s="5"/>
      <c r="M146" s="5"/>
    </row>
    <row r="147" spans="1:13" x14ac:dyDescent="0.3">
      <c r="A147" s="4">
        <v>5</v>
      </c>
      <c r="B147" s="4" t="s">
        <v>1248</v>
      </c>
      <c r="C147" s="4" t="s">
        <v>1243</v>
      </c>
      <c r="D147" s="4">
        <v>99</v>
      </c>
      <c r="E147" s="4">
        <v>0.1266073389997473</v>
      </c>
      <c r="F147" s="4">
        <v>0.53234021855543601</v>
      </c>
      <c r="G147" s="4">
        <v>1.735126535255504E-6</v>
      </c>
      <c r="H147" s="4" t="str">
        <f>HYPERLINK("plots_Diabetes/Gauss-Seidel_plot_5.png", "Vedi grafico")</f>
        <v>Vedi grafico</v>
      </c>
      <c r="I147" s="5"/>
      <c r="J147" s="4">
        <v>10</v>
      </c>
      <c r="K147" s="4">
        <v>442</v>
      </c>
      <c r="L147" s="4">
        <v>1</v>
      </c>
      <c r="M147" s="4">
        <v>4</v>
      </c>
    </row>
    <row r="148" spans="1:13" x14ac:dyDescent="0.3">
      <c r="A148" s="4">
        <v>5</v>
      </c>
      <c r="B148" s="4" t="s">
        <v>1248</v>
      </c>
      <c r="C148" s="4" t="s">
        <v>1244</v>
      </c>
      <c r="D148" s="4">
        <v>100</v>
      </c>
      <c r="E148" s="4">
        <v>1.0646806998920511E-2</v>
      </c>
      <c r="F148" s="4">
        <v>0.53263822042975961</v>
      </c>
      <c r="G148" s="4">
        <v>1.2182936658034649E-2</v>
      </c>
      <c r="H148" s="4" t="str">
        <f>HYPERLINK("plots_Diabetes/Gradient Descent_plot_5.png", "Vedi grafico")</f>
        <v>Vedi grafico</v>
      </c>
      <c r="I148" s="5"/>
      <c r="J148" s="4">
        <v>10</v>
      </c>
      <c r="K148" s="4">
        <v>442</v>
      </c>
      <c r="L148" s="4">
        <v>1</v>
      </c>
      <c r="M148" s="4">
        <v>1</v>
      </c>
    </row>
    <row r="149" spans="1:13" x14ac:dyDescent="0.3">
      <c r="A149" s="4">
        <v>5</v>
      </c>
      <c r="B149" s="4" t="s">
        <v>1248</v>
      </c>
      <c r="C149" s="4" t="s">
        <v>1245</v>
      </c>
      <c r="D149" s="4">
        <v>100</v>
      </c>
      <c r="E149" s="4">
        <v>2.43215450009302E-2</v>
      </c>
      <c r="F149" s="4">
        <v>0.5323402185455357</v>
      </c>
      <c r="G149" s="4">
        <v>6.1510589046363571E-8</v>
      </c>
      <c r="H149" s="4" t="str">
        <f>HYPERLINK("plots_Diabetes/Gradient Descent Armijo_plot_5.png", "Vedi grafico")</f>
        <v>Vedi grafico</v>
      </c>
      <c r="I149" s="5"/>
      <c r="J149" s="4">
        <v>10</v>
      </c>
      <c r="K149" s="4">
        <v>442</v>
      </c>
      <c r="L149" s="4">
        <v>1</v>
      </c>
      <c r="M149" s="4">
        <v>1</v>
      </c>
    </row>
    <row r="150" spans="1:13" x14ac:dyDescent="0.3">
      <c r="A150" s="4">
        <v>5</v>
      </c>
      <c r="B150" s="4" t="s">
        <v>1248</v>
      </c>
      <c r="C150" s="4" t="s">
        <v>1246</v>
      </c>
      <c r="D150" s="4">
        <v>99</v>
      </c>
      <c r="E150" s="4">
        <v>1.202869643999293</v>
      </c>
      <c r="F150" s="4">
        <v>0.5323402185565822</v>
      </c>
      <c r="G150" s="4">
        <v>1.890265476381444E-6</v>
      </c>
      <c r="H150" s="4" t="str">
        <f>HYPERLINK("plots_Diabetes/Jacobi_plot_5.png", "Vedi grafico")</f>
        <v>Vedi grafico</v>
      </c>
      <c r="I150" s="5"/>
      <c r="J150" s="4">
        <v>10</v>
      </c>
      <c r="K150" s="4">
        <v>442</v>
      </c>
      <c r="L150" s="4">
        <v>4</v>
      </c>
      <c r="M150" s="4">
        <v>4</v>
      </c>
    </row>
    <row r="151" spans="1:13" x14ac:dyDescent="0.3">
      <c r="A151" s="4">
        <v>5</v>
      </c>
      <c r="B151" s="5"/>
      <c r="C151" s="5"/>
      <c r="D151" s="5"/>
      <c r="E151" s="5"/>
      <c r="F151" s="4" t="s">
        <v>1247</v>
      </c>
      <c r="G151" s="5"/>
      <c r="H151" s="4" t="str">
        <f>HYPERLINK("plots_Diabetes/loss_overlay.png", "Vedi grafico")</f>
        <v>Vedi grafico</v>
      </c>
      <c r="I151" s="5"/>
      <c r="J151" s="5"/>
      <c r="K151" s="5"/>
      <c r="L151" s="5"/>
      <c r="M151" s="5"/>
    </row>
    <row r="152" spans="1:13" x14ac:dyDescent="0.3">
      <c r="A152" s="4">
        <v>5</v>
      </c>
      <c r="B152" s="4" t="s">
        <v>1249</v>
      </c>
      <c r="C152" s="4" t="s">
        <v>1243</v>
      </c>
      <c r="D152" s="4">
        <v>99</v>
      </c>
      <c r="E152" s="4">
        <v>0.27172882000013487</v>
      </c>
      <c r="F152" s="4">
        <v>0.34434747737236449</v>
      </c>
      <c r="G152" s="4">
        <v>1.710694397637721E-6</v>
      </c>
      <c r="H152" s="4" t="str">
        <f>HYPERLINK("plots_Digits/Gauss-Seidel_plot_5.png", "Vedi grafico")</f>
        <v>Vedi grafico</v>
      </c>
      <c r="I152" s="5"/>
      <c r="J152" s="4">
        <v>64</v>
      </c>
      <c r="K152" s="4">
        <v>1797</v>
      </c>
      <c r="L152" s="4">
        <v>1</v>
      </c>
      <c r="M152" s="4">
        <v>4</v>
      </c>
    </row>
    <row r="153" spans="1:13" x14ac:dyDescent="0.3">
      <c r="A153" s="4">
        <v>5</v>
      </c>
      <c r="B153" s="4" t="s">
        <v>1249</v>
      </c>
      <c r="C153" s="4" t="s">
        <v>1244</v>
      </c>
      <c r="D153" s="4">
        <v>100</v>
      </c>
      <c r="E153" s="4">
        <v>2.3645113000384299E-2</v>
      </c>
      <c r="F153" s="4">
        <v>0.34537500106744229</v>
      </c>
      <c r="G153" s="4">
        <v>1.9786438650008439E-2</v>
      </c>
      <c r="H153" s="4" t="str">
        <f>HYPERLINK("plots_Digits/Gradient Descent_plot_5.png", "Vedi grafico")</f>
        <v>Vedi grafico</v>
      </c>
      <c r="I153" s="5"/>
      <c r="J153" s="4">
        <v>64</v>
      </c>
      <c r="K153" s="4">
        <v>1797</v>
      </c>
      <c r="L153" s="4">
        <v>1</v>
      </c>
      <c r="M153" s="4">
        <v>1</v>
      </c>
    </row>
    <row r="154" spans="1:13" x14ac:dyDescent="0.3">
      <c r="A154" s="4">
        <v>5</v>
      </c>
      <c r="B154" s="4" t="s">
        <v>1249</v>
      </c>
      <c r="C154" s="4" t="s">
        <v>1245</v>
      </c>
      <c r="D154" s="4">
        <v>100</v>
      </c>
      <c r="E154" s="4">
        <v>5.5196224000610528E-2</v>
      </c>
      <c r="F154" s="4">
        <v>0.34434747736105209</v>
      </c>
      <c r="G154" s="4">
        <v>1.033194216913189E-7</v>
      </c>
      <c r="H154" s="4" t="str">
        <f>HYPERLINK("plots_Digits/Gradient Descent Armijo_plot_5.png", "Vedi grafico")</f>
        <v>Vedi grafico</v>
      </c>
      <c r="I154" s="5"/>
      <c r="J154" s="4">
        <v>64</v>
      </c>
      <c r="K154" s="4">
        <v>1797</v>
      </c>
      <c r="L154" s="4">
        <v>1</v>
      </c>
      <c r="M154" s="4">
        <v>1</v>
      </c>
    </row>
    <row r="155" spans="1:13" x14ac:dyDescent="0.3">
      <c r="A155" s="4">
        <v>5</v>
      </c>
      <c r="B155" s="4" t="s">
        <v>1249</v>
      </c>
      <c r="C155" s="4" t="s">
        <v>1246</v>
      </c>
      <c r="D155" s="4">
        <v>99</v>
      </c>
      <c r="E155" s="4">
        <v>2.3594327289993089</v>
      </c>
      <c r="F155" s="4">
        <v>0.34434747737126858</v>
      </c>
      <c r="G155" s="4">
        <v>1.6552264388908911E-6</v>
      </c>
      <c r="H155" s="4" t="str">
        <f>HYPERLINK("plots_Digits/Jacobi_plot_5.png", "Vedi grafico")</f>
        <v>Vedi grafico</v>
      </c>
      <c r="I155" s="5"/>
      <c r="J155" s="4">
        <v>64</v>
      </c>
      <c r="K155" s="4">
        <v>1797</v>
      </c>
      <c r="L155" s="4">
        <v>4</v>
      </c>
      <c r="M155" s="4">
        <v>4</v>
      </c>
    </row>
    <row r="156" spans="1:13" x14ac:dyDescent="0.3">
      <c r="A156" s="4">
        <v>5</v>
      </c>
      <c r="B156" s="5"/>
      <c r="C156" s="5"/>
      <c r="D156" s="5"/>
      <c r="E156" s="5"/>
      <c r="F156" s="4" t="s">
        <v>1247</v>
      </c>
      <c r="G156" s="5"/>
      <c r="H156" s="4" t="str">
        <f>HYPERLINK("plots_Digits/loss_overlay.png", "Vedi grafico")</f>
        <v>Vedi grafico</v>
      </c>
      <c r="I156" s="5"/>
      <c r="J156" s="5"/>
      <c r="K156" s="5"/>
      <c r="L156" s="5"/>
      <c r="M156" s="5"/>
    </row>
    <row r="157" spans="1:13" x14ac:dyDescent="0.3">
      <c r="A157" s="4">
        <v>5</v>
      </c>
      <c r="B157" s="4" t="s">
        <v>1250</v>
      </c>
      <c r="C157" s="4" t="s">
        <v>1243</v>
      </c>
      <c r="D157" s="4">
        <v>99</v>
      </c>
      <c r="E157" s="4">
        <v>0.11241881699970691</v>
      </c>
      <c r="F157" s="4">
        <v>0.27704814805924372</v>
      </c>
      <c r="G157" s="4">
        <v>1.6287560707736469E-6</v>
      </c>
      <c r="H157" s="4" t="str">
        <f>HYPERLINK("plots_Iris/Gauss-Seidel_plot_5.png", "Vedi grafico")</f>
        <v>Vedi grafico</v>
      </c>
      <c r="I157" s="5"/>
      <c r="J157" s="4">
        <v>4</v>
      </c>
      <c r="K157" s="4">
        <v>150</v>
      </c>
      <c r="L157" s="4">
        <v>1</v>
      </c>
      <c r="M157" s="4">
        <v>4</v>
      </c>
    </row>
    <row r="158" spans="1:13" x14ac:dyDescent="0.3">
      <c r="A158" s="4">
        <v>5</v>
      </c>
      <c r="B158" s="4" t="s">
        <v>1250</v>
      </c>
      <c r="C158" s="4" t="s">
        <v>1244</v>
      </c>
      <c r="D158" s="4">
        <v>100</v>
      </c>
      <c r="E158" s="4">
        <v>7.9273499995906604E-3</v>
      </c>
      <c r="F158" s="4">
        <v>0.27776652481322572</v>
      </c>
      <c r="G158" s="4">
        <v>1.8187512148941268E-2</v>
      </c>
      <c r="H158" s="4" t="str">
        <f>HYPERLINK("plots_Iris/Gradient Descent_plot_5.png", "Vedi grafico")</f>
        <v>Vedi grafico</v>
      </c>
      <c r="I158" s="5"/>
      <c r="J158" s="4">
        <v>4</v>
      </c>
      <c r="K158" s="4">
        <v>150</v>
      </c>
      <c r="L158" s="4">
        <v>1</v>
      </c>
      <c r="M158" s="4">
        <v>1</v>
      </c>
    </row>
    <row r="159" spans="1:13" x14ac:dyDescent="0.3">
      <c r="A159" s="4">
        <v>5</v>
      </c>
      <c r="B159" s="4" t="s">
        <v>1250</v>
      </c>
      <c r="C159" s="4" t="s">
        <v>1245</v>
      </c>
      <c r="D159" s="4">
        <v>100</v>
      </c>
      <c r="E159" s="4">
        <v>2.0403582000653842E-2</v>
      </c>
      <c r="F159" s="4">
        <v>0.2770481480474194</v>
      </c>
      <c r="G159" s="4">
        <v>1.0008744736275179E-7</v>
      </c>
      <c r="H159" s="4" t="str">
        <f>HYPERLINK("plots_Iris/Gradient Descent Armijo_plot_5.png", "Vedi grafico")</f>
        <v>Vedi grafico</v>
      </c>
      <c r="I159" s="5"/>
      <c r="J159" s="4">
        <v>4</v>
      </c>
      <c r="K159" s="4">
        <v>150</v>
      </c>
      <c r="L159" s="4">
        <v>1</v>
      </c>
      <c r="M159" s="4">
        <v>1</v>
      </c>
    </row>
    <row r="160" spans="1:13" x14ac:dyDescent="0.3">
      <c r="A160" s="4">
        <v>5</v>
      </c>
      <c r="B160" s="4" t="s">
        <v>1250</v>
      </c>
      <c r="C160" s="4" t="s">
        <v>1246</v>
      </c>
      <c r="D160" s="4">
        <v>99</v>
      </c>
      <c r="E160" s="4">
        <v>1.2065281769992</v>
      </c>
      <c r="F160" s="4">
        <v>0.27704814806306638</v>
      </c>
      <c r="G160" s="4">
        <v>1.909676437864008E-6</v>
      </c>
      <c r="H160" s="4" t="str">
        <f>HYPERLINK("plots_Iris/Jacobi_plot_5.png", "Vedi grafico")</f>
        <v>Vedi grafico</v>
      </c>
      <c r="I160" s="5"/>
      <c r="J160" s="4">
        <v>4</v>
      </c>
      <c r="K160" s="4">
        <v>150</v>
      </c>
      <c r="L160" s="4">
        <v>4</v>
      </c>
      <c r="M160" s="4">
        <v>4</v>
      </c>
    </row>
    <row r="161" spans="1:13" x14ac:dyDescent="0.3">
      <c r="A161" s="4">
        <v>5</v>
      </c>
      <c r="B161" s="5"/>
      <c r="C161" s="5"/>
      <c r="D161" s="5"/>
      <c r="E161" s="5"/>
      <c r="F161" s="4" t="s">
        <v>1247</v>
      </c>
      <c r="G161" s="5"/>
      <c r="H161" s="4" t="str">
        <f>HYPERLINK("plots_Iris/loss_overlay.png", "Vedi grafico")</f>
        <v>Vedi grafico</v>
      </c>
      <c r="I161" s="5"/>
      <c r="J161" s="5"/>
      <c r="K161" s="5"/>
      <c r="L161" s="5"/>
      <c r="M161" s="5"/>
    </row>
    <row r="162" spans="1:13" x14ac:dyDescent="0.3">
      <c r="A162" s="4">
        <v>5</v>
      </c>
      <c r="B162" s="4" t="s">
        <v>1251</v>
      </c>
      <c r="C162" s="4" t="s">
        <v>1243</v>
      </c>
      <c r="D162" s="4">
        <v>99</v>
      </c>
      <c r="E162" s="4">
        <v>9.3277187999774469E-2</v>
      </c>
      <c r="F162" s="4">
        <v>0.28687255998736239</v>
      </c>
      <c r="G162" s="4">
        <v>1.81192694184796E-6</v>
      </c>
      <c r="H162" s="4" t="str">
        <f>HYPERLINK("plots_Wine/Gauss-Seidel_plot_5.png", "Vedi grafico")</f>
        <v>Vedi grafico</v>
      </c>
      <c r="I162" s="5"/>
      <c r="J162" s="4">
        <v>13</v>
      </c>
      <c r="K162" s="4">
        <v>178</v>
      </c>
      <c r="L162" s="4">
        <v>1</v>
      </c>
      <c r="M162" s="4">
        <v>4</v>
      </c>
    </row>
    <row r="163" spans="1:13" x14ac:dyDescent="0.3">
      <c r="A163" s="4">
        <v>5</v>
      </c>
      <c r="B163" s="4" t="s">
        <v>1251</v>
      </c>
      <c r="C163" s="4" t="s">
        <v>1244</v>
      </c>
      <c r="D163" s="4">
        <v>100</v>
      </c>
      <c r="E163" s="4">
        <v>9.4020809992798604E-3</v>
      </c>
      <c r="F163" s="4">
        <v>0.288147784334295</v>
      </c>
      <c r="G163" s="4">
        <v>2.226338153822115E-2</v>
      </c>
      <c r="H163" s="4" t="str">
        <f>HYPERLINK("plots_Wine/Gradient Descent_plot_5.png", "Vedi grafico")</f>
        <v>Vedi grafico</v>
      </c>
      <c r="I163" s="5"/>
      <c r="J163" s="4">
        <v>13</v>
      </c>
      <c r="K163" s="4">
        <v>178</v>
      </c>
      <c r="L163" s="4">
        <v>1</v>
      </c>
      <c r="M163" s="4">
        <v>1</v>
      </c>
    </row>
    <row r="164" spans="1:13" x14ac:dyDescent="0.3">
      <c r="A164" s="4">
        <v>5</v>
      </c>
      <c r="B164" s="4" t="s">
        <v>1251</v>
      </c>
      <c r="C164" s="4" t="s">
        <v>1245</v>
      </c>
      <c r="D164" s="4">
        <v>100</v>
      </c>
      <c r="E164" s="4">
        <v>1.9197059998987239E-2</v>
      </c>
      <c r="F164" s="4">
        <v>0.28687255997585598</v>
      </c>
      <c r="G164" s="4">
        <v>5.1639985112820927E-8</v>
      </c>
      <c r="H164" s="4" t="str">
        <f>HYPERLINK("plots_Wine/Gradient Descent Armijo_plot_5.png", "Vedi grafico")</f>
        <v>Vedi grafico</v>
      </c>
      <c r="I164" s="5"/>
      <c r="J164" s="4">
        <v>13</v>
      </c>
      <c r="K164" s="4">
        <v>178</v>
      </c>
      <c r="L164" s="4">
        <v>1</v>
      </c>
      <c r="M164" s="4">
        <v>1</v>
      </c>
    </row>
    <row r="165" spans="1:13" x14ac:dyDescent="0.3">
      <c r="A165" s="4">
        <v>5</v>
      </c>
      <c r="B165" s="4" t="s">
        <v>1251</v>
      </c>
      <c r="C165" s="4" t="s">
        <v>1246</v>
      </c>
      <c r="D165" s="4">
        <v>99</v>
      </c>
      <c r="E165" s="4">
        <v>1.2109877059992871</v>
      </c>
      <c r="F165" s="4">
        <v>0.28687255998837558</v>
      </c>
      <c r="G165" s="4">
        <v>1.79342629585209E-6</v>
      </c>
      <c r="H165" s="4" t="str">
        <f>HYPERLINK("plots_Wine/Jacobi_plot_5.png", "Vedi grafico")</f>
        <v>Vedi grafico</v>
      </c>
      <c r="I165" s="5"/>
      <c r="J165" s="4">
        <v>13</v>
      </c>
      <c r="K165" s="4">
        <v>178</v>
      </c>
      <c r="L165" s="4">
        <v>4</v>
      </c>
      <c r="M165" s="4">
        <v>4</v>
      </c>
    </row>
    <row r="166" spans="1:13" x14ac:dyDescent="0.3">
      <c r="A166" s="4">
        <v>5</v>
      </c>
      <c r="B166" s="5"/>
      <c r="C166" s="5"/>
      <c r="D166" s="5"/>
      <c r="E166" s="5"/>
      <c r="F166" s="4" t="s">
        <v>1247</v>
      </c>
      <c r="G166" s="5"/>
      <c r="H166" s="4" t="str">
        <f>HYPERLINK("plots_Wine/loss_overlay.png", "Vedi grafico")</f>
        <v>Vedi grafico</v>
      </c>
      <c r="I166" s="5"/>
      <c r="J166" s="5"/>
      <c r="K166" s="5"/>
      <c r="L166" s="5"/>
      <c r="M166" s="5"/>
    </row>
    <row r="167" spans="1:13" x14ac:dyDescent="0.3">
      <c r="A167" s="4">
        <v>5</v>
      </c>
      <c r="B167" s="4" t="s">
        <v>1252</v>
      </c>
      <c r="C167" s="4" t="s">
        <v>1243</v>
      </c>
      <c r="D167" s="4">
        <v>99</v>
      </c>
      <c r="E167" s="4">
        <v>5.2283145069995953</v>
      </c>
      <c r="F167" s="4">
        <v>0.68096181066122408</v>
      </c>
      <c r="G167" s="4">
        <v>1.902670597530938E-6</v>
      </c>
      <c r="H167" s="4" t="str">
        <f>HYPERLINK("plots_Fetch/Gauss-Seidel_plot_5.png", "Vedi grafico")</f>
        <v>Vedi grafico</v>
      </c>
      <c r="I167" s="5"/>
      <c r="J167" s="4">
        <v>1000</v>
      </c>
      <c r="K167" s="4">
        <v>1772</v>
      </c>
      <c r="L167" s="4">
        <v>1</v>
      </c>
      <c r="M167" s="4">
        <v>4</v>
      </c>
    </row>
    <row r="168" spans="1:13" x14ac:dyDescent="0.3">
      <c r="A168" s="4">
        <v>5</v>
      </c>
      <c r="B168" s="4" t="s">
        <v>1252</v>
      </c>
      <c r="C168" s="4" t="s">
        <v>1244</v>
      </c>
      <c r="D168" s="4">
        <v>100</v>
      </c>
      <c r="E168" s="4">
        <v>1.182620153000244</v>
      </c>
      <c r="F168" s="4">
        <v>0.68246591166439041</v>
      </c>
      <c r="G168" s="4">
        <v>1.7870159283770851E-2</v>
      </c>
      <c r="H168" s="4" t="str">
        <f>HYPERLINK("plots_Fetch/Gradient Descent_plot_5.png", "Vedi grafico")</f>
        <v>Vedi grafico</v>
      </c>
      <c r="I168" s="5"/>
      <c r="J168" s="4">
        <v>1000</v>
      </c>
      <c r="K168" s="4">
        <v>1772</v>
      </c>
      <c r="L168" s="4">
        <v>1</v>
      </c>
      <c r="M168" s="4">
        <v>1</v>
      </c>
    </row>
    <row r="169" spans="1:13" x14ac:dyDescent="0.3">
      <c r="A169" s="4">
        <v>5</v>
      </c>
      <c r="B169" s="4" t="s">
        <v>1252</v>
      </c>
      <c r="C169" s="4" t="s">
        <v>1245</v>
      </c>
      <c r="D169" s="4">
        <v>100</v>
      </c>
      <c r="E169" s="4">
        <v>1.245878449999509</v>
      </c>
      <c r="F169" s="4">
        <v>0.68096181064839212</v>
      </c>
      <c r="G169" s="4">
        <v>9.8127357946551937E-7</v>
      </c>
      <c r="H169" s="4" t="str">
        <f>HYPERLINK("plots_Fetch/Gradient Descent Armijo_plot_5.png", "Vedi grafico")</f>
        <v>Vedi grafico</v>
      </c>
      <c r="I169" s="5"/>
      <c r="J169" s="4">
        <v>1000</v>
      </c>
      <c r="K169" s="4">
        <v>1772</v>
      </c>
      <c r="L169" s="4">
        <v>1</v>
      </c>
      <c r="M169" s="4">
        <v>1</v>
      </c>
    </row>
    <row r="170" spans="1:13" x14ac:dyDescent="0.3">
      <c r="A170" s="4">
        <v>5</v>
      </c>
      <c r="B170" s="4" t="s">
        <v>1252</v>
      </c>
      <c r="C170" s="4" t="s">
        <v>1246</v>
      </c>
      <c r="D170" s="4">
        <v>99</v>
      </c>
      <c r="E170" s="4">
        <v>22.409452428000801</v>
      </c>
      <c r="F170" s="4">
        <v>0.68096181066031625</v>
      </c>
      <c r="G170" s="4">
        <v>1.8525866083473231E-6</v>
      </c>
      <c r="H170" s="4" t="str">
        <f>HYPERLINK("plots_Fetch/Jacobi_plot_5.png", "Vedi grafico")</f>
        <v>Vedi grafico</v>
      </c>
      <c r="I170" s="5"/>
      <c r="J170" s="4">
        <v>1000</v>
      </c>
      <c r="K170" s="4">
        <v>1772</v>
      </c>
      <c r="L170" s="4">
        <v>4</v>
      </c>
      <c r="M170" s="4">
        <v>4</v>
      </c>
    </row>
    <row r="171" spans="1:13" x14ac:dyDescent="0.3">
      <c r="A171" s="4">
        <v>5</v>
      </c>
      <c r="B171" s="5"/>
      <c r="C171" s="5"/>
      <c r="D171" s="5"/>
      <c r="E171" s="5"/>
      <c r="F171" s="4" t="s">
        <v>1247</v>
      </c>
      <c r="G171" s="5"/>
      <c r="H171" s="4" t="str">
        <f>HYPERLINK("plots_Fetch/loss_overlay.png", "Vedi grafico")</f>
        <v>Vedi grafico</v>
      </c>
      <c r="I171" s="5"/>
      <c r="J171" s="5"/>
      <c r="K171" s="5"/>
      <c r="L171" s="5"/>
      <c r="M171" s="5"/>
    </row>
    <row r="172" spans="1:13" x14ac:dyDescent="0.3">
      <c r="A172" s="4">
        <v>5</v>
      </c>
      <c r="B172" s="4" t="s">
        <v>1253</v>
      </c>
      <c r="C172" s="4" t="s">
        <v>1243</v>
      </c>
      <c r="D172" s="4">
        <v>99</v>
      </c>
      <c r="E172" s="4">
        <v>0.15954519899969449</v>
      </c>
      <c r="F172" s="4">
        <v>0.51015408034657428</v>
      </c>
      <c r="G172" s="4">
        <v>1.8998402537158589E-6</v>
      </c>
      <c r="H172" s="4" t="str">
        <f>HYPERLINK("plots_Adult/Gauss-Seidel_plot_5.png", "Vedi grafico")</f>
        <v>Vedi grafico</v>
      </c>
      <c r="I172" s="5"/>
      <c r="J172" s="4">
        <v>108</v>
      </c>
      <c r="K172" s="4">
        <v>500</v>
      </c>
      <c r="L172" s="4">
        <v>1</v>
      </c>
      <c r="M172" s="4">
        <v>4</v>
      </c>
    </row>
    <row r="173" spans="1:13" x14ac:dyDescent="0.3">
      <c r="A173" s="4">
        <v>5</v>
      </c>
      <c r="B173" s="4" t="s">
        <v>1253</v>
      </c>
      <c r="C173" s="4" t="s">
        <v>1244</v>
      </c>
      <c r="D173" s="4">
        <v>100</v>
      </c>
      <c r="E173" s="4">
        <v>1.509855600124865E-2</v>
      </c>
      <c r="F173" s="4">
        <v>0.5121771278438636</v>
      </c>
      <c r="G173" s="4">
        <v>2.422305615100654E-2</v>
      </c>
      <c r="H173" s="4" t="str">
        <f>HYPERLINK("plots_Adult/Gradient Descent_plot_5.png", "Vedi grafico")</f>
        <v>Vedi grafico</v>
      </c>
      <c r="I173" s="5"/>
      <c r="J173" s="4">
        <v>108</v>
      </c>
      <c r="K173" s="4">
        <v>500</v>
      </c>
      <c r="L173" s="4">
        <v>1</v>
      </c>
      <c r="M173" s="4">
        <v>1</v>
      </c>
    </row>
    <row r="174" spans="1:13" x14ac:dyDescent="0.3">
      <c r="A174" s="4">
        <v>5</v>
      </c>
      <c r="B174" s="4" t="s">
        <v>1253</v>
      </c>
      <c r="C174" s="4" t="s">
        <v>1245</v>
      </c>
      <c r="D174" s="4">
        <v>100</v>
      </c>
      <c r="E174" s="4">
        <v>3.0229394000343749E-2</v>
      </c>
      <c r="F174" s="4">
        <v>0.51015408033466247</v>
      </c>
      <c r="G174" s="4">
        <v>4.9174024418088745E-7</v>
      </c>
      <c r="H174" s="4" t="str">
        <f>HYPERLINK("plots_Adult/Gradient Descent Armijo_plot_5.png", "Vedi grafico")</f>
        <v>Vedi grafico</v>
      </c>
      <c r="I174" s="5"/>
      <c r="J174" s="4">
        <v>108</v>
      </c>
      <c r="K174" s="4">
        <v>500</v>
      </c>
      <c r="L174" s="4">
        <v>1</v>
      </c>
      <c r="M174" s="4">
        <v>1</v>
      </c>
    </row>
    <row r="175" spans="1:13" x14ac:dyDescent="0.3">
      <c r="A175" s="4">
        <v>5</v>
      </c>
      <c r="B175" s="4" t="s">
        <v>1253</v>
      </c>
      <c r="C175" s="4" t="s">
        <v>1246</v>
      </c>
      <c r="D175" s="4">
        <v>99</v>
      </c>
      <c r="E175" s="4">
        <v>1.44558440399851</v>
      </c>
      <c r="F175" s="4">
        <v>0.51015408034730059</v>
      </c>
      <c r="G175" s="4">
        <v>1.723444867690654E-6</v>
      </c>
      <c r="H175" s="4" t="str">
        <f>HYPERLINK("plots_Adult/Jacobi_plot_5.png", "Vedi grafico")</f>
        <v>Vedi grafico</v>
      </c>
      <c r="I175" s="5"/>
      <c r="J175" s="4">
        <v>108</v>
      </c>
      <c r="K175" s="4">
        <v>500</v>
      </c>
      <c r="L175" s="4">
        <v>4</v>
      </c>
      <c r="M175" s="4">
        <v>4</v>
      </c>
    </row>
    <row r="176" spans="1:13" x14ac:dyDescent="0.3">
      <c r="A176" s="4">
        <v>5</v>
      </c>
      <c r="B176" s="5"/>
      <c r="C176" s="5"/>
      <c r="D176" s="5"/>
      <c r="E176" s="5"/>
      <c r="F176" s="4" t="s">
        <v>1247</v>
      </c>
      <c r="G176" s="5"/>
      <c r="H176" s="4" t="str">
        <f>HYPERLINK("plots_Adult/loss_overlay.png", "Vedi grafico")</f>
        <v>Vedi grafico</v>
      </c>
      <c r="I176" s="5"/>
      <c r="J176" s="5"/>
      <c r="K176" s="5"/>
      <c r="L176" s="5"/>
      <c r="M176" s="5"/>
    </row>
    <row r="177" spans="1:13" x14ac:dyDescent="0.3">
      <c r="A177" s="6">
        <v>6</v>
      </c>
      <c r="B177" s="6" t="s">
        <v>1242</v>
      </c>
      <c r="C177" s="6" t="s">
        <v>1243</v>
      </c>
      <c r="D177" s="6">
        <v>99</v>
      </c>
      <c r="E177" s="6">
        <v>0.10286595599973231</v>
      </c>
      <c r="F177" s="6">
        <v>0.2098724307622713</v>
      </c>
      <c r="G177" s="6">
        <v>1.6429945406418281E-6</v>
      </c>
      <c r="H177" s="6" t="str">
        <f>HYPERLINK("plots_Breast_Cancer/Gauss-Seidel_plot_6.png", "Vedi grafico")</f>
        <v>Vedi grafico</v>
      </c>
      <c r="I177" s="7"/>
      <c r="J177" s="6">
        <v>30</v>
      </c>
      <c r="K177" s="6">
        <v>569</v>
      </c>
      <c r="L177" s="6">
        <v>1</v>
      </c>
      <c r="M177" s="6">
        <v>3</v>
      </c>
    </row>
    <row r="178" spans="1:13" x14ac:dyDescent="0.3">
      <c r="A178" s="6">
        <v>6</v>
      </c>
      <c r="B178" s="6" t="s">
        <v>1242</v>
      </c>
      <c r="C178" s="6" t="s">
        <v>1244</v>
      </c>
      <c r="D178" s="6">
        <v>100</v>
      </c>
      <c r="E178" s="6">
        <v>1.151258900063112E-2</v>
      </c>
      <c r="F178" s="6">
        <v>0.21024932776281</v>
      </c>
      <c r="G178" s="6">
        <v>1.207764533447778E-2</v>
      </c>
      <c r="H178" s="6" t="str">
        <f>HYPERLINK("plots_Breast_Cancer/Gradient Descent_plot_6.png", "Vedi grafico")</f>
        <v>Vedi grafico</v>
      </c>
      <c r="I178" s="7"/>
      <c r="J178" s="6">
        <v>30</v>
      </c>
      <c r="K178" s="6">
        <v>569</v>
      </c>
      <c r="L178" s="6">
        <v>1</v>
      </c>
      <c r="M178" s="6">
        <v>1</v>
      </c>
    </row>
    <row r="179" spans="1:13" x14ac:dyDescent="0.3">
      <c r="A179" s="6">
        <v>6</v>
      </c>
      <c r="B179" s="6" t="s">
        <v>1242</v>
      </c>
      <c r="C179" s="6" t="s">
        <v>1245</v>
      </c>
      <c r="D179" s="6">
        <v>100</v>
      </c>
      <c r="E179" s="6">
        <v>2.8124540000135308E-2</v>
      </c>
      <c r="F179" s="6">
        <v>0.2098724307504316</v>
      </c>
      <c r="G179" s="6">
        <v>1.4925095899640461E-7</v>
      </c>
      <c r="H179" s="6" t="str">
        <f>HYPERLINK("plots_Breast_Cancer/Gradient Descent Armijo_plot_6.png", "Vedi grafico")</f>
        <v>Vedi grafico</v>
      </c>
      <c r="I179" s="7"/>
      <c r="J179" s="6">
        <v>30</v>
      </c>
      <c r="K179" s="6">
        <v>569</v>
      </c>
      <c r="L179" s="6">
        <v>1</v>
      </c>
      <c r="M179" s="6">
        <v>1</v>
      </c>
    </row>
    <row r="180" spans="1:13" x14ac:dyDescent="0.3">
      <c r="A180" s="6">
        <v>6</v>
      </c>
      <c r="B180" s="6" t="s">
        <v>1242</v>
      </c>
      <c r="C180" s="6" t="s">
        <v>1246</v>
      </c>
      <c r="D180" s="6">
        <v>99</v>
      </c>
      <c r="E180" s="6">
        <v>1.794425494999814</v>
      </c>
      <c r="F180" s="6">
        <v>0.20987243076230841</v>
      </c>
      <c r="G180" s="6">
        <v>1.639882637490377E-6</v>
      </c>
      <c r="H180" s="6" t="str">
        <f>HYPERLINK("plots_Breast_Cancer/Jacobi_plot_6.png", "Vedi grafico")</f>
        <v>Vedi grafico</v>
      </c>
      <c r="I180" s="7"/>
      <c r="J180" s="6">
        <v>30</v>
      </c>
      <c r="K180" s="6">
        <v>569</v>
      </c>
      <c r="L180" s="6">
        <v>4</v>
      </c>
      <c r="M180" s="6">
        <v>3</v>
      </c>
    </row>
    <row r="181" spans="1:13" x14ac:dyDescent="0.3">
      <c r="A181" s="6">
        <v>6</v>
      </c>
      <c r="B181" s="7"/>
      <c r="C181" s="7"/>
      <c r="D181" s="7"/>
      <c r="E181" s="7"/>
      <c r="F181" s="6" t="s">
        <v>1247</v>
      </c>
      <c r="G181" s="7"/>
      <c r="H181" s="6" t="str">
        <f>HYPERLINK("plots_Breast_Cancer/loss_overlay.png", "Vedi grafico")</f>
        <v>Vedi grafico</v>
      </c>
      <c r="I181" s="7"/>
      <c r="J181" s="7"/>
      <c r="K181" s="7"/>
      <c r="L181" s="7"/>
      <c r="M181" s="7"/>
    </row>
    <row r="182" spans="1:13" x14ac:dyDescent="0.3">
      <c r="A182" s="6">
        <v>6</v>
      </c>
      <c r="B182" s="6" t="s">
        <v>1248</v>
      </c>
      <c r="C182" s="6" t="s">
        <v>1243</v>
      </c>
      <c r="D182" s="6">
        <v>99</v>
      </c>
      <c r="E182" s="6">
        <v>8.2158137000078568E-2</v>
      </c>
      <c r="F182" s="6">
        <v>0.53234021855431057</v>
      </c>
      <c r="G182" s="6">
        <v>1.558604846785218E-6</v>
      </c>
      <c r="H182" s="6" t="str">
        <f>HYPERLINK("plots_Diabetes/Gauss-Seidel_plot_6.png", "Vedi grafico")</f>
        <v>Vedi grafico</v>
      </c>
      <c r="I182" s="7"/>
      <c r="J182" s="6">
        <v>10</v>
      </c>
      <c r="K182" s="6">
        <v>442</v>
      </c>
      <c r="L182" s="6">
        <v>1</v>
      </c>
      <c r="M182" s="6">
        <v>3</v>
      </c>
    </row>
    <row r="183" spans="1:13" x14ac:dyDescent="0.3">
      <c r="A183" s="6">
        <v>6</v>
      </c>
      <c r="B183" s="6" t="s">
        <v>1248</v>
      </c>
      <c r="C183" s="6" t="s">
        <v>1244</v>
      </c>
      <c r="D183" s="6">
        <v>100</v>
      </c>
      <c r="E183" s="6">
        <v>1.2020623000353231E-2</v>
      </c>
      <c r="F183" s="6">
        <v>0.53263822042975961</v>
      </c>
      <c r="G183" s="6">
        <v>1.2182936658034649E-2</v>
      </c>
      <c r="H183" s="6" t="str">
        <f>HYPERLINK("plots_Diabetes/Gradient Descent_plot_6.png", "Vedi grafico")</f>
        <v>Vedi grafico</v>
      </c>
      <c r="I183" s="7"/>
      <c r="J183" s="6">
        <v>10</v>
      </c>
      <c r="K183" s="6">
        <v>442</v>
      </c>
      <c r="L183" s="6">
        <v>1</v>
      </c>
      <c r="M183" s="6">
        <v>1</v>
      </c>
    </row>
    <row r="184" spans="1:13" x14ac:dyDescent="0.3">
      <c r="A184" s="6">
        <v>6</v>
      </c>
      <c r="B184" s="6" t="s">
        <v>1248</v>
      </c>
      <c r="C184" s="6" t="s">
        <v>1245</v>
      </c>
      <c r="D184" s="6">
        <v>100</v>
      </c>
      <c r="E184" s="6">
        <v>2.0897133999824291E-2</v>
      </c>
      <c r="F184" s="6">
        <v>0.5323402185455357</v>
      </c>
      <c r="G184" s="6">
        <v>6.1510589046363571E-8</v>
      </c>
      <c r="H184" s="6" t="str">
        <f>HYPERLINK("plots_Diabetes/Gradient Descent Armijo_plot_6.png", "Vedi grafico")</f>
        <v>Vedi grafico</v>
      </c>
      <c r="I184" s="7"/>
      <c r="J184" s="6">
        <v>10</v>
      </c>
      <c r="K184" s="6">
        <v>442</v>
      </c>
      <c r="L184" s="6">
        <v>1</v>
      </c>
      <c r="M184" s="6">
        <v>1</v>
      </c>
    </row>
    <row r="185" spans="1:13" x14ac:dyDescent="0.3">
      <c r="A185" s="6">
        <v>6</v>
      </c>
      <c r="B185" s="6" t="s">
        <v>1248</v>
      </c>
      <c r="C185" s="6" t="s">
        <v>1246</v>
      </c>
      <c r="D185" s="6">
        <v>99</v>
      </c>
      <c r="E185" s="6">
        <v>1.2252914299988329</v>
      </c>
      <c r="F185" s="6">
        <v>0.53234021855466929</v>
      </c>
      <c r="G185" s="6">
        <v>1.5812407854992161E-6</v>
      </c>
      <c r="H185" s="6" t="str">
        <f>HYPERLINK("plots_Diabetes/Jacobi_plot_6.png", "Vedi grafico")</f>
        <v>Vedi grafico</v>
      </c>
      <c r="I185" s="7"/>
      <c r="J185" s="6">
        <v>10</v>
      </c>
      <c r="K185" s="6">
        <v>442</v>
      </c>
      <c r="L185" s="6">
        <v>4</v>
      </c>
      <c r="M185" s="6">
        <v>3</v>
      </c>
    </row>
    <row r="186" spans="1:13" x14ac:dyDescent="0.3">
      <c r="A186" s="6">
        <v>6</v>
      </c>
      <c r="B186" s="7"/>
      <c r="C186" s="7"/>
      <c r="D186" s="7"/>
      <c r="E186" s="7"/>
      <c r="F186" s="6" t="s">
        <v>1247</v>
      </c>
      <c r="G186" s="7"/>
      <c r="H186" s="6" t="str">
        <f>HYPERLINK("plots_Diabetes/loss_overlay.png", "Vedi grafico")</f>
        <v>Vedi grafico</v>
      </c>
      <c r="I186" s="7"/>
      <c r="J186" s="7"/>
      <c r="K186" s="7"/>
      <c r="L186" s="7"/>
      <c r="M186" s="7"/>
    </row>
    <row r="187" spans="1:13" x14ac:dyDescent="0.3">
      <c r="A187" s="6">
        <v>6</v>
      </c>
      <c r="B187" s="6" t="s">
        <v>1249</v>
      </c>
      <c r="C187" s="6" t="s">
        <v>1243</v>
      </c>
      <c r="D187" s="6">
        <v>99</v>
      </c>
      <c r="E187" s="6">
        <v>0.30871506599942222</v>
      </c>
      <c r="F187" s="6">
        <v>0.34434747736960852</v>
      </c>
      <c r="G187" s="6">
        <v>1.493580584911406E-6</v>
      </c>
      <c r="H187" s="6" t="str">
        <f>HYPERLINK("plots_Digits/Gauss-Seidel_plot_6.png", "Vedi grafico")</f>
        <v>Vedi grafico</v>
      </c>
      <c r="I187" s="7"/>
      <c r="J187" s="6">
        <v>64</v>
      </c>
      <c r="K187" s="6">
        <v>1797</v>
      </c>
      <c r="L187" s="6">
        <v>1</v>
      </c>
      <c r="M187" s="6">
        <v>3</v>
      </c>
    </row>
    <row r="188" spans="1:13" x14ac:dyDescent="0.3">
      <c r="A188" s="6">
        <v>6</v>
      </c>
      <c r="B188" s="6" t="s">
        <v>1249</v>
      </c>
      <c r="C188" s="6" t="s">
        <v>1244</v>
      </c>
      <c r="D188" s="6">
        <v>100</v>
      </c>
      <c r="E188" s="6">
        <v>2.264142700005323E-2</v>
      </c>
      <c r="F188" s="6">
        <v>0.34537500106744229</v>
      </c>
      <c r="G188" s="6">
        <v>1.9786438650008439E-2</v>
      </c>
      <c r="H188" s="6" t="str">
        <f>HYPERLINK("plots_Digits/Gradient Descent_plot_6.png", "Vedi grafico")</f>
        <v>Vedi grafico</v>
      </c>
      <c r="I188" s="7"/>
      <c r="J188" s="6">
        <v>64</v>
      </c>
      <c r="K188" s="6">
        <v>1797</v>
      </c>
      <c r="L188" s="6">
        <v>1</v>
      </c>
      <c r="M188" s="6">
        <v>1</v>
      </c>
    </row>
    <row r="189" spans="1:13" x14ac:dyDescent="0.3">
      <c r="A189" s="6">
        <v>6</v>
      </c>
      <c r="B189" s="6" t="s">
        <v>1249</v>
      </c>
      <c r="C189" s="6" t="s">
        <v>1245</v>
      </c>
      <c r="D189" s="6">
        <v>100</v>
      </c>
      <c r="E189" s="6">
        <v>6.3586755999494926E-2</v>
      </c>
      <c r="F189" s="6">
        <v>0.34434747736105209</v>
      </c>
      <c r="G189" s="6">
        <v>1.033194216913189E-7</v>
      </c>
      <c r="H189" s="6" t="str">
        <f>HYPERLINK("plots_Digits/Gradient Descent Armijo_plot_6.png", "Vedi grafico")</f>
        <v>Vedi grafico</v>
      </c>
      <c r="I189" s="7"/>
      <c r="J189" s="6">
        <v>64</v>
      </c>
      <c r="K189" s="6">
        <v>1797</v>
      </c>
      <c r="L189" s="6">
        <v>1</v>
      </c>
      <c r="M189" s="6">
        <v>1</v>
      </c>
    </row>
    <row r="190" spans="1:13" x14ac:dyDescent="0.3">
      <c r="A190" s="6">
        <v>6</v>
      </c>
      <c r="B190" s="6" t="s">
        <v>1249</v>
      </c>
      <c r="C190" s="6" t="s">
        <v>1246</v>
      </c>
      <c r="D190" s="6">
        <v>99</v>
      </c>
      <c r="E190" s="6">
        <v>2.2220625899990409</v>
      </c>
      <c r="F190" s="6">
        <v>0.34434747736925292</v>
      </c>
      <c r="G190" s="6">
        <v>1.48494259588109E-6</v>
      </c>
      <c r="H190" s="6" t="str">
        <f>HYPERLINK("plots_Digits/Jacobi_plot_6.png", "Vedi grafico")</f>
        <v>Vedi grafico</v>
      </c>
      <c r="I190" s="7"/>
      <c r="J190" s="6">
        <v>64</v>
      </c>
      <c r="K190" s="6">
        <v>1797</v>
      </c>
      <c r="L190" s="6">
        <v>4</v>
      </c>
      <c r="M190" s="6">
        <v>3</v>
      </c>
    </row>
    <row r="191" spans="1:13" x14ac:dyDescent="0.3">
      <c r="A191" s="6">
        <v>6</v>
      </c>
      <c r="B191" s="7"/>
      <c r="C191" s="7"/>
      <c r="D191" s="7"/>
      <c r="E191" s="7"/>
      <c r="F191" s="6" t="s">
        <v>1247</v>
      </c>
      <c r="G191" s="7"/>
      <c r="H191" s="6" t="str">
        <f>HYPERLINK("plots_Digits/loss_overlay.png", "Vedi grafico")</f>
        <v>Vedi grafico</v>
      </c>
      <c r="I191" s="7"/>
      <c r="J191" s="7"/>
      <c r="K191" s="7"/>
      <c r="L191" s="7"/>
      <c r="M191" s="7"/>
    </row>
    <row r="192" spans="1:13" x14ac:dyDescent="0.3">
      <c r="A192" s="6">
        <v>6</v>
      </c>
      <c r="B192" s="6" t="s">
        <v>1250</v>
      </c>
      <c r="C192" s="6" t="s">
        <v>1243</v>
      </c>
      <c r="D192" s="6">
        <v>99</v>
      </c>
      <c r="E192" s="6">
        <v>7.7177103999929386E-2</v>
      </c>
      <c r="F192" s="6">
        <v>0.27704814805781619</v>
      </c>
      <c r="G192" s="6">
        <v>1.558115533624246E-6</v>
      </c>
      <c r="H192" s="6" t="str">
        <f>HYPERLINK("plots_Iris/Gauss-Seidel_plot_6.png", "Vedi grafico")</f>
        <v>Vedi grafico</v>
      </c>
      <c r="I192" s="7"/>
      <c r="J192" s="6">
        <v>4</v>
      </c>
      <c r="K192" s="6">
        <v>150</v>
      </c>
      <c r="L192" s="6">
        <v>1</v>
      </c>
      <c r="M192" s="6">
        <v>3</v>
      </c>
    </row>
    <row r="193" spans="1:13" x14ac:dyDescent="0.3">
      <c r="A193" s="6">
        <v>6</v>
      </c>
      <c r="B193" s="6" t="s">
        <v>1250</v>
      </c>
      <c r="C193" s="6" t="s">
        <v>1244</v>
      </c>
      <c r="D193" s="6">
        <v>100</v>
      </c>
      <c r="E193" s="6">
        <v>9.0135059999738587E-3</v>
      </c>
      <c r="F193" s="6">
        <v>0.27776652481322572</v>
      </c>
      <c r="G193" s="6">
        <v>1.8187512148941268E-2</v>
      </c>
      <c r="H193" s="6" t="str">
        <f>HYPERLINK("plots_Iris/Gradient Descent_plot_6.png", "Vedi grafico")</f>
        <v>Vedi grafico</v>
      </c>
      <c r="I193" s="7"/>
      <c r="J193" s="6">
        <v>4</v>
      </c>
      <c r="K193" s="6">
        <v>150</v>
      </c>
      <c r="L193" s="6">
        <v>1</v>
      </c>
      <c r="M193" s="6">
        <v>1</v>
      </c>
    </row>
    <row r="194" spans="1:13" x14ac:dyDescent="0.3">
      <c r="A194" s="6">
        <v>6</v>
      </c>
      <c r="B194" s="6" t="s">
        <v>1250</v>
      </c>
      <c r="C194" s="6" t="s">
        <v>1245</v>
      </c>
      <c r="D194" s="6">
        <v>100</v>
      </c>
      <c r="E194" s="6">
        <v>1.9368650999240341E-2</v>
      </c>
      <c r="F194" s="6">
        <v>0.2770481480474194</v>
      </c>
      <c r="G194" s="6">
        <v>1.0008744736275179E-7</v>
      </c>
      <c r="H194" s="6" t="str">
        <f>HYPERLINK("plots_Iris/Gradient Descent Armijo_plot_6.png", "Vedi grafico")</f>
        <v>Vedi grafico</v>
      </c>
      <c r="I194" s="7"/>
      <c r="J194" s="6">
        <v>4</v>
      </c>
      <c r="K194" s="6">
        <v>150</v>
      </c>
      <c r="L194" s="6">
        <v>1</v>
      </c>
      <c r="M194" s="6">
        <v>1</v>
      </c>
    </row>
    <row r="195" spans="1:13" x14ac:dyDescent="0.3">
      <c r="A195" s="6">
        <v>6</v>
      </c>
      <c r="B195" s="6" t="s">
        <v>1250</v>
      </c>
      <c r="C195" s="6" t="s">
        <v>1246</v>
      </c>
      <c r="D195" s="6">
        <v>99</v>
      </c>
      <c r="E195" s="6">
        <v>1.210857758000202</v>
      </c>
      <c r="F195" s="6">
        <v>0.27704814805836497</v>
      </c>
      <c r="G195" s="6">
        <v>1.602465997231919E-6</v>
      </c>
      <c r="H195" s="6" t="str">
        <f>HYPERLINK("plots_Iris/Jacobi_plot_6.png", "Vedi grafico")</f>
        <v>Vedi grafico</v>
      </c>
      <c r="I195" s="7"/>
      <c r="J195" s="6">
        <v>4</v>
      </c>
      <c r="K195" s="6">
        <v>150</v>
      </c>
      <c r="L195" s="6">
        <v>4</v>
      </c>
      <c r="M195" s="6">
        <v>3</v>
      </c>
    </row>
    <row r="196" spans="1:13" x14ac:dyDescent="0.3">
      <c r="A196" s="6">
        <v>6</v>
      </c>
      <c r="B196" s="7"/>
      <c r="C196" s="7"/>
      <c r="D196" s="7"/>
      <c r="E196" s="7"/>
      <c r="F196" s="6" t="s">
        <v>1247</v>
      </c>
      <c r="G196" s="7"/>
      <c r="H196" s="6" t="str">
        <f>HYPERLINK("plots_Iris/loss_overlay.png", "Vedi grafico")</f>
        <v>Vedi grafico</v>
      </c>
      <c r="I196" s="7"/>
      <c r="J196" s="7"/>
      <c r="K196" s="7"/>
      <c r="L196" s="7"/>
      <c r="M196" s="7"/>
    </row>
    <row r="197" spans="1:13" x14ac:dyDescent="0.3">
      <c r="A197" s="6">
        <v>6</v>
      </c>
      <c r="B197" s="6" t="s">
        <v>1251</v>
      </c>
      <c r="C197" s="6" t="s">
        <v>1243</v>
      </c>
      <c r="D197" s="6">
        <v>99</v>
      </c>
      <c r="E197" s="6">
        <v>8.1019594001190853E-2</v>
      </c>
      <c r="F197" s="6">
        <v>0.28687255998474409</v>
      </c>
      <c r="G197" s="6">
        <v>1.5366697802511581E-6</v>
      </c>
      <c r="H197" s="6" t="str">
        <f>HYPERLINK("plots_Wine/Gauss-Seidel_plot_6.png", "Vedi grafico")</f>
        <v>Vedi grafico</v>
      </c>
      <c r="I197" s="7"/>
      <c r="J197" s="6">
        <v>13</v>
      </c>
      <c r="K197" s="6">
        <v>178</v>
      </c>
      <c r="L197" s="6">
        <v>1</v>
      </c>
      <c r="M197" s="6">
        <v>3</v>
      </c>
    </row>
    <row r="198" spans="1:13" x14ac:dyDescent="0.3">
      <c r="A198" s="6">
        <v>6</v>
      </c>
      <c r="B198" s="6" t="s">
        <v>1251</v>
      </c>
      <c r="C198" s="6" t="s">
        <v>1244</v>
      </c>
      <c r="D198" s="6">
        <v>100</v>
      </c>
      <c r="E198" s="6">
        <v>1.245585900142032E-2</v>
      </c>
      <c r="F198" s="6">
        <v>0.288147784334295</v>
      </c>
      <c r="G198" s="6">
        <v>2.226338153822115E-2</v>
      </c>
      <c r="H198" s="6" t="str">
        <f>HYPERLINK("plots_Wine/Gradient Descent_plot_6.png", "Vedi grafico")</f>
        <v>Vedi grafico</v>
      </c>
      <c r="I198" s="7"/>
      <c r="J198" s="6">
        <v>13</v>
      </c>
      <c r="K198" s="6">
        <v>178</v>
      </c>
      <c r="L198" s="6">
        <v>1</v>
      </c>
      <c r="M198" s="6">
        <v>1</v>
      </c>
    </row>
    <row r="199" spans="1:13" x14ac:dyDescent="0.3">
      <c r="A199" s="6">
        <v>6</v>
      </c>
      <c r="B199" s="6" t="s">
        <v>1251</v>
      </c>
      <c r="C199" s="6" t="s">
        <v>1245</v>
      </c>
      <c r="D199" s="6">
        <v>100</v>
      </c>
      <c r="E199" s="6">
        <v>1.8203098999947539E-2</v>
      </c>
      <c r="F199" s="6">
        <v>0.28687255997585598</v>
      </c>
      <c r="G199" s="6">
        <v>5.1639985112820927E-8</v>
      </c>
      <c r="H199" s="6" t="str">
        <f>HYPERLINK("plots_Wine/Gradient Descent Armijo_plot_6.png", "Vedi grafico")</f>
        <v>Vedi grafico</v>
      </c>
      <c r="I199" s="7"/>
      <c r="J199" s="6">
        <v>13</v>
      </c>
      <c r="K199" s="6">
        <v>178</v>
      </c>
      <c r="L199" s="6">
        <v>1</v>
      </c>
      <c r="M199" s="6">
        <v>1</v>
      </c>
    </row>
    <row r="200" spans="1:13" x14ac:dyDescent="0.3">
      <c r="A200" s="6">
        <v>6</v>
      </c>
      <c r="B200" s="6" t="s">
        <v>1251</v>
      </c>
      <c r="C200" s="6" t="s">
        <v>1246</v>
      </c>
      <c r="D200" s="6">
        <v>99</v>
      </c>
      <c r="E200" s="6">
        <v>1.2129006120012491</v>
      </c>
      <c r="F200" s="6">
        <v>0.28687255998491751</v>
      </c>
      <c r="G200" s="6">
        <v>1.5519298628495311E-6</v>
      </c>
      <c r="H200" s="6" t="str">
        <f>HYPERLINK("plots_Wine/Jacobi_plot_6.png", "Vedi grafico")</f>
        <v>Vedi grafico</v>
      </c>
      <c r="I200" s="7"/>
      <c r="J200" s="6">
        <v>13</v>
      </c>
      <c r="K200" s="6">
        <v>178</v>
      </c>
      <c r="L200" s="6">
        <v>4</v>
      </c>
      <c r="M200" s="6">
        <v>3</v>
      </c>
    </row>
    <row r="201" spans="1:13" x14ac:dyDescent="0.3">
      <c r="A201" s="6">
        <v>6</v>
      </c>
      <c r="B201" s="7"/>
      <c r="C201" s="7"/>
      <c r="D201" s="7"/>
      <c r="E201" s="7"/>
      <c r="F201" s="6" t="s">
        <v>1247</v>
      </c>
      <c r="G201" s="7"/>
      <c r="H201" s="6" t="str">
        <f>HYPERLINK("plots_Wine/loss_overlay.png", "Vedi grafico")</f>
        <v>Vedi grafico</v>
      </c>
      <c r="I201" s="7"/>
      <c r="J201" s="7"/>
      <c r="K201" s="7"/>
      <c r="L201" s="7"/>
      <c r="M201" s="7"/>
    </row>
    <row r="202" spans="1:13" x14ac:dyDescent="0.3">
      <c r="A202" s="6">
        <v>6</v>
      </c>
      <c r="B202" s="6" t="s">
        <v>1252</v>
      </c>
      <c r="C202" s="6" t="s">
        <v>1243</v>
      </c>
      <c r="D202" s="6">
        <v>99</v>
      </c>
      <c r="E202" s="6">
        <v>3.0218113179998909</v>
      </c>
      <c r="F202" s="6">
        <v>0.68096181065722583</v>
      </c>
      <c r="G202" s="6">
        <v>1.671235645865082E-6</v>
      </c>
      <c r="H202" s="6" t="str">
        <f>HYPERLINK("plots_Fetch/Gauss-Seidel_plot_6.png", "Vedi grafico")</f>
        <v>Vedi grafico</v>
      </c>
      <c r="I202" s="7"/>
      <c r="J202" s="6">
        <v>1000</v>
      </c>
      <c r="K202" s="6">
        <v>1772</v>
      </c>
      <c r="L202" s="6">
        <v>1</v>
      </c>
      <c r="M202" s="6">
        <v>3</v>
      </c>
    </row>
    <row r="203" spans="1:13" x14ac:dyDescent="0.3">
      <c r="A203" s="6">
        <v>6</v>
      </c>
      <c r="B203" s="6" t="s">
        <v>1252</v>
      </c>
      <c r="C203" s="6" t="s">
        <v>1244</v>
      </c>
      <c r="D203" s="6">
        <v>100</v>
      </c>
      <c r="E203" s="6">
        <v>0.73955407900029968</v>
      </c>
      <c r="F203" s="6">
        <v>0.68246591166439041</v>
      </c>
      <c r="G203" s="6">
        <v>1.7870159283770851E-2</v>
      </c>
      <c r="H203" s="6" t="str">
        <f>HYPERLINK("plots_Fetch/Gradient Descent_plot_6.png", "Vedi grafico")</f>
        <v>Vedi grafico</v>
      </c>
      <c r="I203" s="7"/>
      <c r="J203" s="6">
        <v>1000</v>
      </c>
      <c r="K203" s="6">
        <v>1772</v>
      </c>
      <c r="L203" s="6">
        <v>1</v>
      </c>
      <c r="M203" s="6">
        <v>1</v>
      </c>
    </row>
    <row r="204" spans="1:13" x14ac:dyDescent="0.3">
      <c r="A204" s="6">
        <v>6</v>
      </c>
      <c r="B204" s="6" t="s">
        <v>1252</v>
      </c>
      <c r="C204" s="6" t="s">
        <v>1245</v>
      </c>
      <c r="D204" s="6">
        <v>100</v>
      </c>
      <c r="E204" s="6">
        <v>0.95926563499961048</v>
      </c>
      <c r="F204" s="6">
        <v>0.68096181064839212</v>
      </c>
      <c r="G204" s="6">
        <v>9.8127357946551937E-7</v>
      </c>
      <c r="H204" s="6" t="str">
        <f>HYPERLINK("plots_Fetch/Gradient Descent Armijo_plot_6.png", "Vedi grafico")</f>
        <v>Vedi grafico</v>
      </c>
      <c r="I204" s="7"/>
      <c r="J204" s="6">
        <v>1000</v>
      </c>
      <c r="K204" s="6">
        <v>1772</v>
      </c>
      <c r="L204" s="6">
        <v>1</v>
      </c>
      <c r="M204" s="6">
        <v>1</v>
      </c>
    </row>
    <row r="205" spans="1:13" x14ac:dyDescent="0.3">
      <c r="A205" s="6">
        <v>6</v>
      </c>
      <c r="B205" s="6" t="s">
        <v>1252</v>
      </c>
      <c r="C205" s="6" t="s">
        <v>1246</v>
      </c>
      <c r="D205" s="6">
        <v>99</v>
      </c>
      <c r="E205" s="6">
        <v>20.201889664000191</v>
      </c>
      <c r="F205" s="6">
        <v>0.68096181065710581</v>
      </c>
      <c r="G205" s="6">
        <v>1.663236301623335E-6</v>
      </c>
      <c r="H205" s="6" t="str">
        <f>HYPERLINK("plots_Fetch/Jacobi_plot_6.png", "Vedi grafico")</f>
        <v>Vedi grafico</v>
      </c>
      <c r="I205" s="7"/>
      <c r="J205" s="6">
        <v>1000</v>
      </c>
      <c r="K205" s="6">
        <v>1772</v>
      </c>
      <c r="L205" s="6">
        <v>4</v>
      </c>
      <c r="M205" s="6">
        <v>3</v>
      </c>
    </row>
    <row r="206" spans="1:13" x14ac:dyDescent="0.3">
      <c r="A206" s="6">
        <v>6</v>
      </c>
      <c r="B206" s="7"/>
      <c r="C206" s="7"/>
      <c r="D206" s="7"/>
      <c r="E206" s="7"/>
      <c r="F206" s="6" t="s">
        <v>1247</v>
      </c>
      <c r="G206" s="7"/>
      <c r="H206" s="6" t="str">
        <f>HYPERLINK("plots_Fetch/loss_overlay.png", "Vedi grafico")</f>
        <v>Vedi grafico</v>
      </c>
      <c r="I206" s="7"/>
      <c r="J206" s="7"/>
      <c r="K206" s="7"/>
      <c r="L206" s="7"/>
      <c r="M206" s="7"/>
    </row>
    <row r="207" spans="1:13" x14ac:dyDescent="0.3">
      <c r="A207" s="6">
        <v>6</v>
      </c>
      <c r="B207" s="6" t="s">
        <v>1253</v>
      </c>
      <c r="C207" s="6" t="s">
        <v>1243</v>
      </c>
      <c r="D207" s="6">
        <v>99</v>
      </c>
      <c r="E207" s="6">
        <v>0.12698793900017341</v>
      </c>
      <c r="F207" s="6">
        <v>0.51015408034191068</v>
      </c>
      <c r="G207" s="6">
        <v>1.492975089393974E-6</v>
      </c>
      <c r="H207" s="6" t="str">
        <f>HYPERLINK("plots_Adult/Gauss-Seidel_plot_6.png", "Vedi grafico")</f>
        <v>Vedi grafico</v>
      </c>
      <c r="I207" s="7"/>
      <c r="J207" s="6">
        <v>108</v>
      </c>
      <c r="K207" s="6">
        <v>500</v>
      </c>
      <c r="L207" s="6">
        <v>1</v>
      </c>
      <c r="M207" s="6">
        <v>3</v>
      </c>
    </row>
    <row r="208" spans="1:13" x14ac:dyDescent="0.3">
      <c r="A208" s="6">
        <v>6</v>
      </c>
      <c r="B208" s="6" t="s">
        <v>1253</v>
      </c>
      <c r="C208" s="6" t="s">
        <v>1244</v>
      </c>
      <c r="D208" s="6">
        <v>100</v>
      </c>
      <c r="E208" s="6">
        <v>1.6942513000685722E-2</v>
      </c>
      <c r="F208" s="6">
        <v>0.5121771278438636</v>
      </c>
      <c r="G208" s="6">
        <v>2.422305615100654E-2</v>
      </c>
      <c r="H208" s="6" t="str">
        <f>HYPERLINK("plots_Adult/Gradient Descent_plot_6.png", "Vedi grafico")</f>
        <v>Vedi grafico</v>
      </c>
      <c r="I208" s="7"/>
      <c r="J208" s="6">
        <v>108</v>
      </c>
      <c r="K208" s="6">
        <v>500</v>
      </c>
      <c r="L208" s="6">
        <v>1</v>
      </c>
      <c r="M208" s="6">
        <v>1</v>
      </c>
    </row>
    <row r="209" spans="1:13" x14ac:dyDescent="0.3">
      <c r="A209" s="6">
        <v>6</v>
      </c>
      <c r="B209" s="6" t="s">
        <v>1253</v>
      </c>
      <c r="C209" s="6" t="s">
        <v>1245</v>
      </c>
      <c r="D209" s="6">
        <v>100</v>
      </c>
      <c r="E209" s="6">
        <v>2.9738967999946912E-2</v>
      </c>
      <c r="F209" s="6">
        <v>0.51015408033466247</v>
      </c>
      <c r="G209" s="6">
        <v>4.9174024418088745E-7</v>
      </c>
      <c r="H209" s="6" t="str">
        <f>HYPERLINK("plots_Adult/Gradient Descent Armijo_plot_6.png", "Vedi grafico")</f>
        <v>Vedi grafico</v>
      </c>
      <c r="I209" s="7"/>
      <c r="J209" s="6">
        <v>108</v>
      </c>
      <c r="K209" s="6">
        <v>500</v>
      </c>
      <c r="L209" s="6">
        <v>1</v>
      </c>
      <c r="M209" s="6">
        <v>1</v>
      </c>
    </row>
    <row r="210" spans="1:13" x14ac:dyDescent="0.3">
      <c r="A210" s="6">
        <v>6</v>
      </c>
      <c r="B210" s="6" t="s">
        <v>1253</v>
      </c>
      <c r="C210" s="6" t="s">
        <v>1246</v>
      </c>
      <c r="D210" s="6">
        <v>99</v>
      </c>
      <c r="E210" s="6">
        <v>1.336022118999608</v>
      </c>
      <c r="F210" s="6">
        <v>0.5101540803437169</v>
      </c>
      <c r="G210" s="6">
        <v>1.48948613327001E-6</v>
      </c>
      <c r="H210" s="6" t="str">
        <f>HYPERLINK("plots_Adult/Jacobi_plot_6.png", "Vedi grafico")</f>
        <v>Vedi grafico</v>
      </c>
      <c r="I210" s="7"/>
      <c r="J210" s="6">
        <v>108</v>
      </c>
      <c r="K210" s="6">
        <v>500</v>
      </c>
      <c r="L210" s="6">
        <v>4</v>
      </c>
      <c r="M210" s="6">
        <v>3</v>
      </c>
    </row>
    <row r="211" spans="1:13" x14ac:dyDescent="0.3">
      <c r="A211" s="6">
        <v>6</v>
      </c>
      <c r="B211" s="7"/>
      <c r="C211" s="7"/>
      <c r="D211" s="7"/>
      <c r="E211" s="7"/>
      <c r="F211" s="6" t="s">
        <v>1247</v>
      </c>
      <c r="G211" s="7"/>
      <c r="H211" s="6" t="str">
        <f>HYPERLINK("plots_Adult/loss_overlay.png", "Vedi grafico")</f>
        <v>Vedi grafico</v>
      </c>
      <c r="I211" s="7"/>
      <c r="J211" s="7"/>
      <c r="K211" s="7"/>
      <c r="L211" s="7"/>
      <c r="M211" s="7"/>
    </row>
    <row r="212" spans="1:13" x14ac:dyDescent="0.3">
      <c r="A212" s="8">
        <v>7</v>
      </c>
      <c r="B212" s="8" t="s">
        <v>1242</v>
      </c>
      <c r="C212" s="8" t="s">
        <v>1243</v>
      </c>
      <c r="D212" s="8">
        <v>99</v>
      </c>
      <c r="E212" s="8">
        <v>7.8181572000175947E-2</v>
      </c>
      <c r="F212" s="8">
        <v>0.20987243075704271</v>
      </c>
      <c r="G212" s="8">
        <v>1.2246519670762419E-6</v>
      </c>
      <c r="H212" s="8" t="str">
        <f>HYPERLINK("plots_Breast_Cancer/Gauss-Seidel_plot_7.png", "Vedi grafico")</f>
        <v>Vedi grafico</v>
      </c>
      <c r="I212" s="9"/>
      <c r="J212" s="8">
        <v>30</v>
      </c>
      <c r="K212" s="8">
        <v>569</v>
      </c>
      <c r="L212" s="8">
        <v>1</v>
      </c>
      <c r="M212" s="8">
        <v>2</v>
      </c>
    </row>
    <row r="213" spans="1:13" x14ac:dyDescent="0.3">
      <c r="A213" s="8">
        <v>7</v>
      </c>
      <c r="B213" s="8" t="s">
        <v>1242</v>
      </c>
      <c r="C213" s="8" t="s">
        <v>1244</v>
      </c>
      <c r="D213" s="8">
        <v>100</v>
      </c>
      <c r="E213" s="8">
        <v>1.227150199883908E-2</v>
      </c>
      <c r="F213" s="8">
        <v>0.21024932776281</v>
      </c>
      <c r="G213" s="8">
        <v>1.207764533447778E-2</v>
      </c>
      <c r="H213" s="8" t="str">
        <f>HYPERLINK("plots_Breast_Cancer/Gradient Descent_plot_7.png", "Vedi grafico")</f>
        <v>Vedi grafico</v>
      </c>
      <c r="I213" s="9"/>
      <c r="J213" s="8">
        <v>30</v>
      </c>
      <c r="K213" s="8">
        <v>569</v>
      </c>
      <c r="L213" s="8">
        <v>1</v>
      </c>
      <c r="M213" s="8">
        <v>1</v>
      </c>
    </row>
    <row r="214" spans="1:13" x14ac:dyDescent="0.3">
      <c r="A214" s="8">
        <v>7</v>
      </c>
      <c r="B214" s="8" t="s">
        <v>1242</v>
      </c>
      <c r="C214" s="8" t="s">
        <v>1245</v>
      </c>
      <c r="D214" s="8">
        <v>100</v>
      </c>
      <c r="E214" s="8">
        <v>2.4334255000212579E-2</v>
      </c>
      <c r="F214" s="8">
        <v>0.2098724307504316</v>
      </c>
      <c r="G214" s="8">
        <v>1.4925095899640461E-7</v>
      </c>
      <c r="H214" s="8" t="str">
        <f>HYPERLINK("plots_Breast_Cancer/Gradient Descent Armijo_plot_7.png", "Vedi grafico")</f>
        <v>Vedi grafico</v>
      </c>
      <c r="I214" s="9"/>
      <c r="J214" s="8">
        <v>30</v>
      </c>
      <c r="K214" s="8">
        <v>569</v>
      </c>
      <c r="L214" s="8">
        <v>1</v>
      </c>
      <c r="M214" s="8">
        <v>1</v>
      </c>
    </row>
    <row r="215" spans="1:13" x14ac:dyDescent="0.3">
      <c r="A215" s="8">
        <v>7</v>
      </c>
      <c r="B215" s="8" t="s">
        <v>1242</v>
      </c>
      <c r="C215" s="8" t="s">
        <v>1246</v>
      </c>
      <c r="D215" s="8">
        <v>99</v>
      </c>
      <c r="E215" s="8">
        <v>1.728348892998838</v>
      </c>
      <c r="F215" s="8">
        <v>0.20987243075902379</v>
      </c>
      <c r="G215" s="8">
        <v>1.3793185367128121E-6</v>
      </c>
      <c r="H215" s="8" t="str">
        <f>HYPERLINK("plots_Breast_Cancer/Jacobi_plot_7.png", "Vedi grafico")</f>
        <v>Vedi grafico</v>
      </c>
      <c r="I215" s="9"/>
      <c r="J215" s="8">
        <v>30</v>
      </c>
      <c r="K215" s="8">
        <v>569</v>
      </c>
      <c r="L215" s="8">
        <v>4</v>
      </c>
      <c r="M215" s="8">
        <v>2</v>
      </c>
    </row>
    <row r="216" spans="1:13" x14ac:dyDescent="0.3">
      <c r="A216" s="8">
        <v>7</v>
      </c>
      <c r="B216" s="9"/>
      <c r="C216" s="9"/>
      <c r="D216" s="9"/>
      <c r="E216" s="9"/>
      <c r="F216" s="8" t="s">
        <v>1247</v>
      </c>
      <c r="G216" s="9"/>
      <c r="H216" s="8" t="str">
        <f>HYPERLINK("plots_Breast_Cancer/loss_overlay.png", "Vedi grafico")</f>
        <v>Vedi grafico</v>
      </c>
      <c r="I216" s="9"/>
      <c r="J216" s="9"/>
      <c r="K216" s="9"/>
      <c r="L216" s="9"/>
      <c r="M216" s="9"/>
    </row>
    <row r="217" spans="1:13" x14ac:dyDescent="0.3">
      <c r="A217" s="8">
        <v>7</v>
      </c>
      <c r="B217" s="8" t="s">
        <v>1248</v>
      </c>
      <c r="C217" s="8" t="s">
        <v>1243</v>
      </c>
      <c r="D217" s="8">
        <v>99</v>
      </c>
      <c r="E217" s="8">
        <v>7.5712348998422385E-2</v>
      </c>
      <c r="F217" s="8">
        <v>0.53234021855310754</v>
      </c>
      <c r="G217" s="8">
        <v>1.245624880288779E-6</v>
      </c>
      <c r="H217" s="8" t="str">
        <f>HYPERLINK("plots_Diabetes/Gauss-Seidel_plot_7.png", "Vedi grafico")</f>
        <v>Vedi grafico</v>
      </c>
      <c r="I217" s="9"/>
      <c r="J217" s="8">
        <v>10</v>
      </c>
      <c r="K217" s="8">
        <v>442</v>
      </c>
      <c r="L217" s="8">
        <v>1</v>
      </c>
      <c r="M217" s="8">
        <v>2</v>
      </c>
    </row>
    <row r="218" spans="1:13" x14ac:dyDescent="0.3">
      <c r="A218" s="8">
        <v>7</v>
      </c>
      <c r="B218" s="8" t="s">
        <v>1248</v>
      </c>
      <c r="C218" s="8" t="s">
        <v>1244</v>
      </c>
      <c r="D218" s="8">
        <v>100</v>
      </c>
      <c r="E218" s="8">
        <v>1.551755999935267E-2</v>
      </c>
      <c r="F218" s="8">
        <v>0.53263822042975961</v>
      </c>
      <c r="G218" s="8">
        <v>1.2182936658034649E-2</v>
      </c>
      <c r="H218" s="8" t="str">
        <f>HYPERLINK("plots_Diabetes/Gradient Descent_plot_7.png", "Vedi grafico")</f>
        <v>Vedi grafico</v>
      </c>
      <c r="I218" s="9"/>
      <c r="J218" s="8">
        <v>10</v>
      </c>
      <c r="K218" s="8">
        <v>442</v>
      </c>
      <c r="L218" s="8">
        <v>1</v>
      </c>
      <c r="M218" s="8">
        <v>1</v>
      </c>
    </row>
    <row r="219" spans="1:13" x14ac:dyDescent="0.3">
      <c r="A219" s="8">
        <v>7</v>
      </c>
      <c r="B219" s="8" t="s">
        <v>1248</v>
      </c>
      <c r="C219" s="8" t="s">
        <v>1245</v>
      </c>
      <c r="D219" s="8">
        <v>100</v>
      </c>
      <c r="E219" s="8">
        <v>1.8685236000237641E-2</v>
      </c>
      <c r="F219" s="8">
        <v>0.5323402185455357</v>
      </c>
      <c r="G219" s="8">
        <v>6.1510589046363571E-8</v>
      </c>
      <c r="H219" s="8" t="str">
        <f>HYPERLINK("plots_Diabetes/Gradient Descent Armijo_plot_7.png", "Vedi grafico")</f>
        <v>Vedi grafico</v>
      </c>
      <c r="I219" s="9"/>
      <c r="J219" s="8">
        <v>10</v>
      </c>
      <c r="K219" s="8">
        <v>442</v>
      </c>
      <c r="L219" s="8">
        <v>1</v>
      </c>
      <c r="M219" s="8">
        <v>1</v>
      </c>
    </row>
    <row r="220" spans="1:13" x14ac:dyDescent="0.3">
      <c r="A220" s="8">
        <v>7</v>
      </c>
      <c r="B220" s="8" t="s">
        <v>1248</v>
      </c>
      <c r="C220" s="8" t="s">
        <v>1246</v>
      </c>
      <c r="D220" s="8">
        <v>99</v>
      </c>
      <c r="E220" s="8">
        <v>1.3249772530016339</v>
      </c>
      <c r="F220" s="8">
        <v>0.53234021855252922</v>
      </c>
      <c r="G220" s="8">
        <v>1.200957479954336E-6</v>
      </c>
      <c r="H220" s="8" t="str">
        <f>HYPERLINK("plots_Diabetes/Jacobi_plot_7.png", "Vedi grafico")</f>
        <v>Vedi grafico</v>
      </c>
      <c r="I220" s="9"/>
      <c r="J220" s="8">
        <v>10</v>
      </c>
      <c r="K220" s="8">
        <v>442</v>
      </c>
      <c r="L220" s="8">
        <v>4</v>
      </c>
      <c r="M220" s="8">
        <v>2</v>
      </c>
    </row>
    <row r="221" spans="1:13" x14ac:dyDescent="0.3">
      <c r="A221" s="8">
        <v>7</v>
      </c>
      <c r="B221" s="9"/>
      <c r="C221" s="9"/>
      <c r="D221" s="9"/>
      <c r="E221" s="9"/>
      <c r="F221" s="8" t="s">
        <v>1247</v>
      </c>
      <c r="G221" s="9"/>
      <c r="H221" s="8" t="str">
        <f>HYPERLINK("plots_Diabetes/loss_overlay.png", "Vedi grafico")</f>
        <v>Vedi grafico</v>
      </c>
      <c r="I221" s="9"/>
      <c r="J221" s="9"/>
      <c r="K221" s="9"/>
      <c r="L221" s="9"/>
      <c r="M221" s="9"/>
    </row>
    <row r="222" spans="1:13" x14ac:dyDescent="0.3">
      <c r="A222" s="8">
        <v>7</v>
      </c>
      <c r="B222" s="8" t="s">
        <v>1249</v>
      </c>
      <c r="C222" s="8" t="s">
        <v>1243</v>
      </c>
      <c r="D222" s="8">
        <v>99</v>
      </c>
      <c r="E222" s="8">
        <v>0.159916358999908</v>
      </c>
      <c r="F222" s="8">
        <v>0.34434747736668442</v>
      </c>
      <c r="G222" s="8">
        <v>1.174630801694358E-6</v>
      </c>
      <c r="H222" s="8" t="str">
        <f>HYPERLINK("plots_Digits/Gauss-Seidel_plot_7.png", "Vedi grafico")</f>
        <v>Vedi grafico</v>
      </c>
      <c r="I222" s="9"/>
      <c r="J222" s="8">
        <v>64</v>
      </c>
      <c r="K222" s="8">
        <v>1797</v>
      </c>
      <c r="L222" s="8">
        <v>1</v>
      </c>
      <c r="M222" s="8">
        <v>2</v>
      </c>
    </row>
    <row r="223" spans="1:13" x14ac:dyDescent="0.3">
      <c r="A223" s="8">
        <v>7</v>
      </c>
      <c r="B223" s="8" t="s">
        <v>1249</v>
      </c>
      <c r="C223" s="8" t="s">
        <v>1244</v>
      </c>
      <c r="D223" s="8">
        <v>100</v>
      </c>
      <c r="E223" s="8">
        <v>2.6498912999159071E-2</v>
      </c>
      <c r="F223" s="8">
        <v>0.34537500106744229</v>
      </c>
      <c r="G223" s="8">
        <v>1.9786438650008439E-2</v>
      </c>
      <c r="H223" s="8" t="str">
        <f>HYPERLINK("plots_Digits/Gradient Descent_plot_7.png", "Vedi grafico")</f>
        <v>Vedi grafico</v>
      </c>
      <c r="I223" s="9"/>
      <c r="J223" s="8">
        <v>64</v>
      </c>
      <c r="K223" s="8">
        <v>1797</v>
      </c>
      <c r="L223" s="8">
        <v>1</v>
      </c>
      <c r="M223" s="8">
        <v>1</v>
      </c>
    </row>
    <row r="224" spans="1:13" x14ac:dyDescent="0.3">
      <c r="A224" s="8">
        <v>7</v>
      </c>
      <c r="B224" s="8" t="s">
        <v>1249</v>
      </c>
      <c r="C224" s="8" t="s">
        <v>1245</v>
      </c>
      <c r="D224" s="8">
        <v>100</v>
      </c>
      <c r="E224" s="8">
        <v>4.69236720000481E-2</v>
      </c>
      <c r="F224" s="8">
        <v>0.34434747736105209</v>
      </c>
      <c r="G224" s="8">
        <v>1.033194216913189E-7</v>
      </c>
      <c r="H224" s="8" t="str">
        <f>HYPERLINK("plots_Digits/Gradient Descent Armijo_plot_7.png", "Vedi grafico")</f>
        <v>Vedi grafico</v>
      </c>
      <c r="I224" s="9"/>
      <c r="J224" s="8">
        <v>64</v>
      </c>
      <c r="K224" s="8">
        <v>1797</v>
      </c>
      <c r="L224" s="8">
        <v>1</v>
      </c>
      <c r="M224" s="8">
        <v>1</v>
      </c>
    </row>
    <row r="225" spans="1:13" x14ac:dyDescent="0.3">
      <c r="A225" s="8">
        <v>7</v>
      </c>
      <c r="B225" s="8" t="s">
        <v>1249</v>
      </c>
      <c r="C225" s="8" t="s">
        <v>1246</v>
      </c>
      <c r="D225" s="8">
        <v>99</v>
      </c>
      <c r="E225" s="8">
        <v>1.406903524000882</v>
      </c>
      <c r="F225" s="8">
        <v>0.34434747736606591</v>
      </c>
      <c r="G225" s="8">
        <v>1.1033368311829739E-6</v>
      </c>
      <c r="H225" s="8" t="str">
        <f>HYPERLINK("plots_Digits/Jacobi_plot_7.png", "Vedi grafico")</f>
        <v>Vedi grafico</v>
      </c>
      <c r="I225" s="9"/>
      <c r="J225" s="8">
        <v>64</v>
      </c>
      <c r="K225" s="8">
        <v>1797</v>
      </c>
      <c r="L225" s="8">
        <v>4</v>
      </c>
      <c r="M225" s="8">
        <v>2</v>
      </c>
    </row>
    <row r="226" spans="1:13" x14ac:dyDescent="0.3">
      <c r="A226" s="8">
        <v>7</v>
      </c>
      <c r="B226" s="9"/>
      <c r="C226" s="9"/>
      <c r="D226" s="9"/>
      <c r="E226" s="9"/>
      <c r="F226" s="8" t="s">
        <v>1247</v>
      </c>
      <c r="G226" s="9"/>
      <c r="H226" s="8" t="str">
        <f>HYPERLINK("plots_Digits/loss_overlay.png", "Vedi grafico")</f>
        <v>Vedi grafico</v>
      </c>
      <c r="I226" s="9"/>
      <c r="J226" s="9"/>
      <c r="K226" s="9"/>
      <c r="L226" s="9"/>
      <c r="M226" s="9"/>
    </row>
    <row r="227" spans="1:13" x14ac:dyDescent="0.3">
      <c r="A227" s="8">
        <v>7</v>
      </c>
      <c r="B227" s="8" t="s">
        <v>1250</v>
      </c>
      <c r="C227" s="8" t="s">
        <v>1243</v>
      </c>
      <c r="D227" s="8">
        <v>99</v>
      </c>
      <c r="E227" s="8">
        <v>0.10256604399910429</v>
      </c>
      <c r="F227" s="8">
        <v>0.27704814805507949</v>
      </c>
      <c r="G227" s="8">
        <v>1.2957909725880281E-6</v>
      </c>
      <c r="H227" s="8" t="str">
        <f>HYPERLINK("plots_Iris/Gauss-Seidel_plot_7.png", "Vedi grafico")</f>
        <v>Vedi grafico</v>
      </c>
      <c r="I227" s="9"/>
      <c r="J227" s="8">
        <v>4</v>
      </c>
      <c r="K227" s="8">
        <v>150</v>
      </c>
      <c r="L227" s="8">
        <v>1</v>
      </c>
      <c r="M227" s="8">
        <v>2</v>
      </c>
    </row>
    <row r="228" spans="1:13" x14ac:dyDescent="0.3">
      <c r="A228" s="8">
        <v>7</v>
      </c>
      <c r="B228" s="8" t="s">
        <v>1250</v>
      </c>
      <c r="C228" s="8" t="s">
        <v>1244</v>
      </c>
      <c r="D228" s="8">
        <v>100</v>
      </c>
      <c r="E228" s="8">
        <v>1.242655900023237E-2</v>
      </c>
      <c r="F228" s="8">
        <v>0.27776652481322572</v>
      </c>
      <c r="G228" s="8">
        <v>1.8187512148941268E-2</v>
      </c>
      <c r="H228" s="8" t="str">
        <f>HYPERLINK("plots_Iris/Gradient Descent_plot_7.png", "Vedi grafico")</f>
        <v>Vedi grafico</v>
      </c>
      <c r="I228" s="9"/>
      <c r="J228" s="8">
        <v>4</v>
      </c>
      <c r="K228" s="8">
        <v>150</v>
      </c>
      <c r="L228" s="8">
        <v>1</v>
      </c>
      <c r="M228" s="8">
        <v>1</v>
      </c>
    </row>
    <row r="229" spans="1:13" x14ac:dyDescent="0.3">
      <c r="A229" s="8">
        <v>7</v>
      </c>
      <c r="B229" s="8" t="s">
        <v>1250</v>
      </c>
      <c r="C229" s="8" t="s">
        <v>1245</v>
      </c>
      <c r="D229" s="8">
        <v>100</v>
      </c>
      <c r="E229" s="8">
        <v>1.7997057999309621E-2</v>
      </c>
      <c r="F229" s="8">
        <v>0.2770481480474194</v>
      </c>
      <c r="G229" s="8">
        <v>1.0008744736275179E-7</v>
      </c>
      <c r="H229" s="8" t="str">
        <f>HYPERLINK("plots_Iris/Gradient Descent Armijo_plot_7.png", "Vedi grafico")</f>
        <v>Vedi grafico</v>
      </c>
      <c r="I229" s="9"/>
      <c r="J229" s="8">
        <v>4</v>
      </c>
      <c r="K229" s="8">
        <v>150</v>
      </c>
      <c r="L229" s="8">
        <v>1</v>
      </c>
      <c r="M229" s="8">
        <v>1</v>
      </c>
    </row>
    <row r="230" spans="1:13" x14ac:dyDescent="0.3">
      <c r="A230" s="8">
        <v>7</v>
      </c>
      <c r="B230" s="8" t="s">
        <v>1250</v>
      </c>
      <c r="C230" s="8" t="s">
        <v>1246</v>
      </c>
      <c r="D230" s="8">
        <v>99</v>
      </c>
      <c r="E230" s="8">
        <v>1.2127456210000671</v>
      </c>
      <c r="F230" s="8">
        <v>0.27704814805447858</v>
      </c>
      <c r="G230" s="8">
        <v>1.242798702606492E-6</v>
      </c>
      <c r="H230" s="8" t="str">
        <f>HYPERLINK("plots_Iris/Jacobi_plot_7.png", "Vedi grafico")</f>
        <v>Vedi grafico</v>
      </c>
      <c r="I230" s="9"/>
      <c r="J230" s="8">
        <v>4</v>
      </c>
      <c r="K230" s="8">
        <v>150</v>
      </c>
      <c r="L230" s="8">
        <v>4</v>
      </c>
      <c r="M230" s="8">
        <v>2</v>
      </c>
    </row>
    <row r="231" spans="1:13" x14ac:dyDescent="0.3">
      <c r="A231" s="8">
        <v>7</v>
      </c>
      <c r="B231" s="9"/>
      <c r="C231" s="9"/>
      <c r="D231" s="9"/>
      <c r="E231" s="9"/>
      <c r="F231" s="8" t="s">
        <v>1247</v>
      </c>
      <c r="G231" s="9"/>
      <c r="H231" s="8" t="str">
        <f>HYPERLINK("plots_Iris/loss_overlay.png", "Vedi grafico")</f>
        <v>Vedi grafico</v>
      </c>
      <c r="I231" s="9"/>
      <c r="J231" s="9"/>
      <c r="K231" s="9"/>
      <c r="L231" s="9"/>
      <c r="M231" s="9"/>
    </row>
    <row r="232" spans="1:13" x14ac:dyDescent="0.3">
      <c r="A232" s="8">
        <v>7</v>
      </c>
      <c r="B232" s="8" t="s">
        <v>1251</v>
      </c>
      <c r="C232" s="8" t="s">
        <v>1243</v>
      </c>
      <c r="D232" s="8">
        <v>99</v>
      </c>
      <c r="E232" s="8">
        <v>6.0211967000213917E-2</v>
      </c>
      <c r="F232" s="8">
        <v>0.28687255998186839</v>
      </c>
      <c r="G232" s="8">
        <v>1.224134346140575E-6</v>
      </c>
      <c r="H232" s="8" t="str">
        <f>HYPERLINK("plots_Wine/Gauss-Seidel_plot_7.png", "Vedi grafico")</f>
        <v>Vedi grafico</v>
      </c>
      <c r="I232" s="9"/>
      <c r="J232" s="8">
        <v>13</v>
      </c>
      <c r="K232" s="8">
        <v>178</v>
      </c>
      <c r="L232" s="8">
        <v>1</v>
      </c>
      <c r="M232" s="8">
        <v>2</v>
      </c>
    </row>
    <row r="233" spans="1:13" x14ac:dyDescent="0.3">
      <c r="A233" s="8">
        <v>7</v>
      </c>
      <c r="B233" s="8" t="s">
        <v>1251</v>
      </c>
      <c r="C233" s="8" t="s">
        <v>1244</v>
      </c>
      <c r="D233" s="8">
        <v>100</v>
      </c>
      <c r="E233" s="8">
        <v>9.8308100004942389E-3</v>
      </c>
      <c r="F233" s="8">
        <v>0.288147784334295</v>
      </c>
      <c r="G233" s="8">
        <v>2.226338153822115E-2</v>
      </c>
      <c r="H233" s="8" t="str">
        <f>HYPERLINK("plots_Wine/Gradient Descent_plot_7.png", "Vedi grafico")</f>
        <v>Vedi grafico</v>
      </c>
      <c r="I233" s="9"/>
      <c r="J233" s="8">
        <v>13</v>
      </c>
      <c r="K233" s="8">
        <v>178</v>
      </c>
      <c r="L233" s="8">
        <v>1</v>
      </c>
      <c r="M233" s="8">
        <v>1</v>
      </c>
    </row>
    <row r="234" spans="1:13" x14ac:dyDescent="0.3">
      <c r="A234" s="8">
        <v>7</v>
      </c>
      <c r="B234" s="8" t="s">
        <v>1251</v>
      </c>
      <c r="C234" s="8" t="s">
        <v>1245</v>
      </c>
      <c r="D234" s="8">
        <v>100</v>
      </c>
      <c r="E234" s="8">
        <v>1.9229413999710229E-2</v>
      </c>
      <c r="F234" s="8">
        <v>0.28687255997585598</v>
      </c>
      <c r="G234" s="8">
        <v>5.1639985112820927E-8</v>
      </c>
      <c r="H234" s="8" t="str">
        <f>HYPERLINK("plots_Wine/Gradient Descent Armijo_plot_7.png", "Vedi grafico")</f>
        <v>Vedi grafico</v>
      </c>
      <c r="I234" s="9"/>
      <c r="J234" s="8">
        <v>13</v>
      </c>
      <c r="K234" s="8">
        <v>178</v>
      </c>
      <c r="L234" s="8">
        <v>1</v>
      </c>
      <c r="M234" s="8">
        <v>1</v>
      </c>
    </row>
    <row r="235" spans="1:13" x14ac:dyDescent="0.3">
      <c r="A235" s="8">
        <v>7</v>
      </c>
      <c r="B235" s="8" t="s">
        <v>1251</v>
      </c>
      <c r="C235" s="8" t="s">
        <v>1246</v>
      </c>
      <c r="D235" s="8">
        <v>99</v>
      </c>
      <c r="E235" s="8">
        <v>1.1838664440001589</v>
      </c>
      <c r="F235" s="8">
        <v>0.2868725599826486</v>
      </c>
      <c r="G235" s="8">
        <v>1.2857047190229401E-6</v>
      </c>
      <c r="H235" s="8" t="str">
        <f>HYPERLINK("plots_Wine/Jacobi_plot_7.png", "Vedi grafico")</f>
        <v>Vedi grafico</v>
      </c>
      <c r="I235" s="9"/>
      <c r="J235" s="8">
        <v>13</v>
      </c>
      <c r="K235" s="8">
        <v>178</v>
      </c>
      <c r="L235" s="8">
        <v>4</v>
      </c>
      <c r="M235" s="8">
        <v>2</v>
      </c>
    </row>
    <row r="236" spans="1:13" x14ac:dyDescent="0.3">
      <c r="A236" s="8">
        <v>7</v>
      </c>
      <c r="B236" s="9"/>
      <c r="C236" s="9"/>
      <c r="D236" s="9"/>
      <c r="E236" s="9"/>
      <c r="F236" s="8" t="s">
        <v>1247</v>
      </c>
      <c r="G236" s="9"/>
      <c r="H236" s="8" t="str">
        <f>HYPERLINK("plots_Wine/loss_overlay.png", "Vedi grafico")</f>
        <v>Vedi grafico</v>
      </c>
      <c r="I236" s="9"/>
      <c r="J236" s="9"/>
      <c r="K236" s="9"/>
      <c r="L236" s="9"/>
      <c r="M236" s="9"/>
    </row>
    <row r="237" spans="1:13" x14ac:dyDescent="0.3">
      <c r="A237" s="8">
        <v>7</v>
      </c>
      <c r="B237" s="8" t="s">
        <v>1252</v>
      </c>
      <c r="C237" s="8" t="s">
        <v>1243</v>
      </c>
      <c r="D237" s="8">
        <v>99</v>
      </c>
      <c r="E237" s="8">
        <v>3.9464078380005958</v>
      </c>
      <c r="F237" s="8">
        <v>0.68096181065162931</v>
      </c>
      <c r="G237" s="8">
        <v>1.278847494598789E-6</v>
      </c>
      <c r="H237" s="8" t="str">
        <f>HYPERLINK("plots_Fetch/Gauss-Seidel_plot_7.png", "Vedi grafico")</f>
        <v>Vedi grafico</v>
      </c>
      <c r="I237" s="9"/>
      <c r="J237" s="8">
        <v>1000</v>
      </c>
      <c r="K237" s="8">
        <v>1772</v>
      </c>
      <c r="L237" s="8">
        <v>1</v>
      </c>
      <c r="M237" s="8">
        <v>2</v>
      </c>
    </row>
    <row r="238" spans="1:13" x14ac:dyDescent="0.3">
      <c r="A238" s="8">
        <v>7</v>
      </c>
      <c r="B238" s="8" t="s">
        <v>1252</v>
      </c>
      <c r="C238" s="8" t="s">
        <v>1244</v>
      </c>
      <c r="D238" s="8">
        <v>100</v>
      </c>
      <c r="E238" s="8">
        <v>0.40940824299832462</v>
      </c>
      <c r="F238" s="8">
        <v>0.68246591166439041</v>
      </c>
      <c r="G238" s="8">
        <v>1.7870159283770851E-2</v>
      </c>
      <c r="H238" s="8" t="str">
        <f>HYPERLINK("plots_Fetch/Gradient Descent_plot_7.png", "Vedi grafico")</f>
        <v>Vedi grafico</v>
      </c>
      <c r="I238" s="9"/>
      <c r="J238" s="8">
        <v>1000</v>
      </c>
      <c r="K238" s="8">
        <v>1772</v>
      </c>
      <c r="L238" s="8">
        <v>1</v>
      </c>
      <c r="M238" s="8">
        <v>1</v>
      </c>
    </row>
    <row r="239" spans="1:13" x14ac:dyDescent="0.3">
      <c r="A239" s="8">
        <v>7</v>
      </c>
      <c r="B239" s="8" t="s">
        <v>1252</v>
      </c>
      <c r="C239" s="8" t="s">
        <v>1245</v>
      </c>
      <c r="D239" s="8">
        <v>100</v>
      </c>
      <c r="E239" s="8">
        <v>2.9594842730002711</v>
      </c>
      <c r="F239" s="8">
        <v>0.68096181064839212</v>
      </c>
      <c r="G239" s="8">
        <v>9.8127357946551937E-7</v>
      </c>
      <c r="H239" s="8" t="str">
        <f>HYPERLINK("plots_Fetch/Gradient Descent Armijo_plot_7.png", "Vedi grafico")</f>
        <v>Vedi grafico</v>
      </c>
      <c r="I239" s="9"/>
      <c r="J239" s="8">
        <v>1000</v>
      </c>
      <c r="K239" s="8">
        <v>1772</v>
      </c>
      <c r="L239" s="8">
        <v>1</v>
      </c>
      <c r="M239" s="8">
        <v>1</v>
      </c>
    </row>
    <row r="240" spans="1:13" x14ac:dyDescent="0.3">
      <c r="A240" s="8">
        <v>7</v>
      </c>
      <c r="B240" s="8" t="s">
        <v>1252</v>
      </c>
      <c r="C240" s="8" t="s">
        <v>1246</v>
      </c>
      <c r="D240" s="8">
        <v>99</v>
      </c>
      <c r="E240" s="8">
        <v>18.055796271999501</v>
      </c>
      <c r="F240" s="8">
        <v>0.68096181065268047</v>
      </c>
      <c r="G240" s="8">
        <v>1.3607337605290519E-6</v>
      </c>
      <c r="H240" s="8" t="str">
        <f>HYPERLINK("plots_Fetch/Jacobi_plot_7.png", "Vedi grafico")</f>
        <v>Vedi grafico</v>
      </c>
      <c r="I240" s="9"/>
      <c r="J240" s="8">
        <v>1000</v>
      </c>
      <c r="K240" s="8">
        <v>1772</v>
      </c>
      <c r="L240" s="8">
        <v>4</v>
      </c>
      <c r="M240" s="8">
        <v>2</v>
      </c>
    </row>
    <row r="241" spans="1:13" x14ac:dyDescent="0.3">
      <c r="A241" s="8">
        <v>7</v>
      </c>
      <c r="B241" s="9"/>
      <c r="C241" s="9"/>
      <c r="D241" s="9"/>
      <c r="E241" s="9"/>
      <c r="F241" s="8" t="s">
        <v>1247</v>
      </c>
      <c r="G241" s="9"/>
      <c r="H241" s="8" t="str">
        <f>HYPERLINK("plots_Fetch/loss_overlay.png", "Vedi grafico")</f>
        <v>Vedi grafico</v>
      </c>
      <c r="I241" s="9"/>
      <c r="J241" s="9"/>
      <c r="K241" s="9"/>
      <c r="L241" s="9"/>
      <c r="M241" s="9"/>
    </row>
    <row r="242" spans="1:13" x14ac:dyDescent="0.3">
      <c r="A242" s="8">
        <v>7</v>
      </c>
      <c r="B242" s="8" t="s">
        <v>1253</v>
      </c>
      <c r="C242" s="8" t="s">
        <v>1243</v>
      </c>
      <c r="D242" s="8">
        <v>99</v>
      </c>
      <c r="E242" s="8">
        <v>8.4848673999658786E-2</v>
      </c>
      <c r="F242" s="8">
        <v>0.51015408033941623</v>
      </c>
      <c r="G242" s="8">
        <v>1.1420047095031891E-6</v>
      </c>
      <c r="H242" s="8" t="str">
        <f>HYPERLINK("plots_Adult/Gauss-Seidel_plot_7.png", "Vedi grafico")</f>
        <v>Vedi grafico</v>
      </c>
      <c r="I242" s="9"/>
      <c r="J242" s="8">
        <v>108</v>
      </c>
      <c r="K242" s="8">
        <v>500</v>
      </c>
      <c r="L242" s="8">
        <v>1</v>
      </c>
      <c r="M242" s="8">
        <v>2</v>
      </c>
    </row>
    <row r="243" spans="1:13" x14ac:dyDescent="0.3">
      <c r="A243" s="8">
        <v>7</v>
      </c>
      <c r="B243" s="8" t="s">
        <v>1253</v>
      </c>
      <c r="C243" s="8" t="s">
        <v>1244</v>
      </c>
      <c r="D243" s="8">
        <v>100</v>
      </c>
      <c r="E243" s="8">
        <v>1.6324142001394652E-2</v>
      </c>
      <c r="F243" s="8">
        <v>0.5121771278438636</v>
      </c>
      <c r="G243" s="8">
        <v>2.422305615100654E-2</v>
      </c>
      <c r="H243" s="8" t="str">
        <f>HYPERLINK("plots_Adult/Gradient Descent_plot_7.png", "Vedi grafico")</f>
        <v>Vedi grafico</v>
      </c>
      <c r="I243" s="9"/>
      <c r="J243" s="8">
        <v>108</v>
      </c>
      <c r="K243" s="8">
        <v>500</v>
      </c>
      <c r="L243" s="8">
        <v>1</v>
      </c>
      <c r="M243" s="8">
        <v>1</v>
      </c>
    </row>
    <row r="244" spans="1:13" x14ac:dyDescent="0.3">
      <c r="A244" s="8">
        <v>7</v>
      </c>
      <c r="B244" s="8" t="s">
        <v>1253</v>
      </c>
      <c r="C244" s="8" t="s">
        <v>1245</v>
      </c>
      <c r="D244" s="8">
        <v>100</v>
      </c>
      <c r="E244" s="8">
        <v>2.594506999957957E-2</v>
      </c>
      <c r="F244" s="8">
        <v>0.51015408033466247</v>
      </c>
      <c r="G244" s="8">
        <v>4.9174024418088745E-7</v>
      </c>
      <c r="H244" s="8" t="str">
        <f>HYPERLINK("plots_Adult/Gradient Descent Armijo_plot_7.png", "Vedi grafico")</f>
        <v>Vedi grafico</v>
      </c>
      <c r="I244" s="9"/>
      <c r="J244" s="8">
        <v>108</v>
      </c>
      <c r="K244" s="8">
        <v>500</v>
      </c>
      <c r="L244" s="8">
        <v>1</v>
      </c>
      <c r="M244" s="8">
        <v>1</v>
      </c>
    </row>
    <row r="245" spans="1:13" x14ac:dyDescent="0.3">
      <c r="A245" s="8">
        <v>7</v>
      </c>
      <c r="B245" s="8" t="s">
        <v>1253</v>
      </c>
      <c r="C245" s="8" t="s">
        <v>1246</v>
      </c>
      <c r="D245" s="8">
        <v>99</v>
      </c>
      <c r="E245" s="8">
        <v>1.247128590999637</v>
      </c>
      <c r="F245" s="8">
        <v>0.51015408033941623</v>
      </c>
      <c r="G245" s="8">
        <v>1.1420047095031891E-6</v>
      </c>
      <c r="H245" s="8" t="str">
        <f>HYPERLINK("plots_Adult/Jacobi_plot_7.png", "Vedi grafico")</f>
        <v>Vedi grafico</v>
      </c>
      <c r="I245" s="9"/>
      <c r="J245" s="8">
        <v>108</v>
      </c>
      <c r="K245" s="8">
        <v>500</v>
      </c>
      <c r="L245" s="8">
        <v>4</v>
      </c>
      <c r="M245" s="8">
        <v>2</v>
      </c>
    </row>
    <row r="246" spans="1:13" x14ac:dyDescent="0.3">
      <c r="A246" s="8">
        <v>7</v>
      </c>
      <c r="B246" s="9"/>
      <c r="C246" s="9"/>
      <c r="D246" s="9"/>
      <c r="E246" s="9"/>
      <c r="F246" s="8" t="s">
        <v>1247</v>
      </c>
      <c r="G246" s="9"/>
      <c r="H246" s="8" t="str">
        <f>HYPERLINK("plots_Adult/loss_overlay.png", "Vedi grafico")</f>
        <v>Vedi grafico</v>
      </c>
      <c r="I246" s="9"/>
      <c r="J246" s="9"/>
      <c r="K246" s="9"/>
      <c r="L246" s="9"/>
      <c r="M246" s="9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46"/>
  <sheetViews>
    <sheetView tabSelected="1" workbookViewId="0">
      <pane xSplit="3" ySplit="1" topLeftCell="D10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14.44140625" customWidth="1"/>
    <col min="2" max="2" width="18" customWidth="1"/>
    <col min="3" max="3" width="30" customWidth="1"/>
    <col min="4" max="4" width="22.77734375" customWidth="1"/>
    <col min="5" max="5" width="30" customWidth="1"/>
    <col min="6" max="6" width="24" customWidth="1"/>
    <col min="7" max="7" width="27.5546875" customWidth="1"/>
    <col min="8" max="8" width="103.21875" customWidth="1"/>
    <col min="9" max="9" width="12" customWidth="1"/>
    <col min="10" max="10" width="28.77734375" customWidth="1"/>
    <col min="11" max="11" width="22.77734375" customWidth="1"/>
    <col min="12" max="12" width="13.21875" customWidth="1"/>
    <col min="13" max="13" width="25.21875" customWidth="1"/>
    <col min="14" max="14" width="26.44140625" customWidth="1"/>
  </cols>
  <sheetData>
    <row r="1" spans="1:14" x14ac:dyDescent="0.3">
      <c r="A1" s="12" t="s">
        <v>1229</v>
      </c>
      <c r="B1" s="12" t="s">
        <v>1230</v>
      </c>
      <c r="C1" s="12" t="s">
        <v>1231</v>
      </c>
      <c r="D1" s="12" t="s">
        <v>1232</v>
      </c>
      <c r="E1" s="12" t="s">
        <v>1233</v>
      </c>
      <c r="F1" s="12" t="s">
        <v>1234</v>
      </c>
      <c r="G1" s="12" t="s">
        <v>1235</v>
      </c>
      <c r="H1" s="12" t="s">
        <v>1236</v>
      </c>
      <c r="I1" s="12" t="s">
        <v>1237</v>
      </c>
      <c r="J1" s="12" t="s">
        <v>1238</v>
      </c>
      <c r="K1" s="12" t="s">
        <v>1239</v>
      </c>
      <c r="L1" s="12" t="s">
        <v>1240</v>
      </c>
      <c r="M1" s="12" t="s">
        <v>1241</v>
      </c>
      <c r="N1" s="12" t="s">
        <v>1254</v>
      </c>
    </row>
    <row r="2" spans="1:14" x14ac:dyDescent="0.3">
      <c r="A2" s="13">
        <v>1</v>
      </c>
      <c r="B2" s="13" t="s">
        <v>1242</v>
      </c>
      <c r="C2" s="13" t="s">
        <v>1243</v>
      </c>
      <c r="D2" s="13">
        <v>99</v>
      </c>
      <c r="E2" s="13">
        <v>0.23994030799985919</v>
      </c>
      <c r="F2" s="13">
        <v>0.20987243077872711</v>
      </c>
      <c r="G2" s="13">
        <v>2.5232623045603819E-6</v>
      </c>
      <c r="H2" s="13" t="str">
        <f>HYPERLINK("plots_Breast_Cancer/Gauss-Seidel_plot1.png", "Vedi grafico")</f>
        <v>Vedi grafico</v>
      </c>
      <c r="I2" s="13"/>
      <c r="J2" s="13">
        <v>30</v>
      </c>
      <c r="K2" s="13">
        <v>569</v>
      </c>
      <c r="L2" s="13">
        <v>1</v>
      </c>
      <c r="M2" s="13">
        <v>8</v>
      </c>
      <c r="N2" s="13">
        <v>1</v>
      </c>
    </row>
    <row r="3" spans="1:14" x14ac:dyDescent="0.3">
      <c r="A3" s="13">
        <v>1</v>
      </c>
      <c r="B3" s="13" t="s">
        <v>1242</v>
      </c>
      <c r="C3" s="13" t="s">
        <v>1244</v>
      </c>
      <c r="D3" s="13">
        <v>100</v>
      </c>
      <c r="E3" s="13">
        <v>1.244559299993853E-2</v>
      </c>
      <c r="F3" s="13">
        <v>0.21024932776281</v>
      </c>
      <c r="G3" s="13">
        <v>1.207764533447778E-2</v>
      </c>
      <c r="H3" s="13" t="str">
        <f>HYPERLINK("plots_Breast_Cancer/Gradient Descent_plot1.png", "Vedi grafico")</f>
        <v>Vedi grafico</v>
      </c>
      <c r="I3" s="13"/>
      <c r="J3" s="13">
        <v>30</v>
      </c>
      <c r="K3" s="13">
        <v>569</v>
      </c>
      <c r="L3" s="13">
        <v>1</v>
      </c>
      <c r="M3" s="13">
        <v>1</v>
      </c>
      <c r="N3" s="13">
        <v>1</v>
      </c>
    </row>
    <row r="4" spans="1:14" x14ac:dyDescent="0.3">
      <c r="A4" s="14">
        <v>1</v>
      </c>
      <c r="B4" s="14" t="s">
        <v>1242</v>
      </c>
      <c r="C4" s="14" t="s">
        <v>1245</v>
      </c>
      <c r="D4" s="14">
        <v>100</v>
      </c>
      <c r="E4" s="14">
        <v>2.2771479998482391E-2</v>
      </c>
      <c r="F4" s="15">
        <v>0.2098724307504316</v>
      </c>
      <c r="G4" s="14">
        <v>1.4925095899640461E-7</v>
      </c>
      <c r="H4" s="14" t="str">
        <f>HYPERLINK("plots_Breast_Cancer/Gradient Descent Armijo_plot1.png", "Vedi grafico")</f>
        <v>Vedi grafico</v>
      </c>
      <c r="I4" s="14"/>
      <c r="J4" s="14">
        <v>30</v>
      </c>
      <c r="K4" s="14">
        <v>569</v>
      </c>
      <c r="L4" s="14">
        <v>1</v>
      </c>
      <c r="M4" s="14">
        <v>1</v>
      </c>
      <c r="N4" s="14">
        <v>1</v>
      </c>
    </row>
    <row r="5" spans="1:14" x14ac:dyDescent="0.3">
      <c r="A5" s="13">
        <v>1</v>
      </c>
      <c r="B5" s="13" t="s">
        <v>1242</v>
      </c>
      <c r="C5" s="13" t="s">
        <v>1246</v>
      </c>
      <c r="D5" s="13">
        <v>99</v>
      </c>
      <c r="E5" s="13">
        <v>2.2531510730004811</v>
      </c>
      <c r="F5" s="13">
        <v>0.20987243078480131</v>
      </c>
      <c r="G5" s="13">
        <v>2.6821266472861162E-6</v>
      </c>
      <c r="H5" s="13" t="str">
        <f>HYPERLINK("plots_Breast_Cancer/Jacobi_plot1.png", "Vedi grafico")</f>
        <v>Vedi grafico</v>
      </c>
      <c r="I5" s="13"/>
      <c r="J5" s="13">
        <v>30</v>
      </c>
      <c r="K5" s="13">
        <v>569</v>
      </c>
      <c r="L5" s="13">
        <v>4</v>
      </c>
      <c r="M5" s="13">
        <v>8</v>
      </c>
      <c r="N5" s="13">
        <v>1</v>
      </c>
    </row>
    <row r="6" spans="1:14" x14ac:dyDescent="0.3">
      <c r="A6" s="13">
        <v>1</v>
      </c>
      <c r="B6" s="13"/>
      <c r="C6" s="13"/>
      <c r="D6" s="13"/>
      <c r="E6" s="13"/>
      <c r="F6" s="13"/>
      <c r="G6" s="13"/>
      <c r="H6" s="13" t="str">
        <f>HYPERLINK("plots_Breast_Cancer/loss_overlay.png", "Vedi grafico")</f>
        <v>Vedi grafico</v>
      </c>
      <c r="I6" s="13"/>
      <c r="J6" s="13"/>
      <c r="K6" s="13"/>
      <c r="L6" s="13"/>
      <c r="M6" s="13"/>
      <c r="N6" s="13">
        <v>1</v>
      </c>
    </row>
    <row r="7" spans="1:14" x14ac:dyDescent="0.3">
      <c r="A7" s="13">
        <v>1</v>
      </c>
      <c r="B7" s="13" t="s">
        <v>1248</v>
      </c>
      <c r="C7" s="13" t="s">
        <v>1243</v>
      </c>
      <c r="D7" s="13">
        <v>99</v>
      </c>
      <c r="E7" s="13">
        <v>0.19881259800058609</v>
      </c>
      <c r="F7" s="13">
        <v>0.53234021856400937</v>
      </c>
      <c r="G7" s="13">
        <v>2.3111612259345889E-6</v>
      </c>
      <c r="H7" s="13" t="str">
        <f>HYPERLINK("plots_Diabetes/Gauss-Seidel_plot1.png", "Vedi grafico")</f>
        <v>Vedi grafico</v>
      </c>
      <c r="I7" s="13"/>
      <c r="J7" s="13">
        <v>10</v>
      </c>
      <c r="K7" s="13">
        <v>442</v>
      </c>
      <c r="L7" s="13">
        <v>1</v>
      </c>
      <c r="M7" s="13">
        <v>8</v>
      </c>
      <c r="N7" s="13">
        <v>1</v>
      </c>
    </row>
    <row r="8" spans="1:14" x14ac:dyDescent="0.3">
      <c r="A8" s="13">
        <v>1</v>
      </c>
      <c r="B8" s="13" t="s">
        <v>1248</v>
      </c>
      <c r="C8" s="13" t="s">
        <v>1244</v>
      </c>
      <c r="D8" s="13">
        <v>100</v>
      </c>
      <c r="E8" s="13">
        <v>1.264088500101934E-2</v>
      </c>
      <c r="F8" s="13">
        <v>0.53263822042975961</v>
      </c>
      <c r="G8" s="13">
        <v>1.2182936658034649E-2</v>
      </c>
      <c r="H8" s="13" t="str">
        <f>HYPERLINK("plots_Diabetes/Gradient Descent_plot1.png", "Vedi grafico")</f>
        <v>Vedi grafico</v>
      </c>
      <c r="I8" s="13"/>
      <c r="J8" s="13">
        <v>10</v>
      </c>
      <c r="K8" s="13">
        <v>442</v>
      </c>
      <c r="L8" s="13">
        <v>1</v>
      </c>
      <c r="M8" s="13">
        <v>1</v>
      </c>
      <c r="N8" s="13">
        <v>1</v>
      </c>
    </row>
    <row r="9" spans="1:14" x14ac:dyDescent="0.3">
      <c r="A9" s="13">
        <v>1</v>
      </c>
      <c r="B9" s="13" t="s">
        <v>1248</v>
      </c>
      <c r="C9" s="13" t="s">
        <v>1245</v>
      </c>
      <c r="D9" s="13">
        <v>100</v>
      </c>
      <c r="E9" s="13">
        <v>2.1680885000023409E-2</v>
      </c>
      <c r="F9" s="13">
        <v>0.5323402185455357</v>
      </c>
      <c r="G9" s="13">
        <v>6.1510589046363571E-8</v>
      </c>
      <c r="H9" s="13" t="str">
        <f>HYPERLINK("plots_Diabetes/Gradient Descent Armijo_plot1.png", "Vedi grafico")</f>
        <v>Vedi grafico</v>
      </c>
      <c r="I9" s="13"/>
      <c r="J9" s="13">
        <v>10</v>
      </c>
      <c r="K9" s="13">
        <v>442</v>
      </c>
      <c r="L9" s="13">
        <v>1</v>
      </c>
      <c r="M9" s="13">
        <v>1</v>
      </c>
      <c r="N9" s="13">
        <v>1</v>
      </c>
    </row>
    <row r="10" spans="1:14" x14ac:dyDescent="0.3">
      <c r="A10" s="13">
        <v>1</v>
      </c>
      <c r="B10" s="13" t="s">
        <v>1248</v>
      </c>
      <c r="C10" s="13" t="s">
        <v>1246</v>
      </c>
      <c r="D10" s="13">
        <v>99</v>
      </c>
      <c r="E10" s="13">
        <v>1.226186514999426</v>
      </c>
      <c r="F10" s="13">
        <v>0.53234021856489966</v>
      </c>
      <c r="G10" s="13">
        <v>2.434749041535385E-6</v>
      </c>
      <c r="H10" s="13" t="str">
        <f>HYPERLINK("plots_Diabetes/Jacobi_plot1.png", "Vedi grafico")</f>
        <v>Vedi grafico</v>
      </c>
      <c r="I10" s="13"/>
      <c r="J10" s="13">
        <v>10</v>
      </c>
      <c r="K10" s="13">
        <v>442</v>
      </c>
      <c r="L10" s="13">
        <v>4</v>
      </c>
      <c r="M10" s="13">
        <v>8</v>
      </c>
      <c r="N10" s="13">
        <v>1</v>
      </c>
    </row>
    <row r="11" spans="1:14" x14ac:dyDescent="0.3">
      <c r="A11" s="13">
        <v>1</v>
      </c>
      <c r="B11" s="13"/>
      <c r="C11" s="13"/>
      <c r="D11" s="13"/>
      <c r="E11" s="13"/>
      <c r="F11" s="13"/>
      <c r="G11" s="13"/>
      <c r="H11" s="13" t="str">
        <f>HYPERLINK("plots_Diabetes/loss_overlay.png", "Vedi grafico")</f>
        <v>Vedi grafico</v>
      </c>
      <c r="I11" s="13"/>
      <c r="J11" s="13"/>
      <c r="K11" s="13"/>
      <c r="L11" s="13"/>
      <c r="M11" s="13"/>
      <c r="N11" s="13">
        <v>1</v>
      </c>
    </row>
    <row r="12" spans="1:14" x14ac:dyDescent="0.3">
      <c r="A12" s="13">
        <v>1</v>
      </c>
      <c r="B12" s="13" t="s">
        <v>1249</v>
      </c>
      <c r="C12" s="13" t="s">
        <v>1243</v>
      </c>
      <c r="D12" s="13">
        <v>99</v>
      </c>
      <c r="E12" s="13">
        <v>0.5432594899994001</v>
      </c>
      <c r="F12" s="13">
        <v>0.34434747737831523</v>
      </c>
      <c r="G12" s="13">
        <v>2.4462405900394231E-6</v>
      </c>
      <c r="H12" s="13" t="str">
        <f>HYPERLINK("plots_Digits/Gauss-Seidel_plot1.png", "Vedi grafico")</f>
        <v>Vedi grafico</v>
      </c>
      <c r="I12" s="13"/>
      <c r="J12" s="13">
        <v>64</v>
      </c>
      <c r="K12" s="13">
        <v>1797</v>
      </c>
      <c r="L12" s="13">
        <v>1</v>
      </c>
      <c r="M12" s="13">
        <v>8</v>
      </c>
      <c r="N12" s="13">
        <v>1</v>
      </c>
    </row>
    <row r="13" spans="1:14" x14ac:dyDescent="0.3">
      <c r="A13" s="13">
        <v>1</v>
      </c>
      <c r="B13" s="13" t="s">
        <v>1249</v>
      </c>
      <c r="C13" s="13" t="s">
        <v>1244</v>
      </c>
      <c r="D13" s="13">
        <v>100</v>
      </c>
      <c r="E13" s="13">
        <v>2.6803156999449129E-2</v>
      </c>
      <c r="F13" s="13">
        <v>0.34537500106744229</v>
      </c>
      <c r="G13" s="13">
        <v>1.9786438650008439E-2</v>
      </c>
      <c r="H13" s="13" t="str">
        <f>HYPERLINK("plots_Digits/Gradient Descent_plot1.png", "Vedi grafico")</f>
        <v>Vedi grafico</v>
      </c>
      <c r="I13" s="13"/>
      <c r="J13" s="13">
        <v>64</v>
      </c>
      <c r="K13" s="13">
        <v>1797</v>
      </c>
      <c r="L13" s="13">
        <v>1</v>
      </c>
      <c r="M13" s="13">
        <v>1</v>
      </c>
      <c r="N13" s="13">
        <v>1</v>
      </c>
    </row>
    <row r="14" spans="1:14" x14ac:dyDescent="0.3">
      <c r="A14" s="13">
        <v>1</v>
      </c>
      <c r="B14" s="13" t="s">
        <v>1249</v>
      </c>
      <c r="C14" s="13" t="s">
        <v>1245</v>
      </c>
      <c r="D14" s="13">
        <v>100</v>
      </c>
      <c r="E14" s="13">
        <v>5.5873301000247011E-2</v>
      </c>
      <c r="F14" s="13">
        <v>0.34434747736105209</v>
      </c>
      <c r="G14" s="13">
        <v>1.033194216913189E-7</v>
      </c>
      <c r="H14" s="13" t="str">
        <f>HYPERLINK("plots_Digits/Gradient Descent Armijo_plot1.png", "Vedi grafico")</f>
        <v>Vedi grafico</v>
      </c>
      <c r="I14" s="13"/>
      <c r="J14" s="13">
        <v>64</v>
      </c>
      <c r="K14" s="13">
        <v>1797</v>
      </c>
      <c r="L14" s="13">
        <v>1</v>
      </c>
      <c r="M14" s="13">
        <v>1</v>
      </c>
      <c r="N14" s="13">
        <v>1</v>
      </c>
    </row>
    <row r="15" spans="1:14" x14ac:dyDescent="0.3">
      <c r="A15" s="13">
        <v>1</v>
      </c>
      <c r="B15" s="13" t="s">
        <v>1249</v>
      </c>
      <c r="C15" s="13" t="s">
        <v>1246</v>
      </c>
      <c r="D15" s="13">
        <v>99</v>
      </c>
      <c r="E15" s="13">
        <v>3.5913980479999741</v>
      </c>
      <c r="F15" s="13">
        <v>0.3443474774693096</v>
      </c>
      <c r="G15" s="13">
        <v>5.3919414681793042E-6</v>
      </c>
      <c r="H15" s="13" t="str">
        <f>HYPERLINK("plots_Digits/Jacobi_plot1.png", "Vedi grafico")</f>
        <v>Vedi grafico</v>
      </c>
      <c r="I15" s="13"/>
      <c r="J15" s="13">
        <v>64</v>
      </c>
      <c r="K15" s="13">
        <v>1797</v>
      </c>
      <c r="L15" s="13">
        <v>4</v>
      </c>
      <c r="M15" s="13">
        <v>8</v>
      </c>
      <c r="N15" s="13">
        <v>1</v>
      </c>
    </row>
    <row r="16" spans="1:14" x14ac:dyDescent="0.3">
      <c r="A16" s="13">
        <v>1</v>
      </c>
      <c r="B16" s="13"/>
      <c r="C16" s="13"/>
      <c r="D16" s="13"/>
      <c r="E16" s="13"/>
      <c r="F16" s="13"/>
      <c r="G16" s="13"/>
      <c r="H16" s="13" t="str">
        <f>HYPERLINK("plots_Digits/loss_overlay.png", "Vedi grafico")</f>
        <v>Vedi grafico</v>
      </c>
      <c r="I16" s="13"/>
      <c r="J16" s="13"/>
      <c r="K16" s="13"/>
      <c r="L16" s="13"/>
      <c r="M16" s="13"/>
      <c r="N16" s="13">
        <v>1</v>
      </c>
    </row>
    <row r="17" spans="1:14" x14ac:dyDescent="0.3">
      <c r="A17" s="13">
        <v>1</v>
      </c>
      <c r="B17" s="13" t="s">
        <v>1250</v>
      </c>
      <c r="C17" s="13" t="s">
        <v>1243</v>
      </c>
      <c r="D17" s="13">
        <v>7</v>
      </c>
      <c r="E17" s="13">
        <v>1.515027099958388E-2</v>
      </c>
      <c r="F17" s="13">
        <v>0.27704814805132388</v>
      </c>
      <c r="G17" s="13">
        <v>9.1062659785214536E-7</v>
      </c>
      <c r="H17" s="13" t="str">
        <f>HYPERLINK("plots_Iris/Gauss-Seidel_plot1.png", "Vedi grafico")</f>
        <v>Vedi grafico</v>
      </c>
      <c r="I17" s="13"/>
      <c r="J17" s="13">
        <v>4</v>
      </c>
      <c r="K17" s="13">
        <v>150</v>
      </c>
      <c r="L17" s="13">
        <v>1</v>
      </c>
      <c r="M17" s="13">
        <v>8</v>
      </c>
      <c r="N17" s="13">
        <v>1</v>
      </c>
    </row>
    <row r="18" spans="1:14" x14ac:dyDescent="0.3">
      <c r="A18" s="13">
        <v>1</v>
      </c>
      <c r="B18" s="13" t="s">
        <v>1250</v>
      </c>
      <c r="C18" s="13" t="s">
        <v>1244</v>
      </c>
      <c r="D18" s="13">
        <v>100</v>
      </c>
      <c r="E18" s="13">
        <v>1.3204102999225141E-2</v>
      </c>
      <c r="F18" s="13">
        <v>0.27776652481322572</v>
      </c>
      <c r="G18" s="13">
        <v>1.8187512148941268E-2</v>
      </c>
      <c r="H18" s="13" t="str">
        <f>HYPERLINK("plots_Iris/Gradient Descent_plot1.png", "Vedi grafico")</f>
        <v>Vedi grafico</v>
      </c>
      <c r="I18" s="13"/>
      <c r="J18" s="13">
        <v>4</v>
      </c>
      <c r="K18" s="13">
        <v>150</v>
      </c>
      <c r="L18" s="13">
        <v>1</v>
      </c>
      <c r="M18" s="13">
        <v>1</v>
      </c>
      <c r="N18" s="13">
        <v>1</v>
      </c>
    </row>
    <row r="19" spans="1:14" x14ac:dyDescent="0.3">
      <c r="A19" s="13">
        <v>1</v>
      </c>
      <c r="B19" s="13" t="s">
        <v>1250</v>
      </c>
      <c r="C19" s="13" t="s">
        <v>1245</v>
      </c>
      <c r="D19" s="13">
        <v>100</v>
      </c>
      <c r="E19" s="13">
        <v>1.8197072999100779E-2</v>
      </c>
      <c r="F19" s="13">
        <v>0.2770481480474194</v>
      </c>
      <c r="G19" s="13">
        <v>1.0008744736275179E-7</v>
      </c>
      <c r="H19" s="13" t="str">
        <f>HYPERLINK("plots_Iris/Gradient Descent Armijo_plot1.png", "Vedi grafico")</f>
        <v>Vedi grafico</v>
      </c>
      <c r="I19" s="13"/>
      <c r="J19" s="13">
        <v>4</v>
      </c>
      <c r="K19" s="13">
        <v>150</v>
      </c>
      <c r="L19" s="13">
        <v>1</v>
      </c>
      <c r="M19" s="13">
        <v>1</v>
      </c>
      <c r="N19" s="13">
        <v>1</v>
      </c>
    </row>
    <row r="20" spans="1:14" x14ac:dyDescent="0.3">
      <c r="A20" s="13">
        <v>1</v>
      </c>
      <c r="B20" s="13" t="s">
        <v>1250</v>
      </c>
      <c r="C20" s="13" t="s">
        <v>1246</v>
      </c>
      <c r="D20" s="13">
        <v>7</v>
      </c>
      <c r="E20" s="13">
        <v>0.1187429279998469</v>
      </c>
      <c r="F20" s="13">
        <v>0.27704814805132388</v>
      </c>
      <c r="G20" s="13">
        <v>9.1062659785214536E-7</v>
      </c>
      <c r="H20" s="13" t="str">
        <f>HYPERLINK("plots_Iris/Jacobi_plot1.png", "Vedi grafico")</f>
        <v>Vedi grafico</v>
      </c>
      <c r="I20" s="13"/>
      <c r="J20" s="13">
        <v>4</v>
      </c>
      <c r="K20" s="13">
        <v>150</v>
      </c>
      <c r="L20" s="13">
        <v>4</v>
      </c>
      <c r="M20" s="13">
        <v>8</v>
      </c>
      <c r="N20" s="13">
        <v>1</v>
      </c>
    </row>
    <row r="21" spans="1:14" x14ac:dyDescent="0.3">
      <c r="A21" s="13">
        <v>1</v>
      </c>
      <c r="B21" s="13"/>
      <c r="C21" s="13"/>
      <c r="D21" s="13"/>
      <c r="E21" s="13"/>
      <c r="F21" s="13"/>
      <c r="G21" s="13"/>
      <c r="H21" s="13" t="str">
        <f>HYPERLINK("plots_Iris/loss_overlay.png", "Vedi grafico")</f>
        <v>Vedi grafico</v>
      </c>
      <c r="I21" s="13"/>
      <c r="J21" s="13"/>
      <c r="K21" s="13"/>
      <c r="L21" s="13"/>
      <c r="M21" s="13"/>
      <c r="N21" s="13">
        <v>1</v>
      </c>
    </row>
    <row r="22" spans="1:14" x14ac:dyDescent="0.3">
      <c r="A22" s="13">
        <v>1</v>
      </c>
      <c r="B22" s="13" t="s">
        <v>1251</v>
      </c>
      <c r="C22" s="13" t="s">
        <v>1243</v>
      </c>
      <c r="D22" s="13">
        <v>99</v>
      </c>
      <c r="E22" s="13">
        <v>0.16884995799955499</v>
      </c>
      <c r="F22" s="13">
        <v>0.28687255999555278</v>
      </c>
      <c r="G22" s="13">
        <v>2.4675003211954671E-6</v>
      </c>
      <c r="H22" s="13" t="str">
        <f>HYPERLINK("plots_Wine/Gauss-Seidel_plot1.png", "Vedi grafico")</f>
        <v>Vedi grafico</v>
      </c>
      <c r="I22" s="13"/>
      <c r="J22" s="13">
        <v>13</v>
      </c>
      <c r="K22" s="13">
        <v>178</v>
      </c>
      <c r="L22" s="13">
        <v>1</v>
      </c>
      <c r="M22" s="13">
        <v>8</v>
      </c>
      <c r="N22" s="13">
        <v>1</v>
      </c>
    </row>
    <row r="23" spans="1:14" x14ac:dyDescent="0.3">
      <c r="A23" s="14">
        <v>1</v>
      </c>
      <c r="B23" s="14" t="s">
        <v>1251</v>
      </c>
      <c r="C23" s="14" t="s">
        <v>1244</v>
      </c>
      <c r="D23" s="14">
        <v>100</v>
      </c>
      <c r="E23" s="15">
        <v>9.4339669994951691E-3</v>
      </c>
      <c r="F23" s="14">
        <v>0.288147784334295</v>
      </c>
      <c r="G23" s="14">
        <v>2.226338153822115E-2</v>
      </c>
      <c r="H23" s="14" t="str">
        <f>HYPERLINK("plots_Wine/Gradient Descent_plot1.png", "Vedi grafico")</f>
        <v>Vedi grafico</v>
      </c>
      <c r="I23" s="14"/>
      <c r="J23" s="14">
        <v>13</v>
      </c>
      <c r="K23" s="14">
        <v>178</v>
      </c>
      <c r="L23" s="14">
        <v>1</v>
      </c>
      <c r="M23" s="14">
        <v>1</v>
      </c>
      <c r="N23" s="14">
        <v>1</v>
      </c>
    </row>
    <row r="24" spans="1:14" x14ac:dyDescent="0.3">
      <c r="A24" s="13">
        <v>1</v>
      </c>
      <c r="B24" s="13" t="s">
        <v>1251</v>
      </c>
      <c r="C24" s="13" t="s">
        <v>1245</v>
      </c>
      <c r="D24" s="13">
        <v>100</v>
      </c>
      <c r="E24" s="13">
        <v>1.789710199955152E-2</v>
      </c>
      <c r="F24" s="13">
        <v>0.28687255997585598</v>
      </c>
      <c r="G24" s="13">
        <v>5.1639985112820927E-8</v>
      </c>
      <c r="H24" s="13" t="str">
        <f>HYPERLINK("plots_Wine/Gradient Descent Armijo_plot1.png", "Vedi grafico")</f>
        <v>Vedi grafico</v>
      </c>
      <c r="I24" s="13"/>
      <c r="J24" s="13">
        <v>13</v>
      </c>
      <c r="K24" s="13">
        <v>178</v>
      </c>
      <c r="L24" s="13">
        <v>1</v>
      </c>
      <c r="M24" s="13">
        <v>1</v>
      </c>
      <c r="N24" s="13">
        <v>1</v>
      </c>
    </row>
    <row r="25" spans="1:14" x14ac:dyDescent="0.3">
      <c r="A25" s="13">
        <v>1</v>
      </c>
      <c r="B25" s="13" t="s">
        <v>1251</v>
      </c>
      <c r="C25" s="13" t="s">
        <v>1246</v>
      </c>
      <c r="D25" s="13">
        <v>99</v>
      </c>
      <c r="E25" s="13">
        <v>1.277500934000273</v>
      </c>
      <c r="F25" s="13">
        <v>0.28687255999638972</v>
      </c>
      <c r="G25" s="13">
        <v>2.4808231148221321E-6</v>
      </c>
      <c r="H25" s="13" t="str">
        <f>HYPERLINK("plots_Wine/Jacobi_plot1.png", "Vedi grafico")</f>
        <v>Vedi grafico</v>
      </c>
      <c r="I25" s="13"/>
      <c r="J25" s="13">
        <v>13</v>
      </c>
      <c r="K25" s="13">
        <v>178</v>
      </c>
      <c r="L25" s="13">
        <v>4</v>
      </c>
      <c r="M25" s="13">
        <v>8</v>
      </c>
      <c r="N25" s="13">
        <v>1</v>
      </c>
    </row>
    <row r="26" spans="1:14" x14ac:dyDescent="0.3">
      <c r="A26" s="13">
        <v>1</v>
      </c>
      <c r="B26" s="13"/>
      <c r="C26" s="13"/>
      <c r="D26" s="13"/>
      <c r="E26" s="13"/>
      <c r="F26" s="13"/>
      <c r="G26" s="13"/>
      <c r="H26" s="13" t="str">
        <f>HYPERLINK("plots_Wine/loss_overlay.png", "Vedi grafico")</f>
        <v>Vedi grafico</v>
      </c>
      <c r="I26" s="13"/>
      <c r="J26" s="13"/>
      <c r="K26" s="13"/>
      <c r="L26" s="13"/>
      <c r="M26" s="13"/>
      <c r="N26" s="13">
        <v>1</v>
      </c>
    </row>
    <row r="27" spans="1:14" x14ac:dyDescent="0.3">
      <c r="A27" s="13">
        <v>1</v>
      </c>
      <c r="B27" s="13" t="s">
        <v>1252</v>
      </c>
      <c r="C27" s="13" t="s">
        <v>1243</v>
      </c>
      <c r="D27" s="13">
        <v>99</v>
      </c>
      <c r="E27" s="13">
        <v>9.2140623779996531</v>
      </c>
      <c r="F27" s="13">
        <v>0.68096181067719008</v>
      </c>
      <c r="G27" s="13">
        <v>2.6320202557894909E-6</v>
      </c>
      <c r="H27" s="13" t="str">
        <f>HYPERLINK("plots_Fetch/Gauss-Seidel_plot1.png", "Vedi grafico")</f>
        <v>Vedi grafico</v>
      </c>
      <c r="I27" s="13"/>
      <c r="J27" s="13">
        <v>1000</v>
      </c>
      <c r="K27" s="13">
        <v>1772</v>
      </c>
      <c r="L27" s="13">
        <v>1</v>
      </c>
      <c r="M27" s="13">
        <v>8</v>
      </c>
      <c r="N27" s="13">
        <v>1</v>
      </c>
    </row>
    <row r="28" spans="1:14" x14ac:dyDescent="0.3">
      <c r="A28" s="13">
        <v>1</v>
      </c>
      <c r="B28" s="13" t="s">
        <v>1252</v>
      </c>
      <c r="C28" s="13" t="s">
        <v>1244</v>
      </c>
      <c r="D28" s="13">
        <v>100</v>
      </c>
      <c r="E28" s="13">
        <v>1.207256117000725</v>
      </c>
      <c r="F28" s="13">
        <v>0.68246591166439041</v>
      </c>
      <c r="G28" s="13">
        <v>1.7870159283770851E-2</v>
      </c>
      <c r="H28" s="13" t="str">
        <f>HYPERLINK("plots_Fetch/Gradient Descent_plot1.png", "Vedi grafico")</f>
        <v>Vedi grafico</v>
      </c>
      <c r="I28" s="13"/>
      <c r="J28" s="13">
        <v>1000</v>
      </c>
      <c r="K28" s="13">
        <v>1772</v>
      </c>
      <c r="L28" s="13">
        <v>1</v>
      </c>
      <c r="M28" s="13">
        <v>1</v>
      </c>
      <c r="N28" s="13">
        <v>1</v>
      </c>
    </row>
    <row r="29" spans="1:14" x14ac:dyDescent="0.3">
      <c r="A29" s="13">
        <v>1</v>
      </c>
      <c r="B29" s="13" t="s">
        <v>1252</v>
      </c>
      <c r="C29" s="13" t="s">
        <v>1245</v>
      </c>
      <c r="D29" s="13">
        <v>100</v>
      </c>
      <c r="E29" s="13">
        <v>2.4348443630005931</v>
      </c>
      <c r="F29" s="13">
        <v>0.68096181064839212</v>
      </c>
      <c r="G29" s="13">
        <v>9.8127357946551937E-7</v>
      </c>
      <c r="H29" s="13" t="str">
        <f>HYPERLINK("plots_Fetch/Gradient Descent Armijo_plot1.png", "Vedi grafico")</f>
        <v>Vedi grafico</v>
      </c>
      <c r="I29" s="13"/>
      <c r="J29" s="13">
        <v>1000</v>
      </c>
      <c r="K29" s="13">
        <v>1772</v>
      </c>
      <c r="L29" s="13">
        <v>1</v>
      </c>
      <c r="M29" s="13">
        <v>1</v>
      </c>
      <c r="N29" s="13">
        <v>1</v>
      </c>
    </row>
    <row r="30" spans="1:14" x14ac:dyDescent="0.3">
      <c r="A30" s="13">
        <v>1</v>
      </c>
      <c r="B30" s="13" t="s">
        <v>1252</v>
      </c>
      <c r="C30" s="13" t="s">
        <v>1246</v>
      </c>
      <c r="D30" s="13">
        <v>99</v>
      </c>
      <c r="E30" s="13">
        <v>26.84235366699977</v>
      </c>
      <c r="F30" s="13">
        <v>0.68096181067606376</v>
      </c>
      <c r="G30" s="13">
        <v>2.5869245764150491E-6</v>
      </c>
      <c r="H30" s="13" t="str">
        <f>HYPERLINK("plots_Fetch/Jacobi_plot1.png", "Vedi grafico")</f>
        <v>Vedi grafico</v>
      </c>
      <c r="I30" s="13"/>
      <c r="J30" s="13">
        <v>1000</v>
      </c>
      <c r="K30" s="13">
        <v>1772</v>
      </c>
      <c r="L30" s="13">
        <v>4</v>
      </c>
      <c r="M30" s="13">
        <v>8</v>
      </c>
      <c r="N30" s="13">
        <v>1</v>
      </c>
    </row>
    <row r="31" spans="1:14" x14ac:dyDescent="0.3">
      <c r="A31" s="13">
        <v>1</v>
      </c>
      <c r="B31" s="13"/>
      <c r="C31" s="13"/>
      <c r="D31" s="13"/>
      <c r="E31" s="13"/>
      <c r="F31" s="13"/>
      <c r="G31" s="13"/>
      <c r="H31" s="13" t="str">
        <f>HYPERLINK("plots_Fetch/loss_overlay.png", "Vedi grafico")</f>
        <v>Vedi grafico</v>
      </c>
      <c r="I31" s="13"/>
      <c r="J31" s="13"/>
      <c r="K31" s="13"/>
      <c r="L31" s="13"/>
      <c r="M31" s="13"/>
      <c r="N31" s="13">
        <v>1</v>
      </c>
    </row>
    <row r="32" spans="1:14" x14ac:dyDescent="0.3">
      <c r="A32" s="13">
        <v>1</v>
      </c>
      <c r="B32" s="13" t="s">
        <v>1253</v>
      </c>
      <c r="C32" s="13" t="s">
        <v>1243</v>
      </c>
      <c r="D32" s="13">
        <v>99</v>
      </c>
      <c r="E32" s="13">
        <v>0.26589761600007478</v>
      </c>
      <c r="F32" s="13">
        <v>0.51015408035438103</v>
      </c>
      <c r="G32" s="13">
        <v>2.4100749483528432E-6</v>
      </c>
      <c r="H32" s="13" t="str">
        <f>HYPERLINK("plots_Adult/Gauss-Seidel_plot1.png", "Vedi grafico")</f>
        <v>Vedi grafico</v>
      </c>
      <c r="I32" s="13"/>
      <c r="J32" s="13">
        <v>108</v>
      </c>
      <c r="K32" s="13">
        <v>500</v>
      </c>
      <c r="L32" s="13">
        <v>1</v>
      </c>
      <c r="M32" s="13">
        <v>8</v>
      </c>
      <c r="N32" s="13">
        <v>1</v>
      </c>
    </row>
    <row r="33" spans="1:14" x14ac:dyDescent="0.3">
      <c r="A33" s="13">
        <v>1</v>
      </c>
      <c r="B33" s="13" t="s">
        <v>1253</v>
      </c>
      <c r="C33" s="13" t="s">
        <v>1244</v>
      </c>
      <c r="D33" s="13">
        <v>100</v>
      </c>
      <c r="E33" s="13">
        <v>1.148506599929533E-2</v>
      </c>
      <c r="F33" s="13">
        <v>0.5121771278438636</v>
      </c>
      <c r="G33" s="13">
        <v>2.422305615100654E-2</v>
      </c>
      <c r="H33" s="13" t="str">
        <f>HYPERLINK("plots_Adult/Gradient Descent_plot1.png", "Vedi grafico")</f>
        <v>Vedi grafico</v>
      </c>
      <c r="I33" s="13"/>
      <c r="J33" s="13">
        <v>108</v>
      </c>
      <c r="K33" s="13">
        <v>500</v>
      </c>
      <c r="L33" s="13">
        <v>1</v>
      </c>
      <c r="M33" s="13">
        <v>1</v>
      </c>
      <c r="N33" s="13">
        <v>1</v>
      </c>
    </row>
    <row r="34" spans="1:14" x14ac:dyDescent="0.3">
      <c r="A34" s="13">
        <v>1</v>
      </c>
      <c r="B34" s="13" t="s">
        <v>1253</v>
      </c>
      <c r="C34" s="13" t="s">
        <v>1245</v>
      </c>
      <c r="D34" s="13">
        <v>100</v>
      </c>
      <c r="E34" s="13">
        <v>2.5577241000064529E-2</v>
      </c>
      <c r="F34" s="13">
        <v>0.51015408033466247</v>
      </c>
      <c r="G34" s="13">
        <v>4.9174024418088745E-7</v>
      </c>
      <c r="H34" s="13" t="str">
        <f>HYPERLINK("plots_Adult/Gradient Descent Armijo_plot1.png", "Vedi grafico")</f>
        <v>Vedi grafico</v>
      </c>
      <c r="I34" s="13"/>
      <c r="J34" s="13">
        <v>108</v>
      </c>
      <c r="K34" s="13">
        <v>500</v>
      </c>
      <c r="L34" s="13">
        <v>1</v>
      </c>
      <c r="M34" s="13">
        <v>1</v>
      </c>
      <c r="N34" s="13">
        <v>1</v>
      </c>
    </row>
    <row r="35" spans="1:14" x14ac:dyDescent="0.3">
      <c r="A35" s="13">
        <v>1</v>
      </c>
      <c r="B35" s="13" t="s">
        <v>1253</v>
      </c>
      <c r="C35" s="13" t="s">
        <v>1246</v>
      </c>
      <c r="D35" s="13">
        <v>99</v>
      </c>
      <c r="E35" s="13">
        <v>2.35287734800113</v>
      </c>
      <c r="F35" s="13">
        <v>0.51015408045635524</v>
      </c>
      <c r="G35" s="13">
        <v>5.4398686843032477E-6</v>
      </c>
      <c r="H35" s="13" t="str">
        <f>HYPERLINK("plots_Adult/Jacobi_plot1.png", "Vedi grafico")</f>
        <v>Vedi grafico</v>
      </c>
      <c r="I35" s="13"/>
      <c r="J35" s="13">
        <v>108</v>
      </c>
      <c r="K35" s="13">
        <v>500</v>
      </c>
      <c r="L35" s="13">
        <v>4</v>
      </c>
      <c r="M35" s="13">
        <v>8</v>
      </c>
      <c r="N35" s="13">
        <v>1</v>
      </c>
    </row>
    <row r="36" spans="1:14" x14ac:dyDescent="0.3">
      <c r="A36" s="13">
        <v>1</v>
      </c>
      <c r="B36" s="13"/>
      <c r="C36" s="13"/>
      <c r="D36" s="13"/>
      <c r="E36" s="13"/>
      <c r="F36" s="13"/>
      <c r="G36" s="13"/>
      <c r="H36" s="13" t="str">
        <f>HYPERLINK("plots_Adult/loss_overlay.png", "Vedi grafico")</f>
        <v>Vedi grafico</v>
      </c>
      <c r="I36" s="13"/>
      <c r="J36" s="13"/>
      <c r="K36" s="13"/>
      <c r="L36" s="13"/>
      <c r="M36" s="13"/>
      <c r="N36" s="13">
        <v>1</v>
      </c>
    </row>
    <row r="37" spans="1:14" x14ac:dyDescent="0.3">
      <c r="A37" s="16">
        <v>2</v>
      </c>
      <c r="B37" s="16" t="s">
        <v>1242</v>
      </c>
      <c r="C37" s="16" t="s">
        <v>1243</v>
      </c>
      <c r="D37" s="16">
        <v>99</v>
      </c>
      <c r="E37" s="16">
        <v>0.2114618640007393</v>
      </c>
      <c r="F37" s="16">
        <v>0.20987243077632639</v>
      </c>
      <c r="G37" s="16">
        <v>2.368456102811821E-6</v>
      </c>
      <c r="H37" s="16" t="str">
        <f>HYPERLINK("plots_Breast_Cancer/Gauss-Seidel_plot_2.png", "Vedi grafico")</f>
        <v>Vedi grafico</v>
      </c>
      <c r="I37" s="16"/>
      <c r="J37" s="16">
        <v>30</v>
      </c>
      <c r="K37" s="16">
        <v>569</v>
      </c>
      <c r="L37" s="16">
        <v>1</v>
      </c>
      <c r="M37" s="16">
        <v>7</v>
      </c>
      <c r="N37" s="16">
        <v>2</v>
      </c>
    </row>
    <row r="38" spans="1:14" x14ac:dyDescent="0.3">
      <c r="A38" s="16">
        <v>2</v>
      </c>
      <c r="B38" s="16" t="s">
        <v>1242</v>
      </c>
      <c r="C38" s="16" t="s">
        <v>1244</v>
      </c>
      <c r="D38" s="16">
        <v>100</v>
      </c>
      <c r="E38" s="16">
        <v>1.1387767999622159E-2</v>
      </c>
      <c r="F38" s="16">
        <v>0.21024932776281</v>
      </c>
      <c r="G38" s="16">
        <v>1.207764533447778E-2</v>
      </c>
      <c r="H38" s="16" t="str">
        <f>HYPERLINK("plots_Breast_Cancer/Gradient Descent_plot_2.png", "Vedi grafico")</f>
        <v>Vedi grafico</v>
      </c>
      <c r="I38" s="16"/>
      <c r="J38" s="16">
        <v>30</v>
      </c>
      <c r="K38" s="16">
        <v>569</v>
      </c>
      <c r="L38" s="16">
        <v>1</v>
      </c>
      <c r="M38" s="16">
        <v>1</v>
      </c>
      <c r="N38" s="16">
        <v>2</v>
      </c>
    </row>
    <row r="39" spans="1:14" x14ac:dyDescent="0.3">
      <c r="A39" s="14">
        <v>2</v>
      </c>
      <c r="B39" s="14" t="s">
        <v>1242</v>
      </c>
      <c r="C39" s="14" t="s">
        <v>1245</v>
      </c>
      <c r="D39" s="14">
        <v>100</v>
      </c>
      <c r="E39" s="14">
        <v>2.5110012000368439E-2</v>
      </c>
      <c r="F39" s="15">
        <v>0.2098724307504316</v>
      </c>
      <c r="G39" s="14">
        <v>1.4925095899640461E-7</v>
      </c>
      <c r="H39" s="14" t="str">
        <f>HYPERLINK("plots_Breast_Cancer/Gradient Descent Armijo_plot_2.png", "Vedi grafico")</f>
        <v>Vedi grafico</v>
      </c>
      <c r="I39" s="14"/>
      <c r="J39" s="14">
        <v>30</v>
      </c>
      <c r="K39" s="14">
        <v>569</v>
      </c>
      <c r="L39" s="14">
        <v>1</v>
      </c>
      <c r="M39" s="14">
        <v>1</v>
      </c>
      <c r="N39" s="14">
        <v>2</v>
      </c>
    </row>
    <row r="40" spans="1:14" x14ac:dyDescent="0.3">
      <c r="A40" s="16">
        <v>2</v>
      </c>
      <c r="B40" s="16" t="s">
        <v>1242</v>
      </c>
      <c r="C40" s="16" t="s">
        <v>1246</v>
      </c>
      <c r="D40" s="16">
        <v>99</v>
      </c>
      <c r="E40" s="16">
        <v>2.3904089340012429</v>
      </c>
      <c r="F40" s="16">
        <v>0.20987243077995479</v>
      </c>
      <c r="G40" s="16">
        <v>2.5124005606836879E-6</v>
      </c>
      <c r="H40" s="16" t="str">
        <f>HYPERLINK("plots_Breast_Cancer/Jacobi_plot_2.png", "Vedi grafico")</f>
        <v>Vedi grafico</v>
      </c>
      <c r="I40" s="16"/>
      <c r="J40" s="16">
        <v>30</v>
      </c>
      <c r="K40" s="16">
        <v>569</v>
      </c>
      <c r="L40" s="16">
        <v>4</v>
      </c>
      <c r="M40" s="16">
        <v>7</v>
      </c>
      <c r="N40" s="16">
        <v>2</v>
      </c>
    </row>
    <row r="41" spans="1:14" x14ac:dyDescent="0.3">
      <c r="A41" s="16">
        <v>2</v>
      </c>
      <c r="B41" s="16"/>
      <c r="C41" s="16"/>
      <c r="D41" s="16"/>
      <c r="E41" s="16"/>
      <c r="F41" s="16"/>
      <c r="G41" s="16"/>
      <c r="H41" s="16" t="str">
        <f>HYPERLINK("plots_Breast_Cancer/loss_overlay.png", "Vedi grafico")</f>
        <v>Vedi grafico</v>
      </c>
      <c r="I41" s="16"/>
      <c r="J41" s="16"/>
      <c r="K41" s="16"/>
      <c r="L41" s="16"/>
      <c r="M41" s="16"/>
      <c r="N41" s="16">
        <v>2</v>
      </c>
    </row>
    <row r="42" spans="1:14" x14ac:dyDescent="0.3">
      <c r="A42" s="16">
        <v>2</v>
      </c>
      <c r="B42" s="16" t="s">
        <v>1248</v>
      </c>
      <c r="C42" s="16" t="s">
        <v>1243</v>
      </c>
      <c r="D42" s="16">
        <v>99</v>
      </c>
      <c r="E42" s="16">
        <v>0.24092148399904539</v>
      </c>
      <c r="F42" s="16">
        <v>0.53234021855991598</v>
      </c>
      <c r="G42" s="16">
        <v>2.1799754783403709E-6</v>
      </c>
      <c r="H42" s="16" t="str">
        <f>HYPERLINK("plots_Diabetes/Gauss-Seidel_plot_2.png", "Vedi grafico")</f>
        <v>Vedi grafico</v>
      </c>
      <c r="I42" s="16"/>
      <c r="J42" s="16">
        <v>10</v>
      </c>
      <c r="K42" s="16">
        <v>442</v>
      </c>
      <c r="L42" s="16">
        <v>1</v>
      </c>
      <c r="M42" s="16">
        <v>7</v>
      </c>
      <c r="N42" s="16">
        <v>2</v>
      </c>
    </row>
    <row r="43" spans="1:14" x14ac:dyDescent="0.3">
      <c r="A43" s="16">
        <v>2</v>
      </c>
      <c r="B43" s="16" t="s">
        <v>1248</v>
      </c>
      <c r="C43" s="16" t="s">
        <v>1244</v>
      </c>
      <c r="D43" s="16">
        <v>100</v>
      </c>
      <c r="E43" s="16">
        <v>1.253221099977964E-2</v>
      </c>
      <c r="F43" s="16">
        <v>0.53263822042975961</v>
      </c>
      <c r="G43" s="16">
        <v>1.2182936658034649E-2</v>
      </c>
      <c r="H43" s="16" t="str">
        <f>HYPERLINK("plots_Diabetes/Gradient Descent_plot_2.png", "Vedi grafico")</f>
        <v>Vedi grafico</v>
      </c>
      <c r="I43" s="16"/>
      <c r="J43" s="16">
        <v>10</v>
      </c>
      <c r="K43" s="16">
        <v>442</v>
      </c>
      <c r="L43" s="16">
        <v>1</v>
      </c>
      <c r="M43" s="16">
        <v>1</v>
      </c>
      <c r="N43" s="16">
        <v>2</v>
      </c>
    </row>
    <row r="44" spans="1:14" x14ac:dyDescent="0.3">
      <c r="A44" s="16">
        <v>2</v>
      </c>
      <c r="B44" s="16" t="s">
        <v>1248</v>
      </c>
      <c r="C44" s="16" t="s">
        <v>1245</v>
      </c>
      <c r="D44" s="16">
        <v>100</v>
      </c>
      <c r="E44" s="16">
        <v>2.1725538001192039E-2</v>
      </c>
      <c r="F44" s="16">
        <v>0.5323402185455357</v>
      </c>
      <c r="G44" s="16">
        <v>6.1510589046363571E-8</v>
      </c>
      <c r="H44" s="16" t="str">
        <f>HYPERLINK("plots_Diabetes/Gradient Descent Armijo_plot_2.png", "Vedi grafico")</f>
        <v>Vedi grafico</v>
      </c>
      <c r="I44" s="16"/>
      <c r="J44" s="16">
        <v>10</v>
      </c>
      <c r="K44" s="16">
        <v>442</v>
      </c>
      <c r="L44" s="16">
        <v>1</v>
      </c>
      <c r="M44" s="16">
        <v>1</v>
      </c>
      <c r="N44" s="16">
        <v>2</v>
      </c>
    </row>
    <row r="45" spans="1:14" x14ac:dyDescent="0.3">
      <c r="A45" s="16">
        <v>2</v>
      </c>
      <c r="B45" s="16" t="s">
        <v>1248</v>
      </c>
      <c r="C45" s="16" t="s">
        <v>1246</v>
      </c>
      <c r="D45" s="16">
        <v>99</v>
      </c>
      <c r="E45" s="16">
        <v>1.458816913000192</v>
      </c>
      <c r="F45" s="16">
        <v>0.53234021856426617</v>
      </c>
      <c r="G45" s="16">
        <v>2.3027814265670322E-6</v>
      </c>
      <c r="H45" s="16" t="str">
        <f>HYPERLINK("plots_Diabetes/Jacobi_plot_2.png", "Vedi grafico")</f>
        <v>Vedi grafico</v>
      </c>
      <c r="I45" s="16"/>
      <c r="J45" s="16">
        <v>10</v>
      </c>
      <c r="K45" s="16">
        <v>442</v>
      </c>
      <c r="L45" s="16">
        <v>4</v>
      </c>
      <c r="M45" s="16">
        <v>7</v>
      </c>
      <c r="N45" s="16">
        <v>2</v>
      </c>
    </row>
    <row r="46" spans="1:14" x14ac:dyDescent="0.3">
      <c r="A46" s="16">
        <v>2</v>
      </c>
      <c r="B46" s="16"/>
      <c r="C46" s="16"/>
      <c r="D46" s="16"/>
      <c r="E46" s="16"/>
      <c r="F46" s="16"/>
      <c r="G46" s="16"/>
      <c r="H46" s="16" t="str">
        <f>HYPERLINK("plots_Diabetes/loss_overlay.png", "Vedi grafico")</f>
        <v>Vedi grafico</v>
      </c>
      <c r="I46" s="16"/>
      <c r="J46" s="16"/>
      <c r="K46" s="16"/>
      <c r="L46" s="16"/>
      <c r="M46" s="16"/>
      <c r="N46" s="16">
        <v>2</v>
      </c>
    </row>
    <row r="47" spans="1:14" x14ac:dyDescent="0.3">
      <c r="A47" s="16">
        <v>2</v>
      </c>
      <c r="B47" s="16" t="s">
        <v>1249</v>
      </c>
      <c r="C47" s="16" t="s">
        <v>1243</v>
      </c>
      <c r="D47" s="16">
        <v>99</v>
      </c>
      <c r="E47" s="16">
        <v>0.48835863600106683</v>
      </c>
      <c r="F47" s="16">
        <v>0.34434747737806543</v>
      </c>
      <c r="G47" s="16">
        <v>2.2158412220333128E-6</v>
      </c>
      <c r="H47" s="16" t="str">
        <f>HYPERLINK("plots_Digits/Gauss-Seidel_plot_2.png", "Vedi grafico")</f>
        <v>Vedi grafico</v>
      </c>
      <c r="I47" s="16"/>
      <c r="J47" s="16">
        <v>64</v>
      </c>
      <c r="K47" s="16">
        <v>1797</v>
      </c>
      <c r="L47" s="16">
        <v>1</v>
      </c>
      <c r="M47" s="16">
        <v>7</v>
      </c>
      <c r="N47" s="16">
        <v>2</v>
      </c>
    </row>
    <row r="48" spans="1:14" x14ac:dyDescent="0.3">
      <c r="A48" s="16">
        <v>2</v>
      </c>
      <c r="B48" s="16" t="s">
        <v>1249</v>
      </c>
      <c r="C48" s="16" t="s">
        <v>1244</v>
      </c>
      <c r="D48" s="16">
        <v>100</v>
      </c>
      <c r="E48" s="16">
        <v>3.64364460001525E-2</v>
      </c>
      <c r="F48" s="16">
        <v>0.34537500106744229</v>
      </c>
      <c r="G48" s="16">
        <v>1.9786438650008439E-2</v>
      </c>
      <c r="H48" s="16" t="str">
        <f>HYPERLINK("plots_Digits/Gradient Descent_plot_2.png", "Vedi grafico")</f>
        <v>Vedi grafico</v>
      </c>
      <c r="I48" s="16"/>
      <c r="J48" s="16">
        <v>64</v>
      </c>
      <c r="K48" s="16">
        <v>1797</v>
      </c>
      <c r="L48" s="16">
        <v>1</v>
      </c>
      <c r="M48" s="16">
        <v>1</v>
      </c>
      <c r="N48" s="16">
        <v>2</v>
      </c>
    </row>
    <row r="49" spans="1:14" x14ac:dyDescent="0.3">
      <c r="A49" s="16">
        <v>2</v>
      </c>
      <c r="B49" s="16" t="s">
        <v>1249</v>
      </c>
      <c r="C49" s="16" t="s">
        <v>1245</v>
      </c>
      <c r="D49" s="16">
        <v>100</v>
      </c>
      <c r="E49" s="16">
        <v>4.8431178998725948E-2</v>
      </c>
      <c r="F49" s="16">
        <v>0.34434747736105209</v>
      </c>
      <c r="G49" s="16">
        <v>1.033194216913189E-7</v>
      </c>
      <c r="H49" s="16" t="str">
        <f>HYPERLINK("plots_Digits/Gradient Descent Armijo_plot_2.png", "Vedi grafico")</f>
        <v>Vedi grafico</v>
      </c>
      <c r="I49" s="16"/>
      <c r="J49" s="16">
        <v>64</v>
      </c>
      <c r="K49" s="16">
        <v>1797</v>
      </c>
      <c r="L49" s="16">
        <v>1</v>
      </c>
      <c r="M49" s="16">
        <v>1</v>
      </c>
      <c r="N49" s="16">
        <v>2</v>
      </c>
    </row>
    <row r="50" spans="1:14" x14ac:dyDescent="0.3">
      <c r="A50" s="16">
        <v>2</v>
      </c>
      <c r="B50" s="16" t="s">
        <v>1249</v>
      </c>
      <c r="C50" s="16" t="s">
        <v>1246</v>
      </c>
      <c r="D50" s="16">
        <v>99</v>
      </c>
      <c r="E50" s="16">
        <v>3.636833934000606</v>
      </c>
      <c r="F50" s="16">
        <v>0.34434747738727312</v>
      </c>
      <c r="G50" s="16">
        <v>2.495035297973926E-6</v>
      </c>
      <c r="H50" s="16" t="str">
        <f>HYPERLINK("plots_Digits/Jacobi_plot_2.png", "Vedi grafico")</f>
        <v>Vedi grafico</v>
      </c>
      <c r="I50" s="16"/>
      <c r="J50" s="16">
        <v>64</v>
      </c>
      <c r="K50" s="16">
        <v>1797</v>
      </c>
      <c r="L50" s="16">
        <v>4</v>
      </c>
      <c r="M50" s="16">
        <v>7</v>
      </c>
      <c r="N50" s="16">
        <v>2</v>
      </c>
    </row>
    <row r="51" spans="1:14" x14ac:dyDescent="0.3">
      <c r="A51" s="16">
        <v>2</v>
      </c>
      <c r="B51" s="16"/>
      <c r="C51" s="16"/>
      <c r="D51" s="16"/>
      <c r="E51" s="16"/>
      <c r="F51" s="16"/>
      <c r="G51" s="16"/>
      <c r="H51" s="16" t="str">
        <f>HYPERLINK("plots_Digits/loss_overlay.png", "Vedi grafico")</f>
        <v>Vedi grafico</v>
      </c>
      <c r="I51" s="16"/>
      <c r="J51" s="16"/>
      <c r="K51" s="16"/>
      <c r="L51" s="16"/>
      <c r="M51" s="16"/>
      <c r="N51" s="16">
        <v>2</v>
      </c>
    </row>
    <row r="52" spans="1:14" x14ac:dyDescent="0.3">
      <c r="A52" s="16">
        <v>2</v>
      </c>
      <c r="B52" s="16" t="s">
        <v>1250</v>
      </c>
      <c r="C52" s="16" t="s">
        <v>1243</v>
      </c>
      <c r="D52" s="16">
        <v>7</v>
      </c>
      <c r="E52" s="16">
        <v>1.469298100164451E-2</v>
      </c>
      <c r="F52" s="16">
        <v>0.27704814805132388</v>
      </c>
      <c r="G52" s="16">
        <v>9.1062659785214536E-7</v>
      </c>
      <c r="H52" s="16" t="str">
        <f>HYPERLINK("plots_Iris/Gauss-Seidel_plot_2.png", "Vedi grafico")</f>
        <v>Vedi grafico</v>
      </c>
      <c r="I52" s="16"/>
      <c r="J52" s="16">
        <v>4</v>
      </c>
      <c r="K52" s="16">
        <v>150</v>
      </c>
      <c r="L52" s="16">
        <v>1</v>
      </c>
      <c r="M52" s="16">
        <v>7</v>
      </c>
      <c r="N52" s="16">
        <v>2</v>
      </c>
    </row>
    <row r="53" spans="1:14" x14ac:dyDescent="0.3">
      <c r="A53" s="16">
        <v>2</v>
      </c>
      <c r="B53" s="16" t="s">
        <v>1250</v>
      </c>
      <c r="C53" s="16" t="s">
        <v>1244</v>
      </c>
      <c r="D53" s="16">
        <v>100</v>
      </c>
      <c r="E53" s="16">
        <v>1.0483149000719999E-2</v>
      </c>
      <c r="F53" s="16">
        <v>0.27776652481322572</v>
      </c>
      <c r="G53" s="16">
        <v>1.8187512148941268E-2</v>
      </c>
      <c r="H53" s="16" t="str">
        <f>HYPERLINK("plots_Iris/Gradient Descent_plot_2.png", "Vedi grafico")</f>
        <v>Vedi grafico</v>
      </c>
      <c r="I53" s="16"/>
      <c r="J53" s="16">
        <v>4</v>
      </c>
      <c r="K53" s="16">
        <v>150</v>
      </c>
      <c r="L53" s="16">
        <v>1</v>
      </c>
      <c r="M53" s="16">
        <v>1</v>
      </c>
      <c r="N53" s="16">
        <v>2</v>
      </c>
    </row>
    <row r="54" spans="1:14" x14ac:dyDescent="0.3">
      <c r="A54" s="16">
        <v>2</v>
      </c>
      <c r="B54" s="16" t="s">
        <v>1250</v>
      </c>
      <c r="C54" s="16" t="s">
        <v>1245</v>
      </c>
      <c r="D54" s="16">
        <v>100</v>
      </c>
      <c r="E54" s="16">
        <v>2.1334732000468652E-2</v>
      </c>
      <c r="F54" s="16">
        <v>0.2770481480474194</v>
      </c>
      <c r="G54" s="16">
        <v>1.0008744736275179E-7</v>
      </c>
      <c r="H54" s="16" t="str">
        <f>HYPERLINK("plots_Iris/Gradient Descent Armijo_plot_2.png", "Vedi grafico")</f>
        <v>Vedi grafico</v>
      </c>
      <c r="I54" s="16"/>
      <c r="J54" s="16">
        <v>4</v>
      </c>
      <c r="K54" s="16">
        <v>150</v>
      </c>
      <c r="L54" s="16">
        <v>1</v>
      </c>
      <c r="M54" s="16">
        <v>1</v>
      </c>
      <c r="N54" s="16">
        <v>2</v>
      </c>
    </row>
    <row r="55" spans="1:14" x14ac:dyDescent="0.3">
      <c r="A55" s="16">
        <v>2</v>
      </c>
      <c r="B55" s="16" t="s">
        <v>1250</v>
      </c>
      <c r="C55" s="16" t="s">
        <v>1246</v>
      </c>
      <c r="D55" s="16">
        <v>7</v>
      </c>
      <c r="E55" s="16">
        <v>0.1211033979998319</v>
      </c>
      <c r="F55" s="16">
        <v>0.27704814805132388</v>
      </c>
      <c r="G55" s="16">
        <v>9.1062659785214536E-7</v>
      </c>
      <c r="H55" s="16" t="str">
        <f>HYPERLINK("plots_Iris/Jacobi_plot_2.png", "Vedi grafico")</f>
        <v>Vedi grafico</v>
      </c>
      <c r="I55" s="16"/>
      <c r="J55" s="16">
        <v>4</v>
      </c>
      <c r="K55" s="16">
        <v>150</v>
      </c>
      <c r="L55" s="16">
        <v>4</v>
      </c>
      <c r="M55" s="16">
        <v>7</v>
      </c>
      <c r="N55" s="16">
        <v>2</v>
      </c>
    </row>
    <row r="56" spans="1:14" x14ac:dyDescent="0.3">
      <c r="A56" s="16">
        <v>2</v>
      </c>
      <c r="B56" s="16"/>
      <c r="C56" s="16"/>
      <c r="D56" s="16"/>
      <c r="E56" s="16"/>
      <c r="F56" s="16"/>
      <c r="G56" s="16"/>
      <c r="H56" s="16" t="str">
        <f>HYPERLINK("plots_Iris/loss_overlay.png", "Vedi grafico")</f>
        <v>Vedi grafico</v>
      </c>
      <c r="I56" s="16"/>
      <c r="J56" s="16"/>
      <c r="K56" s="16"/>
      <c r="L56" s="16"/>
      <c r="M56" s="16"/>
      <c r="N56" s="16">
        <v>2</v>
      </c>
    </row>
    <row r="57" spans="1:14" x14ac:dyDescent="0.3">
      <c r="A57" s="16">
        <v>2</v>
      </c>
      <c r="B57" s="16" t="s">
        <v>1251</v>
      </c>
      <c r="C57" s="16" t="s">
        <v>1243</v>
      </c>
      <c r="D57" s="16">
        <v>99</v>
      </c>
      <c r="E57" s="16">
        <v>0.13926153499960489</v>
      </c>
      <c r="F57" s="16">
        <v>0.28687255999510908</v>
      </c>
      <c r="G57" s="16">
        <v>2.314461151830829E-6</v>
      </c>
      <c r="H57" s="16" t="str">
        <f>HYPERLINK("plots_Wine/Gauss-Seidel_plot_2.png", "Vedi grafico")</f>
        <v>Vedi grafico</v>
      </c>
      <c r="I57" s="16"/>
      <c r="J57" s="16">
        <v>13</v>
      </c>
      <c r="K57" s="16">
        <v>178</v>
      </c>
      <c r="L57" s="16">
        <v>1</v>
      </c>
      <c r="M57" s="16">
        <v>7</v>
      </c>
      <c r="N57" s="16">
        <v>2</v>
      </c>
    </row>
    <row r="58" spans="1:14" x14ac:dyDescent="0.3">
      <c r="A58" s="14">
        <v>2</v>
      </c>
      <c r="B58" s="14" t="s">
        <v>1251</v>
      </c>
      <c r="C58" s="14" t="s">
        <v>1244</v>
      </c>
      <c r="D58" s="14">
        <v>100</v>
      </c>
      <c r="E58" s="15">
        <v>8.8133039989770623E-3</v>
      </c>
      <c r="F58" s="14">
        <v>0.288147784334295</v>
      </c>
      <c r="G58" s="14">
        <v>2.226338153822115E-2</v>
      </c>
      <c r="H58" s="14" t="str">
        <f>HYPERLINK("plots_Wine/Gradient Descent_plot_2.png", "Vedi grafico")</f>
        <v>Vedi grafico</v>
      </c>
      <c r="I58" s="14"/>
      <c r="J58" s="14">
        <v>13</v>
      </c>
      <c r="K58" s="14">
        <v>178</v>
      </c>
      <c r="L58" s="14">
        <v>1</v>
      </c>
      <c r="M58" s="14">
        <v>1</v>
      </c>
      <c r="N58" s="14">
        <v>2</v>
      </c>
    </row>
    <row r="59" spans="1:14" x14ac:dyDescent="0.3">
      <c r="A59" s="16">
        <v>2</v>
      </c>
      <c r="B59" s="16" t="s">
        <v>1251</v>
      </c>
      <c r="C59" s="16" t="s">
        <v>1245</v>
      </c>
      <c r="D59" s="16">
        <v>100</v>
      </c>
      <c r="E59" s="16">
        <v>2.1530089999941989E-2</v>
      </c>
      <c r="F59" s="16">
        <v>0.28687255997585598</v>
      </c>
      <c r="G59" s="16">
        <v>5.1639985112820927E-8</v>
      </c>
      <c r="H59" s="16" t="str">
        <f>HYPERLINK("plots_Wine/Gradient Descent Armijo_plot_2.png", "Vedi grafico")</f>
        <v>Vedi grafico</v>
      </c>
      <c r="I59" s="16"/>
      <c r="J59" s="16">
        <v>13</v>
      </c>
      <c r="K59" s="16">
        <v>178</v>
      </c>
      <c r="L59" s="16">
        <v>1</v>
      </c>
      <c r="M59" s="16">
        <v>1</v>
      </c>
      <c r="N59" s="16">
        <v>2</v>
      </c>
    </row>
    <row r="60" spans="1:14" x14ac:dyDescent="0.3">
      <c r="A60" s="16">
        <v>2</v>
      </c>
      <c r="B60" s="16" t="s">
        <v>1251</v>
      </c>
      <c r="C60" s="16" t="s">
        <v>1246</v>
      </c>
      <c r="D60" s="16">
        <v>99</v>
      </c>
      <c r="E60" s="16">
        <v>1.25131870900077</v>
      </c>
      <c r="F60" s="16">
        <v>0.28687255999571221</v>
      </c>
      <c r="G60" s="16">
        <v>2.397096518257474E-6</v>
      </c>
      <c r="H60" s="16" t="str">
        <f>HYPERLINK("plots_Wine/Jacobi_plot_2.png", "Vedi grafico")</f>
        <v>Vedi grafico</v>
      </c>
      <c r="I60" s="16"/>
      <c r="J60" s="16">
        <v>13</v>
      </c>
      <c r="K60" s="16">
        <v>178</v>
      </c>
      <c r="L60" s="16">
        <v>4</v>
      </c>
      <c r="M60" s="16">
        <v>7</v>
      </c>
      <c r="N60" s="16">
        <v>2</v>
      </c>
    </row>
    <row r="61" spans="1:14" x14ac:dyDescent="0.3">
      <c r="A61" s="16">
        <v>2</v>
      </c>
      <c r="B61" s="16"/>
      <c r="C61" s="16"/>
      <c r="D61" s="16"/>
      <c r="E61" s="16"/>
      <c r="F61" s="16"/>
      <c r="G61" s="16"/>
      <c r="H61" s="16" t="str">
        <f>HYPERLINK("plots_Wine/loss_overlay.png", "Vedi grafico")</f>
        <v>Vedi grafico</v>
      </c>
      <c r="I61" s="16"/>
      <c r="J61" s="16"/>
      <c r="K61" s="16"/>
      <c r="L61" s="16"/>
      <c r="M61" s="16"/>
      <c r="N61" s="16">
        <v>2</v>
      </c>
    </row>
    <row r="62" spans="1:14" x14ac:dyDescent="0.3">
      <c r="A62" s="16">
        <v>2</v>
      </c>
      <c r="B62" s="16" t="s">
        <v>1252</v>
      </c>
      <c r="C62" s="16" t="s">
        <v>1243</v>
      </c>
      <c r="D62" s="16">
        <v>99</v>
      </c>
      <c r="E62" s="16">
        <v>6.3676457479996316</v>
      </c>
      <c r="F62" s="16">
        <v>0.68096181067198269</v>
      </c>
      <c r="G62" s="16">
        <v>2.4172457946177011E-6</v>
      </c>
      <c r="H62" s="16" t="str">
        <f>HYPERLINK("plots_Fetch/Gauss-Seidel_plot_2.png", "Vedi grafico")</f>
        <v>Vedi grafico</v>
      </c>
      <c r="I62" s="16"/>
      <c r="J62" s="16">
        <v>1000</v>
      </c>
      <c r="K62" s="16">
        <v>1772</v>
      </c>
      <c r="L62" s="16">
        <v>1</v>
      </c>
      <c r="M62" s="16">
        <v>7</v>
      </c>
      <c r="N62" s="16">
        <v>2</v>
      </c>
    </row>
    <row r="63" spans="1:14" x14ac:dyDescent="0.3">
      <c r="A63" s="16">
        <v>2</v>
      </c>
      <c r="B63" s="16" t="s">
        <v>1252</v>
      </c>
      <c r="C63" s="16" t="s">
        <v>1244</v>
      </c>
      <c r="D63" s="16">
        <v>100</v>
      </c>
      <c r="E63" s="16">
        <v>0.86196307799946226</v>
      </c>
      <c r="F63" s="16">
        <v>0.68246591166439041</v>
      </c>
      <c r="G63" s="16">
        <v>1.7870159283770851E-2</v>
      </c>
      <c r="H63" s="16" t="str">
        <f>HYPERLINK("plots_Fetch/Gradient Descent_plot_2.png", "Vedi grafico")</f>
        <v>Vedi grafico</v>
      </c>
      <c r="I63" s="16"/>
      <c r="J63" s="16">
        <v>1000</v>
      </c>
      <c r="K63" s="16">
        <v>1772</v>
      </c>
      <c r="L63" s="16">
        <v>1</v>
      </c>
      <c r="M63" s="16">
        <v>1</v>
      </c>
      <c r="N63" s="16">
        <v>2</v>
      </c>
    </row>
    <row r="64" spans="1:14" x14ac:dyDescent="0.3">
      <c r="A64" s="16">
        <v>2</v>
      </c>
      <c r="B64" s="16" t="s">
        <v>1252</v>
      </c>
      <c r="C64" s="16" t="s">
        <v>1245</v>
      </c>
      <c r="D64" s="16">
        <v>100</v>
      </c>
      <c r="E64" s="16">
        <v>1.5034180140009989</v>
      </c>
      <c r="F64" s="16">
        <v>0.68096181064839212</v>
      </c>
      <c r="G64" s="16">
        <v>9.8127357946551937E-7</v>
      </c>
      <c r="H64" s="16" t="str">
        <f>HYPERLINK("plots_Fetch/Gradient Descent Armijo_plot_2.png", "Vedi grafico")</f>
        <v>Vedi grafico</v>
      </c>
      <c r="I64" s="16"/>
      <c r="J64" s="16">
        <v>1000</v>
      </c>
      <c r="K64" s="16">
        <v>1772</v>
      </c>
      <c r="L64" s="16">
        <v>1</v>
      </c>
      <c r="M64" s="16">
        <v>1</v>
      </c>
      <c r="N64" s="16">
        <v>2</v>
      </c>
    </row>
    <row r="65" spans="1:14" x14ac:dyDescent="0.3">
      <c r="A65" s="16">
        <v>2</v>
      </c>
      <c r="B65" s="16" t="s">
        <v>1252</v>
      </c>
      <c r="C65" s="16" t="s">
        <v>1246</v>
      </c>
      <c r="D65" s="16">
        <v>99</v>
      </c>
      <c r="E65" s="16">
        <v>25.177691109000079</v>
      </c>
      <c r="F65" s="16">
        <v>0.68096181067582606</v>
      </c>
      <c r="G65" s="16">
        <v>2.5768638426781021E-6</v>
      </c>
      <c r="H65" s="16" t="str">
        <f>HYPERLINK("plots_Fetch/Jacobi_plot_2.png", "Vedi grafico")</f>
        <v>Vedi grafico</v>
      </c>
      <c r="I65" s="16"/>
      <c r="J65" s="16">
        <v>1000</v>
      </c>
      <c r="K65" s="16">
        <v>1772</v>
      </c>
      <c r="L65" s="16">
        <v>4</v>
      </c>
      <c r="M65" s="16">
        <v>7</v>
      </c>
      <c r="N65" s="16">
        <v>2</v>
      </c>
    </row>
    <row r="66" spans="1:14" x14ac:dyDescent="0.3">
      <c r="A66" s="16">
        <v>2</v>
      </c>
      <c r="B66" s="16"/>
      <c r="C66" s="16"/>
      <c r="D66" s="16"/>
      <c r="E66" s="16"/>
      <c r="F66" s="16"/>
      <c r="G66" s="16"/>
      <c r="H66" s="16" t="str">
        <f>HYPERLINK("plots_Fetch/loss_overlay.png", "Vedi grafico")</f>
        <v>Vedi grafico</v>
      </c>
      <c r="I66" s="16"/>
      <c r="J66" s="16"/>
      <c r="K66" s="16"/>
      <c r="L66" s="16"/>
      <c r="M66" s="16"/>
      <c r="N66" s="16">
        <v>2</v>
      </c>
    </row>
    <row r="67" spans="1:14" x14ac:dyDescent="0.3">
      <c r="A67" s="16">
        <v>2</v>
      </c>
      <c r="B67" s="16" t="s">
        <v>1253</v>
      </c>
      <c r="C67" s="16" t="s">
        <v>1243</v>
      </c>
      <c r="D67" s="16">
        <v>99</v>
      </c>
      <c r="E67" s="16">
        <v>0.22989296500054479</v>
      </c>
      <c r="F67" s="16">
        <v>0.51015408034920928</v>
      </c>
      <c r="G67" s="16">
        <v>2.2036656599300852E-6</v>
      </c>
      <c r="H67" s="16" t="str">
        <f>HYPERLINK("plots_Adult/Gauss-Seidel_plot_2.png", "Vedi grafico")</f>
        <v>Vedi grafico</v>
      </c>
      <c r="I67" s="16"/>
      <c r="J67" s="16">
        <v>108</v>
      </c>
      <c r="K67" s="16">
        <v>500</v>
      </c>
      <c r="L67" s="16">
        <v>1</v>
      </c>
      <c r="M67" s="16">
        <v>7</v>
      </c>
      <c r="N67" s="16">
        <v>2</v>
      </c>
    </row>
    <row r="68" spans="1:14" x14ac:dyDescent="0.3">
      <c r="A68" s="16">
        <v>2</v>
      </c>
      <c r="B68" s="16" t="s">
        <v>1253</v>
      </c>
      <c r="C68" s="16" t="s">
        <v>1244</v>
      </c>
      <c r="D68" s="16">
        <v>100</v>
      </c>
      <c r="E68" s="16">
        <v>1.4877950998197781E-2</v>
      </c>
      <c r="F68" s="16">
        <v>0.5121771278438636</v>
      </c>
      <c r="G68" s="16">
        <v>2.422305615100654E-2</v>
      </c>
      <c r="H68" s="16" t="str">
        <f>HYPERLINK("plots_Adult/Gradient Descent_plot_2.png", "Vedi grafico")</f>
        <v>Vedi grafico</v>
      </c>
      <c r="I68" s="16"/>
      <c r="J68" s="16">
        <v>108</v>
      </c>
      <c r="K68" s="16">
        <v>500</v>
      </c>
      <c r="L68" s="16">
        <v>1</v>
      </c>
      <c r="M68" s="16">
        <v>1</v>
      </c>
      <c r="N68" s="16">
        <v>2</v>
      </c>
    </row>
    <row r="69" spans="1:14" x14ac:dyDescent="0.3">
      <c r="A69" s="16">
        <v>2</v>
      </c>
      <c r="B69" s="16" t="s">
        <v>1253</v>
      </c>
      <c r="C69" s="16" t="s">
        <v>1245</v>
      </c>
      <c r="D69" s="16">
        <v>100</v>
      </c>
      <c r="E69" s="16">
        <v>3.1311383998399833E-2</v>
      </c>
      <c r="F69" s="16">
        <v>0.51015408033466247</v>
      </c>
      <c r="G69" s="16">
        <v>4.9174024418088745E-7</v>
      </c>
      <c r="H69" s="16" t="str">
        <f>HYPERLINK("plots_Adult/Gradient Descent Armijo_plot_2.png", "Vedi grafico")</f>
        <v>Vedi grafico</v>
      </c>
      <c r="I69" s="16"/>
      <c r="J69" s="16">
        <v>108</v>
      </c>
      <c r="K69" s="16">
        <v>500</v>
      </c>
      <c r="L69" s="16">
        <v>1</v>
      </c>
      <c r="M69" s="16">
        <v>1</v>
      </c>
      <c r="N69" s="16">
        <v>2</v>
      </c>
    </row>
    <row r="70" spans="1:14" x14ac:dyDescent="0.3">
      <c r="A70" s="16">
        <v>2</v>
      </c>
      <c r="B70" s="16" t="s">
        <v>1253</v>
      </c>
      <c r="C70" s="16" t="s">
        <v>1246</v>
      </c>
      <c r="D70" s="16">
        <v>99</v>
      </c>
      <c r="E70" s="16">
        <v>2.456414626998594</v>
      </c>
      <c r="F70" s="16">
        <v>0.51015408037953336</v>
      </c>
      <c r="G70" s="16">
        <v>3.3320544189853419E-6</v>
      </c>
      <c r="H70" s="16" t="str">
        <f>HYPERLINK("plots_Adult/Jacobi_plot_2.png", "Vedi grafico")</f>
        <v>Vedi grafico</v>
      </c>
      <c r="I70" s="16"/>
      <c r="J70" s="16">
        <v>108</v>
      </c>
      <c r="K70" s="16">
        <v>500</v>
      </c>
      <c r="L70" s="16">
        <v>4</v>
      </c>
      <c r="M70" s="16">
        <v>7</v>
      </c>
      <c r="N70" s="16">
        <v>2</v>
      </c>
    </row>
    <row r="71" spans="1:14" x14ac:dyDescent="0.3">
      <c r="A71" s="16">
        <v>2</v>
      </c>
      <c r="B71" s="16"/>
      <c r="C71" s="16"/>
      <c r="D71" s="16"/>
      <c r="E71" s="16"/>
      <c r="F71" s="16"/>
      <c r="G71" s="16"/>
      <c r="H71" s="16" t="str">
        <f>HYPERLINK("plots_Adult/loss_overlay.png", "Vedi grafico")</f>
        <v>Vedi grafico</v>
      </c>
      <c r="I71" s="16"/>
      <c r="J71" s="16"/>
      <c r="K71" s="16"/>
      <c r="L71" s="16"/>
      <c r="M71" s="16"/>
      <c r="N71" s="16">
        <v>2</v>
      </c>
    </row>
    <row r="72" spans="1:14" x14ac:dyDescent="0.3">
      <c r="A72" s="17">
        <v>3</v>
      </c>
      <c r="B72" s="17" t="s">
        <v>1242</v>
      </c>
      <c r="C72" s="17" t="s">
        <v>1243</v>
      </c>
      <c r="D72" s="17">
        <v>99</v>
      </c>
      <c r="E72" s="17">
        <v>0.2012687389997154</v>
      </c>
      <c r="F72" s="17">
        <v>0.20987243077218989</v>
      </c>
      <c r="G72" s="17">
        <v>2.207144852934213E-6</v>
      </c>
      <c r="H72" s="17" t="str">
        <f>HYPERLINK("plots_Breast_Cancer/Gauss-Seidel_plot_3.png", "Vedi grafico")</f>
        <v>Vedi grafico</v>
      </c>
      <c r="I72" s="17"/>
      <c r="J72" s="17">
        <v>30</v>
      </c>
      <c r="K72" s="17">
        <v>569</v>
      </c>
      <c r="L72" s="17">
        <v>1</v>
      </c>
      <c r="M72" s="17">
        <v>6</v>
      </c>
      <c r="N72" s="17">
        <v>3</v>
      </c>
    </row>
    <row r="73" spans="1:14" x14ac:dyDescent="0.3">
      <c r="A73" s="17">
        <v>3</v>
      </c>
      <c r="B73" s="17" t="s">
        <v>1242</v>
      </c>
      <c r="C73" s="17" t="s">
        <v>1244</v>
      </c>
      <c r="D73" s="17">
        <v>100</v>
      </c>
      <c r="E73" s="17">
        <v>1.1052529000153299E-2</v>
      </c>
      <c r="F73" s="17">
        <v>0.21024932776281</v>
      </c>
      <c r="G73" s="17">
        <v>1.207764533447778E-2</v>
      </c>
      <c r="H73" s="17" t="str">
        <f>HYPERLINK("plots_Breast_Cancer/Gradient Descent_plot_3.png", "Vedi grafico")</f>
        <v>Vedi grafico</v>
      </c>
      <c r="I73" s="17"/>
      <c r="J73" s="17">
        <v>30</v>
      </c>
      <c r="K73" s="17">
        <v>569</v>
      </c>
      <c r="L73" s="17">
        <v>1</v>
      </c>
      <c r="M73" s="17">
        <v>1</v>
      </c>
      <c r="N73" s="17">
        <v>3</v>
      </c>
    </row>
    <row r="74" spans="1:14" x14ac:dyDescent="0.3">
      <c r="A74" s="14">
        <v>3</v>
      </c>
      <c r="B74" s="14" t="s">
        <v>1242</v>
      </c>
      <c r="C74" s="14" t="s">
        <v>1245</v>
      </c>
      <c r="D74" s="14">
        <v>100</v>
      </c>
      <c r="E74" s="14">
        <v>2.869961999931547E-2</v>
      </c>
      <c r="F74" s="15">
        <v>0.2098724307504316</v>
      </c>
      <c r="G74" s="14">
        <v>1.4925095899640461E-7</v>
      </c>
      <c r="H74" s="14" t="str">
        <f>HYPERLINK("plots_Breast_Cancer/Gradient Descent Armijo_plot_3.png", "Vedi grafico")</f>
        <v>Vedi grafico</v>
      </c>
      <c r="I74" s="14"/>
      <c r="J74" s="14">
        <v>30</v>
      </c>
      <c r="K74" s="14">
        <v>569</v>
      </c>
      <c r="L74" s="14">
        <v>1</v>
      </c>
      <c r="M74" s="14">
        <v>1</v>
      </c>
      <c r="N74" s="14">
        <v>3</v>
      </c>
    </row>
    <row r="75" spans="1:14" x14ac:dyDescent="0.3">
      <c r="A75" s="17">
        <v>3</v>
      </c>
      <c r="B75" s="17" t="s">
        <v>1242</v>
      </c>
      <c r="C75" s="17" t="s">
        <v>1246</v>
      </c>
      <c r="D75" s="17">
        <v>99</v>
      </c>
      <c r="E75" s="17">
        <v>1.711396100001366</v>
      </c>
      <c r="F75" s="17">
        <v>0.2098724307734032</v>
      </c>
      <c r="G75" s="17">
        <v>2.244351085309618E-6</v>
      </c>
      <c r="H75" s="17" t="str">
        <f>HYPERLINK("plots_Breast_Cancer/Jacobi_plot_3.png", "Vedi grafico")</f>
        <v>Vedi grafico</v>
      </c>
      <c r="I75" s="17"/>
      <c r="J75" s="17">
        <v>30</v>
      </c>
      <c r="K75" s="17">
        <v>569</v>
      </c>
      <c r="L75" s="17">
        <v>4</v>
      </c>
      <c r="M75" s="17">
        <v>6</v>
      </c>
      <c r="N75" s="17">
        <v>3</v>
      </c>
    </row>
    <row r="76" spans="1:14" x14ac:dyDescent="0.3">
      <c r="A76" s="17">
        <v>3</v>
      </c>
      <c r="B76" s="17"/>
      <c r="C76" s="17"/>
      <c r="D76" s="17"/>
      <c r="E76" s="17"/>
      <c r="F76" s="17"/>
      <c r="G76" s="17"/>
      <c r="H76" s="17" t="str">
        <f>HYPERLINK("plots_Breast_Cancer/loss_overlay.png", "Vedi grafico")</f>
        <v>Vedi grafico</v>
      </c>
      <c r="I76" s="17"/>
      <c r="J76" s="17"/>
      <c r="K76" s="17"/>
      <c r="L76" s="17"/>
      <c r="M76" s="17"/>
      <c r="N76" s="17">
        <v>3</v>
      </c>
    </row>
    <row r="77" spans="1:14" x14ac:dyDescent="0.3">
      <c r="A77" s="17">
        <v>3</v>
      </c>
      <c r="B77" s="17" t="s">
        <v>1248</v>
      </c>
      <c r="C77" s="17" t="s">
        <v>1243</v>
      </c>
      <c r="D77" s="17">
        <v>99</v>
      </c>
      <c r="E77" s="17">
        <v>0.2089323029995285</v>
      </c>
      <c r="F77" s="17">
        <v>0.53234021855862879</v>
      </c>
      <c r="G77" s="17">
        <v>2.1687535308214958E-6</v>
      </c>
      <c r="H77" s="17" t="str">
        <f>HYPERLINK("plots_Diabetes/Gauss-Seidel_plot_3.png", "Vedi grafico")</f>
        <v>Vedi grafico</v>
      </c>
      <c r="I77" s="17"/>
      <c r="J77" s="17">
        <v>10</v>
      </c>
      <c r="K77" s="17">
        <v>442</v>
      </c>
      <c r="L77" s="17">
        <v>1</v>
      </c>
      <c r="M77" s="17">
        <v>6</v>
      </c>
      <c r="N77" s="17">
        <v>3</v>
      </c>
    </row>
    <row r="78" spans="1:14" x14ac:dyDescent="0.3">
      <c r="A78" s="17">
        <v>3</v>
      </c>
      <c r="B78" s="17" t="s">
        <v>1248</v>
      </c>
      <c r="C78" s="17" t="s">
        <v>1244</v>
      </c>
      <c r="D78" s="17">
        <v>100</v>
      </c>
      <c r="E78" s="17">
        <v>1.504245499927492E-2</v>
      </c>
      <c r="F78" s="17">
        <v>0.53263822042975961</v>
      </c>
      <c r="G78" s="17">
        <v>1.2182936658034649E-2</v>
      </c>
      <c r="H78" s="17" t="str">
        <f>HYPERLINK("plots_Diabetes/Gradient Descent_plot_3.png", "Vedi grafico")</f>
        <v>Vedi grafico</v>
      </c>
      <c r="I78" s="17"/>
      <c r="J78" s="17">
        <v>10</v>
      </c>
      <c r="K78" s="17">
        <v>442</v>
      </c>
      <c r="L78" s="17">
        <v>1</v>
      </c>
      <c r="M78" s="17">
        <v>1</v>
      </c>
      <c r="N78" s="17">
        <v>3</v>
      </c>
    </row>
    <row r="79" spans="1:14" x14ac:dyDescent="0.3">
      <c r="A79" s="17">
        <v>3</v>
      </c>
      <c r="B79" s="17" t="s">
        <v>1248</v>
      </c>
      <c r="C79" s="17" t="s">
        <v>1245</v>
      </c>
      <c r="D79" s="17">
        <v>100</v>
      </c>
      <c r="E79" s="17">
        <v>2.190623699971184E-2</v>
      </c>
      <c r="F79" s="17">
        <v>0.5323402185455357</v>
      </c>
      <c r="G79" s="17">
        <v>6.1510589046363571E-8</v>
      </c>
      <c r="H79" s="17" t="str">
        <f>HYPERLINK("plots_Diabetes/Gradient Descent Armijo_plot_3.png", "Vedi grafico")</f>
        <v>Vedi grafico</v>
      </c>
      <c r="I79" s="17"/>
      <c r="J79" s="17">
        <v>10</v>
      </c>
      <c r="K79" s="17">
        <v>442</v>
      </c>
      <c r="L79" s="17">
        <v>1</v>
      </c>
      <c r="M79" s="17">
        <v>1</v>
      </c>
      <c r="N79" s="17">
        <v>3</v>
      </c>
    </row>
    <row r="80" spans="1:14" x14ac:dyDescent="0.3">
      <c r="A80" s="17">
        <v>3</v>
      </c>
      <c r="B80" s="17" t="s">
        <v>1248</v>
      </c>
      <c r="C80" s="17" t="s">
        <v>1246</v>
      </c>
      <c r="D80" s="17">
        <v>99</v>
      </c>
      <c r="E80" s="17">
        <v>1.4112306959996199</v>
      </c>
      <c r="F80" s="17">
        <v>0.5323402185600018</v>
      </c>
      <c r="G80" s="17">
        <v>2.1196362062631349E-6</v>
      </c>
      <c r="H80" s="17" t="str">
        <f>HYPERLINK("plots_Diabetes/Jacobi_plot_3.png", "Vedi grafico")</f>
        <v>Vedi grafico</v>
      </c>
      <c r="I80" s="17"/>
      <c r="J80" s="17">
        <v>10</v>
      </c>
      <c r="K80" s="17">
        <v>442</v>
      </c>
      <c r="L80" s="17">
        <v>4</v>
      </c>
      <c r="M80" s="17">
        <v>6</v>
      </c>
      <c r="N80" s="17">
        <v>3</v>
      </c>
    </row>
    <row r="81" spans="1:14" x14ac:dyDescent="0.3">
      <c r="A81" s="17">
        <v>3</v>
      </c>
      <c r="B81" s="17"/>
      <c r="C81" s="17"/>
      <c r="D81" s="17"/>
      <c r="E81" s="17"/>
      <c r="F81" s="17"/>
      <c r="G81" s="17"/>
      <c r="H81" s="17" t="str">
        <f>HYPERLINK("plots_Diabetes/loss_overlay.png", "Vedi grafico")</f>
        <v>Vedi grafico</v>
      </c>
      <c r="I81" s="17"/>
      <c r="J81" s="17"/>
      <c r="K81" s="17"/>
      <c r="L81" s="17"/>
      <c r="M81" s="17"/>
      <c r="N81" s="17">
        <v>3</v>
      </c>
    </row>
    <row r="82" spans="1:14" x14ac:dyDescent="0.3">
      <c r="A82" s="17">
        <v>3</v>
      </c>
      <c r="B82" s="17" t="s">
        <v>1249</v>
      </c>
      <c r="C82" s="17" t="s">
        <v>1243</v>
      </c>
      <c r="D82" s="17">
        <v>99</v>
      </c>
      <c r="E82" s="17">
        <v>0.36637283300115092</v>
      </c>
      <c r="F82" s="17">
        <v>0.34434747737945481</v>
      </c>
      <c r="G82" s="17">
        <v>2.2740318954806869E-6</v>
      </c>
      <c r="H82" s="17" t="str">
        <f>HYPERLINK("plots_Digits/Gauss-Seidel_plot_3.png", "Vedi grafico")</f>
        <v>Vedi grafico</v>
      </c>
      <c r="I82" s="17"/>
      <c r="J82" s="17">
        <v>64</v>
      </c>
      <c r="K82" s="17">
        <v>1797</v>
      </c>
      <c r="L82" s="17">
        <v>1</v>
      </c>
      <c r="M82" s="17">
        <v>6</v>
      </c>
      <c r="N82" s="17">
        <v>3</v>
      </c>
    </row>
    <row r="83" spans="1:14" x14ac:dyDescent="0.3">
      <c r="A83" s="17">
        <v>3</v>
      </c>
      <c r="B83" s="17" t="s">
        <v>1249</v>
      </c>
      <c r="C83" s="17" t="s">
        <v>1244</v>
      </c>
      <c r="D83" s="17">
        <v>100</v>
      </c>
      <c r="E83" s="17">
        <v>2.142634500160057E-2</v>
      </c>
      <c r="F83" s="17">
        <v>0.34537500106744229</v>
      </c>
      <c r="G83" s="17">
        <v>1.9786438650008439E-2</v>
      </c>
      <c r="H83" s="17" t="str">
        <f>HYPERLINK("plots_Digits/Gradient Descent_plot_3.png", "Vedi grafico")</f>
        <v>Vedi grafico</v>
      </c>
      <c r="I83" s="17"/>
      <c r="J83" s="17">
        <v>64</v>
      </c>
      <c r="K83" s="17">
        <v>1797</v>
      </c>
      <c r="L83" s="17">
        <v>1</v>
      </c>
      <c r="M83" s="17">
        <v>1</v>
      </c>
      <c r="N83" s="17">
        <v>3</v>
      </c>
    </row>
    <row r="84" spans="1:14" x14ac:dyDescent="0.3">
      <c r="A84" s="17">
        <v>3</v>
      </c>
      <c r="B84" s="17" t="s">
        <v>1249</v>
      </c>
      <c r="C84" s="17" t="s">
        <v>1245</v>
      </c>
      <c r="D84" s="17">
        <v>100</v>
      </c>
      <c r="E84" s="17">
        <v>4.8107996999533498E-2</v>
      </c>
      <c r="F84" s="17">
        <v>0.34434747736105209</v>
      </c>
      <c r="G84" s="17">
        <v>1.033194216913189E-7</v>
      </c>
      <c r="H84" s="17" t="str">
        <f>HYPERLINK("plots_Digits/Gradient Descent Armijo_plot_3.png", "Vedi grafico")</f>
        <v>Vedi grafico</v>
      </c>
      <c r="I84" s="17"/>
      <c r="J84" s="17">
        <v>64</v>
      </c>
      <c r="K84" s="17">
        <v>1797</v>
      </c>
      <c r="L84" s="17">
        <v>1</v>
      </c>
      <c r="M84" s="17">
        <v>1</v>
      </c>
      <c r="N84" s="17">
        <v>3</v>
      </c>
    </row>
    <row r="85" spans="1:14" x14ac:dyDescent="0.3">
      <c r="A85" s="17">
        <v>3</v>
      </c>
      <c r="B85" s="17" t="s">
        <v>1249</v>
      </c>
      <c r="C85" s="17" t="s">
        <v>1246</v>
      </c>
      <c r="D85" s="17">
        <v>99</v>
      </c>
      <c r="E85" s="17">
        <v>3.3124083509992488</v>
      </c>
      <c r="F85" s="17">
        <v>0.34434747737884142</v>
      </c>
      <c r="G85" s="17">
        <v>2.077644021323302E-6</v>
      </c>
      <c r="H85" s="17" t="str">
        <f>HYPERLINK("plots_Digits/Jacobi_plot_3.png", "Vedi grafico")</f>
        <v>Vedi grafico</v>
      </c>
      <c r="I85" s="17"/>
      <c r="J85" s="17">
        <v>64</v>
      </c>
      <c r="K85" s="17">
        <v>1797</v>
      </c>
      <c r="L85" s="17">
        <v>4</v>
      </c>
      <c r="M85" s="17">
        <v>6</v>
      </c>
      <c r="N85" s="17">
        <v>3</v>
      </c>
    </row>
    <row r="86" spans="1:14" x14ac:dyDescent="0.3">
      <c r="A86" s="17">
        <v>3</v>
      </c>
      <c r="B86" s="17"/>
      <c r="C86" s="17"/>
      <c r="D86" s="17"/>
      <c r="E86" s="17"/>
      <c r="F86" s="17"/>
      <c r="G86" s="17"/>
      <c r="H86" s="17" t="str">
        <f>HYPERLINK("plots_Digits/loss_overlay.png", "Vedi grafico")</f>
        <v>Vedi grafico</v>
      </c>
      <c r="I86" s="17"/>
      <c r="J86" s="17"/>
      <c r="K86" s="17"/>
      <c r="L86" s="17"/>
      <c r="M86" s="17"/>
      <c r="N86" s="17">
        <v>3</v>
      </c>
    </row>
    <row r="87" spans="1:14" x14ac:dyDescent="0.3">
      <c r="A87" s="17">
        <v>3</v>
      </c>
      <c r="B87" s="17" t="s">
        <v>1250</v>
      </c>
      <c r="C87" s="17" t="s">
        <v>1243</v>
      </c>
      <c r="D87" s="17">
        <v>7</v>
      </c>
      <c r="E87" s="17">
        <v>1.5761055999973909E-2</v>
      </c>
      <c r="F87" s="17">
        <v>0.27704814805132388</v>
      </c>
      <c r="G87" s="17">
        <v>9.1062659785214536E-7</v>
      </c>
      <c r="H87" s="17" t="str">
        <f>HYPERLINK("plots_Iris/Gauss-Seidel_plot_3.png", "Vedi grafico")</f>
        <v>Vedi grafico</v>
      </c>
      <c r="I87" s="17"/>
      <c r="J87" s="17">
        <v>4</v>
      </c>
      <c r="K87" s="17">
        <v>150</v>
      </c>
      <c r="L87" s="17">
        <v>1</v>
      </c>
      <c r="M87" s="17">
        <v>6</v>
      </c>
      <c r="N87" s="17">
        <v>3</v>
      </c>
    </row>
    <row r="88" spans="1:14" x14ac:dyDescent="0.3">
      <c r="A88" s="17">
        <v>3</v>
      </c>
      <c r="B88" s="17" t="s">
        <v>1250</v>
      </c>
      <c r="C88" s="17" t="s">
        <v>1244</v>
      </c>
      <c r="D88" s="17">
        <v>100</v>
      </c>
      <c r="E88" s="17">
        <v>9.829320000790176E-3</v>
      </c>
      <c r="F88" s="17">
        <v>0.27776652481322572</v>
      </c>
      <c r="G88" s="17">
        <v>1.8187512148941268E-2</v>
      </c>
      <c r="H88" s="17" t="str">
        <f>HYPERLINK("plots_Iris/Gradient Descent_plot_3.png", "Vedi grafico")</f>
        <v>Vedi grafico</v>
      </c>
      <c r="I88" s="17"/>
      <c r="J88" s="17">
        <v>4</v>
      </c>
      <c r="K88" s="17">
        <v>150</v>
      </c>
      <c r="L88" s="17">
        <v>1</v>
      </c>
      <c r="M88" s="17">
        <v>1</v>
      </c>
      <c r="N88" s="17">
        <v>3</v>
      </c>
    </row>
    <row r="89" spans="1:14" x14ac:dyDescent="0.3">
      <c r="A89" s="17">
        <v>3</v>
      </c>
      <c r="B89" s="17" t="s">
        <v>1250</v>
      </c>
      <c r="C89" s="17" t="s">
        <v>1245</v>
      </c>
      <c r="D89" s="17">
        <v>100</v>
      </c>
      <c r="E89" s="17">
        <v>1.6281824000543569E-2</v>
      </c>
      <c r="F89" s="17">
        <v>0.2770481480474194</v>
      </c>
      <c r="G89" s="17">
        <v>1.0008744736275179E-7</v>
      </c>
      <c r="H89" s="17" t="str">
        <f>HYPERLINK("plots_Iris/Gradient Descent Armijo_plot_3.png", "Vedi grafico")</f>
        <v>Vedi grafico</v>
      </c>
      <c r="I89" s="17"/>
      <c r="J89" s="17">
        <v>4</v>
      </c>
      <c r="K89" s="17">
        <v>150</v>
      </c>
      <c r="L89" s="17">
        <v>1</v>
      </c>
      <c r="M89" s="17">
        <v>1</v>
      </c>
      <c r="N89" s="17">
        <v>3</v>
      </c>
    </row>
    <row r="90" spans="1:14" x14ac:dyDescent="0.3">
      <c r="A90" s="17">
        <v>3</v>
      </c>
      <c r="B90" s="17" t="s">
        <v>1250</v>
      </c>
      <c r="C90" s="17" t="s">
        <v>1246</v>
      </c>
      <c r="D90" s="17">
        <v>7</v>
      </c>
      <c r="E90" s="17">
        <v>0.1181568600004539</v>
      </c>
      <c r="F90" s="17">
        <v>0.27704814805132388</v>
      </c>
      <c r="G90" s="17">
        <v>9.1062659785214536E-7</v>
      </c>
      <c r="H90" s="17" t="str">
        <f>HYPERLINK("plots_Iris/Jacobi_plot_3.png", "Vedi grafico")</f>
        <v>Vedi grafico</v>
      </c>
      <c r="I90" s="17"/>
      <c r="J90" s="17">
        <v>4</v>
      </c>
      <c r="K90" s="17">
        <v>150</v>
      </c>
      <c r="L90" s="17">
        <v>4</v>
      </c>
      <c r="M90" s="17">
        <v>6</v>
      </c>
      <c r="N90" s="17">
        <v>3</v>
      </c>
    </row>
    <row r="91" spans="1:14" x14ac:dyDescent="0.3">
      <c r="A91" s="17">
        <v>3</v>
      </c>
      <c r="B91" s="17"/>
      <c r="C91" s="17"/>
      <c r="D91" s="17"/>
      <c r="E91" s="17"/>
      <c r="F91" s="17"/>
      <c r="G91" s="17"/>
      <c r="H91" s="17" t="str">
        <f>HYPERLINK("plots_Iris/loss_overlay.png", "Vedi grafico")</f>
        <v>Vedi grafico</v>
      </c>
      <c r="I91" s="17"/>
      <c r="J91" s="17"/>
      <c r="K91" s="17"/>
      <c r="L91" s="17"/>
      <c r="M91" s="17"/>
      <c r="N91" s="17">
        <v>3</v>
      </c>
    </row>
    <row r="92" spans="1:14" x14ac:dyDescent="0.3">
      <c r="A92" s="17">
        <v>3</v>
      </c>
      <c r="B92" s="17" t="s">
        <v>1251</v>
      </c>
      <c r="C92" s="17" t="s">
        <v>1243</v>
      </c>
      <c r="D92" s="17">
        <v>99</v>
      </c>
      <c r="E92" s="17">
        <v>0.18988490300034749</v>
      </c>
      <c r="F92" s="17">
        <v>0.28687255999176298</v>
      </c>
      <c r="G92" s="17">
        <v>2.074861516348615E-6</v>
      </c>
      <c r="H92" s="17" t="str">
        <f>HYPERLINK("plots_Wine/Gauss-Seidel_plot_3.png", "Vedi grafico")</f>
        <v>Vedi grafico</v>
      </c>
      <c r="I92" s="17"/>
      <c r="J92" s="17">
        <v>13</v>
      </c>
      <c r="K92" s="17">
        <v>178</v>
      </c>
      <c r="L92" s="17">
        <v>1</v>
      </c>
      <c r="M92" s="17">
        <v>6</v>
      </c>
      <c r="N92" s="17">
        <v>3</v>
      </c>
    </row>
    <row r="93" spans="1:14" x14ac:dyDescent="0.3">
      <c r="A93" s="14">
        <v>3</v>
      </c>
      <c r="B93" s="14" t="s">
        <v>1251</v>
      </c>
      <c r="C93" s="14" t="s">
        <v>1244</v>
      </c>
      <c r="D93" s="14">
        <v>100</v>
      </c>
      <c r="E93" s="15">
        <v>9.0550330005498836E-3</v>
      </c>
      <c r="F93" s="14">
        <v>0.288147784334295</v>
      </c>
      <c r="G93" s="14">
        <v>2.226338153822115E-2</v>
      </c>
      <c r="H93" s="14" t="str">
        <f>HYPERLINK("plots_Wine/Gradient Descent_plot_3.png", "Vedi grafico")</f>
        <v>Vedi grafico</v>
      </c>
      <c r="I93" s="14"/>
      <c r="J93" s="14">
        <v>13</v>
      </c>
      <c r="K93" s="14">
        <v>178</v>
      </c>
      <c r="L93" s="14">
        <v>1</v>
      </c>
      <c r="M93" s="14">
        <v>1</v>
      </c>
      <c r="N93" s="14">
        <v>3</v>
      </c>
    </row>
    <row r="94" spans="1:14" x14ac:dyDescent="0.3">
      <c r="A94" s="17">
        <v>3</v>
      </c>
      <c r="B94" s="17" t="s">
        <v>1251</v>
      </c>
      <c r="C94" s="17" t="s">
        <v>1245</v>
      </c>
      <c r="D94" s="17">
        <v>100</v>
      </c>
      <c r="E94" s="17">
        <v>3.5503170000083628E-2</v>
      </c>
      <c r="F94" s="17">
        <v>0.28687255997585598</v>
      </c>
      <c r="G94" s="17">
        <v>5.1639985112820927E-8</v>
      </c>
      <c r="H94" s="17" t="str">
        <f>HYPERLINK("plots_Wine/Gradient Descent Armijo_plot_3.png", "Vedi grafico")</f>
        <v>Vedi grafico</v>
      </c>
      <c r="I94" s="17"/>
      <c r="J94" s="17">
        <v>13</v>
      </c>
      <c r="K94" s="17">
        <v>178</v>
      </c>
      <c r="L94" s="17">
        <v>1</v>
      </c>
      <c r="M94" s="17">
        <v>1</v>
      </c>
      <c r="N94" s="17">
        <v>3</v>
      </c>
    </row>
    <row r="95" spans="1:14" x14ac:dyDescent="0.3">
      <c r="A95" s="17">
        <v>3</v>
      </c>
      <c r="B95" s="17" t="s">
        <v>1251</v>
      </c>
      <c r="C95" s="17" t="s">
        <v>1246</v>
      </c>
      <c r="D95" s="17">
        <v>99</v>
      </c>
      <c r="E95" s="17">
        <v>1.2524402710005229</v>
      </c>
      <c r="F95" s="17">
        <v>0.28687255999350941</v>
      </c>
      <c r="G95" s="17">
        <v>2.233644981611103E-6</v>
      </c>
      <c r="H95" s="17" t="str">
        <f>HYPERLINK("plots_Wine/Jacobi_plot_3.png", "Vedi grafico")</f>
        <v>Vedi grafico</v>
      </c>
      <c r="I95" s="17"/>
      <c r="J95" s="17">
        <v>13</v>
      </c>
      <c r="K95" s="17">
        <v>178</v>
      </c>
      <c r="L95" s="17">
        <v>4</v>
      </c>
      <c r="M95" s="17">
        <v>6</v>
      </c>
      <c r="N95" s="17">
        <v>3</v>
      </c>
    </row>
    <row r="96" spans="1:14" x14ac:dyDescent="0.3">
      <c r="A96" s="17">
        <v>3</v>
      </c>
      <c r="B96" s="17"/>
      <c r="C96" s="17"/>
      <c r="D96" s="17"/>
      <c r="E96" s="17"/>
      <c r="F96" s="17"/>
      <c r="G96" s="17"/>
      <c r="H96" s="17" t="str">
        <f>HYPERLINK("plots_Wine/loss_overlay.png", "Vedi grafico")</f>
        <v>Vedi grafico</v>
      </c>
      <c r="I96" s="17"/>
      <c r="J96" s="17"/>
      <c r="K96" s="17"/>
      <c r="L96" s="17"/>
      <c r="M96" s="17"/>
      <c r="N96" s="17">
        <v>3</v>
      </c>
    </row>
    <row r="97" spans="1:14" x14ac:dyDescent="0.3">
      <c r="A97" s="17">
        <v>3</v>
      </c>
      <c r="B97" s="17" t="s">
        <v>1252</v>
      </c>
      <c r="C97" s="17" t="s">
        <v>1243</v>
      </c>
      <c r="D97" s="17">
        <v>99</v>
      </c>
      <c r="E97" s="17">
        <v>5.39169988499998</v>
      </c>
      <c r="F97" s="17">
        <v>0.68096181066903294</v>
      </c>
      <c r="G97" s="17">
        <v>2.287670034737886E-6</v>
      </c>
      <c r="H97" s="17" t="str">
        <f>HYPERLINK("plots_Fetch/Gauss-Seidel_plot_3.png", "Vedi grafico")</f>
        <v>Vedi grafico</v>
      </c>
      <c r="I97" s="17"/>
      <c r="J97" s="17">
        <v>1000</v>
      </c>
      <c r="K97" s="17">
        <v>1772</v>
      </c>
      <c r="L97" s="17">
        <v>1</v>
      </c>
      <c r="M97" s="17">
        <v>6</v>
      </c>
      <c r="N97" s="17">
        <v>3</v>
      </c>
    </row>
    <row r="98" spans="1:14" x14ac:dyDescent="0.3">
      <c r="A98" s="17">
        <v>3</v>
      </c>
      <c r="B98" s="17" t="s">
        <v>1252</v>
      </c>
      <c r="C98" s="17" t="s">
        <v>1244</v>
      </c>
      <c r="D98" s="17">
        <v>100</v>
      </c>
      <c r="E98" s="17">
        <v>0.81369139500020538</v>
      </c>
      <c r="F98" s="17">
        <v>0.68246591166439041</v>
      </c>
      <c r="G98" s="17">
        <v>1.7870159283770851E-2</v>
      </c>
      <c r="H98" s="17" t="str">
        <f>HYPERLINK("plots_Fetch/Gradient Descent_plot_3.png", "Vedi grafico")</f>
        <v>Vedi grafico</v>
      </c>
      <c r="I98" s="17"/>
      <c r="J98" s="17">
        <v>1000</v>
      </c>
      <c r="K98" s="17">
        <v>1772</v>
      </c>
      <c r="L98" s="17">
        <v>1</v>
      </c>
      <c r="M98" s="17">
        <v>1</v>
      </c>
      <c r="N98" s="17">
        <v>3</v>
      </c>
    </row>
    <row r="99" spans="1:14" x14ac:dyDescent="0.3">
      <c r="A99" s="17">
        <v>3</v>
      </c>
      <c r="B99" s="17" t="s">
        <v>1252</v>
      </c>
      <c r="C99" s="17" t="s">
        <v>1245</v>
      </c>
      <c r="D99" s="17">
        <v>100</v>
      </c>
      <c r="E99" s="17">
        <v>1.304953102000582</v>
      </c>
      <c r="F99" s="17">
        <v>0.68096181064839212</v>
      </c>
      <c r="G99" s="17">
        <v>9.8127357946551937E-7</v>
      </c>
      <c r="H99" s="17" t="str">
        <f>HYPERLINK("plots_Fetch/Gradient Descent Armijo_plot_3.png", "Vedi grafico")</f>
        <v>Vedi grafico</v>
      </c>
      <c r="I99" s="17"/>
      <c r="J99" s="17">
        <v>1000</v>
      </c>
      <c r="K99" s="17">
        <v>1772</v>
      </c>
      <c r="L99" s="17">
        <v>1</v>
      </c>
      <c r="M99" s="17">
        <v>1</v>
      </c>
      <c r="N99" s="17">
        <v>3</v>
      </c>
    </row>
    <row r="100" spans="1:14" x14ac:dyDescent="0.3">
      <c r="A100" s="17">
        <v>3</v>
      </c>
      <c r="B100" s="17" t="s">
        <v>1252</v>
      </c>
      <c r="C100" s="17" t="s">
        <v>1246</v>
      </c>
      <c r="D100" s="17">
        <v>99</v>
      </c>
      <c r="E100" s="17">
        <v>24.4348746529995</v>
      </c>
      <c r="F100" s="17">
        <v>0.68096181066979611</v>
      </c>
      <c r="G100" s="17">
        <v>2.3213945399127628E-6</v>
      </c>
      <c r="H100" s="17" t="str">
        <f>HYPERLINK("plots_Fetch/Jacobi_plot_3.png", "Vedi grafico")</f>
        <v>Vedi grafico</v>
      </c>
      <c r="I100" s="17"/>
      <c r="J100" s="17">
        <v>1000</v>
      </c>
      <c r="K100" s="17">
        <v>1772</v>
      </c>
      <c r="L100" s="17">
        <v>4</v>
      </c>
      <c r="M100" s="17">
        <v>6</v>
      </c>
      <c r="N100" s="17">
        <v>3</v>
      </c>
    </row>
    <row r="101" spans="1:14" x14ac:dyDescent="0.3">
      <c r="A101" s="17">
        <v>3</v>
      </c>
      <c r="B101" s="17"/>
      <c r="C101" s="17"/>
      <c r="D101" s="17"/>
      <c r="E101" s="17"/>
      <c r="F101" s="17"/>
      <c r="G101" s="17"/>
      <c r="H101" s="17" t="str">
        <f>HYPERLINK("plots_Fetch/loss_overlay.png", "Vedi grafico")</f>
        <v>Vedi grafico</v>
      </c>
      <c r="I101" s="17"/>
      <c r="J101" s="17"/>
      <c r="K101" s="17"/>
      <c r="L101" s="17"/>
      <c r="M101" s="17"/>
      <c r="N101" s="17">
        <v>3</v>
      </c>
    </row>
    <row r="102" spans="1:14" x14ac:dyDescent="0.3">
      <c r="A102" s="17">
        <v>3</v>
      </c>
      <c r="B102" s="17" t="s">
        <v>1253</v>
      </c>
      <c r="C102" s="17" t="s">
        <v>1243</v>
      </c>
      <c r="D102" s="17">
        <v>99</v>
      </c>
      <c r="E102" s="17">
        <v>0.20436185899961859</v>
      </c>
      <c r="F102" s="17">
        <v>0.51015408034888909</v>
      </c>
      <c r="G102" s="17">
        <v>2.1360375435192421E-6</v>
      </c>
      <c r="H102" s="17" t="str">
        <f>HYPERLINK("plots_Adult/Gauss-Seidel_plot_3.png", "Vedi grafico")</f>
        <v>Vedi grafico</v>
      </c>
      <c r="I102" s="17"/>
      <c r="J102" s="17">
        <v>108</v>
      </c>
      <c r="K102" s="17">
        <v>500</v>
      </c>
      <c r="L102" s="17">
        <v>1</v>
      </c>
      <c r="M102" s="17">
        <v>6</v>
      </c>
      <c r="N102" s="17">
        <v>3</v>
      </c>
    </row>
    <row r="103" spans="1:14" x14ac:dyDescent="0.3">
      <c r="A103" s="17">
        <v>3</v>
      </c>
      <c r="B103" s="17" t="s">
        <v>1253</v>
      </c>
      <c r="C103" s="17" t="s">
        <v>1244</v>
      </c>
      <c r="D103" s="17">
        <v>100</v>
      </c>
      <c r="E103" s="17">
        <v>1.3795744000162809E-2</v>
      </c>
      <c r="F103" s="17">
        <v>0.5121771278438636</v>
      </c>
      <c r="G103" s="17">
        <v>2.422305615100654E-2</v>
      </c>
      <c r="H103" s="17" t="str">
        <f>HYPERLINK("plots_Adult/Gradient Descent_plot_3.png", "Vedi grafico")</f>
        <v>Vedi grafico</v>
      </c>
      <c r="I103" s="17"/>
      <c r="J103" s="17">
        <v>108</v>
      </c>
      <c r="K103" s="17">
        <v>500</v>
      </c>
      <c r="L103" s="17">
        <v>1</v>
      </c>
      <c r="M103" s="17">
        <v>1</v>
      </c>
      <c r="N103" s="17">
        <v>3</v>
      </c>
    </row>
    <row r="104" spans="1:14" x14ac:dyDescent="0.3">
      <c r="A104" s="17">
        <v>3</v>
      </c>
      <c r="B104" s="17" t="s">
        <v>1253</v>
      </c>
      <c r="C104" s="17" t="s">
        <v>1245</v>
      </c>
      <c r="D104" s="17">
        <v>100</v>
      </c>
      <c r="E104" s="17">
        <v>2.8813083001296039E-2</v>
      </c>
      <c r="F104" s="17">
        <v>0.51015408033466247</v>
      </c>
      <c r="G104" s="17">
        <v>4.9174024418088745E-7</v>
      </c>
      <c r="H104" s="17" t="str">
        <f>HYPERLINK("plots_Adult/Gradient Descent Armijo_plot_3.png", "Vedi grafico")</f>
        <v>Vedi grafico</v>
      </c>
      <c r="I104" s="17"/>
      <c r="J104" s="17">
        <v>108</v>
      </c>
      <c r="K104" s="17">
        <v>500</v>
      </c>
      <c r="L104" s="17">
        <v>1</v>
      </c>
      <c r="M104" s="17">
        <v>1</v>
      </c>
      <c r="N104" s="17">
        <v>3</v>
      </c>
    </row>
    <row r="105" spans="1:14" x14ac:dyDescent="0.3">
      <c r="A105" s="17">
        <v>3</v>
      </c>
      <c r="B105" s="17" t="s">
        <v>1253</v>
      </c>
      <c r="C105" s="17" t="s">
        <v>1246</v>
      </c>
      <c r="D105" s="17">
        <v>99</v>
      </c>
      <c r="E105" s="17">
        <v>2.0673125020002772</v>
      </c>
      <c r="F105" s="17">
        <v>0.51015408035557497</v>
      </c>
      <c r="G105" s="17">
        <v>2.1624856769397938E-6</v>
      </c>
      <c r="H105" s="17" t="str">
        <f>HYPERLINK("plots_Adult/Jacobi_plot_3.png", "Vedi grafico")</f>
        <v>Vedi grafico</v>
      </c>
      <c r="I105" s="17"/>
      <c r="J105" s="17">
        <v>108</v>
      </c>
      <c r="K105" s="17">
        <v>500</v>
      </c>
      <c r="L105" s="17">
        <v>4</v>
      </c>
      <c r="M105" s="17">
        <v>6</v>
      </c>
      <c r="N105" s="17">
        <v>3</v>
      </c>
    </row>
    <row r="106" spans="1:14" x14ac:dyDescent="0.3">
      <c r="A106" s="17">
        <v>3</v>
      </c>
      <c r="B106" s="17"/>
      <c r="C106" s="17"/>
      <c r="D106" s="17"/>
      <c r="E106" s="17"/>
      <c r="F106" s="17"/>
      <c r="G106" s="17"/>
      <c r="H106" s="17" t="str">
        <f>HYPERLINK("plots_Adult/loss_overlay.png", "Vedi grafico")</f>
        <v>Vedi grafico</v>
      </c>
      <c r="I106" s="17"/>
      <c r="J106" s="17"/>
      <c r="K106" s="17"/>
      <c r="L106" s="17"/>
      <c r="M106" s="17"/>
      <c r="N106" s="17">
        <v>3</v>
      </c>
    </row>
    <row r="107" spans="1:14" x14ac:dyDescent="0.3">
      <c r="A107" s="18">
        <v>4</v>
      </c>
      <c r="B107" s="18" t="s">
        <v>1242</v>
      </c>
      <c r="C107" s="18" t="s">
        <v>1243</v>
      </c>
      <c r="D107" s="18">
        <v>99</v>
      </c>
      <c r="E107" s="18">
        <v>0.1812965090011858</v>
      </c>
      <c r="F107" s="18">
        <v>0.2098724307665488</v>
      </c>
      <c r="G107" s="18">
        <v>1.8928502210617229E-6</v>
      </c>
      <c r="H107" s="18" t="str">
        <f>HYPERLINK("plots_Breast_Cancer/Gauss-Seidel_plot_4.png", "Vedi grafico")</f>
        <v>Vedi grafico</v>
      </c>
      <c r="I107" s="18"/>
      <c r="J107" s="18">
        <v>30</v>
      </c>
      <c r="K107" s="18">
        <v>569</v>
      </c>
      <c r="L107" s="18">
        <v>1</v>
      </c>
      <c r="M107" s="18">
        <v>5</v>
      </c>
      <c r="N107" s="18">
        <v>4</v>
      </c>
    </row>
    <row r="108" spans="1:14" x14ac:dyDescent="0.3">
      <c r="A108" s="18">
        <v>4</v>
      </c>
      <c r="B108" s="18" t="s">
        <v>1242</v>
      </c>
      <c r="C108" s="18" t="s">
        <v>1244</v>
      </c>
      <c r="D108" s="18">
        <v>100</v>
      </c>
      <c r="E108" s="18">
        <v>1.1895845000253759E-2</v>
      </c>
      <c r="F108" s="18">
        <v>0.21024932776281</v>
      </c>
      <c r="G108" s="18">
        <v>1.207764533447778E-2</v>
      </c>
      <c r="H108" s="18" t="str">
        <f>HYPERLINK("plots_Breast_Cancer/Gradient Descent_plot_4.png", "Vedi grafico")</f>
        <v>Vedi grafico</v>
      </c>
      <c r="I108" s="18"/>
      <c r="J108" s="18">
        <v>30</v>
      </c>
      <c r="K108" s="18">
        <v>569</v>
      </c>
      <c r="L108" s="18">
        <v>1</v>
      </c>
      <c r="M108" s="18">
        <v>1</v>
      </c>
      <c r="N108" s="18">
        <v>4</v>
      </c>
    </row>
    <row r="109" spans="1:14" x14ac:dyDescent="0.3">
      <c r="A109" s="14">
        <v>4</v>
      </c>
      <c r="B109" s="14" t="s">
        <v>1242</v>
      </c>
      <c r="C109" s="14" t="s">
        <v>1245</v>
      </c>
      <c r="D109" s="14">
        <v>100</v>
      </c>
      <c r="E109" s="14">
        <v>3.2204051000007887E-2</v>
      </c>
      <c r="F109" s="15">
        <v>0.2098724307504316</v>
      </c>
      <c r="G109" s="14">
        <v>1.4925095899640461E-7</v>
      </c>
      <c r="H109" s="14" t="str">
        <f>HYPERLINK("plots_Breast_Cancer/Gradient Descent Armijo_plot_4.png", "Vedi grafico")</f>
        <v>Vedi grafico</v>
      </c>
      <c r="I109" s="14"/>
      <c r="J109" s="14">
        <v>30</v>
      </c>
      <c r="K109" s="14">
        <v>569</v>
      </c>
      <c r="L109" s="14">
        <v>1</v>
      </c>
      <c r="M109" s="14">
        <v>1</v>
      </c>
      <c r="N109" s="14">
        <v>4</v>
      </c>
    </row>
    <row r="110" spans="1:14" x14ac:dyDescent="0.3">
      <c r="A110" s="18">
        <v>4</v>
      </c>
      <c r="B110" s="18" t="s">
        <v>1242</v>
      </c>
      <c r="C110" s="18" t="s">
        <v>1246</v>
      </c>
      <c r="D110" s="18">
        <v>99</v>
      </c>
      <c r="E110" s="18">
        <v>1.9473040289994969</v>
      </c>
      <c r="F110" s="18">
        <v>0.2098724307701699</v>
      </c>
      <c r="G110" s="18">
        <v>2.0611772674765781E-6</v>
      </c>
      <c r="H110" s="18" t="str">
        <f>HYPERLINK("plots_Breast_Cancer/Jacobi_plot_4.png", "Vedi grafico")</f>
        <v>Vedi grafico</v>
      </c>
      <c r="I110" s="18"/>
      <c r="J110" s="18">
        <v>30</v>
      </c>
      <c r="K110" s="18">
        <v>569</v>
      </c>
      <c r="L110" s="18">
        <v>4</v>
      </c>
      <c r="M110" s="18">
        <v>5</v>
      </c>
      <c r="N110" s="18">
        <v>4</v>
      </c>
    </row>
    <row r="111" spans="1:14" x14ac:dyDescent="0.3">
      <c r="A111" s="18">
        <v>4</v>
      </c>
      <c r="B111" s="18"/>
      <c r="C111" s="18"/>
      <c r="D111" s="18"/>
      <c r="E111" s="18"/>
      <c r="F111" s="18"/>
      <c r="G111" s="18"/>
      <c r="H111" s="18" t="str">
        <f>HYPERLINK("plots_Breast_Cancer/loss_overlay.png", "Vedi grafico")</f>
        <v>Vedi grafico</v>
      </c>
      <c r="I111" s="18"/>
      <c r="J111" s="18"/>
      <c r="K111" s="18"/>
      <c r="L111" s="18"/>
      <c r="M111" s="18"/>
      <c r="N111" s="18">
        <v>4</v>
      </c>
    </row>
    <row r="112" spans="1:14" x14ac:dyDescent="0.3">
      <c r="A112" s="18">
        <v>4</v>
      </c>
      <c r="B112" s="18" t="s">
        <v>1248</v>
      </c>
      <c r="C112" s="18" t="s">
        <v>1243</v>
      </c>
      <c r="D112" s="18">
        <v>99</v>
      </c>
      <c r="E112" s="18">
        <v>0.14230740400125799</v>
      </c>
      <c r="F112" s="18">
        <v>0.53234021855789915</v>
      </c>
      <c r="G112" s="18">
        <v>1.863528377957195E-6</v>
      </c>
      <c r="H112" s="18" t="str">
        <f>HYPERLINK("plots_Diabetes/Gauss-Seidel_plot_4.png", "Vedi grafico")</f>
        <v>Vedi grafico</v>
      </c>
      <c r="I112" s="18"/>
      <c r="J112" s="18">
        <v>10</v>
      </c>
      <c r="K112" s="18">
        <v>442</v>
      </c>
      <c r="L112" s="18">
        <v>1</v>
      </c>
      <c r="M112" s="18">
        <v>5</v>
      </c>
      <c r="N112" s="18">
        <v>4</v>
      </c>
    </row>
    <row r="113" spans="1:14" x14ac:dyDescent="0.3">
      <c r="A113" s="18">
        <v>4</v>
      </c>
      <c r="B113" s="18" t="s">
        <v>1248</v>
      </c>
      <c r="C113" s="18" t="s">
        <v>1244</v>
      </c>
      <c r="D113" s="18">
        <v>100</v>
      </c>
      <c r="E113" s="18">
        <v>1.2555208000776469E-2</v>
      </c>
      <c r="F113" s="18">
        <v>0.53263822042975961</v>
      </c>
      <c r="G113" s="18">
        <v>1.2182936658034649E-2</v>
      </c>
      <c r="H113" s="18" t="str">
        <f>HYPERLINK("plots_Diabetes/Gradient Descent_plot_4.png", "Vedi grafico")</f>
        <v>Vedi grafico</v>
      </c>
      <c r="I113" s="18"/>
      <c r="J113" s="18">
        <v>10</v>
      </c>
      <c r="K113" s="18">
        <v>442</v>
      </c>
      <c r="L113" s="18">
        <v>1</v>
      </c>
      <c r="M113" s="18">
        <v>1</v>
      </c>
      <c r="N113" s="18">
        <v>4</v>
      </c>
    </row>
    <row r="114" spans="1:14" x14ac:dyDescent="0.3">
      <c r="A114" s="18">
        <v>4</v>
      </c>
      <c r="B114" s="18" t="s">
        <v>1248</v>
      </c>
      <c r="C114" s="18" t="s">
        <v>1245</v>
      </c>
      <c r="D114" s="18">
        <v>100</v>
      </c>
      <c r="E114" s="18">
        <v>2.4184654999771741E-2</v>
      </c>
      <c r="F114" s="18">
        <v>0.5323402185455357</v>
      </c>
      <c r="G114" s="18">
        <v>6.1510589046363571E-8</v>
      </c>
      <c r="H114" s="18" t="str">
        <f>HYPERLINK("plots_Diabetes/Gradient Descent Armijo_plot_4.png", "Vedi grafico")</f>
        <v>Vedi grafico</v>
      </c>
      <c r="I114" s="18"/>
      <c r="J114" s="18">
        <v>10</v>
      </c>
      <c r="K114" s="18">
        <v>442</v>
      </c>
      <c r="L114" s="18">
        <v>1</v>
      </c>
      <c r="M114" s="18">
        <v>1</v>
      </c>
      <c r="N114" s="18">
        <v>4</v>
      </c>
    </row>
    <row r="115" spans="1:14" x14ac:dyDescent="0.3">
      <c r="A115" s="18">
        <v>4</v>
      </c>
      <c r="B115" s="18" t="s">
        <v>1248</v>
      </c>
      <c r="C115" s="18" t="s">
        <v>1246</v>
      </c>
      <c r="D115" s="18">
        <v>99</v>
      </c>
      <c r="E115" s="18">
        <v>1.29834379300155</v>
      </c>
      <c r="F115" s="18">
        <v>0.53234021855640556</v>
      </c>
      <c r="G115" s="18">
        <v>1.89881279857653E-6</v>
      </c>
      <c r="H115" s="18" t="str">
        <f>HYPERLINK("plots_Diabetes/Jacobi_plot_4.png", "Vedi grafico")</f>
        <v>Vedi grafico</v>
      </c>
      <c r="I115" s="18"/>
      <c r="J115" s="18">
        <v>10</v>
      </c>
      <c r="K115" s="18">
        <v>442</v>
      </c>
      <c r="L115" s="18">
        <v>4</v>
      </c>
      <c r="M115" s="18">
        <v>5</v>
      </c>
      <c r="N115" s="18">
        <v>4</v>
      </c>
    </row>
    <row r="116" spans="1:14" x14ac:dyDescent="0.3">
      <c r="A116" s="18">
        <v>4</v>
      </c>
      <c r="B116" s="18"/>
      <c r="C116" s="18"/>
      <c r="D116" s="18"/>
      <c r="E116" s="18"/>
      <c r="F116" s="18"/>
      <c r="G116" s="18"/>
      <c r="H116" s="18" t="str">
        <f>HYPERLINK("plots_Diabetes/loss_overlay.png", "Vedi grafico")</f>
        <v>Vedi grafico</v>
      </c>
      <c r="I116" s="18"/>
      <c r="J116" s="18"/>
      <c r="K116" s="18"/>
      <c r="L116" s="18"/>
      <c r="M116" s="18"/>
      <c r="N116" s="18">
        <v>4</v>
      </c>
    </row>
    <row r="117" spans="1:14" x14ac:dyDescent="0.3">
      <c r="A117" s="18">
        <v>4</v>
      </c>
      <c r="B117" s="18" t="s">
        <v>1249</v>
      </c>
      <c r="C117" s="18" t="s">
        <v>1243</v>
      </c>
      <c r="D117" s="18">
        <v>99</v>
      </c>
      <c r="E117" s="18">
        <v>0.30480820099910488</v>
      </c>
      <c r="F117" s="18">
        <v>0.34434747737533378</v>
      </c>
      <c r="G117" s="18">
        <v>1.9138361269801621E-6</v>
      </c>
      <c r="H117" s="18" t="str">
        <f>HYPERLINK("plots_Digits/Gauss-Seidel_plot_4.png", "Vedi grafico")</f>
        <v>Vedi grafico</v>
      </c>
      <c r="I117" s="18"/>
      <c r="J117" s="18">
        <v>64</v>
      </c>
      <c r="K117" s="18">
        <v>1797</v>
      </c>
      <c r="L117" s="18">
        <v>1</v>
      </c>
      <c r="M117" s="18">
        <v>5</v>
      </c>
      <c r="N117" s="18">
        <v>4</v>
      </c>
    </row>
    <row r="118" spans="1:14" x14ac:dyDescent="0.3">
      <c r="A118" s="18">
        <v>4</v>
      </c>
      <c r="B118" s="18" t="s">
        <v>1249</v>
      </c>
      <c r="C118" s="18" t="s">
        <v>1244</v>
      </c>
      <c r="D118" s="18">
        <v>100</v>
      </c>
      <c r="E118" s="18">
        <v>2.514716000041517E-2</v>
      </c>
      <c r="F118" s="18">
        <v>0.34537500106744229</v>
      </c>
      <c r="G118" s="18">
        <v>1.9786438650008439E-2</v>
      </c>
      <c r="H118" s="18" t="str">
        <f>HYPERLINK("plots_Digits/Gradient Descent_plot_4.png", "Vedi grafico")</f>
        <v>Vedi grafico</v>
      </c>
      <c r="I118" s="18"/>
      <c r="J118" s="18">
        <v>64</v>
      </c>
      <c r="K118" s="18">
        <v>1797</v>
      </c>
      <c r="L118" s="18">
        <v>1</v>
      </c>
      <c r="M118" s="18">
        <v>1</v>
      </c>
      <c r="N118" s="18">
        <v>4</v>
      </c>
    </row>
    <row r="119" spans="1:14" x14ac:dyDescent="0.3">
      <c r="A119" s="18">
        <v>4</v>
      </c>
      <c r="B119" s="18" t="s">
        <v>1249</v>
      </c>
      <c r="C119" s="18" t="s">
        <v>1245</v>
      </c>
      <c r="D119" s="18">
        <v>100</v>
      </c>
      <c r="E119" s="18">
        <v>5.1953996000520419E-2</v>
      </c>
      <c r="F119" s="18">
        <v>0.34434747736105209</v>
      </c>
      <c r="G119" s="18">
        <v>1.033194216913189E-7</v>
      </c>
      <c r="H119" s="18" t="str">
        <f>HYPERLINK("plots_Digits/Gradient Descent Armijo_plot_4.png", "Vedi grafico")</f>
        <v>Vedi grafico</v>
      </c>
      <c r="I119" s="18"/>
      <c r="J119" s="18">
        <v>64</v>
      </c>
      <c r="K119" s="18">
        <v>1797</v>
      </c>
      <c r="L119" s="18">
        <v>1</v>
      </c>
      <c r="M119" s="18">
        <v>1</v>
      </c>
      <c r="N119" s="18">
        <v>4</v>
      </c>
    </row>
    <row r="120" spans="1:14" x14ac:dyDescent="0.3">
      <c r="A120" s="18">
        <v>4</v>
      </c>
      <c r="B120" s="18" t="s">
        <v>1249</v>
      </c>
      <c r="C120" s="18" t="s">
        <v>1246</v>
      </c>
      <c r="D120" s="18">
        <v>99</v>
      </c>
      <c r="E120" s="18">
        <v>2.623816448000071</v>
      </c>
      <c r="F120" s="18">
        <v>0.34434747737802301</v>
      </c>
      <c r="G120" s="18">
        <v>2.069000614577601E-6</v>
      </c>
      <c r="H120" s="18" t="str">
        <f>HYPERLINK("plots_Digits/Jacobi_plot_4.png", "Vedi grafico")</f>
        <v>Vedi grafico</v>
      </c>
      <c r="I120" s="18"/>
      <c r="J120" s="18">
        <v>64</v>
      </c>
      <c r="K120" s="18">
        <v>1797</v>
      </c>
      <c r="L120" s="18">
        <v>4</v>
      </c>
      <c r="M120" s="18">
        <v>5</v>
      </c>
      <c r="N120" s="18">
        <v>4</v>
      </c>
    </row>
    <row r="121" spans="1:14" x14ac:dyDescent="0.3">
      <c r="A121" s="18">
        <v>4</v>
      </c>
      <c r="B121" s="18"/>
      <c r="C121" s="18"/>
      <c r="D121" s="18"/>
      <c r="E121" s="18"/>
      <c r="F121" s="18"/>
      <c r="G121" s="18"/>
      <c r="H121" s="18" t="str">
        <f>HYPERLINK("plots_Digits/loss_overlay.png", "Vedi grafico")</f>
        <v>Vedi grafico</v>
      </c>
      <c r="I121" s="18"/>
      <c r="J121" s="18"/>
      <c r="K121" s="18"/>
      <c r="L121" s="18"/>
      <c r="M121" s="18"/>
      <c r="N121" s="18">
        <v>4</v>
      </c>
    </row>
    <row r="122" spans="1:14" x14ac:dyDescent="0.3">
      <c r="A122" s="18">
        <v>4</v>
      </c>
      <c r="B122" s="18" t="s">
        <v>1250</v>
      </c>
      <c r="C122" s="18" t="s">
        <v>1243</v>
      </c>
      <c r="D122" s="18">
        <v>7</v>
      </c>
      <c r="E122" s="18">
        <v>1.9511550000970601E-2</v>
      </c>
      <c r="F122" s="18">
        <v>0.27704814805132388</v>
      </c>
      <c r="G122" s="18">
        <v>9.1062659785214536E-7</v>
      </c>
      <c r="H122" s="18" t="str">
        <f>HYPERLINK("plots_Iris/Gauss-Seidel_plot_4.png", "Vedi grafico")</f>
        <v>Vedi grafico</v>
      </c>
      <c r="I122" s="18"/>
      <c r="J122" s="18">
        <v>4</v>
      </c>
      <c r="K122" s="18">
        <v>150</v>
      </c>
      <c r="L122" s="18">
        <v>1</v>
      </c>
      <c r="M122" s="18">
        <v>5</v>
      </c>
      <c r="N122" s="18">
        <v>4</v>
      </c>
    </row>
    <row r="123" spans="1:14" x14ac:dyDescent="0.3">
      <c r="A123" s="18">
        <v>4</v>
      </c>
      <c r="B123" s="18" t="s">
        <v>1250</v>
      </c>
      <c r="C123" s="18" t="s">
        <v>1244</v>
      </c>
      <c r="D123" s="18">
        <v>100</v>
      </c>
      <c r="E123" s="18">
        <v>1.156972799981304E-2</v>
      </c>
      <c r="F123" s="18">
        <v>0.27776652481322572</v>
      </c>
      <c r="G123" s="18">
        <v>1.8187512148941268E-2</v>
      </c>
      <c r="H123" s="18" t="str">
        <f>HYPERLINK("plots_Iris/Gradient Descent_plot_4.png", "Vedi grafico")</f>
        <v>Vedi grafico</v>
      </c>
      <c r="I123" s="18"/>
      <c r="J123" s="18">
        <v>4</v>
      </c>
      <c r="K123" s="18">
        <v>150</v>
      </c>
      <c r="L123" s="18">
        <v>1</v>
      </c>
      <c r="M123" s="18">
        <v>1</v>
      </c>
      <c r="N123" s="18">
        <v>4</v>
      </c>
    </row>
    <row r="124" spans="1:14" x14ac:dyDescent="0.3">
      <c r="A124" s="18">
        <v>4</v>
      </c>
      <c r="B124" s="18" t="s">
        <v>1250</v>
      </c>
      <c r="C124" s="18" t="s">
        <v>1245</v>
      </c>
      <c r="D124" s="18">
        <v>100</v>
      </c>
      <c r="E124" s="18">
        <v>1.986871100052667E-2</v>
      </c>
      <c r="F124" s="18">
        <v>0.2770481480474194</v>
      </c>
      <c r="G124" s="18">
        <v>1.0008744736275179E-7</v>
      </c>
      <c r="H124" s="18" t="str">
        <f>HYPERLINK("plots_Iris/Gradient Descent Armijo_plot_4.png", "Vedi grafico")</f>
        <v>Vedi grafico</v>
      </c>
      <c r="I124" s="18"/>
      <c r="J124" s="18">
        <v>4</v>
      </c>
      <c r="K124" s="18">
        <v>150</v>
      </c>
      <c r="L124" s="18">
        <v>1</v>
      </c>
      <c r="M124" s="18">
        <v>1</v>
      </c>
      <c r="N124" s="18">
        <v>4</v>
      </c>
    </row>
    <row r="125" spans="1:14" x14ac:dyDescent="0.3">
      <c r="A125" s="18">
        <v>4</v>
      </c>
      <c r="B125" s="18" t="s">
        <v>1250</v>
      </c>
      <c r="C125" s="18" t="s">
        <v>1246</v>
      </c>
      <c r="D125" s="18">
        <v>7</v>
      </c>
      <c r="E125" s="18">
        <v>0.1107876589994703</v>
      </c>
      <c r="F125" s="18">
        <v>0.27704814805132388</v>
      </c>
      <c r="G125" s="18">
        <v>9.1062659785214536E-7</v>
      </c>
      <c r="H125" s="18" t="str">
        <f>HYPERLINK("plots_Iris/Jacobi_plot_4.png", "Vedi grafico")</f>
        <v>Vedi grafico</v>
      </c>
      <c r="I125" s="18"/>
      <c r="J125" s="18">
        <v>4</v>
      </c>
      <c r="K125" s="18">
        <v>150</v>
      </c>
      <c r="L125" s="18">
        <v>4</v>
      </c>
      <c r="M125" s="18">
        <v>5</v>
      </c>
      <c r="N125" s="18">
        <v>4</v>
      </c>
    </row>
    <row r="126" spans="1:14" x14ac:dyDescent="0.3">
      <c r="A126" s="18">
        <v>4</v>
      </c>
      <c r="B126" s="18"/>
      <c r="C126" s="18"/>
      <c r="D126" s="18"/>
      <c r="E126" s="18"/>
      <c r="F126" s="18"/>
      <c r="G126" s="18"/>
      <c r="H126" s="18" t="str">
        <f>HYPERLINK("plots_Iris/loss_overlay.png", "Vedi grafico")</f>
        <v>Vedi grafico</v>
      </c>
      <c r="I126" s="18"/>
      <c r="J126" s="18"/>
      <c r="K126" s="18"/>
      <c r="L126" s="18"/>
      <c r="M126" s="18"/>
      <c r="N126" s="18">
        <v>4</v>
      </c>
    </row>
    <row r="127" spans="1:14" x14ac:dyDescent="0.3">
      <c r="A127" s="18">
        <v>4</v>
      </c>
      <c r="B127" s="18" t="s">
        <v>1251</v>
      </c>
      <c r="C127" s="18" t="s">
        <v>1243</v>
      </c>
      <c r="D127" s="18">
        <v>99</v>
      </c>
      <c r="E127" s="18">
        <v>0.1427007150014106</v>
      </c>
      <c r="F127" s="18">
        <v>0.28687255998738898</v>
      </c>
      <c r="G127" s="18">
        <v>1.8938372936443399E-6</v>
      </c>
      <c r="H127" s="18" t="str">
        <f>HYPERLINK("plots_Wine/Gauss-Seidel_plot_4.png", "Vedi grafico")</f>
        <v>Vedi grafico</v>
      </c>
      <c r="I127" s="18"/>
      <c r="J127" s="18">
        <v>13</v>
      </c>
      <c r="K127" s="18">
        <v>178</v>
      </c>
      <c r="L127" s="18">
        <v>1</v>
      </c>
      <c r="M127" s="18">
        <v>5</v>
      </c>
      <c r="N127" s="18">
        <v>4</v>
      </c>
    </row>
    <row r="128" spans="1:14" x14ac:dyDescent="0.3">
      <c r="A128" s="14">
        <v>4</v>
      </c>
      <c r="B128" s="14" t="s">
        <v>1251</v>
      </c>
      <c r="C128" s="14" t="s">
        <v>1244</v>
      </c>
      <c r="D128" s="14">
        <v>100</v>
      </c>
      <c r="E128" s="15">
        <v>9.7741530007624533E-3</v>
      </c>
      <c r="F128" s="14">
        <v>0.288147784334295</v>
      </c>
      <c r="G128" s="14">
        <v>2.226338153822115E-2</v>
      </c>
      <c r="H128" s="14" t="str">
        <f>HYPERLINK("plots_Wine/Gradient Descent_plot_4.png", "Vedi grafico")</f>
        <v>Vedi grafico</v>
      </c>
      <c r="I128" s="14"/>
      <c r="J128" s="14">
        <v>13</v>
      </c>
      <c r="K128" s="14">
        <v>178</v>
      </c>
      <c r="L128" s="14">
        <v>1</v>
      </c>
      <c r="M128" s="14">
        <v>1</v>
      </c>
      <c r="N128" s="14">
        <v>4</v>
      </c>
    </row>
    <row r="129" spans="1:14" x14ac:dyDescent="0.3">
      <c r="A129" s="18">
        <v>4</v>
      </c>
      <c r="B129" s="18" t="s">
        <v>1251</v>
      </c>
      <c r="C129" s="18" t="s">
        <v>1245</v>
      </c>
      <c r="D129" s="18">
        <v>100</v>
      </c>
      <c r="E129" s="18">
        <v>2.20399619993259E-2</v>
      </c>
      <c r="F129" s="18">
        <v>0.28687255997585598</v>
      </c>
      <c r="G129" s="18">
        <v>5.1639985112820927E-8</v>
      </c>
      <c r="H129" s="18" t="str">
        <f>HYPERLINK("plots_Wine/Gradient Descent Armijo_plot_4.png", "Vedi grafico")</f>
        <v>Vedi grafico</v>
      </c>
      <c r="I129" s="18"/>
      <c r="J129" s="18">
        <v>13</v>
      </c>
      <c r="K129" s="18">
        <v>178</v>
      </c>
      <c r="L129" s="18">
        <v>1</v>
      </c>
      <c r="M129" s="18">
        <v>1</v>
      </c>
      <c r="N129" s="18">
        <v>4</v>
      </c>
    </row>
    <row r="130" spans="1:14" x14ac:dyDescent="0.3">
      <c r="A130" s="18">
        <v>4</v>
      </c>
      <c r="B130" s="18" t="s">
        <v>1251</v>
      </c>
      <c r="C130" s="18" t="s">
        <v>1246</v>
      </c>
      <c r="D130" s="18">
        <v>99</v>
      </c>
      <c r="E130" s="18">
        <v>1.2939735250001829</v>
      </c>
      <c r="F130" s="18">
        <v>0.28687255998980771</v>
      </c>
      <c r="G130" s="18">
        <v>2.005784897036644E-6</v>
      </c>
      <c r="H130" s="18" t="str">
        <f>HYPERLINK("plots_Wine/Jacobi_plot_4.png", "Vedi grafico")</f>
        <v>Vedi grafico</v>
      </c>
      <c r="I130" s="18"/>
      <c r="J130" s="18">
        <v>13</v>
      </c>
      <c r="K130" s="18">
        <v>178</v>
      </c>
      <c r="L130" s="18">
        <v>4</v>
      </c>
      <c r="M130" s="18">
        <v>5</v>
      </c>
      <c r="N130" s="18">
        <v>4</v>
      </c>
    </row>
    <row r="131" spans="1:14" x14ac:dyDescent="0.3">
      <c r="A131" s="18">
        <v>4</v>
      </c>
      <c r="B131" s="18"/>
      <c r="C131" s="18"/>
      <c r="D131" s="18"/>
      <c r="E131" s="18"/>
      <c r="F131" s="18"/>
      <c r="G131" s="18"/>
      <c r="H131" s="18" t="str">
        <f>HYPERLINK("plots_Wine/loss_overlay.png", "Vedi grafico")</f>
        <v>Vedi grafico</v>
      </c>
      <c r="I131" s="18"/>
      <c r="J131" s="18"/>
      <c r="K131" s="18"/>
      <c r="L131" s="18"/>
      <c r="M131" s="18"/>
      <c r="N131" s="18">
        <v>4</v>
      </c>
    </row>
    <row r="132" spans="1:14" x14ac:dyDescent="0.3">
      <c r="A132" s="18">
        <v>4</v>
      </c>
      <c r="B132" s="18" t="s">
        <v>1252</v>
      </c>
      <c r="C132" s="18" t="s">
        <v>1243</v>
      </c>
      <c r="D132" s="18">
        <v>99</v>
      </c>
      <c r="E132" s="18">
        <v>5.5752761250005278</v>
      </c>
      <c r="F132" s="18">
        <v>0.68096181066531802</v>
      </c>
      <c r="G132" s="18">
        <v>2.1147300843531739E-6</v>
      </c>
      <c r="H132" s="18" t="str">
        <f>HYPERLINK("plots_Fetch/Gauss-Seidel_plot_4.png", "Vedi grafico")</f>
        <v>Vedi grafico</v>
      </c>
      <c r="I132" s="18"/>
      <c r="J132" s="18">
        <v>1000</v>
      </c>
      <c r="K132" s="18">
        <v>1772</v>
      </c>
      <c r="L132" s="18">
        <v>1</v>
      </c>
      <c r="M132" s="18">
        <v>5</v>
      </c>
      <c r="N132" s="18">
        <v>4</v>
      </c>
    </row>
    <row r="133" spans="1:14" x14ac:dyDescent="0.3">
      <c r="A133" s="18">
        <v>4</v>
      </c>
      <c r="B133" s="18" t="s">
        <v>1252</v>
      </c>
      <c r="C133" s="18" t="s">
        <v>1244</v>
      </c>
      <c r="D133" s="18">
        <v>100</v>
      </c>
      <c r="E133" s="18">
        <v>0.90079753499958315</v>
      </c>
      <c r="F133" s="18">
        <v>0.68246591166439041</v>
      </c>
      <c r="G133" s="18">
        <v>1.7870159283770851E-2</v>
      </c>
      <c r="H133" s="18" t="str">
        <f>HYPERLINK("plots_Fetch/Gradient Descent_plot_4.png", "Vedi grafico")</f>
        <v>Vedi grafico</v>
      </c>
      <c r="I133" s="18"/>
      <c r="J133" s="18">
        <v>1000</v>
      </c>
      <c r="K133" s="18">
        <v>1772</v>
      </c>
      <c r="L133" s="18">
        <v>1</v>
      </c>
      <c r="M133" s="18">
        <v>1</v>
      </c>
      <c r="N133" s="18">
        <v>4</v>
      </c>
    </row>
    <row r="134" spans="1:14" x14ac:dyDescent="0.3">
      <c r="A134" s="18">
        <v>4</v>
      </c>
      <c r="B134" s="18" t="s">
        <v>1252</v>
      </c>
      <c r="C134" s="18" t="s">
        <v>1245</v>
      </c>
      <c r="D134" s="18">
        <v>100</v>
      </c>
      <c r="E134" s="18">
        <v>1.4065703239994041</v>
      </c>
      <c r="F134" s="18">
        <v>0.68096181064839212</v>
      </c>
      <c r="G134" s="18">
        <v>9.8127357946551937E-7</v>
      </c>
      <c r="H134" s="18" t="str">
        <f>HYPERLINK("plots_Fetch/Gradient Descent Armijo_plot_4.png", "Vedi grafico")</f>
        <v>Vedi grafico</v>
      </c>
      <c r="I134" s="18"/>
      <c r="J134" s="18">
        <v>1000</v>
      </c>
      <c r="K134" s="18">
        <v>1772</v>
      </c>
      <c r="L134" s="18">
        <v>1</v>
      </c>
      <c r="M134" s="18">
        <v>1</v>
      </c>
      <c r="N134" s="18">
        <v>4</v>
      </c>
    </row>
    <row r="135" spans="1:14" x14ac:dyDescent="0.3">
      <c r="A135" s="18">
        <v>4</v>
      </c>
      <c r="B135" s="18" t="s">
        <v>1252</v>
      </c>
      <c r="C135" s="18" t="s">
        <v>1246</v>
      </c>
      <c r="D135" s="18">
        <v>99</v>
      </c>
      <c r="E135" s="18">
        <v>23.126803322000342</v>
      </c>
      <c r="F135" s="18">
        <v>0.68096181066416206</v>
      </c>
      <c r="G135" s="18">
        <v>2.0561798461342851E-6</v>
      </c>
      <c r="H135" s="18" t="str">
        <f>HYPERLINK("plots_Fetch/Jacobi_plot_4.png", "Vedi grafico")</f>
        <v>Vedi grafico</v>
      </c>
      <c r="I135" s="18"/>
      <c r="J135" s="18">
        <v>1000</v>
      </c>
      <c r="K135" s="18">
        <v>1772</v>
      </c>
      <c r="L135" s="18">
        <v>4</v>
      </c>
      <c r="M135" s="18">
        <v>5</v>
      </c>
      <c r="N135" s="18">
        <v>4</v>
      </c>
    </row>
    <row r="136" spans="1:14" x14ac:dyDescent="0.3">
      <c r="A136" s="18">
        <v>4</v>
      </c>
      <c r="B136" s="18"/>
      <c r="C136" s="18"/>
      <c r="D136" s="18"/>
      <c r="E136" s="18"/>
      <c r="F136" s="18"/>
      <c r="G136" s="18"/>
      <c r="H136" s="18" t="str">
        <f>HYPERLINK("plots_Fetch/loss_overlay.png", "Vedi grafico")</f>
        <v>Vedi grafico</v>
      </c>
      <c r="I136" s="18"/>
      <c r="J136" s="18"/>
      <c r="K136" s="18"/>
      <c r="L136" s="18"/>
      <c r="M136" s="18"/>
      <c r="N136" s="18">
        <v>4</v>
      </c>
    </row>
    <row r="137" spans="1:14" x14ac:dyDescent="0.3">
      <c r="A137" s="18">
        <v>4</v>
      </c>
      <c r="B137" s="18" t="s">
        <v>1253</v>
      </c>
      <c r="C137" s="18" t="s">
        <v>1243</v>
      </c>
      <c r="D137" s="18">
        <v>99</v>
      </c>
      <c r="E137" s="18">
        <v>0.18803951100017</v>
      </c>
      <c r="F137" s="18">
        <v>0.51015408034741627</v>
      </c>
      <c r="G137" s="18">
        <v>1.9925892142297448E-6</v>
      </c>
      <c r="H137" s="18" t="str">
        <f>HYPERLINK("plots_Adult/Gauss-Seidel_plot_4.png", "Vedi grafico")</f>
        <v>Vedi grafico</v>
      </c>
      <c r="I137" s="18"/>
      <c r="J137" s="18">
        <v>108</v>
      </c>
      <c r="K137" s="18">
        <v>500</v>
      </c>
      <c r="L137" s="18">
        <v>1</v>
      </c>
      <c r="M137" s="18">
        <v>5</v>
      </c>
      <c r="N137" s="18">
        <v>4</v>
      </c>
    </row>
    <row r="138" spans="1:14" x14ac:dyDescent="0.3">
      <c r="A138" s="18">
        <v>4</v>
      </c>
      <c r="B138" s="18" t="s">
        <v>1253</v>
      </c>
      <c r="C138" s="18" t="s">
        <v>1244</v>
      </c>
      <c r="D138" s="18">
        <v>100</v>
      </c>
      <c r="E138" s="18">
        <v>1.242936999915401E-2</v>
      </c>
      <c r="F138" s="18">
        <v>0.5121771278438636</v>
      </c>
      <c r="G138" s="18">
        <v>2.422305615100654E-2</v>
      </c>
      <c r="H138" s="18" t="str">
        <f>HYPERLINK("plots_Adult/Gradient Descent_plot_4.png", "Vedi grafico")</f>
        <v>Vedi grafico</v>
      </c>
      <c r="I138" s="18"/>
      <c r="J138" s="18">
        <v>108</v>
      </c>
      <c r="K138" s="18">
        <v>500</v>
      </c>
      <c r="L138" s="18">
        <v>1</v>
      </c>
      <c r="M138" s="18">
        <v>1</v>
      </c>
      <c r="N138" s="18">
        <v>4</v>
      </c>
    </row>
    <row r="139" spans="1:14" x14ac:dyDescent="0.3">
      <c r="A139" s="18">
        <v>4</v>
      </c>
      <c r="B139" s="18" t="s">
        <v>1253</v>
      </c>
      <c r="C139" s="18" t="s">
        <v>1245</v>
      </c>
      <c r="D139" s="18">
        <v>100</v>
      </c>
      <c r="E139" s="18">
        <v>3.1623450999177287E-2</v>
      </c>
      <c r="F139" s="18">
        <v>0.51015408033466247</v>
      </c>
      <c r="G139" s="18">
        <v>4.9174024418088745E-7</v>
      </c>
      <c r="H139" s="18" t="str">
        <f>HYPERLINK("plots_Adult/Gradient Descent Armijo_plot_4.png", "Vedi grafico")</f>
        <v>Vedi grafico</v>
      </c>
      <c r="I139" s="18"/>
      <c r="J139" s="18">
        <v>108</v>
      </c>
      <c r="K139" s="18">
        <v>500</v>
      </c>
      <c r="L139" s="18">
        <v>1</v>
      </c>
      <c r="M139" s="18">
        <v>1</v>
      </c>
      <c r="N139" s="18">
        <v>4</v>
      </c>
    </row>
    <row r="140" spans="1:14" x14ac:dyDescent="0.3">
      <c r="A140" s="18">
        <v>4</v>
      </c>
      <c r="B140" s="18" t="s">
        <v>1253</v>
      </c>
      <c r="C140" s="18" t="s">
        <v>1246</v>
      </c>
      <c r="D140" s="18">
        <v>99</v>
      </c>
      <c r="E140" s="18">
        <v>1.752117730999089</v>
      </c>
      <c r="F140" s="18">
        <v>0.51015408035203802</v>
      </c>
      <c r="G140" s="18">
        <v>2.0078981840832138E-6</v>
      </c>
      <c r="H140" s="18" t="str">
        <f>HYPERLINK("plots_Adult/Jacobi_plot_4.png", "Vedi grafico")</f>
        <v>Vedi grafico</v>
      </c>
      <c r="I140" s="18"/>
      <c r="J140" s="18">
        <v>108</v>
      </c>
      <c r="K140" s="18">
        <v>500</v>
      </c>
      <c r="L140" s="18">
        <v>4</v>
      </c>
      <c r="M140" s="18">
        <v>5</v>
      </c>
      <c r="N140" s="18">
        <v>4</v>
      </c>
    </row>
    <row r="141" spans="1:14" x14ac:dyDescent="0.3">
      <c r="A141" s="18">
        <v>4</v>
      </c>
      <c r="B141" s="18"/>
      <c r="C141" s="18"/>
      <c r="D141" s="18"/>
      <c r="E141" s="18"/>
      <c r="F141" s="18"/>
      <c r="G141" s="18"/>
      <c r="H141" s="18" t="str">
        <f>HYPERLINK("plots_Adult/loss_overlay.png", "Vedi grafico")</f>
        <v>Vedi grafico</v>
      </c>
      <c r="I141" s="18"/>
      <c r="J141" s="18"/>
      <c r="K141" s="18"/>
      <c r="L141" s="18"/>
      <c r="M141" s="18"/>
      <c r="N141" s="18">
        <v>4</v>
      </c>
    </row>
    <row r="142" spans="1:14" x14ac:dyDescent="0.3">
      <c r="A142" s="13">
        <v>5</v>
      </c>
      <c r="B142" s="13" t="s">
        <v>1242</v>
      </c>
      <c r="C142" s="13" t="s">
        <v>1243</v>
      </c>
      <c r="D142" s="13">
        <v>99</v>
      </c>
      <c r="E142" s="13">
        <v>0.1811283570004889</v>
      </c>
      <c r="F142" s="13">
        <v>0.20987243076431111</v>
      </c>
      <c r="G142" s="13">
        <v>1.7688934421459481E-6</v>
      </c>
      <c r="H142" s="13" t="str">
        <f>HYPERLINK("plots_Breast_Cancer/Gauss-Seidel_plot_5.png", "Vedi grafico")</f>
        <v>Vedi grafico</v>
      </c>
      <c r="I142" s="13"/>
      <c r="J142" s="13">
        <v>30</v>
      </c>
      <c r="K142" s="13">
        <v>569</v>
      </c>
      <c r="L142" s="13">
        <v>1</v>
      </c>
      <c r="M142" s="13">
        <v>4</v>
      </c>
      <c r="N142" s="13">
        <v>5</v>
      </c>
    </row>
    <row r="143" spans="1:14" x14ac:dyDescent="0.3">
      <c r="A143" s="13">
        <v>5</v>
      </c>
      <c r="B143" s="13" t="s">
        <v>1242</v>
      </c>
      <c r="C143" s="13" t="s">
        <v>1244</v>
      </c>
      <c r="D143" s="13">
        <v>100</v>
      </c>
      <c r="E143" s="13">
        <v>1.2170668998805921E-2</v>
      </c>
      <c r="F143" s="13">
        <v>0.21024932776281</v>
      </c>
      <c r="G143" s="13">
        <v>1.207764533447778E-2</v>
      </c>
      <c r="H143" s="13" t="str">
        <f>HYPERLINK("plots_Breast_Cancer/Gradient Descent_plot_5.png", "Vedi grafico")</f>
        <v>Vedi grafico</v>
      </c>
      <c r="I143" s="13"/>
      <c r="J143" s="13">
        <v>30</v>
      </c>
      <c r="K143" s="13">
        <v>569</v>
      </c>
      <c r="L143" s="13">
        <v>1</v>
      </c>
      <c r="M143" s="13">
        <v>1</v>
      </c>
      <c r="N143" s="13">
        <v>5</v>
      </c>
    </row>
    <row r="144" spans="1:14" x14ac:dyDescent="0.3">
      <c r="A144" s="14">
        <v>5</v>
      </c>
      <c r="B144" s="14" t="s">
        <v>1242</v>
      </c>
      <c r="C144" s="14" t="s">
        <v>1245</v>
      </c>
      <c r="D144" s="14">
        <v>100</v>
      </c>
      <c r="E144" s="14">
        <v>3.2947694999165833E-2</v>
      </c>
      <c r="F144" s="15">
        <v>0.2098724307504316</v>
      </c>
      <c r="G144" s="14">
        <v>1.4925095899640461E-7</v>
      </c>
      <c r="H144" s="14" t="str">
        <f>HYPERLINK("plots_Breast_Cancer/Gradient Descent Armijo_plot_5.png", "Vedi grafico")</f>
        <v>Vedi grafico</v>
      </c>
      <c r="I144" s="14"/>
      <c r="J144" s="14">
        <v>30</v>
      </c>
      <c r="K144" s="14">
        <v>569</v>
      </c>
      <c r="L144" s="14">
        <v>1</v>
      </c>
      <c r="M144" s="14">
        <v>1</v>
      </c>
      <c r="N144" s="14">
        <v>5</v>
      </c>
    </row>
    <row r="145" spans="1:14" x14ac:dyDescent="0.3">
      <c r="A145" s="13">
        <v>5</v>
      </c>
      <c r="B145" s="13" t="s">
        <v>1242</v>
      </c>
      <c r="C145" s="13" t="s">
        <v>1246</v>
      </c>
      <c r="D145" s="13">
        <v>99</v>
      </c>
      <c r="E145" s="13">
        <v>1.7775864689992891</v>
      </c>
      <c r="F145" s="13">
        <v>0.20987243076557791</v>
      </c>
      <c r="G145" s="13">
        <v>1.8472243648102579E-6</v>
      </c>
      <c r="H145" s="13" t="str">
        <f>HYPERLINK("plots_Breast_Cancer/Jacobi_plot_5.png", "Vedi grafico")</f>
        <v>Vedi grafico</v>
      </c>
      <c r="I145" s="13"/>
      <c r="J145" s="13">
        <v>30</v>
      </c>
      <c r="K145" s="13">
        <v>569</v>
      </c>
      <c r="L145" s="13">
        <v>4</v>
      </c>
      <c r="M145" s="13">
        <v>4</v>
      </c>
      <c r="N145" s="13">
        <v>5</v>
      </c>
    </row>
    <row r="146" spans="1:14" x14ac:dyDescent="0.3">
      <c r="A146" s="13">
        <v>5</v>
      </c>
      <c r="B146" s="13"/>
      <c r="C146" s="13"/>
      <c r="D146" s="13"/>
      <c r="E146" s="13"/>
      <c r="F146" s="13"/>
      <c r="G146" s="13"/>
      <c r="H146" s="13" t="str">
        <f>HYPERLINK("plots_Breast_Cancer/loss_overlay.png", "Vedi grafico")</f>
        <v>Vedi grafico</v>
      </c>
      <c r="I146" s="13"/>
      <c r="J146" s="13"/>
      <c r="K146" s="13"/>
      <c r="L146" s="13"/>
      <c r="M146" s="13"/>
      <c r="N146" s="13">
        <v>5</v>
      </c>
    </row>
    <row r="147" spans="1:14" x14ac:dyDescent="0.3">
      <c r="A147" s="13">
        <v>5</v>
      </c>
      <c r="B147" s="13" t="s">
        <v>1248</v>
      </c>
      <c r="C147" s="13" t="s">
        <v>1243</v>
      </c>
      <c r="D147" s="13">
        <v>99</v>
      </c>
      <c r="E147" s="13">
        <v>0.1266073389997473</v>
      </c>
      <c r="F147" s="13">
        <v>0.53234021855543601</v>
      </c>
      <c r="G147" s="13">
        <v>1.735126535255504E-6</v>
      </c>
      <c r="H147" s="13" t="str">
        <f>HYPERLINK("plots_Diabetes/Gauss-Seidel_plot_5.png", "Vedi grafico")</f>
        <v>Vedi grafico</v>
      </c>
      <c r="I147" s="13"/>
      <c r="J147" s="13">
        <v>10</v>
      </c>
      <c r="K147" s="13">
        <v>442</v>
      </c>
      <c r="L147" s="13">
        <v>1</v>
      </c>
      <c r="M147" s="13">
        <v>4</v>
      </c>
      <c r="N147" s="13">
        <v>5</v>
      </c>
    </row>
    <row r="148" spans="1:14" x14ac:dyDescent="0.3">
      <c r="A148" s="13">
        <v>5</v>
      </c>
      <c r="B148" s="13" t="s">
        <v>1248</v>
      </c>
      <c r="C148" s="13" t="s">
        <v>1244</v>
      </c>
      <c r="D148" s="13">
        <v>100</v>
      </c>
      <c r="E148" s="13">
        <v>1.0646806998920511E-2</v>
      </c>
      <c r="F148" s="13">
        <v>0.53263822042975961</v>
      </c>
      <c r="G148" s="13">
        <v>1.2182936658034649E-2</v>
      </c>
      <c r="H148" s="13" t="str">
        <f>HYPERLINK("plots_Diabetes/Gradient Descent_plot_5.png", "Vedi grafico")</f>
        <v>Vedi grafico</v>
      </c>
      <c r="I148" s="13"/>
      <c r="J148" s="13">
        <v>10</v>
      </c>
      <c r="K148" s="13">
        <v>442</v>
      </c>
      <c r="L148" s="13">
        <v>1</v>
      </c>
      <c r="M148" s="13">
        <v>1</v>
      </c>
      <c r="N148" s="13">
        <v>5</v>
      </c>
    </row>
    <row r="149" spans="1:14" x14ac:dyDescent="0.3">
      <c r="A149" s="13">
        <v>5</v>
      </c>
      <c r="B149" s="13" t="s">
        <v>1248</v>
      </c>
      <c r="C149" s="13" t="s">
        <v>1245</v>
      </c>
      <c r="D149" s="13">
        <v>100</v>
      </c>
      <c r="E149" s="13">
        <v>2.43215450009302E-2</v>
      </c>
      <c r="F149" s="13">
        <v>0.5323402185455357</v>
      </c>
      <c r="G149" s="13">
        <v>6.1510589046363571E-8</v>
      </c>
      <c r="H149" s="13" t="str">
        <f>HYPERLINK("plots_Diabetes/Gradient Descent Armijo_plot_5.png", "Vedi grafico")</f>
        <v>Vedi grafico</v>
      </c>
      <c r="I149" s="13"/>
      <c r="J149" s="13">
        <v>10</v>
      </c>
      <c r="K149" s="13">
        <v>442</v>
      </c>
      <c r="L149" s="13">
        <v>1</v>
      </c>
      <c r="M149" s="13">
        <v>1</v>
      </c>
      <c r="N149" s="13">
        <v>5</v>
      </c>
    </row>
    <row r="150" spans="1:14" x14ac:dyDescent="0.3">
      <c r="A150" s="13">
        <v>5</v>
      </c>
      <c r="B150" s="13" t="s">
        <v>1248</v>
      </c>
      <c r="C150" s="13" t="s">
        <v>1246</v>
      </c>
      <c r="D150" s="13">
        <v>99</v>
      </c>
      <c r="E150" s="13">
        <v>1.202869643999293</v>
      </c>
      <c r="F150" s="13">
        <v>0.5323402185565822</v>
      </c>
      <c r="G150" s="13">
        <v>1.890265476381444E-6</v>
      </c>
      <c r="H150" s="13" t="str">
        <f>HYPERLINK("plots_Diabetes/Jacobi_plot_5.png", "Vedi grafico")</f>
        <v>Vedi grafico</v>
      </c>
      <c r="I150" s="13"/>
      <c r="J150" s="13">
        <v>10</v>
      </c>
      <c r="K150" s="13">
        <v>442</v>
      </c>
      <c r="L150" s="13">
        <v>4</v>
      </c>
      <c r="M150" s="13">
        <v>4</v>
      </c>
      <c r="N150" s="13">
        <v>5</v>
      </c>
    </row>
    <row r="151" spans="1:14" x14ac:dyDescent="0.3">
      <c r="A151" s="13">
        <v>5</v>
      </c>
      <c r="B151" s="13"/>
      <c r="C151" s="13"/>
      <c r="D151" s="13"/>
      <c r="E151" s="13"/>
      <c r="F151" s="13"/>
      <c r="G151" s="13"/>
      <c r="H151" s="13" t="str">
        <f>HYPERLINK("plots_Diabetes/loss_overlay.png", "Vedi grafico")</f>
        <v>Vedi grafico</v>
      </c>
      <c r="I151" s="13"/>
      <c r="J151" s="13"/>
      <c r="K151" s="13"/>
      <c r="L151" s="13"/>
      <c r="M151" s="13"/>
      <c r="N151" s="13">
        <v>5</v>
      </c>
    </row>
    <row r="152" spans="1:14" x14ac:dyDescent="0.3">
      <c r="A152" s="13">
        <v>5</v>
      </c>
      <c r="B152" s="13" t="s">
        <v>1249</v>
      </c>
      <c r="C152" s="13" t="s">
        <v>1243</v>
      </c>
      <c r="D152" s="13">
        <v>99</v>
      </c>
      <c r="E152" s="13">
        <v>0.27172882000013487</v>
      </c>
      <c r="F152" s="13">
        <v>0.34434747737236449</v>
      </c>
      <c r="G152" s="13">
        <v>1.710694397637721E-6</v>
      </c>
      <c r="H152" s="13" t="str">
        <f>HYPERLINK("plots_Digits/Gauss-Seidel_plot_5.png", "Vedi grafico")</f>
        <v>Vedi grafico</v>
      </c>
      <c r="I152" s="13"/>
      <c r="J152" s="13">
        <v>64</v>
      </c>
      <c r="K152" s="13">
        <v>1797</v>
      </c>
      <c r="L152" s="13">
        <v>1</v>
      </c>
      <c r="M152" s="13">
        <v>4</v>
      </c>
      <c r="N152" s="13">
        <v>5</v>
      </c>
    </row>
    <row r="153" spans="1:14" x14ac:dyDescent="0.3">
      <c r="A153" s="13">
        <v>5</v>
      </c>
      <c r="B153" s="13" t="s">
        <v>1249</v>
      </c>
      <c r="C153" s="13" t="s">
        <v>1244</v>
      </c>
      <c r="D153" s="13">
        <v>100</v>
      </c>
      <c r="E153" s="13">
        <v>2.3645113000384299E-2</v>
      </c>
      <c r="F153" s="13">
        <v>0.34537500106744229</v>
      </c>
      <c r="G153" s="13">
        <v>1.9786438650008439E-2</v>
      </c>
      <c r="H153" s="13" t="str">
        <f>HYPERLINK("plots_Digits/Gradient Descent_plot_5.png", "Vedi grafico")</f>
        <v>Vedi grafico</v>
      </c>
      <c r="I153" s="13"/>
      <c r="J153" s="13">
        <v>64</v>
      </c>
      <c r="K153" s="13">
        <v>1797</v>
      </c>
      <c r="L153" s="13">
        <v>1</v>
      </c>
      <c r="M153" s="13">
        <v>1</v>
      </c>
      <c r="N153" s="13">
        <v>5</v>
      </c>
    </row>
    <row r="154" spans="1:14" x14ac:dyDescent="0.3">
      <c r="A154" s="13">
        <v>5</v>
      </c>
      <c r="B154" s="13" t="s">
        <v>1249</v>
      </c>
      <c r="C154" s="13" t="s">
        <v>1245</v>
      </c>
      <c r="D154" s="13">
        <v>100</v>
      </c>
      <c r="E154" s="13">
        <v>5.5196224000610528E-2</v>
      </c>
      <c r="F154" s="13">
        <v>0.34434747736105209</v>
      </c>
      <c r="G154" s="13">
        <v>1.033194216913189E-7</v>
      </c>
      <c r="H154" s="13" t="str">
        <f>HYPERLINK("plots_Digits/Gradient Descent Armijo_plot_5.png", "Vedi grafico")</f>
        <v>Vedi grafico</v>
      </c>
      <c r="I154" s="13"/>
      <c r="J154" s="13">
        <v>64</v>
      </c>
      <c r="K154" s="13">
        <v>1797</v>
      </c>
      <c r="L154" s="13">
        <v>1</v>
      </c>
      <c r="M154" s="13">
        <v>1</v>
      </c>
      <c r="N154" s="13">
        <v>5</v>
      </c>
    </row>
    <row r="155" spans="1:14" x14ac:dyDescent="0.3">
      <c r="A155" s="13">
        <v>5</v>
      </c>
      <c r="B155" s="13" t="s">
        <v>1249</v>
      </c>
      <c r="C155" s="13" t="s">
        <v>1246</v>
      </c>
      <c r="D155" s="13">
        <v>99</v>
      </c>
      <c r="E155" s="13">
        <v>2.3594327289993089</v>
      </c>
      <c r="F155" s="13">
        <v>0.34434747737126858</v>
      </c>
      <c r="G155" s="13">
        <v>1.6552264388908911E-6</v>
      </c>
      <c r="H155" s="13" t="str">
        <f>HYPERLINK("plots_Digits/Jacobi_plot_5.png", "Vedi grafico")</f>
        <v>Vedi grafico</v>
      </c>
      <c r="I155" s="13"/>
      <c r="J155" s="13">
        <v>64</v>
      </c>
      <c r="K155" s="13">
        <v>1797</v>
      </c>
      <c r="L155" s="13">
        <v>4</v>
      </c>
      <c r="M155" s="13">
        <v>4</v>
      </c>
      <c r="N155" s="13">
        <v>5</v>
      </c>
    </row>
    <row r="156" spans="1:14" x14ac:dyDescent="0.3">
      <c r="A156" s="13">
        <v>5</v>
      </c>
      <c r="B156" s="13"/>
      <c r="C156" s="13"/>
      <c r="D156" s="13"/>
      <c r="E156" s="13"/>
      <c r="F156" s="13"/>
      <c r="G156" s="13"/>
      <c r="H156" s="13" t="str">
        <f>HYPERLINK("plots_Digits/loss_overlay.png", "Vedi grafico")</f>
        <v>Vedi grafico</v>
      </c>
      <c r="I156" s="13"/>
      <c r="J156" s="13"/>
      <c r="K156" s="13"/>
      <c r="L156" s="13"/>
      <c r="M156" s="13"/>
      <c r="N156" s="13">
        <v>5</v>
      </c>
    </row>
    <row r="157" spans="1:14" x14ac:dyDescent="0.3">
      <c r="A157" s="13">
        <v>5</v>
      </c>
      <c r="B157" s="13" t="s">
        <v>1250</v>
      </c>
      <c r="C157" s="13" t="s">
        <v>1243</v>
      </c>
      <c r="D157" s="13">
        <v>99</v>
      </c>
      <c r="E157" s="13">
        <v>0.11241881699970691</v>
      </c>
      <c r="F157" s="13">
        <v>0.27704814805924372</v>
      </c>
      <c r="G157" s="13">
        <v>1.6287560707736469E-6</v>
      </c>
      <c r="H157" s="13" t="str">
        <f>HYPERLINK("plots_Iris/Gauss-Seidel_plot_5.png", "Vedi grafico")</f>
        <v>Vedi grafico</v>
      </c>
      <c r="I157" s="13"/>
      <c r="J157" s="13">
        <v>4</v>
      </c>
      <c r="K157" s="13">
        <v>150</v>
      </c>
      <c r="L157" s="13">
        <v>1</v>
      </c>
      <c r="M157" s="13">
        <v>4</v>
      </c>
      <c r="N157" s="13">
        <v>5</v>
      </c>
    </row>
    <row r="158" spans="1:14" x14ac:dyDescent="0.3">
      <c r="A158" s="14">
        <v>5</v>
      </c>
      <c r="B158" s="14" t="s">
        <v>1250</v>
      </c>
      <c r="C158" s="14" t="s">
        <v>1244</v>
      </c>
      <c r="D158" s="14">
        <v>100</v>
      </c>
      <c r="E158" s="15">
        <v>7.9273499995906604E-3</v>
      </c>
      <c r="F158" s="14">
        <v>0.27776652481322572</v>
      </c>
      <c r="G158" s="14">
        <v>1.8187512148941268E-2</v>
      </c>
      <c r="H158" s="14" t="str">
        <f>HYPERLINK("plots_Iris/Gradient Descent_plot_5.png", "Vedi grafico")</f>
        <v>Vedi grafico</v>
      </c>
      <c r="I158" s="14"/>
      <c r="J158" s="14">
        <v>4</v>
      </c>
      <c r="K158" s="14">
        <v>150</v>
      </c>
      <c r="L158" s="14">
        <v>1</v>
      </c>
      <c r="M158" s="14">
        <v>1</v>
      </c>
      <c r="N158" s="14">
        <v>5</v>
      </c>
    </row>
    <row r="159" spans="1:14" x14ac:dyDescent="0.3">
      <c r="A159" s="13">
        <v>5</v>
      </c>
      <c r="B159" s="13" t="s">
        <v>1250</v>
      </c>
      <c r="C159" s="13" t="s">
        <v>1245</v>
      </c>
      <c r="D159" s="13">
        <v>100</v>
      </c>
      <c r="E159" s="13">
        <v>2.0403582000653842E-2</v>
      </c>
      <c r="F159" s="13">
        <v>0.2770481480474194</v>
      </c>
      <c r="G159" s="13">
        <v>1.0008744736275179E-7</v>
      </c>
      <c r="H159" s="13" t="str">
        <f>HYPERLINK("plots_Iris/Gradient Descent Armijo_plot_5.png", "Vedi grafico")</f>
        <v>Vedi grafico</v>
      </c>
      <c r="I159" s="13"/>
      <c r="J159" s="13">
        <v>4</v>
      </c>
      <c r="K159" s="13">
        <v>150</v>
      </c>
      <c r="L159" s="13">
        <v>1</v>
      </c>
      <c r="M159" s="13">
        <v>1</v>
      </c>
      <c r="N159" s="13">
        <v>5</v>
      </c>
    </row>
    <row r="160" spans="1:14" x14ac:dyDescent="0.3">
      <c r="A160" s="13">
        <v>5</v>
      </c>
      <c r="B160" s="13" t="s">
        <v>1250</v>
      </c>
      <c r="C160" s="13" t="s">
        <v>1246</v>
      </c>
      <c r="D160" s="13">
        <v>99</v>
      </c>
      <c r="E160" s="13">
        <v>1.2065281769992</v>
      </c>
      <c r="F160" s="13">
        <v>0.27704814806306638</v>
      </c>
      <c r="G160" s="13">
        <v>1.909676437864008E-6</v>
      </c>
      <c r="H160" s="13" t="str">
        <f>HYPERLINK("plots_Iris/Jacobi_plot_5.png", "Vedi grafico")</f>
        <v>Vedi grafico</v>
      </c>
      <c r="I160" s="13"/>
      <c r="J160" s="13">
        <v>4</v>
      </c>
      <c r="K160" s="13">
        <v>150</v>
      </c>
      <c r="L160" s="13">
        <v>4</v>
      </c>
      <c r="M160" s="13">
        <v>4</v>
      </c>
      <c r="N160" s="13">
        <v>5</v>
      </c>
    </row>
    <row r="161" spans="1:14" x14ac:dyDescent="0.3">
      <c r="A161" s="13">
        <v>5</v>
      </c>
      <c r="B161" s="13"/>
      <c r="C161" s="13"/>
      <c r="D161" s="13"/>
      <c r="E161" s="13"/>
      <c r="F161" s="13"/>
      <c r="G161" s="13"/>
      <c r="H161" s="13" t="str">
        <f>HYPERLINK("plots_Iris/loss_overlay.png", "Vedi grafico")</f>
        <v>Vedi grafico</v>
      </c>
      <c r="I161" s="13"/>
      <c r="J161" s="13"/>
      <c r="K161" s="13"/>
      <c r="L161" s="13"/>
      <c r="M161" s="13"/>
      <c r="N161" s="13">
        <v>5</v>
      </c>
    </row>
    <row r="162" spans="1:14" x14ac:dyDescent="0.3">
      <c r="A162" s="13">
        <v>5</v>
      </c>
      <c r="B162" s="13" t="s">
        <v>1251</v>
      </c>
      <c r="C162" s="13" t="s">
        <v>1243</v>
      </c>
      <c r="D162" s="13">
        <v>99</v>
      </c>
      <c r="E162" s="13">
        <v>9.3277187999774469E-2</v>
      </c>
      <c r="F162" s="13">
        <v>0.28687255998736239</v>
      </c>
      <c r="G162" s="13">
        <v>1.81192694184796E-6</v>
      </c>
      <c r="H162" s="13" t="str">
        <f>HYPERLINK("plots_Wine/Gauss-Seidel_plot_5.png", "Vedi grafico")</f>
        <v>Vedi grafico</v>
      </c>
      <c r="I162" s="13"/>
      <c r="J162" s="13">
        <v>13</v>
      </c>
      <c r="K162" s="13">
        <v>178</v>
      </c>
      <c r="L162" s="13">
        <v>1</v>
      </c>
      <c r="M162" s="13">
        <v>4</v>
      </c>
      <c r="N162" s="13">
        <v>5</v>
      </c>
    </row>
    <row r="163" spans="1:14" x14ac:dyDescent="0.3">
      <c r="A163" s="13">
        <v>5</v>
      </c>
      <c r="B163" s="13" t="s">
        <v>1251</v>
      </c>
      <c r="C163" s="13" t="s">
        <v>1244</v>
      </c>
      <c r="D163" s="13">
        <v>100</v>
      </c>
      <c r="E163" s="13">
        <v>9.4020809992798604E-3</v>
      </c>
      <c r="F163" s="13">
        <v>0.288147784334295</v>
      </c>
      <c r="G163" s="13">
        <v>2.226338153822115E-2</v>
      </c>
      <c r="H163" s="13" t="str">
        <f>HYPERLINK("plots_Wine/Gradient Descent_plot_5.png", "Vedi grafico")</f>
        <v>Vedi grafico</v>
      </c>
      <c r="I163" s="13"/>
      <c r="J163" s="13">
        <v>13</v>
      </c>
      <c r="K163" s="13">
        <v>178</v>
      </c>
      <c r="L163" s="13">
        <v>1</v>
      </c>
      <c r="M163" s="13">
        <v>1</v>
      </c>
      <c r="N163" s="13">
        <v>5</v>
      </c>
    </row>
    <row r="164" spans="1:14" x14ac:dyDescent="0.3">
      <c r="A164" s="13">
        <v>5</v>
      </c>
      <c r="B164" s="13" t="s">
        <v>1251</v>
      </c>
      <c r="C164" s="13" t="s">
        <v>1245</v>
      </c>
      <c r="D164" s="13">
        <v>100</v>
      </c>
      <c r="E164" s="13">
        <v>1.9197059998987239E-2</v>
      </c>
      <c r="F164" s="13">
        <v>0.28687255997585598</v>
      </c>
      <c r="G164" s="13">
        <v>5.1639985112820927E-8</v>
      </c>
      <c r="H164" s="13" t="str">
        <f>HYPERLINK("plots_Wine/Gradient Descent Armijo_plot_5.png", "Vedi grafico")</f>
        <v>Vedi grafico</v>
      </c>
      <c r="I164" s="13"/>
      <c r="J164" s="13">
        <v>13</v>
      </c>
      <c r="K164" s="13">
        <v>178</v>
      </c>
      <c r="L164" s="13">
        <v>1</v>
      </c>
      <c r="M164" s="13">
        <v>1</v>
      </c>
      <c r="N164" s="13">
        <v>5</v>
      </c>
    </row>
    <row r="165" spans="1:14" x14ac:dyDescent="0.3">
      <c r="A165" s="13">
        <v>5</v>
      </c>
      <c r="B165" s="13" t="s">
        <v>1251</v>
      </c>
      <c r="C165" s="13" t="s">
        <v>1246</v>
      </c>
      <c r="D165" s="13">
        <v>99</v>
      </c>
      <c r="E165" s="13">
        <v>1.2109877059992871</v>
      </c>
      <c r="F165" s="13">
        <v>0.28687255998837558</v>
      </c>
      <c r="G165" s="13">
        <v>1.79342629585209E-6</v>
      </c>
      <c r="H165" s="13" t="str">
        <f>HYPERLINK("plots_Wine/Jacobi_plot_5.png", "Vedi grafico")</f>
        <v>Vedi grafico</v>
      </c>
      <c r="I165" s="13"/>
      <c r="J165" s="13">
        <v>13</v>
      </c>
      <c r="K165" s="13">
        <v>178</v>
      </c>
      <c r="L165" s="13">
        <v>4</v>
      </c>
      <c r="M165" s="13">
        <v>4</v>
      </c>
      <c r="N165" s="13">
        <v>5</v>
      </c>
    </row>
    <row r="166" spans="1:14" x14ac:dyDescent="0.3">
      <c r="A166" s="13">
        <v>5</v>
      </c>
      <c r="B166" s="13"/>
      <c r="C166" s="13"/>
      <c r="D166" s="13"/>
      <c r="E166" s="13"/>
      <c r="F166" s="13"/>
      <c r="G166" s="13"/>
      <c r="H166" s="13" t="str">
        <f>HYPERLINK("plots_Wine/loss_overlay.png", "Vedi grafico")</f>
        <v>Vedi grafico</v>
      </c>
      <c r="I166" s="13"/>
      <c r="J166" s="13"/>
      <c r="K166" s="13"/>
      <c r="L166" s="13"/>
      <c r="M166" s="13"/>
      <c r="N166" s="13">
        <v>5</v>
      </c>
    </row>
    <row r="167" spans="1:14" x14ac:dyDescent="0.3">
      <c r="A167" s="13">
        <v>5</v>
      </c>
      <c r="B167" s="13" t="s">
        <v>1252</v>
      </c>
      <c r="C167" s="13" t="s">
        <v>1243</v>
      </c>
      <c r="D167" s="13">
        <v>99</v>
      </c>
      <c r="E167" s="13">
        <v>5.2283145069995953</v>
      </c>
      <c r="F167" s="13">
        <v>0.68096181066122408</v>
      </c>
      <c r="G167" s="13">
        <v>1.902670597530938E-6</v>
      </c>
      <c r="H167" s="13" t="str">
        <f>HYPERLINK("plots_Fetch/Gauss-Seidel_plot_5.png", "Vedi grafico")</f>
        <v>Vedi grafico</v>
      </c>
      <c r="I167" s="13"/>
      <c r="J167" s="13">
        <v>1000</v>
      </c>
      <c r="K167" s="13">
        <v>1772</v>
      </c>
      <c r="L167" s="13">
        <v>1</v>
      </c>
      <c r="M167" s="13">
        <v>4</v>
      </c>
      <c r="N167" s="13">
        <v>5</v>
      </c>
    </row>
    <row r="168" spans="1:14" x14ac:dyDescent="0.3">
      <c r="A168" s="13">
        <v>5</v>
      </c>
      <c r="B168" s="13" t="s">
        <v>1252</v>
      </c>
      <c r="C168" s="13" t="s">
        <v>1244</v>
      </c>
      <c r="D168" s="13">
        <v>100</v>
      </c>
      <c r="E168" s="13">
        <v>1.182620153000244</v>
      </c>
      <c r="F168" s="13">
        <v>0.68246591166439041</v>
      </c>
      <c r="G168" s="13">
        <v>1.7870159283770851E-2</v>
      </c>
      <c r="H168" s="13" t="str">
        <f>HYPERLINK("plots_Fetch/Gradient Descent_plot_5.png", "Vedi grafico")</f>
        <v>Vedi grafico</v>
      </c>
      <c r="I168" s="13"/>
      <c r="J168" s="13">
        <v>1000</v>
      </c>
      <c r="K168" s="13">
        <v>1772</v>
      </c>
      <c r="L168" s="13">
        <v>1</v>
      </c>
      <c r="M168" s="13">
        <v>1</v>
      </c>
      <c r="N168" s="13">
        <v>5</v>
      </c>
    </row>
    <row r="169" spans="1:14" x14ac:dyDescent="0.3">
      <c r="A169" s="13">
        <v>5</v>
      </c>
      <c r="B169" s="13" t="s">
        <v>1252</v>
      </c>
      <c r="C169" s="13" t="s">
        <v>1245</v>
      </c>
      <c r="D169" s="13">
        <v>100</v>
      </c>
      <c r="E169" s="13">
        <v>1.245878449999509</v>
      </c>
      <c r="F169" s="13">
        <v>0.68096181064839212</v>
      </c>
      <c r="G169" s="13">
        <v>9.8127357946551937E-7</v>
      </c>
      <c r="H169" s="13" t="str">
        <f>HYPERLINK("plots_Fetch/Gradient Descent Armijo_plot_5.png", "Vedi grafico")</f>
        <v>Vedi grafico</v>
      </c>
      <c r="I169" s="13"/>
      <c r="J169" s="13">
        <v>1000</v>
      </c>
      <c r="K169" s="13">
        <v>1772</v>
      </c>
      <c r="L169" s="13">
        <v>1</v>
      </c>
      <c r="M169" s="13">
        <v>1</v>
      </c>
      <c r="N169" s="13">
        <v>5</v>
      </c>
    </row>
    <row r="170" spans="1:14" x14ac:dyDescent="0.3">
      <c r="A170" s="13">
        <v>5</v>
      </c>
      <c r="B170" s="13" t="s">
        <v>1252</v>
      </c>
      <c r="C170" s="13" t="s">
        <v>1246</v>
      </c>
      <c r="D170" s="13">
        <v>99</v>
      </c>
      <c r="E170" s="13">
        <v>22.409452428000801</v>
      </c>
      <c r="F170" s="13">
        <v>0.68096181066031625</v>
      </c>
      <c r="G170" s="13">
        <v>1.8525866083473231E-6</v>
      </c>
      <c r="H170" s="13" t="str">
        <f>HYPERLINK("plots_Fetch/Jacobi_plot_5.png", "Vedi grafico")</f>
        <v>Vedi grafico</v>
      </c>
      <c r="I170" s="13"/>
      <c r="J170" s="13">
        <v>1000</v>
      </c>
      <c r="K170" s="13">
        <v>1772</v>
      </c>
      <c r="L170" s="13">
        <v>4</v>
      </c>
      <c r="M170" s="13">
        <v>4</v>
      </c>
      <c r="N170" s="13">
        <v>5</v>
      </c>
    </row>
    <row r="171" spans="1:14" x14ac:dyDescent="0.3">
      <c r="A171" s="13">
        <v>5</v>
      </c>
      <c r="B171" s="13"/>
      <c r="C171" s="13"/>
      <c r="D171" s="13"/>
      <c r="E171" s="13"/>
      <c r="F171" s="13"/>
      <c r="G171" s="13"/>
      <c r="H171" s="13" t="str">
        <f>HYPERLINK("plots_Fetch/loss_overlay.png", "Vedi grafico")</f>
        <v>Vedi grafico</v>
      </c>
      <c r="I171" s="13"/>
      <c r="J171" s="13"/>
      <c r="K171" s="13"/>
      <c r="L171" s="13"/>
      <c r="M171" s="13"/>
      <c r="N171" s="13">
        <v>5</v>
      </c>
    </row>
    <row r="172" spans="1:14" x14ac:dyDescent="0.3">
      <c r="A172" s="13">
        <v>5</v>
      </c>
      <c r="B172" s="13" t="s">
        <v>1253</v>
      </c>
      <c r="C172" s="13" t="s">
        <v>1243</v>
      </c>
      <c r="D172" s="13">
        <v>99</v>
      </c>
      <c r="E172" s="13">
        <v>0.15954519899969449</v>
      </c>
      <c r="F172" s="13">
        <v>0.51015408034657428</v>
      </c>
      <c r="G172" s="13">
        <v>1.8998402537158589E-6</v>
      </c>
      <c r="H172" s="13" t="str">
        <f>HYPERLINK("plots_Adult/Gauss-Seidel_plot_5.png", "Vedi grafico")</f>
        <v>Vedi grafico</v>
      </c>
      <c r="I172" s="13"/>
      <c r="J172" s="13">
        <v>108</v>
      </c>
      <c r="K172" s="13">
        <v>500</v>
      </c>
      <c r="L172" s="13">
        <v>1</v>
      </c>
      <c r="M172" s="13">
        <v>4</v>
      </c>
      <c r="N172" s="13">
        <v>5</v>
      </c>
    </row>
    <row r="173" spans="1:14" x14ac:dyDescent="0.3">
      <c r="A173" s="13">
        <v>5</v>
      </c>
      <c r="B173" s="13" t="s">
        <v>1253</v>
      </c>
      <c r="C173" s="13" t="s">
        <v>1244</v>
      </c>
      <c r="D173" s="13">
        <v>100</v>
      </c>
      <c r="E173" s="13">
        <v>1.509855600124865E-2</v>
      </c>
      <c r="F173" s="13">
        <v>0.5121771278438636</v>
      </c>
      <c r="G173" s="13">
        <v>2.422305615100654E-2</v>
      </c>
      <c r="H173" s="13" t="str">
        <f>HYPERLINK("plots_Adult/Gradient Descent_plot_5.png", "Vedi grafico")</f>
        <v>Vedi grafico</v>
      </c>
      <c r="I173" s="13"/>
      <c r="J173" s="13">
        <v>108</v>
      </c>
      <c r="K173" s="13">
        <v>500</v>
      </c>
      <c r="L173" s="13">
        <v>1</v>
      </c>
      <c r="M173" s="13">
        <v>1</v>
      </c>
      <c r="N173" s="13">
        <v>5</v>
      </c>
    </row>
    <row r="174" spans="1:14" x14ac:dyDescent="0.3">
      <c r="A174" s="13">
        <v>5</v>
      </c>
      <c r="B174" s="13" t="s">
        <v>1253</v>
      </c>
      <c r="C174" s="13" t="s">
        <v>1245</v>
      </c>
      <c r="D174" s="13">
        <v>100</v>
      </c>
      <c r="E174" s="13">
        <v>3.0229394000343749E-2</v>
      </c>
      <c r="F174" s="13">
        <v>0.51015408033466247</v>
      </c>
      <c r="G174" s="13">
        <v>4.9174024418088745E-7</v>
      </c>
      <c r="H174" s="13" t="str">
        <f>HYPERLINK("plots_Adult/Gradient Descent Armijo_plot_5.png", "Vedi grafico")</f>
        <v>Vedi grafico</v>
      </c>
      <c r="I174" s="13"/>
      <c r="J174" s="13">
        <v>108</v>
      </c>
      <c r="K174" s="13">
        <v>500</v>
      </c>
      <c r="L174" s="13">
        <v>1</v>
      </c>
      <c r="M174" s="13">
        <v>1</v>
      </c>
      <c r="N174" s="13">
        <v>5</v>
      </c>
    </row>
    <row r="175" spans="1:14" x14ac:dyDescent="0.3">
      <c r="A175" s="13">
        <v>5</v>
      </c>
      <c r="B175" s="13" t="s">
        <v>1253</v>
      </c>
      <c r="C175" s="13" t="s">
        <v>1246</v>
      </c>
      <c r="D175" s="13">
        <v>99</v>
      </c>
      <c r="E175" s="13">
        <v>1.44558440399851</v>
      </c>
      <c r="F175" s="13">
        <v>0.51015408034730059</v>
      </c>
      <c r="G175" s="13">
        <v>1.723444867690654E-6</v>
      </c>
      <c r="H175" s="13" t="str">
        <f>HYPERLINK("plots_Adult/Jacobi_plot_5.png", "Vedi grafico")</f>
        <v>Vedi grafico</v>
      </c>
      <c r="I175" s="13"/>
      <c r="J175" s="13">
        <v>108</v>
      </c>
      <c r="K175" s="13">
        <v>500</v>
      </c>
      <c r="L175" s="13">
        <v>4</v>
      </c>
      <c r="M175" s="13">
        <v>4</v>
      </c>
      <c r="N175" s="13">
        <v>5</v>
      </c>
    </row>
    <row r="176" spans="1:14" x14ac:dyDescent="0.3">
      <c r="A176" s="13">
        <v>5</v>
      </c>
      <c r="B176" s="13"/>
      <c r="C176" s="13"/>
      <c r="D176" s="13"/>
      <c r="E176" s="13"/>
      <c r="F176" s="13"/>
      <c r="G176" s="13"/>
      <c r="H176" s="13" t="str">
        <f>HYPERLINK("plots_Adult/loss_overlay.png", "Vedi grafico")</f>
        <v>Vedi grafico</v>
      </c>
      <c r="I176" s="13"/>
      <c r="J176" s="13"/>
      <c r="K176" s="13"/>
      <c r="L176" s="13"/>
      <c r="M176" s="13"/>
      <c r="N176" s="13">
        <v>5</v>
      </c>
    </row>
    <row r="177" spans="1:14" x14ac:dyDescent="0.3">
      <c r="A177" s="16">
        <v>6</v>
      </c>
      <c r="B177" s="16" t="s">
        <v>1242</v>
      </c>
      <c r="C177" s="16" t="s">
        <v>1243</v>
      </c>
      <c r="D177" s="16">
        <v>99</v>
      </c>
      <c r="E177" s="16">
        <v>0.10286595599973231</v>
      </c>
      <c r="F177" s="16">
        <v>0.2098724307622713</v>
      </c>
      <c r="G177" s="16">
        <v>1.6429945406418281E-6</v>
      </c>
      <c r="H177" s="16" t="str">
        <f>HYPERLINK("plots_Breast_Cancer/Gauss-Seidel_plot_6.png", "Vedi grafico")</f>
        <v>Vedi grafico</v>
      </c>
      <c r="I177" s="16"/>
      <c r="J177" s="16">
        <v>30</v>
      </c>
      <c r="K177" s="16">
        <v>569</v>
      </c>
      <c r="L177" s="16">
        <v>1</v>
      </c>
      <c r="M177" s="16">
        <v>3</v>
      </c>
      <c r="N177" s="16">
        <v>6</v>
      </c>
    </row>
    <row r="178" spans="1:14" x14ac:dyDescent="0.3">
      <c r="A178" s="16">
        <v>6</v>
      </c>
      <c r="B178" s="16" t="s">
        <v>1242</v>
      </c>
      <c r="C178" s="16" t="s">
        <v>1244</v>
      </c>
      <c r="D178" s="16">
        <v>100</v>
      </c>
      <c r="E178" s="16">
        <v>1.151258900063112E-2</v>
      </c>
      <c r="F178" s="16">
        <v>0.21024932776281</v>
      </c>
      <c r="G178" s="16">
        <v>1.207764533447778E-2</v>
      </c>
      <c r="H178" s="16" t="str">
        <f>HYPERLINK("plots_Breast_Cancer/Gradient Descent_plot_6.png", "Vedi grafico")</f>
        <v>Vedi grafico</v>
      </c>
      <c r="I178" s="16"/>
      <c r="J178" s="16">
        <v>30</v>
      </c>
      <c r="K178" s="16">
        <v>569</v>
      </c>
      <c r="L178" s="16">
        <v>1</v>
      </c>
      <c r="M178" s="16">
        <v>1</v>
      </c>
      <c r="N178" s="16">
        <v>6</v>
      </c>
    </row>
    <row r="179" spans="1:14" x14ac:dyDescent="0.3">
      <c r="A179" s="14">
        <v>6</v>
      </c>
      <c r="B179" s="14" t="s">
        <v>1242</v>
      </c>
      <c r="C179" s="14" t="s">
        <v>1245</v>
      </c>
      <c r="D179" s="14">
        <v>100</v>
      </c>
      <c r="E179" s="14">
        <v>2.8124540000135308E-2</v>
      </c>
      <c r="F179" s="15">
        <v>0.2098724307504316</v>
      </c>
      <c r="G179" s="14">
        <v>1.4925095899640461E-7</v>
      </c>
      <c r="H179" s="14" t="str">
        <f>HYPERLINK("plots_Breast_Cancer/Gradient Descent Armijo_plot_6.png", "Vedi grafico")</f>
        <v>Vedi grafico</v>
      </c>
      <c r="I179" s="14"/>
      <c r="J179" s="14">
        <v>30</v>
      </c>
      <c r="K179" s="14">
        <v>569</v>
      </c>
      <c r="L179" s="14">
        <v>1</v>
      </c>
      <c r="M179" s="14">
        <v>1</v>
      </c>
      <c r="N179" s="14">
        <v>6</v>
      </c>
    </row>
    <row r="180" spans="1:14" x14ac:dyDescent="0.3">
      <c r="A180" s="16">
        <v>6</v>
      </c>
      <c r="B180" s="16" t="s">
        <v>1242</v>
      </c>
      <c r="C180" s="16" t="s">
        <v>1246</v>
      </c>
      <c r="D180" s="16">
        <v>99</v>
      </c>
      <c r="E180" s="16">
        <v>1.794425494999814</v>
      </c>
      <c r="F180" s="16">
        <v>0.20987243076230841</v>
      </c>
      <c r="G180" s="16">
        <v>1.639882637490377E-6</v>
      </c>
      <c r="H180" s="16" t="str">
        <f>HYPERLINK("plots_Breast_Cancer/Jacobi_plot_6.png", "Vedi grafico")</f>
        <v>Vedi grafico</v>
      </c>
      <c r="I180" s="16"/>
      <c r="J180" s="16">
        <v>30</v>
      </c>
      <c r="K180" s="16">
        <v>569</v>
      </c>
      <c r="L180" s="16">
        <v>4</v>
      </c>
      <c r="M180" s="16">
        <v>3</v>
      </c>
      <c r="N180" s="16">
        <v>6</v>
      </c>
    </row>
    <row r="181" spans="1:14" x14ac:dyDescent="0.3">
      <c r="A181" s="16">
        <v>6</v>
      </c>
      <c r="B181" s="16"/>
      <c r="C181" s="16"/>
      <c r="D181" s="16"/>
      <c r="E181" s="16"/>
      <c r="F181" s="16"/>
      <c r="G181" s="16"/>
      <c r="H181" s="16" t="str">
        <f>HYPERLINK("plots_Breast_Cancer/loss_overlay.png", "Vedi grafico")</f>
        <v>Vedi grafico</v>
      </c>
      <c r="I181" s="16"/>
      <c r="J181" s="16"/>
      <c r="K181" s="16"/>
      <c r="L181" s="16"/>
      <c r="M181" s="16"/>
      <c r="N181" s="16">
        <v>6</v>
      </c>
    </row>
    <row r="182" spans="1:14" x14ac:dyDescent="0.3">
      <c r="A182" s="16">
        <v>6</v>
      </c>
      <c r="B182" s="16" t="s">
        <v>1248</v>
      </c>
      <c r="C182" s="16" t="s">
        <v>1243</v>
      </c>
      <c r="D182" s="16">
        <v>99</v>
      </c>
      <c r="E182" s="16">
        <v>8.2158137000078568E-2</v>
      </c>
      <c r="F182" s="16">
        <v>0.53234021855431057</v>
      </c>
      <c r="G182" s="16">
        <v>1.558604846785218E-6</v>
      </c>
      <c r="H182" s="16" t="str">
        <f>HYPERLINK("plots_Diabetes/Gauss-Seidel_plot_6.png", "Vedi grafico")</f>
        <v>Vedi grafico</v>
      </c>
      <c r="I182" s="16"/>
      <c r="J182" s="16">
        <v>10</v>
      </c>
      <c r="K182" s="16">
        <v>442</v>
      </c>
      <c r="L182" s="16">
        <v>1</v>
      </c>
      <c r="M182" s="16">
        <v>3</v>
      </c>
      <c r="N182" s="16">
        <v>6</v>
      </c>
    </row>
    <row r="183" spans="1:14" x14ac:dyDescent="0.3">
      <c r="A183" s="16">
        <v>6</v>
      </c>
      <c r="B183" s="16" t="s">
        <v>1248</v>
      </c>
      <c r="C183" s="16" t="s">
        <v>1244</v>
      </c>
      <c r="D183" s="16">
        <v>100</v>
      </c>
      <c r="E183" s="16">
        <v>1.2020623000353231E-2</v>
      </c>
      <c r="F183" s="16">
        <v>0.53263822042975961</v>
      </c>
      <c r="G183" s="16">
        <v>1.2182936658034649E-2</v>
      </c>
      <c r="H183" s="16" t="str">
        <f>HYPERLINK("plots_Diabetes/Gradient Descent_plot_6.png", "Vedi grafico")</f>
        <v>Vedi grafico</v>
      </c>
      <c r="I183" s="16"/>
      <c r="J183" s="16">
        <v>10</v>
      </c>
      <c r="K183" s="16">
        <v>442</v>
      </c>
      <c r="L183" s="16">
        <v>1</v>
      </c>
      <c r="M183" s="16">
        <v>1</v>
      </c>
      <c r="N183" s="16">
        <v>6</v>
      </c>
    </row>
    <row r="184" spans="1:14" x14ac:dyDescent="0.3">
      <c r="A184" s="16">
        <v>6</v>
      </c>
      <c r="B184" s="16" t="s">
        <v>1248</v>
      </c>
      <c r="C184" s="16" t="s">
        <v>1245</v>
      </c>
      <c r="D184" s="16">
        <v>100</v>
      </c>
      <c r="E184" s="16">
        <v>2.0897133999824291E-2</v>
      </c>
      <c r="F184" s="16">
        <v>0.5323402185455357</v>
      </c>
      <c r="G184" s="16">
        <v>6.1510589046363571E-8</v>
      </c>
      <c r="H184" s="16" t="str">
        <f>HYPERLINK("plots_Diabetes/Gradient Descent Armijo_plot_6.png", "Vedi grafico")</f>
        <v>Vedi grafico</v>
      </c>
      <c r="I184" s="16"/>
      <c r="J184" s="16">
        <v>10</v>
      </c>
      <c r="K184" s="16">
        <v>442</v>
      </c>
      <c r="L184" s="16">
        <v>1</v>
      </c>
      <c r="M184" s="16">
        <v>1</v>
      </c>
      <c r="N184" s="16">
        <v>6</v>
      </c>
    </row>
    <row r="185" spans="1:14" x14ac:dyDescent="0.3">
      <c r="A185" s="16">
        <v>6</v>
      </c>
      <c r="B185" s="16" t="s">
        <v>1248</v>
      </c>
      <c r="C185" s="16" t="s">
        <v>1246</v>
      </c>
      <c r="D185" s="16">
        <v>99</v>
      </c>
      <c r="E185" s="16">
        <v>1.2252914299988329</v>
      </c>
      <c r="F185" s="16">
        <v>0.53234021855466929</v>
      </c>
      <c r="G185" s="16">
        <v>1.5812407854992161E-6</v>
      </c>
      <c r="H185" s="16" t="str">
        <f>HYPERLINK("plots_Diabetes/Jacobi_plot_6.png", "Vedi grafico")</f>
        <v>Vedi grafico</v>
      </c>
      <c r="I185" s="16"/>
      <c r="J185" s="16">
        <v>10</v>
      </c>
      <c r="K185" s="16">
        <v>442</v>
      </c>
      <c r="L185" s="16">
        <v>4</v>
      </c>
      <c r="M185" s="16">
        <v>3</v>
      </c>
      <c r="N185" s="16">
        <v>6</v>
      </c>
    </row>
    <row r="186" spans="1:14" x14ac:dyDescent="0.3">
      <c r="A186" s="16">
        <v>6</v>
      </c>
      <c r="B186" s="16"/>
      <c r="C186" s="16"/>
      <c r="D186" s="16"/>
      <c r="E186" s="16"/>
      <c r="F186" s="16"/>
      <c r="G186" s="16"/>
      <c r="H186" s="16" t="str">
        <f>HYPERLINK("plots_Diabetes/loss_overlay.png", "Vedi grafico")</f>
        <v>Vedi grafico</v>
      </c>
      <c r="I186" s="16"/>
      <c r="J186" s="16"/>
      <c r="K186" s="16"/>
      <c r="L186" s="16"/>
      <c r="M186" s="16"/>
      <c r="N186" s="16">
        <v>6</v>
      </c>
    </row>
    <row r="187" spans="1:14" x14ac:dyDescent="0.3">
      <c r="A187" s="16">
        <v>6</v>
      </c>
      <c r="B187" s="16" t="s">
        <v>1249</v>
      </c>
      <c r="C187" s="16" t="s">
        <v>1243</v>
      </c>
      <c r="D187" s="16">
        <v>99</v>
      </c>
      <c r="E187" s="16">
        <v>0.30871506599942222</v>
      </c>
      <c r="F187" s="16">
        <v>0.34434747736960852</v>
      </c>
      <c r="G187" s="16">
        <v>1.493580584911406E-6</v>
      </c>
      <c r="H187" s="16" t="str">
        <f>HYPERLINK("plots_Digits/Gauss-Seidel_plot_6.png", "Vedi grafico")</f>
        <v>Vedi grafico</v>
      </c>
      <c r="I187" s="16"/>
      <c r="J187" s="16">
        <v>64</v>
      </c>
      <c r="K187" s="16">
        <v>1797</v>
      </c>
      <c r="L187" s="16">
        <v>1</v>
      </c>
      <c r="M187" s="16">
        <v>3</v>
      </c>
      <c r="N187" s="16">
        <v>6</v>
      </c>
    </row>
    <row r="188" spans="1:14" x14ac:dyDescent="0.3">
      <c r="A188" s="16">
        <v>6</v>
      </c>
      <c r="B188" s="16" t="s">
        <v>1249</v>
      </c>
      <c r="C188" s="16" t="s">
        <v>1244</v>
      </c>
      <c r="D188" s="16">
        <v>100</v>
      </c>
      <c r="E188" s="16">
        <v>2.264142700005323E-2</v>
      </c>
      <c r="F188" s="16">
        <v>0.34537500106744229</v>
      </c>
      <c r="G188" s="16">
        <v>1.9786438650008439E-2</v>
      </c>
      <c r="H188" s="16" t="str">
        <f>HYPERLINK("plots_Digits/Gradient Descent_plot_6.png", "Vedi grafico")</f>
        <v>Vedi grafico</v>
      </c>
      <c r="I188" s="16"/>
      <c r="J188" s="16">
        <v>64</v>
      </c>
      <c r="K188" s="16">
        <v>1797</v>
      </c>
      <c r="L188" s="16">
        <v>1</v>
      </c>
      <c r="M188" s="16">
        <v>1</v>
      </c>
      <c r="N188" s="16">
        <v>6</v>
      </c>
    </row>
    <row r="189" spans="1:14" x14ac:dyDescent="0.3">
      <c r="A189" s="16">
        <v>6</v>
      </c>
      <c r="B189" s="16" t="s">
        <v>1249</v>
      </c>
      <c r="C189" s="16" t="s">
        <v>1245</v>
      </c>
      <c r="D189" s="16">
        <v>100</v>
      </c>
      <c r="E189" s="16">
        <v>6.3586755999494926E-2</v>
      </c>
      <c r="F189" s="16">
        <v>0.34434747736105209</v>
      </c>
      <c r="G189" s="16">
        <v>1.033194216913189E-7</v>
      </c>
      <c r="H189" s="16" t="str">
        <f>HYPERLINK("plots_Digits/Gradient Descent Armijo_plot_6.png", "Vedi grafico")</f>
        <v>Vedi grafico</v>
      </c>
      <c r="I189" s="16"/>
      <c r="J189" s="16">
        <v>64</v>
      </c>
      <c r="K189" s="16">
        <v>1797</v>
      </c>
      <c r="L189" s="16">
        <v>1</v>
      </c>
      <c r="M189" s="16">
        <v>1</v>
      </c>
      <c r="N189" s="16">
        <v>6</v>
      </c>
    </row>
    <row r="190" spans="1:14" x14ac:dyDescent="0.3">
      <c r="A190" s="16">
        <v>6</v>
      </c>
      <c r="B190" s="16" t="s">
        <v>1249</v>
      </c>
      <c r="C190" s="16" t="s">
        <v>1246</v>
      </c>
      <c r="D190" s="16">
        <v>99</v>
      </c>
      <c r="E190" s="16">
        <v>2.2220625899990409</v>
      </c>
      <c r="F190" s="16">
        <v>0.34434747736925292</v>
      </c>
      <c r="G190" s="16">
        <v>1.48494259588109E-6</v>
      </c>
      <c r="H190" s="16" t="str">
        <f>HYPERLINK("plots_Digits/Jacobi_plot_6.png", "Vedi grafico")</f>
        <v>Vedi grafico</v>
      </c>
      <c r="I190" s="16"/>
      <c r="J190" s="16">
        <v>64</v>
      </c>
      <c r="K190" s="16">
        <v>1797</v>
      </c>
      <c r="L190" s="16">
        <v>4</v>
      </c>
      <c r="M190" s="16">
        <v>3</v>
      </c>
      <c r="N190" s="16">
        <v>6</v>
      </c>
    </row>
    <row r="191" spans="1:14" x14ac:dyDescent="0.3">
      <c r="A191" s="16">
        <v>6</v>
      </c>
      <c r="B191" s="16"/>
      <c r="C191" s="16"/>
      <c r="D191" s="16"/>
      <c r="E191" s="16"/>
      <c r="F191" s="16"/>
      <c r="G191" s="16"/>
      <c r="H191" s="16" t="str">
        <f>HYPERLINK("plots_Digits/loss_overlay.png", "Vedi grafico")</f>
        <v>Vedi grafico</v>
      </c>
      <c r="I191" s="16"/>
      <c r="J191" s="16"/>
      <c r="K191" s="16"/>
      <c r="L191" s="16"/>
      <c r="M191" s="16"/>
      <c r="N191" s="16">
        <v>6</v>
      </c>
    </row>
    <row r="192" spans="1:14" x14ac:dyDescent="0.3">
      <c r="A192" s="16">
        <v>6</v>
      </c>
      <c r="B192" s="16" t="s">
        <v>1250</v>
      </c>
      <c r="C192" s="16" t="s">
        <v>1243</v>
      </c>
      <c r="D192" s="16">
        <v>99</v>
      </c>
      <c r="E192" s="16">
        <v>7.7177103999929386E-2</v>
      </c>
      <c r="F192" s="16">
        <v>0.27704814805781619</v>
      </c>
      <c r="G192" s="16">
        <v>1.558115533624246E-6</v>
      </c>
      <c r="H192" s="16" t="str">
        <f>HYPERLINK("plots_Iris/Gauss-Seidel_plot_6.png", "Vedi grafico")</f>
        <v>Vedi grafico</v>
      </c>
      <c r="I192" s="16"/>
      <c r="J192" s="16">
        <v>4</v>
      </c>
      <c r="K192" s="16">
        <v>150</v>
      </c>
      <c r="L192" s="16">
        <v>1</v>
      </c>
      <c r="M192" s="16">
        <v>3</v>
      </c>
      <c r="N192" s="16">
        <v>6</v>
      </c>
    </row>
    <row r="193" spans="1:14" x14ac:dyDescent="0.3">
      <c r="A193" s="14">
        <v>6</v>
      </c>
      <c r="B193" s="14" t="s">
        <v>1250</v>
      </c>
      <c r="C193" s="14" t="s">
        <v>1244</v>
      </c>
      <c r="D193" s="14">
        <v>100</v>
      </c>
      <c r="E193" s="15">
        <v>9.0135059999738587E-3</v>
      </c>
      <c r="F193" s="14">
        <v>0.27776652481322572</v>
      </c>
      <c r="G193" s="14">
        <v>1.8187512148941268E-2</v>
      </c>
      <c r="H193" s="14" t="str">
        <f>HYPERLINK("plots_Iris/Gradient Descent_plot_6.png", "Vedi grafico")</f>
        <v>Vedi grafico</v>
      </c>
      <c r="I193" s="14"/>
      <c r="J193" s="14">
        <v>4</v>
      </c>
      <c r="K193" s="14">
        <v>150</v>
      </c>
      <c r="L193" s="14">
        <v>1</v>
      </c>
      <c r="M193" s="14">
        <v>1</v>
      </c>
      <c r="N193" s="14">
        <v>6</v>
      </c>
    </row>
    <row r="194" spans="1:14" x14ac:dyDescent="0.3">
      <c r="A194" s="16">
        <v>6</v>
      </c>
      <c r="B194" s="16" t="s">
        <v>1250</v>
      </c>
      <c r="C194" s="16" t="s">
        <v>1245</v>
      </c>
      <c r="D194" s="16">
        <v>100</v>
      </c>
      <c r="E194" s="16">
        <v>1.9368650999240341E-2</v>
      </c>
      <c r="F194" s="16">
        <v>0.2770481480474194</v>
      </c>
      <c r="G194" s="16">
        <v>1.0008744736275179E-7</v>
      </c>
      <c r="H194" s="16" t="str">
        <f>HYPERLINK("plots_Iris/Gradient Descent Armijo_plot_6.png", "Vedi grafico")</f>
        <v>Vedi grafico</v>
      </c>
      <c r="I194" s="16"/>
      <c r="J194" s="16">
        <v>4</v>
      </c>
      <c r="K194" s="16">
        <v>150</v>
      </c>
      <c r="L194" s="16">
        <v>1</v>
      </c>
      <c r="M194" s="16">
        <v>1</v>
      </c>
      <c r="N194" s="16">
        <v>6</v>
      </c>
    </row>
    <row r="195" spans="1:14" x14ac:dyDescent="0.3">
      <c r="A195" s="16">
        <v>6</v>
      </c>
      <c r="B195" s="16" t="s">
        <v>1250</v>
      </c>
      <c r="C195" s="16" t="s">
        <v>1246</v>
      </c>
      <c r="D195" s="16">
        <v>99</v>
      </c>
      <c r="E195" s="16">
        <v>1.210857758000202</v>
      </c>
      <c r="F195" s="16">
        <v>0.27704814805836497</v>
      </c>
      <c r="G195" s="16">
        <v>1.602465997231919E-6</v>
      </c>
      <c r="H195" s="16" t="str">
        <f>HYPERLINK("plots_Iris/Jacobi_plot_6.png", "Vedi grafico")</f>
        <v>Vedi grafico</v>
      </c>
      <c r="I195" s="16"/>
      <c r="J195" s="16">
        <v>4</v>
      </c>
      <c r="K195" s="16">
        <v>150</v>
      </c>
      <c r="L195" s="16">
        <v>4</v>
      </c>
      <c r="M195" s="16">
        <v>3</v>
      </c>
      <c r="N195" s="16">
        <v>6</v>
      </c>
    </row>
    <row r="196" spans="1:14" x14ac:dyDescent="0.3">
      <c r="A196" s="16">
        <v>6</v>
      </c>
      <c r="B196" s="16"/>
      <c r="C196" s="16"/>
      <c r="D196" s="16"/>
      <c r="E196" s="16"/>
      <c r="F196" s="16"/>
      <c r="G196" s="16"/>
      <c r="H196" s="16" t="str">
        <f>HYPERLINK("plots_Iris/loss_overlay.png", "Vedi grafico")</f>
        <v>Vedi grafico</v>
      </c>
      <c r="I196" s="16"/>
      <c r="J196" s="16"/>
      <c r="K196" s="16"/>
      <c r="L196" s="16"/>
      <c r="M196" s="16"/>
      <c r="N196" s="16">
        <v>6</v>
      </c>
    </row>
    <row r="197" spans="1:14" x14ac:dyDescent="0.3">
      <c r="A197" s="16">
        <v>6</v>
      </c>
      <c r="B197" s="16" t="s">
        <v>1251</v>
      </c>
      <c r="C197" s="16" t="s">
        <v>1243</v>
      </c>
      <c r="D197" s="16">
        <v>99</v>
      </c>
      <c r="E197" s="16">
        <v>8.1019594001190853E-2</v>
      </c>
      <c r="F197" s="16">
        <v>0.28687255998474409</v>
      </c>
      <c r="G197" s="16">
        <v>1.5366697802511581E-6</v>
      </c>
      <c r="H197" s="16" t="str">
        <f>HYPERLINK("plots_Wine/Gauss-Seidel_plot_6.png", "Vedi grafico")</f>
        <v>Vedi grafico</v>
      </c>
      <c r="I197" s="16"/>
      <c r="J197" s="16">
        <v>13</v>
      </c>
      <c r="K197" s="16">
        <v>178</v>
      </c>
      <c r="L197" s="16">
        <v>1</v>
      </c>
      <c r="M197" s="16">
        <v>3</v>
      </c>
      <c r="N197" s="16">
        <v>6</v>
      </c>
    </row>
    <row r="198" spans="1:14" x14ac:dyDescent="0.3">
      <c r="A198" s="16">
        <v>6</v>
      </c>
      <c r="B198" s="16" t="s">
        <v>1251</v>
      </c>
      <c r="C198" s="16" t="s">
        <v>1244</v>
      </c>
      <c r="D198" s="16">
        <v>100</v>
      </c>
      <c r="E198" s="16">
        <v>1.245585900142032E-2</v>
      </c>
      <c r="F198" s="16">
        <v>0.288147784334295</v>
      </c>
      <c r="G198" s="16">
        <v>2.226338153822115E-2</v>
      </c>
      <c r="H198" s="16" t="str">
        <f>HYPERLINK("plots_Wine/Gradient Descent_plot_6.png", "Vedi grafico")</f>
        <v>Vedi grafico</v>
      </c>
      <c r="I198" s="16"/>
      <c r="J198" s="16">
        <v>13</v>
      </c>
      <c r="K198" s="16">
        <v>178</v>
      </c>
      <c r="L198" s="16">
        <v>1</v>
      </c>
      <c r="M198" s="16">
        <v>1</v>
      </c>
      <c r="N198" s="16">
        <v>6</v>
      </c>
    </row>
    <row r="199" spans="1:14" x14ac:dyDescent="0.3">
      <c r="A199" s="16">
        <v>6</v>
      </c>
      <c r="B199" s="16" t="s">
        <v>1251</v>
      </c>
      <c r="C199" s="16" t="s">
        <v>1245</v>
      </c>
      <c r="D199" s="16">
        <v>100</v>
      </c>
      <c r="E199" s="16">
        <v>1.8203098999947539E-2</v>
      </c>
      <c r="F199" s="16">
        <v>0.28687255997585598</v>
      </c>
      <c r="G199" s="16">
        <v>5.1639985112820927E-8</v>
      </c>
      <c r="H199" s="16" t="str">
        <f>HYPERLINK("plots_Wine/Gradient Descent Armijo_plot_6.png", "Vedi grafico")</f>
        <v>Vedi grafico</v>
      </c>
      <c r="I199" s="16"/>
      <c r="J199" s="16">
        <v>13</v>
      </c>
      <c r="K199" s="16">
        <v>178</v>
      </c>
      <c r="L199" s="16">
        <v>1</v>
      </c>
      <c r="M199" s="16">
        <v>1</v>
      </c>
      <c r="N199" s="16">
        <v>6</v>
      </c>
    </row>
    <row r="200" spans="1:14" x14ac:dyDescent="0.3">
      <c r="A200" s="16">
        <v>6</v>
      </c>
      <c r="B200" s="16" t="s">
        <v>1251</v>
      </c>
      <c r="C200" s="16" t="s">
        <v>1246</v>
      </c>
      <c r="D200" s="16">
        <v>99</v>
      </c>
      <c r="E200" s="16">
        <v>1.2129006120012491</v>
      </c>
      <c r="F200" s="16">
        <v>0.28687255998491751</v>
      </c>
      <c r="G200" s="16">
        <v>1.5519298628495311E-6</v>
      </c>
      <c r="H200" s="16" t="str">
        <f>HYPERLINK("plots_Wine/Jacobi_plot_6.png", "Vedi grafico")</f>
        <v>Vedi grafico</v>
      </c>
      <c r="I200" s="16"/>
      <c r="J200" s="16">
        <v>13</v>
      </c>
      <c r="K200" s="16">
        <v>178</v>
      </c>
      <c r="L200" s="16">
        <v>4</v>
      </c>
      <c r="M200" s="16">
        <v>3</v>
      </c>
      <c r="N200" s="16">
        <v>6</v>
      </c>
    </row>
    <row r="201" spans="1:14" x14ac:dyDescent="0.3">
      <c r="A201" s="16">
        <v>6</v>
      </c>
      <c r="B201" s="16"/>
      <c r="C201" s="16"/>
      <c r="D201" s="16"/>
      <c r="E201" s="16"/>
      <c r="F201" s="16"/>
      <c r="G201" s="16"/>
      <c r="H201" s="16" t="str">
        <f>HYPERLINK("plots_Wine/loss_overlay.png", "Vedi grafico")</f>
        <v>Vedi grafico</v>
      </c>
      <c r="I201" s="16"/>
      <c r="J201" s="16"/>
      <c r="K201" s="16"/>
      <c r="L201" s="16"/>
      <c r="M201" s="16"/>
      <c r="N201" s="16">
        <v>6</v>
      </c>
    </row>
    <row r="202" spans="1:14" x14ac:dyDescent="0.3">
      <c r="A202" s="16">
        <v>6</v>
      </c>
      <c r="B202" s="16" t="s">
        <v>1252</v>
      </c>
      <c r="C202" s="16" t="s">
        <v>1243</v>
      </c>
      <c r="D202" s="16">
        <v>99</v>
      </c>
      <c r="E202" s="16">
        <v>3.0218113179998909</v>
      </c>
      <c r="F202" s="16">
        <v>0.68096181065722583</v>
      </c>
      <c r="G202" s="16">
        <v>1.671235645865082E-6</v>
      </c>
      <c r="H202" s="16" t="str">
        <f>HYPERLINK("plots_Fetch/Gauss-Seidel_plot_6.png", "Vedi grafico")</f>
        <v>Vedi grafico</v>
      </c>
      <c r="I202" s="16"/>
      <c r="J202" s="16">
        <v>1000</v>
      </c>
      <c r="K202" s="16">
        <v>1772</v>
      </c>
      <c r="L202" s="16">
        <v>1</v>
      </c>
      <c r="M202" s="16">
        <v>3</v>
      </c>
      <c r="N202" s="16">
        <v>6</v>
      </c>
    </row>
    <row r="203" spans="1:14" x14ac:dyDescent="0.3">
      <c r="A203" s="16">
        <v>6</v>
      </c>
      <c r="B203" s="16" t="s">
        <v>1252</v>
      </c>
      <c r="C203" s="16" t="s">
        <v>1244</v>
      </c>
      <c r="D203" s="16">
        <v>100</v>
      </c>
      <c r="E203" s="16">
        <v>0.73955407900029968</v>
      </c>
      <c r="F203" s="16">
        <v>0.68246591166439041</v>
      </c>
      <c r="G203" s="16">
        <v>1.7870159283770851E-2</v>
      </c>
      <c r="H203" s="16" t="str">
        <f>HYPERLINK("plots_Fetch/Gradient Descent_plot_6.png", "Vedi grafico")</f>
        <v>Vedi grafico</v>
      </c>
      <c r="I203" s="16"/>
      <c r="J203" s="16">
        <v>1000</v>
      </c>
      <c r="K203" s="16">
        <v>1772</v>
      </c>
      <c r="L203" s="16">
        <v>1</v>
      </c>
      <c r="M203" s="16">
        <v>1</v>
      </c>
      <c r="N203" s="16">
        <v>6</v>
      </c>
    </row>
    <row r="204" spans="1:14" x14ac:dyDescent="0.3">
      <c r="A204" s="16">
        <v>6</v>
      </c>
      <c r="B204" s="16" t="s">
        <v>1252</v>
      </c>
      <c r="C204" s="16" t="s">
        <v>1245</v>
      </c>
      <c r="D204" s="16">
        <v>100</v>
      </c>
      <c r="E204" s="16">
        <v>0.95926563499961048</v>
      </c>
      <c r="F204" s="16">
        <v>0.68096181064839212</v>
      </c>
      <c r="G204" s="16">
        <v>9.8127357946551937E-7</v>
      </c>
      <c r="H204" s="16" t="str">
        <f>HYPERLINK("plots_Fetch/Gradient Descent Armijo_plot_6.png", "Vedi grafico")</f>
        <v>Vedi grafico</v>
      </c>
      <c r="I204" s="16"/>
      <c r="J204" s="16">
        <v>1000</v>
      </c>
      <c r="K204" s="16">
        <v>1772</v>
      </c>
      <c r="L204" s="16">
        <v>1</v>
      </c>
      <c r="M204" s="16">
        <v>1</v>
      </c>
      <c r="N204" s="16">
        <v>6</v>
      </c>
    </row>
    <row r="205" spans="1:14" x14ac:dyDescent="0.3">
      <c r="A205" s="16">
        <v>6</v>
      </c>
      <c r="B205" s="16" t="s">
        <v>1252</v>
      </c>
      <c r="C205" s="16" t="s">
        <v>1246</v>
      </c>
      <c r="D205" s="16">
        <v>99</v>
      </c>
      <c r="E205" s="16">
        <v>20.201889664000191</v>
      </c>
      <c r="F205" s="16">
        <v>0.68096181065710581</v>
      </c>
      <c r="G205" s="16">
        <v>1.663236301623335E-6</v>
      </c>
      <c r="H205" s="16" t="str">
        <f>HYPERLINK("plots_Fetch/Jacobi_plot_6.png", "Vedi grafico")</f>
        <v>Vedi grafico</v>
      </c>
      <c r="I205" s="16"/>
      <c r="J205" s="16">
        <v>1000</v>
      </c>
      <c r="K205" s="16">
        <v>1772</v>
      </c>
      <c r="L205" s="16">
        <v>4</v>
      </c>
      <c r="M205" s="16">
        <v>3</v>
      </c>
      <c r="N205" s="16">
        <v>6</v>
      </c>
    </row>
    <row r="206" spans="1:14" x14ac:dyDescent="0.3">
      <c r="A206" s="16">
        <v>6</v>
      </c>
      <c r="B206" s="16"/>
      <c r="C206" s="16"/>
      <c r="D206" s="16"/>
      <c r="E206" s="16"/>
      <c r="F206" s="16"/>
      <c r="G206" s="16"/>
      <c r="H206" s="16" t="str">
        <f>HYPERLINK("plots_Fetch/loss_overlay.png", "Vedi grafico")</f>
        <v>Vedi grafico</v>
      </c>
      <c r="I206" s="16"/>
      <c r="J206" s="16"/>
      <c r="K206" s="16"/>
      <c r="L206" s="16"/>
      <c r="M206" s="16"/>
      <c r="N206" s="16">
        <v>6</v>
      </c>
    </row>
    <row r="207" spans="1:14" x14ac:dyDescent="0.3">
      <c r="A207" s="16">
        <v>6</v>
      </c>
      <c r="B207" s="16" t="s">
        <v>1253</v>
      </c>
      <c r="C207" s="16" t="s">
        <v>1243</v>
      </c>
      <c r="D207" s="16">
        <v>99</v>
      </c>
      <c r="E207" s="16">
        <v>0.12698793900017341</v>
      </c>
      <c r="F207" s="16">
        <v>0.51015408034191068</v>
      </c>
      <c r="G207" s="16">
        <v>1.492975089393974E-6</v>
      </c>
      <c r="H207" s="16" t="str">
        <f>HYPERLINK("plots_Adult/Gauss-Seidel_plot_6.png", "Vedi grafico")</f>
        <v>Vedi grafico</v>
      </c>
      <c r="I207" s="16"/>
      <c r="J207" s="16">
        <v>108</v>
      </c>
      <c r="K207" s="16">
        <v>500</v>
      </c>
      <c r="L207" s="16">
        <v>1</v>
      </c>
      <c r="M207" s="16">
        <v>3</v>
      </c>
      <c r="N207" s="16">
        <v>6</v>
      </c>
    </row>
    <row r="208" spans="1:14" x14ac:dyDescent="0.3">
      <c r="A208" s="16">
        <v>6</v>
      </c>
      <c r="B208" s="16" t="s">
        <v>1253</v>
      </c>
      <c r="C208" s="16" t="s">
        <v>1244</v>
      </c>
      <c r="D208" s="16">
        <v>100</v>
      </c>
      <c r="E208" s="16">
        <v>1.6942513000685722E-2</v>
      </c>
      <c r="F208" s="16">
        <v>0.5121771278438636</v>
      </c>
      <c r="G208" s="16">
        <v>2.422305615100654E-2</v>
      </c>
      <c r="H208" s="16" t="str">
        <f>HYPERLINK("plots_Adult/Gradient Descent_plot_6.png", "Vedi grafico")</f>
        <v>Vedi grafico</v>
      </c>
      <c r="I208" s="16"/>
      <c r="J208" s="16">
        <v>108</v>
      </c>
      <c r="K208" s="16">
        <v>500</v>
      </c>
      <c r="L208" s="16">
        <v>1</v>
      </c>
      <c r="M208" s="16">
        <v>1</v>
      </c>
      <c r="N208" s="16">
        <v>6</v>
      </c>
    </row>
    <row r="209" spans="1:14" x14ac:dyDescent="0.3">
      <c r="A209" s="16">
        <v>6</v>
      </c>
      <c r="B209" s="16" t="s">
        <v>1253</v>
      </c>
      <c r="C209" s="16" t="s">
        <v>1245</v>
      </c>
      <c r="D209" s="16">
        <v>100</v>
      </c>
      <c r="E209" s="16">
        <v>2.9738967999946912E-2</v>
      </c>
      <c r="F209" s="16">
        <v>0.51015408033466247</v>
      </c>
      <c r="G209" s="16">
        <v>4.9174024418088745E-7</v>
      </c>
      <c r="H209" s="16" t="str">
        <f>HYPERLINK("plots_Adult/Gradient Descent Armijo_plot_6.png", "Vedi grafico")</f>
        <v>Vedi grafico</v>
      </c>
      <c r="I209" s="16"/>
      <c r="J209" s="16">
        <v>108</v>
      </c>
      <c r="K209" s="16">
        <v>500</v>
      </c>
      <c r="L209" s="16">
        <v>1</v>
      </c>
      <c r="M209" s="16">
        <v>1</v>
      </c>
      <c r="N209" s="16">
        <v>6</v>
      </c>
    </row>
    <row r="210" spans="1:14" x14ac:dyDescent="0.3">
      <c r="A210" s="16">
        <v>6</v>
      </c>
      <c r="B210" s="16" t="s">
        <v>1253</v>
      </c>
      <c r="C210" s="16" t="s">
        <v>1246</v>
      </c>
      <c r="D210" s="16">
        <v>99</v>
      </c>
      <c r="E210" s="16">
        <v>1.336022118999608</v>
      </c>
      <c r="F210" s="16">
        <v>0.5101540803437169</v>
      </c>
      <c r="G210" s="16">
        <v>1.48948613327001E-6</v>
      </c>
      <c r="H210" s="16" t="str">
        <f>HYPERLINK("plots_Adult/Jacobi_plot_6.png", "Vedi grafico")</f>
        <v>Vedi grafico</v>
      </c>
      <c r="I210" s="16"/>
      <c r="J210" s="16">
        <v>108</v>
      </c>
      <c r="K210" s="16">
        <v>500</v>
      </c>
      <c r="L210" s="16">
        <v>4</v>
      </c>
      <c r="M210" s="16">
        <v>3</v>
      </c>
      <c r="N210" s="16">
        <v>6</v>
      </c>
    </row>
    <row r="211" spans="1:14" x14ac:dyDescent="0.3">
      <c r="A211" s="16">
        <v>6</v>
      </c>
      <c r="B211" s="16"/>
      <c r="C211" s="16"/>
      <c r="D211" s="16"/>
      <c r="E211" s="16"/>
      <c r="F211" s="16"/>
      <c r="G211" s="16"/>
      <c r="H211" s="16" t="str">
        <f>HYPERLINK("plots_Adult/loss_overlay.png", "Vedi grafico")</f>
        <v>Vedi grafico</v>
      </c>
      <c r="I211" s="16"/>
      <c r="J211" s="16"/>
      <c r="K211" s="16"/>
      <c r="L211" s="16"/>
      <c r="M211" s="16"/>
      <c r="N211" s="16">
        <v>6</v>
      </c>
    </row>
    <row r="212" spans="1:14" x14ac:dyDescent="0.3">
      <c r="A212" s="17">
        <v>7</v>
      </c>
      <c r="B212" s="17" t="s">
        <v>1242</v>
      </c>
      <c r="C212" s="17" t="s">
        <v>1243</v>
      </c>
      <c r="D212" s="17">
        <v>99</v>
      </c>
      <c r="E212" s="17">
        <v>7.8181572000175947E-2</v>
      </c>
      <c r="F212" s="17">
        <v>0.20987243075704271</v>
      </c>
      <c r="G212" s="17">
        <v>1.2246519670762419E-6</v>
      </c>
      <c r="H212" s="17" t="str">
        <f>HYPERLINK("plots_Breast_Cancer/Gauss-Seidel_plot_7.png", "Vedi grafico")</f>
        <v>Vedi grafico</v>
      </c>
      <c r="I212" s="17"/>
      <c r="J212" s="17">
        <v>30</v>
      </c>
      <c r="K212" s="17">
        <v>569</v>
      </c>
      <c r="L212" s="17">
        <v>1</v>
      </c>
      <c r="M212" s="17">
        <v>2</v>
      </c>
      <c r="N212" s="17">
        <v>7</v>
      </c>
    </row>
    <row r="213" spans="1:14" x14ac:dyDescent="0.3">
      <c r="A213" s="17">
        <v>7</v>
      </c>
      <c r="B213" s="17" t="s">
        <v>1242</v>
      </c>
      <c r="C213" s="17" t="s">
        <v>1244</v>
      </c>
      <c r="D213" s="17">
        <v>100</v>
      </c>
      <c r="E213" s="17">
        <v>1.227150199883908E-2</v>
      </c>
      <c r="F213" s="17">
        <v>0.21024932776281</v>
      </c>
      <c r="G213" s="17">
        <v>1.207764533447778E-2</v>
      </c>
      <c r="H213" s="17" t="str">
        <f>HYPERLINK("plots_Breast_Cancer/Gradient Descent_plot_7.png", "Vedi grafico")</f>
        <v>Vedi grafico</v>
      </c>
      <c r="I213" s="17"/>
      <c r="J213" s="17">
        <v>30</v>
      </c>
      <c r="K213" s="17">
        <v>569</v>
      </c>
      <c r="L213" s="17">
        <v>1</v>
      </c>
      <c r="M213" s="17">
        <v>1</v>
      </c>
      <c r="N213" s="17">
        <v>7</v>
      </c>
    </row>
    <row r="214" spans="1:14" x14ac:dyDescent="0.3">
      <c r="A214" s="14">
        <v>7</v>
      </c>
      <c r="B214" s="14" t="s">
        <v>1242</v>
      </c>
      <c r="C214" s="14" t="s">
        <v>1245</v>
      </c>
      <c r="D214" s="14">
        <v>100</v>
      </c>
      <c r="E214" s="14">
        <v>2.4334255000212579E-2</v>
      </c>
      <c r="F214" s="15">
        <v>0.2098724307504316</v>
      </c>
      <c r="G214" s="14">
        <v>1.4925095899640461E-7</v>
      </c>
      <c r="H214" s="14" t="str">
        <f>HYPERLINK("plots_Breast_Cancer/Gradient Descent Armijo_plot_7.png", "Vedi grafico")</f>
        <v>Vedi grafico</v>
      </c>
      <c r="I214" s="14"/>
      <c r="J214" s="14">
        <v>30</v>
      </c>
      <c r="K214" s="14">
        <v>569</v>
      </c>
      <c r="L214" s="14">
        <v>1</v>
      </c>
      <c r="M214" s="14">
        <v>1</v>
      </c>
      <c r="N214" s="14">
        <v>7</v>
      </c>
    </row>
    <row r="215" spans="1:14" x14ac:dyDescent="0.3">
      <c r="A215" s="17">
        <v>7</v>
      </c>
      <c r="B215" s="17" t="s">
        <v>1242</v>
      </c>
      <c r="C215" s="17" t="s">
        <v>1246</v>
      </c>
      <c r="D215" s="17">
        <v>99</v>
      </c>
      <c r="E215" s="17">
        <v>1.728348892998838</v>
      </c>
      <c r="F215" s="17">
        <v>0.20987243075902379</v>
      </c>
      <c r="G215" s="17">
        <v>1.3793185367128121E-6</v>
      </c>
      <c r="H215" s="17" t="str">
        <f>HYPERLINK("plots_Breast_Cancer/Jacobi_plot_7.png", "Vedi grafico")</f>
        <v>Vedi grafico</v>
      </c>
      <c r="I215" s="17"/>
      <c r="J215" s="17">
        <v>30</v>
      </c>
      <c r="K215" s="17">
        <v>569</v>
      </c>
      <c r="L215" s="17">
        <v>4</v>
      </c>
      <c r="M215" s="17">
        <v>2</v>
      </c>
      <c r="N215" s="17">
        <v>7</v>
      </c>
    </row>
    <row r="216" spans="1:14" x14ac:dyDescent="0.3">
      <c r="A216" s="17">
        <v>7</v>
      </c>
      <c r="B216" s="17"/>
      <c r="C216" s="17"/>
      <c r="D216" s="17"/>
      <c r="E216" s="17"/>
      <c r="F216" s="17"/>
      <c r="G216" s="17"/>
      <c r="H216" s="17" t="str">
        <f>HYPERLINK("plots_Breast_Cancer/loss_overlay.png", "Vedi grafico")</f>
        <v>Vedi grafico</v>
      </c>
      <c r="I216" s="17"/>
      <c r="J216" s="17"/>
      <c r="K216" s="17"/>
      <c r="L216" s="17"/>
      <c r="M216" s="17"/>
      <c r="N216" s="17">
        <v>7</v>
      </c>
    </row>
    <row r="217" spans="1:14" x14ac:dyDescent="0.3">
      <c r="A217" s="17">
        <v>7</v>
      </c>
      <c r="B217" s="17" t="s">
        <v>1248</v>
      </c>
      <c r="C217" s="17" t="s">
        <v>1243</v>
      </c>
      <c r="D217" s="17">
        <v>99</v>
      </c>
      <c r="E217" s="17">
        <v>7.5712348998422385E-2</v>
      </c>
      <c r="F217" s="17">
        <v>0.53234021855310754</v>
      </c>
      <c r="G217" s="17">
        <v>1.245624880288779E-6</v>
      </c>
      <c r="H217" s="17" t="str">
        <f>HYPERLINK("plots_Diabetes/Gauss-Seidel_plot_7.png", "Vedi grafico")</f>
        <v>Vedi grafico</v>
      </c>
      <c r="I217" s="17"/>
      <c r="J217" s="17">
        <v>10</v>
      </c>
      <c r="K217" s="17">
        <v>442</v>
      </c>
      <c r="L217" s="17">
        <v>1</v>
      </c>
      <c r="M217" s="17">
        <v>2</v>
      </c>
      <c r="N217" s="17">
        <v>7</v>
      </c>
    </row>
    <row r="218" spans="1:14" x14ac:dyDescent="0.3">
      <c r="A218" s="17">
        <v>7</v>
      </c>
      <c r="B218" s="17" t="s">
        <v>1248</v>
      </c>
      <c r="C218" s="17" t="s">
        <v>1244</v>
      </c>
      <c r="D218" s="17">
        <v>100</v>
      </c>
      <c r="E218" s="17">
        <v>1.551755999935267E-2</v>
      </c>
      <c r="F218" s="17">
        <v>0.53263822042975961</v>
      </c>
      <c r="G218" s="17">
        <v>1.2182936658034649E-2</v>
      </c>
      <c r="H218" s="17" t="str">
        <f>HYPERLINK("plots_Diabetes/Gradient Descent_plot_7.png", "Vedi grafico")</f>
        <v>Vedi grafico</v>
      </c>
      <c r="I218" s="17"/>
      <c r="J218" s="17">
        <v>10</v>
      </c>
      <c r="K218" s="17">
        <v>442</v>
      </c>
      <c r="L218" s="17">
        <v>1</v>
      </c>
      <c r="M218" s="17">
        <v>1</v>
      </c>
      <c r="N218" s="17">
        <v>7</v>
      </c>
    </row>
    <row r="219" spans="1:14" x14ac:dyDescent="0.3">
      <c r="A219" s="17">
        <v>7</v>
      </c>
      <c r="B219" s="17" t="s">
        <v>1248</v>
      </c>
      <c r="C219" s="17" t="s">
        <v>1245</v>
      </c>
      <c r="D219" s="17">
        <v>100</v>
      </c>
      <c r="E219" s="17">
        <v>1.8685236000237641E-2</v>
      </c>
      <c r="F219" s="17">
        <v>0.5323402185455357</v>
      </c>
      <c r="G219" s="17">
        <v>6.1510589046363571E-8</v>
      </c>
      <c r="H219" s="17" t="str">
        <f>HYPERLINK("plots_Diabetes/Gradient Descent Armijo_plot_7.png", "Vedi grafico")</f>
        <v>Vedi grafico</v>
      </c>
      <c r="I219" s="17"/>
      <c r="J219" s="17">
        <v>10</v>
      </c>
      <c r="K219" s="17">
        <v>442</v>
      </c>
      <c r="L219" s="17">
        <v>1</v>
      </c>
      <c r="M219" s="17">
        <v>1</v>
      </c>
      <c r="N219" s="17">
        <v>7</v>
      </c>
    </row>
    <row r="220" spans="1:14" x14ac:dyDescent="0.3">
      <c r="A220" s="17">
        <v>7</v>
      </c>
      <c r="B220" s="17" t="s">
        <v>1248</v>
      </c>
      <c r="C220" s="17" t="s">
        <v>1246</v>
      </c>
      <c r="D220" s="17">
        <v>99</v>
      </c>
      <c r="E220" s="17">
        <v>1.3249772530016339</v>
      </c>
      <c r="F220" s="17">
        <v>0.53234021855252922</v>
      </c>
      <c r="G220" s="17">
        <v>1.200957479954336E-6</v>
      </c>
      <c r="H220" s="17" t="str">
        <f>HYPERLINK("plots_Diabetes/Jacobi_plot_7.png", "Vedi grafico")</f>
        <v>Vedi grafico</v>
      </c>
      <c r="I220" s="17"/>
      <c r="J220" s="17">
        <v>10</v>
      </c>
      <c r="K220" s="17">
        <v>442</v>
      </c>
      <c r="L220" s="17">
        <v>4</v>
      </c>
      <c r="M220" s="17">
        <v>2</v>
      </c>
      <c r="N220" s="17">
        <v>7</v>
      </c>
    </row>
    <row r="221" spans="1:14" x14ac:dyDescent="0.3">
      <c r="A221" s="17">
        <v>7</v>
      </c>
      <c r="B221" s="17"/>
      <c r="C221" s="17"/>
      <c r="D221" s="17"/>
      <c r="E221" s="17"/>
      <c r="F221" s="17"/>
      <c r="G221" s="17"/>
      <c r="H221" s="17" t="str">
        <f>HYPERLINK("plots_Diabetes/loss_overlay.png", "Vedi grafico")</f>
        <v>Vedi grafico</v>
      </c>
      <c r="I221" s="17"/>
      <c r="J221" s="17"/>
      <c r="K221" s="17"/>
      <c r="L221" s="17"/>
      <c r="M221" s="17"/>
      <c r="N221" s="17">
        <v>7</v>
      </c>
    </row>
    <row r="222" spans="1:14" x14ac:dyDescent="0.3">
      <c r="A222" s="17">
        <v>7</v>
      </c>
      <c r="B222" s="17" t="s">
        <v>1249</v>
      </c>
      <c r="C222" s="17" t="s">
        <v>1243</v>
      </c>
      <c r="D222" s="17">
        <v>99</v>
      </c>
      <c r="E222" s="17">
        <v>0.159916358999908</v>
      </c>
      <c r="F222" s="17">
        <v>0.34434747736668442</v>
      </c>
      <c r="G222" s="17">
        <v>1.174630801694358E-6</v>
      </c>
      <c r="H222" s="17" t="str">
        <f>HYPERLINK("plots_Digits/Gauss-Seidel_plot_7.png", "Vedi grafico")</f>
        <v>Vedi grafico</v>
      </c>
      <c r="I222" s="17"/>
      <c r="J222" s="17">
        <v>64</v>
      </c>
      <c r="K222" s="17">
        <v>1797</v>
      </c>
      <c r="L222" s="17">
        <v>1</v>
      </c>
      <c r="M222" s="17">
        <v>2</v>
      </c>
      <c r="N222" s="17">
        <v>7</v>
      </c>
    </row>
    <row r="223" spans="1:14" x14ac:dyDescent="0.3">
      <c r="A223" s="17">
        <v>7</v>
      </c>
      <c r="B223" s="17" t="s">
        <v>1249</v>
      </c>
      <c r="C223" s="17" t="s">
        <v>1244</v>
      </c>
      <c r="D223" s="17">
        <v>100</v>
      </c>
      <c r="E223" s="17">
        <v>2.6498912999159071E-2</v>
      </c>
      <c r="F223" s="17">
        <v>0.34537500106744229</v>
      </c>
      <c r="G223" s="17">
        <v>1.9786438650008439E-2</v>
      </c>
      <c r="H223" s="17" t="str">
        <f>HYPERLINK("plots_Digits/Gradient Descent_plot_7.png", "Vedi grafico")</f>
        <v>Vedi grafico</v>
      </c>
      <c r="I223" s="17"/>
      <c r="J223" s="17">
        <v>64</v>
      </c>
      <c r="K223" s="17">
        <v>1797</v>
      </c>
      <c r="L223" s="17">
        <v>1</v>
      </c>
      <c r="M223" s="17">
        <v>1</v>
      </c>
      <c r="N223" s="17">
        <v>7</v>
      </c>
    </row>
    <row r="224" spans="1:14" x14ac:dyDescent="0.3">
      <c r="A224" s="17">
        <v>7</v>
      </c>
      <c r="B224" s="17" t="s">
        <v>1249</v>
      </c>
      <c r="C224" s="17" t="s">
        <v>1245</v>
      </c>
      <c r="D224" s="17">
        <v>100</v>
      </c>
      <c r="E224" s="17">
        <v>4.69236720000481E-2</v>
      </c>
      <c r="F224" s="17">
        <v>0.34434747736105209</v>
      </c>
      <c r="G224" s="17">
        <v>1.033194216913189E-7</v>
      </c>
      <c r="H224" s="17" t="str">
        <f>HYPERLINK("plots_Digits/Gradient Descent Armijo_plot_7.png", "Vedi grafico")</f>
        <v>Vedi grafico</v>
      </c>
      <c r="I224" s="17"/>
      <c r="J224" s="17">
        <v>64</v>
      </c>
      <c r="K224" s="17">
        <v>1797</v>
      </c>
      <c r="L224" s="17">
        <v>1</v>
      </c>
      <c r="M224" s="17">
        <v>1</v>
      </c>
      <c r="N224" s="17">
        <v>7</v>
      </c>
    </row>
    <row r="225" spans="1:14" x14ac:dyDescent="0.3">
      <c r="A225" s="17">
        <v>7</v>
      </c>
      <c r="B225" s="17" t="s">
        <v>1249</v>
      </c>
      <c r="C225" s="17" t="s">
        <v>1246</v>
      </c>
      <c r="D225" s="17">
        <v>99</v>
      </c>
      <c r="E225" s="17">
        <v>1.406903524000882</v>
      </c>
      <c r="F225" s="17">
        <v>0.34434747736606591</v>
      </c>
      <c r="G225" s="17">
        <v>1.1033368311829739E-6</v>
      </c>
      <c r="H225" s="17" t="str">
        <f>HYPERLINK("plots_Digits/Jacobi_plot_7.png", "Vedi grafico")</f>
        <v>Vedi grafico</v>
      </c>
      <c r="I225" s="17"/>
      <c r="J225" s="17">
        <v>64</v>
      </c>
      <c r="K225" s="17">
        <v>1797</v>
      </c>
      <c r="L225" s="17">
        <v>4</v>
      </c>
      <c r="M225" s="17">
        <v>2</v>
      </c>
      <c r="N225" s="17">
        <v>7</v>
      </c>
    </row>
    <row r="226" spans="1:14" x14ac:dyDescent="0.3">
      <c r="A226" s="17">
        <v>7</v>
      </c>
      <c r="B226" s="17"/>
      <c r="C226" s="17"/>
      <c r="D226" s="17"/>
      <c r="E226" s="17"/>
      <c r="F226" s="17"/>
      <c r="G226" s="17"/>
      <c r="H226" s="17" t="str">
        <f>HYPERLINK("plots_Digits/loss_overlay.png", "Vedi grafico")</f>
        <v>Vedi grafico</v>
      </c>
      <c r="I226" s="17"/>
      <c r="J226" s="17"/>
      <c r="K226" s="17"/>
      <c r="L226" s="17"/>
      <c r="M226" s="17"/>
      <c r="N226" s="17">
        <v>7</v>
      </c>
    </row>
    <row r="227" spans="1:14" x14ac:dyDescent="0.3">
      <c r="A227" s="17">
        <v>7</v>
      </c>
      <c r="B227" s="17" t="s">
        <v>1250</v>
      </c>
      <c r="C227" s="17" t="s">
        <v>1243</v>
      </c>
      <c r="D227" s="17">
        <v>99</v>
      </c>
      <c r="E227" s="17">
        <v>0.10256604399910429</v>
      </c>
      <c r="F227" s="17">
        <v>0.27704814805507949</v>
      </c>
      <c r="G227" s="17">
        <v>1.2957909725880281E-6</v>
      </c>
      <c r="H227" s="17" t="str">
        <f>HYPERLINK("plots_Iris/Gauss-Seidel_plot_7.png", "Vedi grafico")</f>
        <v>Vedi grafico</v>
      </c>
      <c r="I227" s="17"/>
      <c r="J227" s="17">
        <v>4</v>
      </c>
      <c r="K227" s="17">
        <v>150</v>
      </c>
      <c r="L227" s="17">
        <v>1</v>
      </c>
      <c r="M227" s="17">
        <v>2</v>
      </c>
      <c r="N227" s="17">
        <v>7</v>
      </c>
    </row>
    <row r="228" spans="1:14" x14ac:dyDescent="0.3">
      <c r="A228" s="17">
        <v>7</v>
      </c>
      <c r="B228" s="17" t="s">
        <v>1250</v>
      </c>
      <c r="C228" s="17" t="s">
        <v>1244</v>
      </c>
      <c r="D228" s="17">
        <v>100</v>
      </c>
      <c r="E228" s="17">
        <v>1.242655900023237E-2</v>
      </c>
      <c r="F228" s="17">
        <v>0.27776652481322572</v>
      </c>
      <c r="G228" s="17">
        <v>1.8187512148941268E-2</v>
      </c>
      <c r="H228" s="17" t="str">
        <f>HYPERLINK("plots_Iris/Gradient Descent_plot_7.png", "Vedi grafico")</f>
        <v>Vedi grafico</v>
      </c>
      <c r="I228" s="17"/>
      <c r="J228" s="17">
        <v>4</v>
      </c>
      <c r="K228" s="17">
        <v>150</v>
      </c>
      <c r="L228" s="17">
        <v>1</v>
      </c>
      <c r="M228" s="17">
        <v>1</v>
      </c>
      <c r="N228" s="17">
        <v>7</v>
      </c>
    </row>
    <row r="229" spans="1:14" x14ac:dyDescent="0.3">
      <c r="A229" s="17">
        <v>7</v>
      </c>
      <c r="B229" s="17" t="s">
        <v>1250</v>
      </c>
      <c r="C229" s="17" t="s">
        <v>1245</v>
      </c>
      <c r="D229" s="17">
        <v>100</v>
      </c>
      <c r="E229" s="17">
        <v>1.7997057999309621E-2</v>
      </c>
      <c r="F229" s="17">
        <v>0.2770481480474194</v>
      </c>
      <c r="G229" s="17">
        <v>1.0008744736275179E-7</v>
      </c>
      <c r="H229" s="17" t="str">
        <f>HYPERLINK("plots_Iris/Gradient Descent Armijo_plot_7.png", "Vedi grafico")</f>
        <v>Vedi grafico</v>
      </c>
      <c r="I229" s="17"/>
      <c r="J229" s="17">
        <v>4</v>
      </c>
      <c r="K229" s="17">
        <v>150</v>
      </c>
      <c r="L229" s="17">
        <v>1</v>
      </c>
      <c r="M229" s="17">
        <v>1</v>
      </c>
      <c r="N229" s="17">
        <v>7</v>
      </c>
    </row>
    <row r="230" spans="1:14" x14ac:dyDescent="0.3">
      <c r="A230" s="17">
        <v>7</v>
      </c>
      <c r="B230" s="17" t="s">
        <v>1250</v>
      </c>
      <c r="C230" s="17" t="s">
        <v>1246</v>
      </c>
      <c r="D230" s="17">
        <v>99</v>
      </c>
      <c r="E230" s="17">
        <v>1.2127456210000671</v>
      </c>
      <c r="F230" s="17">
        <v>0.27704814805447858</v>
      </c>
      <c r="G230" s="17">
        <v>1.242798702606492E-6</v>
      </c>
      <c r="H230" s="17" t="str">
        <f>HYPERLINK("plots_Iris/Jacobi_plot_7.png", "Vedi grafico")</f>
        <v>Vedi grafico</v>
      </c>
      <c r="I230" s="17"/>
      <c r="J230" s="17">
        <v>4</v>
      </c>
      <c r="K230" s="17">
        <v>150</v>
      </c>
      <c r="L230" s="17">
        <v>4</v>
      </c>
      <c r="M230" s="17">
        <v>2</v>
      </c>
      <c r="N230" s="17">
        <v>7</v>
      </c>
    </row>
    <row r="231" spans="1:14" x14ac:dyDescent="0.3">
      <c r="A231" s="17">
        <v>7</v>
      </c>
      <c r="B231" s="17"/>
      <c r="C231" s="17"/>
      <c r="D231" s="17"/>
      <c r="E231" s="17"/>
      <c r="F231" s="17"/>
      <c r="G231" s="17"/>
      <c r="H231" s="17" t="str">
        <f>HYPERLINK("plots_Iris/loss_overlay.png", "Vedi grafico")</f>
        <v>Vedi grafico</v>
      </c>
      <c r="I231" s="17"/>
      <c r="J231" s="17"/>
      <c r="K231" s="17"/>
      <c r="L231" s="17"/>
      <c r="M231" s="17"/>
      <c r="N231" s="17">
        <v>7</v>
      </c>
    </row>
    <row r="232" spans="1:14" x14ac:dyDescent="0.3">
      <c r="A232" s="17">
        <v>7</v>
      </c>
      <c r="B232" s="17" t="s">
        <v>1251</v>
      </c>
      <c r="C232" s="17" t="s">
        <v>1243</v>
      </c>
      <c r="D232" s="17">
        <v>99</v>
      </c>
      <c r="E232" s="17">
        <v>6.0211967000213917E-2</v>
      </c>
      <c r="F232" s="17">
        <v>0.28687255998186839</v>
      </c>
      <c r="G232" s="17">
        <v>1.224134346140575E-6</v>
      </c>
      <c r="H232" s="17" t="str">
        <f>HYPERLINK("plots_Wine/Gauss-Seidel_plot_7.png", "Vedi grafico")</f>
        <v>Vedi grafico</v>
      </c>
      <c r="I232" s="17"/>
      <c r="J232" s="17">
        <v>13</v>
      </c>
      <c r="K232" s="17">
        <v>178</v>
      </c>
      <c r="L232" s="17">
        <v>1</v>
      </c>
      <c r="M232" s="17">
        <v>2</v>
      </c>
      <c r="N232" s="17">
        <v>7</v>
      </c>
    </row>
    <row r="233" spans="1:14" x14ac:dyDescent="0.3">
      <c r="A233" s="14">
        <v>7</v>
      </c>
      <c r="B233" s="14" t="s">
        <v>1251</v>
      </c>
      <c r="C233" s="14" t="s">
        <v>1244</v>
      </c>
      <c r="D233" s="14">
        <v>100</v>
      </c>
      <c r="E233" s="15">
        <v>9.8308100004942389E-3</v>
      </c>
      <c r="F233" s="14">
        <v>0.288147784334295</v>
      </c>
      <c r="G233" s="14">
        <v>2.226338153822115E-2</v>
      </c>
      <c r="H233" s="14" t="str">
        <f>HYPERLINK("plots_Wine/Gradient Descent_plot_7.png", "Vedi grafico")</f>
        <v>Vedi grafico</v>
      </c>
      <c r="I233" s="14"/>
      <c r="J233" s="14">
        <v>13</v>
      </c>
      <c r="K233" s="14">
        <v>178</v>
      </c>
      <c r="L233" s="14">
        <v>1</v>
      </c>
      <c r="M233" s="14">
        <v>1</v>
      </c>
      <c r="N233" s="14">
        <v>7</v>
      </c>
    </row>
    <row r="234" spans="1:14" x14ac:dyDescent="0.3">
      <c r="A234" s="17">
        <v>7</v>
      </c>
      <c r="B234" s="17" t="s">
        <v>1251</v>
      </c>
      <c r="C234" s="17" t="s">
        <v>1245</v>
      </c>
      <c r="D234" s="17">
        <v>100</v>
      </c>
      <c r="E234" s="17">
        <v>1.9229413999710229E-2</v>
      </c>
      <c r="F234" s="17">
        <v>0.28687255997585598</v>
      </c>
      <c r="G234" s="17">
        <v>5.1639985112820927E-8</v>
      </c>
      <c r="H234" s="17" t="str">
        <f>HYPERLINK("plots_Wine/Gradient Descent Armijo_plot_7.png", "Vedi grafico")</f>
        <v>Vedi grafico</v>
      </c>
      <c r="I234" s="17"/>
      <c r="J234" s="17">
        <v>13</v>
      </c>
      <c r="K234" s="17">
        <v>178</v>
      </c>
      <c r="L234" s="17">
        <v>1</v>
      </c>
      <c r="M234" s="17">
        <v>1</v>
      </c>
      <c r="N234" s="17">
        <v>7</v>
      </c>
    </row>
    <row r="235" spans="1:14" x14ac:dyDescent="0.3">
      <c r="A235" s="17">
        <v>7</v>
      </c>
      <c r="B235" s="17" t="s">
        <v>1251</v>
      </c>
      <c r="C235" s="17" t="s">
        <v>1246</v>
      </c>
      <c r="D235" s="17">
        <v>99</v>
      </c>
      <c r="E235" s="17">
        <v>1.1838664440001589</v>
      </c>
      <c r="F235" s="17">
        <v>0.2868725599826486</v>
      </c>
      <c r="G235" s="17">
        <v>1.2857047190229401E-6</v>
      </c>
      <c r="H235" s="17" t="str">
        <f>HYPERLINK("plots_Wine/Jacobi_plot_7.png", "Vedi grafico")</f>
        <v>Vedi grafico</v>
      </c>
      <c r="I235" s="17"/>
      <c r="J235" s="17">
        <v>13</v>
      </c>
      <c r="K235" s="17">
        <v>178</v>
      </c>
      <c r="L235" s="17">
        <v>4</v>
      </c>
      <c r="M235" s="17">
        <v>2</v>
      </c>
      <c r="N235" s="17">
        <v>7</v>
      </c>
    </row>
    <row r="236" spans="1:14" x14ac:dyDescent="0.3">
      <c r="A236" s="17">
        <v>7</v>
      </c>
      <c r="B236" s="17"/>
      <c r="C236" s="17"/>
      <c r="D236" s="17"/>
      <c r="E236" s="17"/>
      <c r="F236" s="17"/>
      <c r="G236" s="17"/>
      <c r="H236" s="17" t="str">
        <f>HYPERLINK("plots_Wine/loss_overlay.png", "Vedi grafico")</f>
        <v>Vedi grafico</v>
      </c>
      <c r="I236" s="17"/>
      <c r="J236" s="17"/>
      <c r="K236" s="17"/>
      <c r="L236" s="17"/>
      <c r="M236" s="17"/>
      <c r="N236" s="17">
        <v>7</v>
      </c>
    </row>
    <row r="237" spans="1:14" x14ac:dyDescent="0.3">
      <c r="A237" s="17">
        <v>7</v>
      </c>
      <c r="B237" s="17" t="s">
        <v>1252</v>
      </c>
      <c r="C237" s="17" t="s">
        <v>1243</v>
      </c>
      <c r="D237" s="17">
        <v>99</v>
      </c>
      <c r="E237" s="17">
        <v>3.9464078380005958</v>
      </c>
      <c r="F237" s="17">
        <v>0.68096181065162931</v>
      </c>
      <c r="G237" s="17">
        <v>1.278847494598789E-6</v>
      </c>
      <c r="H237" s="17" t="str">
        <f>HYPERLINK("plots_Fetch/Gauss-Seidel_plot_7.png", "Vedi grafico")</f>
        <v>Vedi grafico</v>
      </c>
      <c r="I237" s="17"/>
      <c r="J237" s="17">
        <v>1000</v>
      </c>
      <c r="K237" s="17">
        <v>1772</v>
      </c>
      <c r="L237" s="17">
        <v>1</v>
      </c>
      <c r="M237" s="17">
        <v>2</v>
      </c>
      <c r="N237" s="17">
        <v>7</v>
      </c>
    </row>
    <row r="238" spans="1:14" x14ac:dyDescent="0.3">
      <c r="A238" s="17">
        <v>7</v>
      </c>
      <c r="B238" s="17" t="s">
        <v>1252</v>
      </c>
      <c r="C238" s="17" t="s">
        <v>1244</v>
      </c>
      <c r="D238" s="17">
        <v>100</v>
      </c>
      <c r="E238" s="17">
        <v>0.40940824299832462</v>
      </c>
      <c r="F238" s="17">
        <v>0.68246591166439041</v>
      </c>
      <c r="G238" s="17">
        <v>1.7870159283770851E-2</v>
      </c>
      <c r="H238" s="17" t="str">
        <f>HYPERLINK("plots_Fetch/Gradient Descent_plot_7.png", "Vedi grafico")</f>
        <v>Vedi grafico</v>
      </c>
      <c r="I238" s="17"/>
      <c r="J238" s="17">
        <v>1000</v>
      </c>
      <c r="K238" s="17">
        <v>1772</v>
      </c>
      <c r="L238" s="17">
        <v>1</v>
      </c>
      <c r="M238" s="17">
        <v>1</v>
      </c>
      <c r="N238" s="17">
        <v>7</v>
      </c>
    </row>
    <row r="239" spans="1:14" x14ac:dyDescent="0.3">
      <c r="A239" s="17">
        <v>7</v>
      </c>
      <c r="B239" s="17" t="s">
        <v>1252</v>
      </c>
      <c r="C239" s="17" t="s">
        <v>1245</v>
      </c>
      <c r="D239" s="17">
        <v>100</v>
      </c>
      <c r="E239" s="17">
        <v>2.9594842730002711</v>
      </c>
      <c r="F239" s="17">
        <v>0.68096181064839212</v>
      </c>
      <c r="G239" s="17">
        <v>9.8127357946551937E-7</v>
      </c>
      <c r="H239" s="17" t="str">
        <f>HYPERLINK("plots_Fetch/Gradient Descent Armijo_plot_7.png", "Vedi grafico")</f>
        <v>Vedi grafico</v>
      </c>
      <c r="I239" s="17"/>
      <c r="J239" s="17">
        <v>1000</v>
      </c>
      <c r="K239" s="17">
        <v>1772</v>
      </c>
      <c r="L239" s="17">
        <v>1</v>
      </c>
      <c r="M239" s="17">
        <v>1</v>
      </c>
      <c r="N239" s="17">
        <v>7</v>
      </c>
    </row>
    <row r="240" spans="1:14" x14ac:dyDescent="0.3">
      <c r="A240" s="17">
        <v>7</v>
      </c>
      <c r="B240" s="17" t="s">
        <v>1252</v>
      </c>
      <c r="C240" s="17" t="s">
        <v>1246</v>
      </c>
      <c r="D240" s="17">
        <v>99</v>
      </c>
      <c r="E240" s="17">
        <v>18.055796271999501</v>
      </c>
      <c r="F240" s="17">
        <v>0.68096181065268047</v>
      </c>
      <c r="G240" s="17">
        <v>1.3607337605290519E-6</v>
      </c>
      <c r="H240" s="17" t="str">
        <f>HYPERLINK("plots_Fetch/Jacobi_plot_7.png", "Vedi grafico")</f>
        <v>Vedi grafico</v>
      </c>
      <c r="I240" s="17"/>
      <c r="J240" s="17">
        <v>1000</v>
      </c>
      <c r="K240" s="17">
        <v>1772</v>
      </c>
      <c r="L240" s="17">
        <v>4</v>
      </c>
      <c r="M240" s="17">
        <v>2</v>
      </c>
      <c r="N240" s="17">
        <v>7</v>
      </c>
    </row>
    <row r="241" spans="1:14" x14ac:dyDescent="0.3">
      <c r="A241" s="17">
        <v>7</v>
      </c>
      <c r="B241" s="17"/>
      <c r="C241" s="17"/>
      <c r="D241" s="17"/>
      <c r="E241" s="17"/>
      <c r="F241" s="17"/>
      <c r="G241" s="17"/>
      <c r="H241" s="17" t="str">
        <f>HYPERLINK("plots_Fetch/loss_overlay.png", "Vedi grafico")</f>
        <v>Vedi grafico</v>
      </c>
      <c r="I241" s="17"/>
      <c r="J241" s="17"/>
      <c r="K241" s="17"/>
      <c r="L241" s="17"/>
      <c r="M241" s="17"/>
      <c r="N241" s="17">
        <v>7</v>
      </c>
    </row>
    <row r="242" spans="1:14" x14ac:dyDescent="0.3">
      <c r="A242" s="17">
        <v>7</v>
      </c>
      <c r="B242" s="17" t="s">
        <v>1253</v>
      </c>
      <c r="C242" s="17" t="s">
        <v>1243</v>
      </c>
      <c r="D242" s="17">
        <v>99</v>
      </c>
      <c r="E242" s="17">
        <v>8.4848673999658786E-2</v>
      </c>
      <c r="F242" s="17">
        <v>0.51015408033941623</v>
      </c>
      <c r="G242" s="17">
        <v>1.1420047095031891E-6</v>
      </c>
      <c r="H242" s="17" t="str">
        <f>HYPERLINK("plots_Adult/Gauss-Seidel_plot_7.png", "Vedi grafico")</f>
        <v>Vedi grafico</v>
      </c>
      <c r="I242" s="17"/>
      <c r="J242" s="17">
        <v>108</v>
      </c>
      <c r="K242" s="17">
        <v>500</v>
      </c>
      <c r="L242" s="17">
        <v>1</v>
      </c>
      <c r="M242" s="17">
        <v>2</v>
      </c>
      <c r="N242" s="17">
        <v>7</v>
      </c>
    </row>
    <row r="243" spans="1:14" x14ac:dyDescent="0.3">
      <c r="A243" s="17">
        <v>7</v>
      </c>
      <c r="B243" s="17" t="s">
        <v>1253</v>
      </c>
      <c r="C243" s="17" t="s">
        <v>1244</v>
      </c>
      <c r="D243" s="17">
        <v>100</v>
      </c>
      <c r="E243" s="17">
        <v>1.6324142001394652E-2</v>
      </c>
      <c r="F243" s="17">
        <v>0.5121771278438636</v>
      </c>
      <c r="G243" s="17">
        <v>2.422305615100654E-2</v>
      </c>
      <c r="H243" s="17" t="str">
        <f>HYPERLINK("plots_Adult/Gradient Descent_plot_7.png", "Vedi grafico")</f>
        <v>Vedi grafico</v>
      </c>
      <c r="I243" s="17"/>
      <c r="J243" s="17">
        <v>108</v>
      </c>
      <c r="K243" s="17">
        <v>500</v>
      </c>
      <c r="L243" s="17">
        <v>1</v>
      </c>
      <c r="M243" s="17">
        <v>1</v>
      </c>
      <c r="N243" s="17">
        <v>7</v>
      </c>
    </row>
    <row r="244" spans="1:14" x14ac:dyDescent="0.3">
      <c r="A244" s="17">
        <v>7</v>
      </c>
      <c r="B244" s="17" t="s">
        <v>1253</v>
      </c>
      <c r="C244" s="17" t="s">
        <v>1245</v>
      </c>
      <c r="D244" s="17">
        <v>100</v>
      </c>
      <c r="E244" s="17">
        <v>2.594506999957957E-2</v>
      </c>
      <c r="F244" s="17">
        <v>0.51015408033466247</v>
      </c>
      <c r="G244" s="17">
        <v>4.9174024418088745E-7</v>
      </c>
      <c r="H244" s="17" t="str">
        <f>HYPERLINK("plots_Adult/Gradient Descent Armijo_plot_7.png", "Vedi grafico")</f>
        <v>Vedi grafico</v>
      </c>
      <c r="I244" s="17"/>
      <c r="J244" s="17">
        <v>108</v>
      </c>
      <c r="K244" s="17">
        <v>500</v>
      </c>
      <c r="L244" s="17">
        <v>1</v>
      </c>
      <c r="M244" s="17">
        <v>1</v>
      </c>
      <c r="N244" s="17">
        <v>7</v>
      </c>
    </row>
    <row r="245" spans="1:14" x14ac:dyDescent="0.3">
      <c r="A245" s="17">
        <v>7</v>
      </c>
      <c r="B245" s="17" t="s">
        <v>1253</v>
      </c>
      <c r="C245" s="17" t="s">
        <v>1246</v>
      </c>
      <c r="D245" s="17">
        <v>99</v>
      </c>
      <c r="E245" s="17">
        <v>1.247128590999637</v>
      </c>
      <c r="F245" s="17">
        <v>0.51015408033941623</v>
      </c>
      <c r="G245" s="17">
        <v>1.1420047095031891E-6</v>
      </c>
      <c r="H245" s="17" t="str">
        <f>HYPERLINK("plots_Adult/Jacobi_plot_7.png", "Vedi grafico")</f>
        <v>Vedi grafico</v>
      </c>
      <c r="I245" s="17"/>
      <c r="J245" s="17">
        <v>108</v>
      </c>
      <c r="K245" s="17">
        <v>500</v>
      </c>
      <c r="L245" s="17">
        <v>4</v>
      </c>
      <c r="M245" s="17">
        <v>2</v>
      </c>
      <c r="N245" s="17">
        <v>7</v>
      </c>
    </row>
    <row r="246" spans="1:14" x14ac:dyDescent="0.3">
      <c r="A246" s="17">
        <v>7</v>
      </c>
      <c r="B246" s="17"/>
      <c r="C246" s="17"/>
      <c r="D246" s="17"/>
      <c r="E246" s="17"/>
      <c r="F246" s="17"/>
      <c r="G246" s="17"/>
      <c r="H246" s="17" t="str">
        <f>HYPERLINK("plots_Adult/loss_overlay.png", "Vedi grafico")</f>
        <v>Vedi grafico</v>
      </c>
      <c r="I246" s="17"/>
      <c r="J246" s="17"/>
      <c r="K246" s="17"/>
      <c r="L246" s="17"/>
      <c r="M246" s="17"/>
      <c r="N246" s="17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Dati_Breast_Cancer</vt:lpstr>
      <vt:lpstr>Dati_Diabetes</vt:lpstr>
      <vt:lpstr>Dati_Digits</vt:lpstr>
      <vt:lpstr>Dati_Iris</vt:lpstr>
      <vt:lpstr>Dati_Wine</vt:lpstr>
      <vt:lpstr>Dati_Fetch</vt:lpstr>
      <vt:lpstr>Dati_Adult</vt:lpstr>
      <vt:lpstr>Risultati</vt:lpstr>
      <vt:lpstr>Analisi</vt:lpstr>
      <vt:lpstr>Analisi_globale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 BERTI</cp:lastModifiedBy>
  <dcterms:created xsi:type="dcterms:W3CDTF">2025-05-27T20:50:47Z</dcterms:created>
  <dcterms:modified xsi:type="dcterms:W3CDTF">2025-05-27T23:07:19Z</dcterms:modified>
</cp:coreProperties>
</file>