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<sst xmlns="http://schemas.openxmlformats.org/spreadsheetml/2006/main" count="20" uniqueCount="19">
  <si>
    <t>Ttot</t>
  </si>
  <si>
    <t>Ts</t>
  </si>
  <si>
    <t>En serie f=0,85</t>
  </si>
  <si>
    <t>Ley de Amdhal: fa(P=&gt;inf)=1/(1-f)=6,7</t>
  </si>
  <si>
    <t>f=0,86~0,985~0,998 Gustafson</t>
  </si>
  <si>
    <t>rTp</t>
  </si>
  <si>
    <t>rTs</t>
  </si>
  <si>
    <t>P</t>
  </si>
  <si>
    <t>N</t>
  </si>
  <si>
    <t>Tlec</t>
  </si>
  <si>
    <t>Tene</t>
  </si>
  <si>
    <t>Tesc</t>
  </si>
  <si>
    <t>f Ts/P</t>
  </si>
  <si>
    <t>(1-f)Ts</t>
  </si>
  <si>
    <t>f=rTp/(rTp+rTs)</t>
  </si>
  <si>
    <t>f=(Ttot-rTs)*(Ttot-rTps)</t>
  </si>
  <si>
    <t>fa</t>
  </si>
  <si>
    <t>ef</t>
  </si>
  <si>
    <t>factor de aceleracion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</si>
</sst>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</font>
    <font/>
    <font>
      <color theme="1"/>
      <name val="Arial"/>
    </font>
    <font>
      <color theme="0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3" numFmtId="164" xfId="0" applyAlignment="1" applyFont="1" applyNumberFormat="1">
      <alignment readingOrder="0"/>
    </xf>
    <xf borderId="0" fillId="0" fontId="1" numFmtId="164" xfId="0" applyFont="1" applyNumberFormat="1"/>
    <xf borderId="1" fillId="6" fontId="4" numFmtId="0" xfId="0" applyAlignment="1" applyBorder="1" applyFill="1" applyFont="1">
      <alignment readingOrder="0"/>
    </xf>
    <xf borderId="2" fillId="6" fontId="4" numFmtId="0" xfId="0" applyAlignment="1" applyBorder="1" applyFont="1">
      <alignment readingOrder="0"/>
    </xf>
    <xf borderId="0" fillId="6" fontId="1" numFmtId="2" xfId="0" applyAlignment="1" applyFont="1" applyNumberFormat="1">
      <alignment readingOrder="0"/>
    </xf>
    <xf borderId="0" fillId="3" fontId="1" numFmtId="2" xfId="0" applyAlignment="1" applyFont="1" applyNumberFormat="1">
      <alignment readingOrder="0"/>
    </xf>
    <xf borderId="0" fillId="6" fontId="2" numFmtId="2" xfId="0" applyFont="1" applyNumberFormat="1"/>
    <xf borderId="0" fillId="3" fontId="2" numFmtId="2" xfId="0" applyFont="1" applyNumberFormat="1"/>
    <xf borderId="0" fillId="6" fontId="1" numFmtId="2" xfId="0" applyFont="1" applyNumberFormat="1"/>
    <xf borderId="3" fillId="6" fontId="4" numFmtId="0" xfId="0" applyAlignment="1" applyBorder="1" applyFont="1">
      <alignment readingOrder="0"/>
    </xf>
    <xf borderId="4" fillId="6" fontId="4" numFmtId="0" xfId="0" applyAlignment="1" applyBorder="1" applyFont="1">
      <alignment readingOrder="0"/>
    </xf>
    <xf borderId="3" fillId="7" fontId="4" numFmtId="0" xfId="0" applyAlignment="1" applyBorder="1" applyFill="1" applyFont="1">
      <alignment readingOrder="0"/>
    </xf>
    <xf borderId="4" fillId="7" fontId="4" numFmtId="0" xfId="0" applyAlignment="1" applyBorder="1" applyFont="1">
      <alignment readingOrder="0"/>
    </xf>
    <xf borderId="0" fillId="7" fontId="1" numFmtId="2" xfId="0" applyAlignment="1" applyFont="1" applyNumberFormat="1">
      <alignment readingOrder="0"/>
    </xf>
    <xf borderId="0" fillId="7" fontId="2" numFmtId="2" xfId="0" applyFont="1" applyNumberFormat="1"/>
    <xf borderId="0" fillId="2" fontId="2" numFmtId="2" xfId="0" applyFont="1" applyNumberFormat="1"/>
    <xf borderId="0" fillId="7" fontId="1" numFmtId="2" xfId="0" applyFont="1" applyNumberFormat="1"/>
    <xf borderId="5" fillId="0" fontId="1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1" numFmtId="0" xfId="0" applyBorder="1" applyFont="1"/>
    <xf borderId="0" fillId="8" fontId="2" numFmtId="2" xfId="0" applyFill="1" applyFont="1" applyNumberFormat="1"/>
    <xf borderId="6" fillId="6" fontId="4" numFmtId="0" xfId="0" applyAlignment="1" applyBorder="1" applyFont="1">
      <alignment readingOrder="0"/>
    </xf>
    <xf borderId="7" fillId="6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factores de aceleración en función de la carga 8,16 y 32 hilos, Gustafson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1'!$N$12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1'!$O$11:$Q$11</c:f>
            </c:strRef>
          </c:cat>
          <c:val>
            <c:numRef>
              <c:f>'Hoja 1'!$O$12:$Q$12</c:f>
              <c:numCache/>
            </c:numRef>
          </c:val>
          <c:smooth val="1"/>
        </c:ser>
        <c:ser>
          <c:idx val="1"/>
          <c:order val="1"/>
          <c:tx>
            <c:strRef>
              <c:f>'Hoja 1'!$N$13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1'!$O$11:$Q$11</c:f>
            </c:strRef>
          </c:cat>
          <c:val>
            <c:numRef>
              <c:f>'Hoja 1'!$O$13:$Q$13</c:f>
              <c:numCache/>
            </c:numRef>
          </c:val>
          <c:smooth val="1"/>
        </c:ser>
        <c:ser>
          <c:idx val="2"/>
          <c:order val="2"/>
          <c:tx>
            <c:strRef>
              <c:f>'Hoja 1'!$N$14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1'!$O$11:$Q$11</c:f>
            </c:strRef>
          </c:cat>
          <c:val>
            <c:numRef>
              <c:f>'Hoja 1'!$O$14:$Q$14</c:f>
              <c:numCache/>
            </c:numRef>
          </c:val>
          <c:smooth val="1"/>
        </c:ser>
        <c:ser>
          <c:idx val="3"/>
          <c:order val="3"/>
          <c:tx>
            <c:strRef>
              <c:f>'Hoja 1'!$N$15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'Hoja 1'!$O$11:$Q$11</c:f>
            </c:strRef>
          </c:cat>
          <c:val>
            <c:numRef>
              <c:f>'Hoja 1'!$O$15:$Q$15</c:f>
              <c:numCache/>
            </c:numRef>
          </c:val>
          <c:smooth val="1"/>
        </c:ser>
        <c:ser>
          <c:idx val="4"/>
          <c:order val="4"/>
          <c:tx>
            <c:strRef>
              <c:f>'Hoja 1'!$N$16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'Hoja 1'!$O$11:$Q$11</c:f>
            </c:strRef>
          </c:cat>
          <c:val>
            <c:numRef>
              <c:f>'Hoja 1'!$O$16:$Q$16</c:f>
              <c:numCache/>
            </c:numRef>
          </c:val>
          <c:smooth val="1"/>
        </c:ser>
        <c:axId val="452971484"/>
        <c:axId val="301685694"/>
      </c:lineChart>
      <c:catAx>
        <c:axId val="452971484"/>
        <c:scaling>
          <c:orientation val="minMax"/>
          <c:max val="10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partículas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685694"/>
      </c:catAx>
      <c:valAx>
        <c:axId val="301685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9714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838200</xdr:colOff>
      <xdr:row>23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3.0"/>
  </cols>
  <sheetData>
    <row r="1">
      <c r="B1" s="1" t="s">
        <v>0</v>
      </c>
    </row>
    <row r="2">
      <c r="A2" s="1" t="s">
        <v>1</v>
      </c>
      <c r="B2" s="2">
        <v>5.265</v>
      </c>
      <c r="D2" s="3" t="s">
        <v>2</v>
      </c>
      <c r="E2" s="3" t="s">
        <v>3</v>
      </c>
      <c r="H2" s="4" t="s">
        <v>4</v>
      </c>
    </row>
    <row r="3">
      <c r="G3" s="5" t="s">
        <v>5</v>
      </c>
      <c r="H3" s="5" t="s">
        <v>6</v>
      </c>
    </row>
    <row r="4">
      <c r="A4" s="6" t="s">
        <v>7</v>
      </c>
      <c r="B4" s="6" t="s">
        <v>8</v>
      </c>
      <c r="C4" s="7" t="s">
        <v>9</v>
      </c>
      <c r="D4" s="7" t="s">
        <v>10</v>
      </c>
      <c r="E4" s="7" t="s">
        <v>11</v>
      </c>
      <c r="F4" s="7" t="s">
        <v>0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8"/>
    </row>
    <row r="5">
      <c r="A5" s="9">
        <v>1.0</v>
      </c>
      <c r="B5" s="10">
        <v>1000.0</v>
      </c>
      <c r="C5" s="11">
        <v>0.12</v>
      </c>
      <c r="D5" s="11">
        <v>4.305</v>
      </c>
      <c r="E5" s="11">
        <v>0.671</v>
      </c>
      <c r="F5" s="12">
        <v>5.097</v>
      </c>
      <c r="G5" s="13">
        <f>0.86</f>
        <v>0.86</v>
      </c>
      <c r="H5" s="13">
        <f>0.76</f>
        <v>0.76</v>
      </c>
      <c r="I5" s="14">
        <f t="shared" ref="I5:J5" si="1">0.8517</f>
        <v>0.8517</v>
      </c>
      <c r="J5" s="13">
        <f t="shared" si="1"/>
        <v>0.8517</v>
      </c>
      <c r="K5" s="15"/>
      <c r="L5" s="15"/>
      <c r="M5" s="8"/>
    </row>
    <row r="6">
      <c r="A6" s="16">
        <v>2.0</v>
      </c>
      <c r="B6" s="17">
        <v>1000.0</v>
      </c>
      <c r="C6" s="11">
        <v>0.414</v>
      </c>
      <c r="D6" s="11">
        <v>2.162</v>
      </c>
      <c r="E6" s="11">
        <v>0.697</v>
      </c>
      <c r="F6" s="11">
        <v>3.001</v>
      </c>
      <c r="G6" s="13">
        <f>0.72</f>
        <v>0.72</v>
      </c>
      <c r="H6" s="13">
        <f>0.86</f>
        <v>0.86</v>
      </c>
      <c r="I6" s="13">
        <f t="shared" ref="I6:J6" si="2">0.8454</f>
        <v>0.8454</v>
      </c>
      <c r="J6" s="13">
        <f t="shared" si="2"/>
        <v>0.8454</v>
      </c>
      <c r="K6" s="13">
        <f>1.7</f>
        <v>1.7</v>
      </c>
      <c r="L6" s="13">
        <f t="shared" ref="L6:L10" si="4">K6/A6</f>
        <v>0.85</v>
      </c>
      <c r="M6" s="8"/>
    </row>
    <row r="7">
      <c r="A7" s="16">
        <v>4.0</v>
      </c>
      <c r="B7" s="17">
        <v>1000.0</v>
      </c>
      <c r="C7" s="11">
        <v>0.287</v>
      </c>
      <c r="D7" s="11">
        <v>1.087</v>
      </c>
      <c r="E7" s="11">
        <v>0.695</v>
      </c>
      <c r="F7" s="11">
        <v>2.069</v>
      </c>
      <c r="G7" s="13">
        <f>0.54</f>
        <v>0.54</v>
      </c>
      <c r="H7" s="13">
        <f>0.93</f>
        <v>0.93</v>
      </c>
      <c r="I7" s="13">
        <f t="shared" ref="I7:J7" si="3">0.8642</f>
        <v>0.8642</v>
      </c>
      <c r="J7" s="13">
        <f t="shared" si="3"/>
        <v>0.8642</v>
      </c>
      <c r="K7" s="11">
        <v>2.5</v>
      </c>
      <c r="L7" s="13">
        <f t="shared" si="4"/>
        <v>0.625</v>
      </c>
      <c r="M7" s="8"/>
    </row>
    <row r="8">
      <c r="A8" s="16">
        <v>8.0</v>
      </c>
      <c r="B8" s="17">
        <v>1000.0</v>
      </c>
      <c r="C8" s="11">
        <v>0.174</v>
      </c>
      <c r="D8" s="11">
        <v>0.546</v>
      </c>
      <c r="E8" s="11">
        <v>0.702</v>
      </c>
      <c r="F8" s="11">
        <v>1.423</v>
      </c>
      <c r="G8" s="13">
        <f>0.36</f>
        <v>0.36</v>
      </c>
      <c r="H8" s="13">
        <f>0.98</f>
        <v>0.98</v>
      </c>
      <c r="I8" s="13">
        <f t="shared" ref="I8:J8" si="5">0.8626</f>
        <v>0.8626</v>
      </c>
      <c r="J8" s="13">
        <f t="shared" si="5"/>
        <v>0.8626</v>
      </c>
      <c r="K8" s="11">
        <v>3.3</v>
      </c>
      <c r="L8" s="13">
        <f t="shared" si="4"/>
        <v>0.4125</v>
      </c>
      <c r="M8" s="8"/>
    </row>
    <row r="9">
      <c r="A9" s="16">
        <v>16.0</v>
      </c>
      <c r="B9" s="17">
        <v>1000.0</v>
      </c>
      <c r="C9" s="11">
        <v>0.282</v>
      </c>
      <c r="D9" s="11">
        <v>0.276</v>
      </c>
      <c r="E9" s="11">
        <v>1.098</v>
      </c>
      <c r="F9" s="11">
        <v>1.656</v>
      </c>
      <c r="G9" s="13">
        <f>0.19</f>
        <v>0.19</v>
      </c>
      <c r="H9" s="13">
        <f>1.21</f>
        <v>1.21</v>
      </c>
      <c r="I9" s="13">
        <f t="shared" ref="I9:J9" si="6">0.8955</f>
        <v>0.8955</v>
      </c>
      <c r="J9" s="13">
        <f t="shared" si="6"/>
        <v>0.8955</v>
      </c>
      <c r="K9" s="11">
        <v>3.4</v>
      </c>
      <c r="L9" s="13">
        <f t="shared" si="4"/>
        <v>0.2125</v>
      </c>
      <c r="M9" s="8"/>
    </row>
    <row r="10">
      <c r="A10" s="16">
        <v>32.0</v>
      </c>
      <c r="B10" s="17">
        <v>1000.0</v>
      </c>
      <c r="C10" s="11">
        <v>0.288</v>
      </c>
      <c r="D10" s="11">
        <v>0.158</v>
      </c>
      <c r="E10" s="11">
        <v>0.842</v>
      </c>
      <c r="F10" s="11">
        <v>1.288</v>
      </c>
      <c r="G10" s="13">
        <f>0.1</f>
        <v>0.1</v>
      </c>
      <c r="H10" s="13">
        <f>1.41</f>
        <v>1.41</v>
      </c>
      <c r="I10" s="13">
        <f t="shared" ref="I10:J10" si="7">1.002</f>
        <v>1.002</v>
      </c>
      <c r="J10" s="13">
        <f t="shared" si="7"/>
        <v>1.002</v>
      </c>
      <c r="K10" s="11">
        <v>3.3</v>
      </c>
      <c r="L10" s="13">
        <f t="shared" si="4"/>
        <v>0.103125</v>
      </c>
      <c r="M10" s="8"/>
    </row>
    <row r="11">
      <c r="A11" s="18">
        <v>1.0</v>
      </c>
      <c r="B11" s="19">
        <v>10000.0</v>
      </c>
      <c r="C11" s="20">
        <v>0.965</v>
      </c>
      <c r="D11" s="20">
        <v>432.726</v>
      </c>
      <c r="E11" s="20">
        <v>5.396</v>
      </c>
      <c r="F11" s="12">
        <v>439.086</v>
      </c>
      <c r="G11" s="21">
        <f>0.99</f>
        <v>0.99</v>
      </c>
      <c r="H11" s="21">
        <f>6.3</f>
        <v>6.3</v>
      </c>
      <c r="I11" s="14">
        <f t="shared" ref="I11:J11" si="8">0.857</f>
        <v>0.857</v>
      </c>
      <c r="J11" s="22">
        <f t="shared" si="8"/>
        <v>0.857</v>
      </c>
      <c r="K11" s="15"/>
      <c r="L11" s="23"/>
      <c r="M11" s="8"/>
      <c r="N11" s="24" t="s">
        <v>18</v>
      </c>
      <c r="O11" s="25">
        <v>1000.0</v>
      </c>
      <c r="P11" s="25">
        <v>10000.0</v>
      </c>
      <c r="Q11" s="25">
        <v>100000.0</v>
      </c>
    </row>
    <row r="12">
      <c r="A12" s="18">
        <v>2.0</v>
      </c>
      <c r="B12" s="19">
        <v>10000.0</v>
      </c>
      <c r="C12" s="20">
        <v>1.058</v>
      </c>
      <c r="D12" s="20">
        <v>216.71</v>
      </c>
      <c r="E12" s="20">
        <v>5.498</v>
      </c>
      <c r="F12" s="20">
        <v>223.266</v>
      </c>
      <c r="G12" s="21">
        <f>0.97</f>
        <v>0.97</v>
      </c>
      <c r="H12" s="21">
        <f>6.57</f>
        <v>6.57</v>
      </c>
      <c r="I12" s="21">
        <f t="shared" ref="I12:J12" si="9">0.9878</f>
        <v>0.9878</v>
      </c>
      <c r="J12" s="21">
        <f t="shared" si="9"/>
        <v>0.9878</v>
      </c>
      <c r="K12" s="11">
        <v>2.0</v>
      </c>
      <c r="L12" s="21">
        <f t="shared" ref="L12:L16" si="11">K12/A12</f>
        <v>1</v>
      </c>
      <c r="M12" s="8"/>
      <c r="N12" s="25">
        <v>2.0</v>
      </c>
      <c r="O12" s="24">
        <v>1.7</v>
      </c>
      <c r="P12" s="26"/>
      <c r="Q12" s="26"/>
    </row>
    <row r="13">
      <c r="A13" s="18">
        <v>4.0</v>
      </c>
      <c r="B13" s="19">
        <v>10000.0</v>
      </c>
      <c r="C13" s="20">
        <v>1.096</v>
      </c>
      <c r="D13" s="20">
        <v>108.369</v>
      </c>
      <c r="E13" s="20">
        <v>5.482</v>
      </c>
      <c r="F13" s="20">
        <v>114.947</v>
      </c>
      <c r="G13" s="21">
        <f>0.94</f>
        <v>0.94</v>
      </c>
      <c r="H13" s="20">
        <v>6.8</v>
      </c>
      <c r="I13" s="21">
        <f t="shared" ref="I13:J13" si="10">0.883</f>
        <v>0.883</v>
      </c>
      <c r="J13" s="21">
        <f t="shared" si="10"/>
        <v>0.883</v>
      </c>
      <c r="K13" s="11">
        <v>3.0</v>
      </c>
      <c r="L13" s="21">
        <f t="shared" si="11"/>
        <v>0.75</v>
      </c>
      <c r="M13" s="8"/>
      <c r="N13" s="25">
        <v>4.0</v>
      </c>
      <c r="O13" s="24">
        <v>2.3</v>
      </c>
      <c r="P13" s="26"/>
      <c r="Q13" s="26"/>
    </row>
    <row r="14">
      <c r="A14" s="18">
        <v>8.0</v>
      </c>
      <c r="B14" s="19">
        <v>10000.0</v>
      </c>
      <c r="C14" s="20">
        <v>1.052</v>
      </c>
      <c r="D14" s="20">
        <v>54.248</v>
      </c>
      <c r="E14" s="20">
        <v>5.523</v>
      </c>
      <c r="F14" s="20">
        <v>60.823</v>
      </c>
      <c r="G14" s="21">
        <f>0.89</f>
        <v>0.89</v>
      </c>
      <c r="H14" s="21">
        <f>6.67</f>
        <v>6.67</v>
      </c>
      <c r="I14" s="21">
        <f t="shared" ref="I14:J14" si="12">0.9908</f>
        <v>0.9908</v>
      </c>
      <c r="J14" s="21">
        <f t="shared" si="12"/>
        <v>0.9908</v>
      </c>
      <c r="K14" s="11">
        <v>7.2</v>
      </c>
      <c r="L14" s="21">
        <f t="shared" si="11"/>
        <v>0.9</v>
      </c>
      <c r="M14" s="8"/>
      <c r="N14" s="25">
        <v>8.0</v>
      </c>
      <c r="O14" s="24">
        <v>3.0</v>
      </c>
      <c r="P14" s="24">
        <v>7.2</v>
      </c>
      <c r="Q14" s="24">
        <v>7.9</v>
      </c>
    </row>
    <row r="15">
      <c r="A15" s="18">
        <v>16.0</v>
      </c>
      <c r="B15" s="19">
        <v>10000.0</v>
      </c>
      <c r="C15" s="20">
        <v>1.062</v>
      </c>
      <c r="D15" s="20">
        <v>27.206</v>
      </c>
      <c r="E15" s="20">
        <v>5.547</v>
      </c>
      <c r="F15" s="20">
        <v>33.815</v>
      </c>
      <c r="G15" s="21">
        <f>0.8</f>
        <v>0.8</v>
      </c>
      <c r="H15" s="21">
        <f>6.9</f>
        <v>6.9</v>
      </c>
      <c r="I15" s="21">
        <f t="shared" ref="I15:J15" si="13">0.9933</f>
        <v>0.9933</v>
      </c>
      <c r="J15" s="21">
        <f t="shared" si="13"/>
        <v>0.9933</v>
      </c>
      <c r="K15" s="11">
        <v>12.9</v>
      </c>
      <c r="L15" s="21">
        <f t="shared" si="11"/>
        <v>0.80625</v>
      </c>
      <c r="M15" s="8"/>
      <c r="N15" s="25">
        <v>16.0</v>
      </c>
      <c r="O15" s="24">
        <v>3.6</v>
      </c>
      <c r="P15" s="24">
        <v>12.9</v>
      </c>
      <c r="Q15" s="24">
        <v>15.1</v>
      </c>
    </row>
    <row r="16">
      <c r="A16" s="18">
        <v>32.0</v>
      </c>
      <c r="B16" s="19">
        <v>10000.0</v>
      </c>
      <c r="C16" s="20">
        <v>1.125</v>
      </c>
      <c r="D16" s="20">
        <v>14.029</v>
      </c>
      <c r="E16" s="20">
        <v>5.574</v>
      </c>
      <c r="F16" s="20">
        <v>20.728</v>
      </c>
      <c r="G16" s="21">
        <f>0.66</f>
        <v>0.66</v>
      </c>
      <c r="H16" s="21">
        <f>7.2</f>
        <v>7.2</v>
      </c>
      <c r="I16" s="21">
        <f t="shared" ref="I16:J16" si="14">1.0233</f>
        <v>1.0233</v>
      </c>
      <c r="J16" s="21">
        <f t="shared" si="14"/>
        <v>1.0233</v>
      </c>
      <c r="K16" s="11">
        <v>20.7</v>
      </c>
      <c r="L16" s="21">
        <f t="shared" si="11"/>
        <v>0.646875</v>
      </c>
      <c r="M16" s="8"/>
      <c r="N16" s="25">
        <v>32.0</v>
      </c>
      <c r="O16" s="24">
        <v>4.6</v>
      </c>
      <c r="P16" s="24">
        <v>19.4</v>
      </c>
      <c r="Q16" s="24">
        <v>30.3</v>
      </c>
    </row>
    <row r="17">
      <c r="A17" s="16">
        <v>1.0</v>
      </c>
      <c r="B17" s="17">
        <v>100000.0</v>
      </c>
      <c r="C17" s="11">
        <v>8.884</v>
      </c>
      <c r="D17" s="11">
        <v>43329.118</v>
      </c>
      <c r="E17" s="11">
        <v>53.124</v>
      </c>
      <c r="F17" s="12">
        <v>43391.127</v>
      </c>
      <c r="G17" s="13">
        <f t="shared" ref="G17:G18" si="16">1</f>
        <v>1</v>
      </c>
      <c r="H17" s="13">
        <f>61.58</f>
        <v>61.58</v>
      </c>
      <c r="I17" s="14">
        <f t="shared" ref="I17:J17" si="15">1.0004</f>
        <v>1.0004</v>
      </c>
      <c r="J17" s="27">
        <f t="shared" si="15"/>
        <v>1.0004</v>
      </c>
      <c r="K17" s="15"/>
      <c r="L17" s="15"/>
      <c r="M17" s="8"/>
    </row>
    <row r="18">
      <c r="A18" s="16">
        <v>2.0</v>
      </c>
      <c r="B18" s="17">
        <v>100000.0</v>
      </c>
      <c r="C18" s="11">
        <v>10.241</v>
      </c>
      <c r="D18" s="11">
        <v>21686.815</v>
      </c>
      <c r="E18" s="11">
        <v>54.072</v>
      </c>
      <c r="F18" s="11">
        <v>21751.128</v>
      </c>
      <c r="G18" s="13">
        <f t="shared" si="16"/>
        <v>1</v>
      </c>
      <c r="H18" s="13">
        <f>63.91</f>
        <v>63.91</v>
      </c>
      <c r="I18" s="13">
        <f t="shared" ref="I18:J18" si="17">0.9997</f>
        <v>0.9997</v>
      </c>
      <c r="J18" s="13">
        <f t="shared" si="17"/>
        <v>0.9997</v>
      </c>
      <c r="K18" s="11">
        <v>2.0</v>
      </c>
      <c r="L18" s="13">
        <f t="shared" ref="L18:L22" si="19">K18/A18</f>
        <v>1</v>
      </c>
      <c r="M18" s="8"/>
    </row>
    <row r="19">
      <c r="A19" s="16">
        <v>4.0</v>
      </c>
      <c r="B19" s="17">
        <v>100000.0</v>
      </c>
      <c r="C19" s="11">
        <v>10.23</v>
      </c>
      <c r="D19" s="11">
        <v>10848.623</v>
      </c>
      <c r="E19" s="11">
        <v>53.834</v>
      </c>
      <c r="F19" s="11">
        <v>10912.687</v>
      </c>
      <c r="G19" s="13">
        <f>0.99</f>
        <v>0.99</v>
      </c>
      <c r="H19" s="13">
        <f>63.71</f>
        <v>63.71</v>
      </c>
      <c r="I19" s="13">
        <f t="shared" ref="I19:J19" si="18">1.0015</f>
        <v>1.0015</v>
      </c>
      <c r="J19" s="13">
        <f t="shared" si="18"/>
        <v>1.0015</v>
      </c>
      <c r="K19" s="11">
        <v>4.0</v>
      </c>
      <c r="L19" s="13">
        <f t="shared" si="19"/>
        <v>1</v>
      </c>
      <c r="M19" s="8"/>
    </row>
    <row r="20">
      <c r="A20" s="16">
        <v>8.0</v>
      </c>
      <c r="B20" s="17">
        <v>100000.0</v>
      </c>
      <c r="C20" s="11">
        <v>10.237</v>
      </c>
      <c r="D20" s="11">
        <v>5447.446</v>
      </c>
      <c r="E20" s="11">
        <v>53.81</v>
      </c>
      <c r="F20" s="11">
        <v>5511.493</v>
      </c>
      <c r="G20" s="13">
        <f>0.998</f>
        <v>0.998</v>
      </c>
      <c r="H20" s="13">
        <f>64.11</f>
        <v>64.11</v>
      </c>
      <c r="I20" s="13">
        <f t="shared" ref="I20:J20" si="20">1.0022</f>
        <v>1.0022</v>
      </c>
      <c r="J20" s="13">
        <f t="shared" si="20"/>
        <v>1.0022</v>
      </c>
      <c r="K20" s="11">
        <v>7.9</v>
      </c>
      <c r="L20" s="13">
        <f t="shared" si="19"/>
        <v>0.9875</v>
      </c>
      <c r="M20" s="8"/>
    </row>
    <row r="21">
      <c r="A21" s="16">
        <v>16.0</v>
      </c>
      <c r="B21" s="17">
        <v>100000.0</v>
      </c>
      <c r="C21" s="11">
        <v>10.211</v>
      </c>
      <c r="D21" s="11">
        <v>2729.241</v>
      </c>
      <c r="E21" s="11">
        <v>54.121</v>
      </c>
      <c r="F21" s="11">
        <v>2793.574</v>
      </c>
      <c r="G21" s="13">
        <f>0.997</f>
        <v>0.997</v>
      </c>
      <c r="H21" s="13">
        <f>64.41</f>
        <v>64.41</v>
      </c>
      <c r="I21" s="13">
        <f t="shared" ref="I21:J21" si="21">1.02</f>
        <v>1.02</v>
      </c>
      <c r="J21" s="13">
        <f t="shared" si="21"/>
        <v>1.02</v>
      </c>
      <c r="K21" s="11">
        <v>15.6</v>
      </c>
      <c r="L21" s="13">
        <f t="shared" si="19"/>
        <v>0.975</v>
      </c>
      <c r="M21" s="8"/>
    </row>
    <row r="22">
      <c r="A22" s="28">
        <v>32.0</v>
      </c>
      <c r="B22" s="29">
        <v>100000.0</v>
      </c>
      <c r="C22" s="11">
        <v>10.362</v>
      </c>
      <c r="D22" s="11">
        <v>1375.357</v>
      </c>
      <c r="E22" s="11">
        <v>70.845</v>
      </c>
      <c r="F22" s="11">
        <v>1456.564</v>
      </c>
      <c r="G22" s="13">
        <f>0.998</f>
        <v>0.998</v>
      </c>
      <c r="H22" s="13">
        <f>((1-0.85)+0.85*A21)*5.265</f>
        <v>72.39375</v>
      </c>
      <c r="I22" s="13">
        <f t="shared" ref="I22:J22" si="22">1.23</f>
        <v>1.23</v>
      </c>
      <c r="J22" s="13">
        <f t="shared" si="22"/>
        <v>1.23</v>
      </c>
      <c r="K22" s="11">
        <v>29.9</v>
      </c>
      <c r="L22" s="13">
        <f t="shared" si="19"/>
        <v>0.934375</v>
      </c>
      <c r="M22" s="8"/>
    </row>
  </sheetData>
  <drawing r:id="rId1"/>
</worksheet>
</file>