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7755" activeTab="1"/>
  </bookViews>
  <sheets>
    <sheet name="Hoja1" sheetId="1" r:id="rId1"/>
    <sheet name="Hoja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E70" i="3" l="1"/>
  <c r="E71" i="3"/>
  <c r="E72" i="3"/>
  <c r="E73" i="3"/>
  <c r="G99" i="3" s="1"/>
  <c r="H99" i="3" s="1"/>
  <c r="E74" i="3"/>
  <c r="E75" i="3"/>
  <c r="E76" i="3"/>
  <c r="E77" i="3"/>
  <c r="E78" i="3"/>
  <c r="E79" i="3"/>
  <c r="E80" i="3"/>
  <c r="E81" i="3"/>
  <c r="E61" i="3"/>
  <c r="G87" i="3" s="1"/>
  <c r="K48" i="3"/>
  <c r="K46" i="3"/>
  <c r="K54" i="3"/>
  <c r="K50" i="3"/>
  <c r="K43" i="3"/>
  <c r="L59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5" i="3"/>
  <c r="D106" i="3"/>
  <c r="D107" i="3"/>
  <c r="D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D103" i="3" s="1"/>
  <c r="C104" i="3"/>
  <c r="D104" i="3" s="1"/>
  <c r="C105" i="3"/>
  <c r="C106" i="3"/>
  <c r="C107" i="3"/>
  <c r="C86" i="3"/>
  <c r="K23" i="3"/>
  <c r="K22" i="3"/>
  <c r="K17" i="3"/>
  <c r="K59" i="3"/>
  <c r="Q52" i="3"/>
  <c r="J29" i="3"/>
  <c r="D29" i="3"/>
  <c r="G15" i="3" s="1"/>
  <c r="Q45" i="3"/>
  <c r="F5" i="3"/>
  <c r="J59" i="3"/>
  <c r="I59" i="3"/>
  <c r="H91" i="3"/>
  <c r="G90" i="3"/>
  <c r="G94" i="3"/>
  <c r="G97" i="3"/>
  <c r="G101" i="3"/>
  <c r="G102" i="3"/>
  <c r="H102" i="3" s="1"/>
  <c r="G103" i="3"/>
  <c r="G104" i="3"/>
  <c r="H104" i="3" s="1"/>
  <c r="G105" i="3"/>
  <c r="H105" i="3" s="1"/>
  <c r="G106" i="3"/>
  <c r="G107" i="3"/>
  <c r="H107" i="3" s="1"/>
  <c r="G86" i="3"/>
  <c r="L78" i="3"/>
  <c r="K70" i="3"/>
  <c r="D72" i="3"/>
  <c r="E98" i="3" s="1"/>
  <c r="R10" i="3"/>
  <c r="K71" i="3" s="1"/>
  <c r="L5" i="3"/>
  <c r="J61" i="3" s="1"/>
  <c r="L11" i="3"/>
  <c r="L9" i="3"/>
  <c r="F9" i="3"/>
  <c r="F10" i="3"/>
  <c r="I74" i="3" s="1"/>
  <c r="F11" i="3"/>
  <c r="I75" i="3" s="1"/>
  <c r="F7" i="3"/>
  <c r="I68" i="3" s="1"/>
  <c r="F8" i="3"/>
  <c r="F6" i="3"/>
  <c r="I71" i="3"/>
  <c r="I70" i="3"/>
  <c r="I67" i="3"/>
  <c r="L63" i="3"/>
  <c r="O62" i="3"/>
  <c r="D62" i="3" s="1"/>
  <c r="E88" i="3" s="1"/>
  <c r="O64" i="3"/>
  <c r="D64" i="3" s="1"/>
  <c r="E90" i="3" s="1"/>
  <c r="O65" i="3"/>
  <c r="D65" i="3" s="1"/>
  <c r="E91" i="3" s="1"/>
  <c r="F91" i="3" s="1"/>
  <c r="O72" i="3"/>
  <c r="O79" i="3"/>
  <c r="D79" i="3" s="1"/>
  <c r="I61" i="3"/>
  <c r="C8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1" i="3"/>
  <c r="C60" i="3"/>
  <c r="L27" i="3"/>
  <c r="M15" i="3"/>
  <c r="X15" i="3"/>
  <c r="X16" i="3"/>
  <c r="X17" i="3"/>
  <c r="X14" i="3"/>
  <c r="X18" i="3" s="1"/>
  <c r="X6" i="3"/>
  <c r="X5" i="3"/>
  <c r="X7" i="3"/>
  <c r="Q24" i="3"/>
  <c r="S24" i="3" s="1"/>
  <c r="W6" i="3"/>
  <c r="R18" i="3"/>
  <c r="R19" i="3"/>
  <c r="L66" i="3" s="1"/>
  <c r="O66" i="3" s="1"/>
  <c r="D66" i="3" s="1"/>
  <c r="E92" i="3" s="1"/>
  <c r="R20" i="3"/>
  <c r="L68" i="3" s="1"/>
  <c r="R21" i="3"/>
  <c r="R22" i="3"/>
  <c r="R23" i="3"/>
  <c r="R24" i="3"/>
  <c r="L76" i="3" s="1"/>
  <c r="R25" i="3"/>
  <c r="R26" i="3"/>
  <c r="R17" i="3"/>
  <c r="L61" i="3" s="1"/>
  <c r="R6" i="3"/>
  <c r="R7" i="3"/>
  <c r="R8" i="3"/>
  <c r="R9" i="3"/>
  <c r="R11" i="3"/>
  <c r="R12" i="3"/>
  <c r="R5" i="3"/>
  <c r="K61" i="3" s="1"/>
  <c r="Q8" i="3"/>
  <c r="S8" i="3" s="1"/>
  <c r="Q5" i="3"/>
  <c r="S5" i="3" s="1"/>
  <c r="K27" i="3"/>
  <c r="E27" i="3"/>
  <c r="E23" i="3"/>
  <c r="E22" i="3"/>
  <c r="L6" i="3"/>
  <c r="L7" i="3"/>
  <c r="L8" i="3"/>
  <c r="J70" i="3" s="1"/>
  <c r="L10" i="3"/>
  <c r="F54" i="3"/>
  <c r="F48" i="3"/>
  <c r="F49" i="3"/>
  <c r="E24" i="3" s="1"/>
  <c r="F50" i="3"/>
  <c r="E25" i="3" s="1"/>
  <c r="F51" i="3"/>
  <c r="F53" i="3"/>
  <c r="E5" i="3"/>
  <c r="G5" i="3" s="1"/>
  <c r="F35" i="3"/>
  <c r="F36" i="3"/>
  <c r="F37" i="3"/>
  <c r="F38" i="3"/>
  <c r="F39" i="3"/>
  <c r="F40" i="3"/>
  <c r="F41" i="3"/>
  <c r="F42" i="3"/>
  <c r="F43" i="3"/>
  <c r="F44" i="3"/>
  <c r="F45" i="3"/>
  <c r="F46" i="3"/>
  <c r="Q11" i="3" s="1"/>
  <c r="S11" i="3" s="1"/>
  <c r="F47" i="3"/>
  <c r="F33" i="3"/>
  <c r="G100" i="3"/>
  <c r="G98" i="3"/>
  <c r="G96" i="3"/>
  <c r="E69" i="3"/>
  <c r="G95" i="3" s="1"/>
  <c r="H95" i="3" s="1"/>
  <c r="E68" i="3"/>
  <c r="E67" i="3"/>
  <c r="G93" i="3" s="1"/>
  <c r="E66" i="3"/>
  <c r="G92" i="3" s="1"/>
  <c r="E65" i="3"/>
  <c r="G91" i="3" s="1"/>
  <c r="E64" i="3"/>
  <c r="E63" i="3"/>
  <c r="G89" i="3" s="1"/>
  <c r="E62" i="3"/>
  <c r="G88" i="3" s="1"/>
  <c r="R163" i="3"/>
  <c r="S163" i="3" s="1"/>
  <c r="R162" i="3"/>
  <c r="S162" i="3" s="1"/>
  <c r="E60" i="3"/>
  <c r="R161" i="3"/>
  <c r="S161" i="3" s="1"/>
  <c r="R160" i="3"/>
  <c r="S160" i="3" s="1"/>
  <c r="R159" i="3"/>
  <c r="S159" i="3" s="1"/>
  <c r="R158" i="3"/>
  <c r="S158" i="3" s="1"/>
  <c r="R157" i="3"/>
  <c r="S157" i="3" s="1"/>
  <c r="F115" i="3"/>
  <c r="F116" i="3" s="1"/>
  <c r="E115" i="3"/>
  <c r="E116" i="3" s="1"/>
  <c r="D115" i="3"/>
  <c r="C115" i="3"/>
  <c r="R156" i="3"/>
  <c r="R155" i="3"/>
  <c r="S155" i="3" s="1"/>
  <c r="L117" i="3"/>
  <c r="M116" i="3" s="1"/>
  <c r="Q149" i="3"/>
  <c r="S148" i="3"/>
  <c r="Q148" i="3"/>
  <c r="L112" i="3"/>
  <c r="P132" i="3" s="1"/>
  <c r="P106" i="3"/>
  <c r="P105" i="3"/>
  <c r="P104" i="3"/>
  <c r="P103" i="3"/>
  <c r="P102" i="3"/>
  <c r="P101" i="3"/>
  <c r="P100" i="3"/>
  <c r="P99" i="3"/>
  <c r="Q98" i="3"/>
  <c r="P98" i="3"/>
  <c r="M34" i="1"/>
  <c r="N33" i="1" s="1"/>
  <c r="F22" i="3" l="1"/>
  <c r="R39" i="3"/>
  <c r="H87" i="3"/>
  <c r="K18" i="3"/>
  <c r="D87" i="3"/>
  <c r="D108" i="3" s="1"/>
  <c r="E18" i="3"/>
  <c r="G18" i="3" s="1"/>
  <c r="J68" i="3"/>
  <c r="J63" i="3"/>
  <c r="J71" i="3"/>
  <c r="J78" i="3"/>
  <c r="J81" i="3"/>
  <c r="O81" i="3" s="1"/>
  <c r="D81" i="3" s="1"/>
  <c r="E107" i="3" s="1"/>
  <c r="E10" i="3"/>
  <c r="Q104" i="3" s="1"/>
  <c r="E8" i="3"/>
  <c r="Q9" i="3"/>
  <c r="S9" i="3" s="1"/>
  <c r="Q19" i="3"/>
  <c r="S19" i="3" s="1"/>
  <c r="W15" i="3"/>
  <c r="Y15" i="3" s="1"/>
  <c r="Q23" i="3"/>
  <c r="S23" i="3" s="1"/>
  <c r="W7" i="3"/>
  <c r="Y7" i="3" s="1"/>
  <c r="F88" i="3"/>
  <c r="H100" i="3"/>
  <c r="H92" i="3"/>
  <c r="F79" i="3"/>
  <c r="I105" i="3" s="1"/>
  <c r="J105" i="3" s="1"/>
  <c r="E105" i="3"/>
  <c r="F105" i="3" s="1"/>
  <c r="K75" i="3"/>
  <c r="O75" i="3" s="1"/>
  <c r="D75" i="3" s="1"/>
  <c r="E101" i="3" s="1"/>
  <c r="F101" i="3" s="1"/>
  <c r="K68" i="3"/>
  <c r="K73" i="3"/>
  <c r="W14" i="3"/>
  <c r="Y14" i="3" s="1"/>
  <c r="H98" i="3"/>
  <c r="F98" i="3"/>
  <c r="K19" i="3"/>
  <c r="M19" i="3" s="1"/>
  <c r="H94" i="3"/>
  <c r="H90" i="3"/>
  <c r="F90" i="3"/>
  <c r="K28" i="3"/>
  <c r="M28" i="3" s="1"/>
  <c r="H106" i="3"/>
  <c r="H101" i="3"/>
  <c r="K67" i="3"/>
  <c r="O67" i="3" s="1"/>
  <c r="D67" i="3" s="1"/>
  <c r="E93" i="3" s="1"/>
  <c r="L24" i="3"/>
  <c r="L25" i="3"/>
  <c r="F92" i="3"/>
  <c r="H96" i="3"/>
  <c r="H88" i="3"/>
  <c r="A15" i="3"/>
  <c r="A27" i="3" s="1"/>
  <c r="L80" i="3"/>
  <c r="L74" i="3"/>
  <c r="L71" i="3"/>
  <c r="K25" i="3"/>
  <c r="E17" i="3"/>
  <c r="H86" i="3"/>
  <c r="Q22" i="3"/>
  <c r="S22" i="3" s="1"/>
  <c r="H97" i="3"/>
  <c r="W5" i="3"/>
  <c r="Y5" i="3" s="1"/>
  <c r="H93" i="3"/>
  <c r="F93" i="3"/>
  <c r="Q18" i="3"/>
  <c r="S18" i="3" s="1"/>
  <c r="H89" i="3"/>
  <c r="K6" i="3"/>
  <c r="M6" i="3" s="1"/>
  <c r="Q25" i="3"/>
  <c r="S25" i="3" s="1"/>
  <c r="E26" i="3"/>
  <c r="K10" i="3"/>
  <c r="M10" i="3" s="1"/>
  <c r="K11" i="3"/>
  <c r="M11" i="3" s="1"/>
  <c r="F107" i="3"/>
  <c r="K63" i="3"/>
  <c r="O63" i="3" s="1"/>
  <c r="D63" i="3" s="1"/>
  <c r="E89" i="3" s="1"/>
  <c r="F89" i="3" s="1"/>
  <c r="O74" i="3"/>
  <c r="D74" i="3" s="1"/>
  <c r="L70" i="3"/>
  <c r="H103" i="3"/>
  <c r="K21" i="3"/>
  <c r="K26" i="3"/>
  <c r="M26" i="3" s="1"/>
  <c r="G24" i="3"/>
  <c r="M27" i="3"/>
  <c r="Q17" i="3"/>
  <c r="S17" i="3" s="1"/>
  <c r="W16" i="3"/>
  <c r="Y16" i="3" s="1"/>
  <c r="K20" i="3"/>
  <c r="M20" i="3" s="1"/>
  <c r="K24" i="3"/>
  <c r="F23" i="3"/>
  <c r="F26" i="3"/>
  <c r="G27" i="3"/>
  <c r="B27" i="3" s="1"/>
  <c r="G23" i="3"/>
  <c r="G22" i="3"/>
  <c r="K55" i="3"/>
  <c r="M100" i="3" s="1"/>
  <c r="E28" i="3"/>
  <c r="G28" i="3" s="1"/>
  <c r="Q26" i="3"/>
  <c r="S26" i="3" s="1"/>
  <c r="F18" i="3"/>
  <c r="M24" i="3"/>
  <c r="Y6" i="3"/>
  <c r="Y8" i="3" s="1"/>
  <c r="Q106" i="3"/>
  <c r="L17" i="3"/>
  <c r="L21" i="3"/>
  <c r="L23" i="3"/>
  <c r="R32" i="3"/>
  <c r="L22" i="3"/>
  <c r="L26" i="3"/>
  <c r="L18" i="3"/>
  <c r="L28" i="3"/>
  <c r="L20" i="3"/>
  <c r="E7" i="3"/>
  <c r="Q101" i="3" s="1"/>
  <c r="E19" i="3"/>
  <c r="G19" i="3" s="1"/>
  <c r="K7" i="3"/>
  <c r="M7" i="3" s="1"/>
  <c r="Q20" i="3"/>
  <c r="S20" i="3" s="1"/>
  <c r="E11" i="3"/>
  <c r="Q12" i="3"/>
  <c r="S12" i="3" s="1"/>
  <c r="M21" i="3"/>
  <c r="F19" i="3"/>
  <c r="F28" i="3"/>
  <c r="F21" i="3"/>
  <c r="F20" i="3"/>
  <c r="F24" i="3"/>
  <c r="F17" i="3"/>
  <c r="F25" i="3"/>
  <c r="G17" i="3"/>
  <c r="G25" i="3"/>
  <c r="B25" i="3" s="1"/>
  <c r="M25" i="3"/>
  <c r="L19" i="3"/>
  <c r="W17" i="3"/>
  <c r="Y17" i="3" s="1"/>
  <c r="M110" i="3"/>
  <c r="P136" i="3" s="1"/>
  <c r="E6" i="3"/>
  <c r="K8" i="3"/>
  <c r="M8" i="3" s="1"/>
  <c r="G26" i="3"/>
  <c r="E20" i="3"/>
  <c r="G20" i="3" s="1"/>
  <c r="B20" i="3" s="1"/>
  <c r="M18" i="3"/>
  <c r="M22" i="3"/>
  <c r="Q6" i="3"/>
  <c r="Q10" i="3"/>
  <c r="S10" i="3" s="1"/>
  <c r="Q21" i="3"/>
  <c r="S21" i="3" s="1"/>
  <c r="E9" i="3"/>
  <c r="K5" i="3"/>
  <c r="M5" i="3" s="1"/>
  <c r="K9" i="3"/>
  <c r="M9" i="3" s="1"/>
  <c r="E21" i="3"/>
  <c r="G21" i="3" s="1"/>
  <c r="G10" i="3"/>
  <c r="M23" i="3"/>
  <c r="Q7" i="3"/>
  <c r="S7" i="3" s="1"/>
  <c r="R27" i="3"/>
  <c r="X8" i="3"/>
  <c r="R13" i="3"/>
  <c r="L12" i="3"/>
  <c r="F62" i="3"/>
  <c r="I88" i="3" s="1"/>
  <c r="J88" i="3" s="1"/>
  <c r="Q105" i="3"/>
  <c r="F65" i="3"/>
  <c r="I91" i="3" s="1"/>
  <c r="J91" i="3" s="1"/>
  <c r="F64" i="3"/>
  <c r="G116" i="3"/>
  <c r="M120" i="3"/>
  <c r="M111" i="3"/>
  <c r="M112" i="3" s="1"/>
  <c r="F66" i="3"/>
  <c r="G115" i="3"/>
  <c r="F67" i="3"/>
  <c r="F63" i="3"/>
  <c r="I89" i="3" s="1"/>
  <c r="J89" i="3" s="1"/>
  <c r="M115" i="3"/>
  <c r="M117" i="3" s="1"/>
  <c r="F72" i="3"/>
  <c r="I98" i="3" s="1"/>
  <c r="J98" i="3" s="1"/>
  <c r="S156" i="3"/>
  <c r="S164" i="3" s="1"/>
  <c r="M119" i="3"/>
  <c r="N32" i="1"/>
  <c r="N34" i="1" s="1"/>
  <c r="M29" i="1"/>
  <c r="N28" i="1" s="1"/>
  <c r="O70" i="1" s="1"/>
  <c r="H108" i="3" l="1"/>
  <c r="M102" i="3" s="1"/>
  <c r="J54" i="3"/>
  <c r="J50" i="3"/>
  <c r="J43" i="3"/>
  <c r="M59" i="3" s="1"/>
  <c r="M76" i="3" s="1"/>
  <c r="B26" i="3"/>
  <c r="B17" i="3"/>
  <c r="N78" i="3"/>
  <c r="B18" i="3"/>
  <c r="J48" i="3"/>
  <c r="J46" i="3"/>
  <c r="N59" i="3" s="1"/>
  <c r="N80" i="3" s="1"/>
  <c r="B22" i="3"/>
  <c r="B21" i="3"/>
  <c r="B19" i="3"/>
  <c r="B28" i="3"/>
  <c r="B23" i="3"/>
  <c r="Y18" i="3"/>
  <c r="F81" i="3"/>
  <c r="I107" i="3" s="1"/>
  <c r="J107" i="3" s="1"/>
  <c r="F74" i="3"/>
  <c r="I100" i="3" s="1"/>
  <c r="J100" i="3" s="1"/>
  <c r="E100" i="3"/>
  <c r="F100" i="3" s="1"/>
  <c r="T156" i="3"/>
  <c r="U156" i="3" s="1"/>
  <c r="I92" i="3"/>
  <c r="J92" i="3" s="1"/>
  <c r="W8" i="3"/>
  <c r="S149" i="3" s="1"/>
  <c r="S27" i="3"/>
  <c r="L42" i="3" s="1"/>
  <c r="M42" i="3" s="1"/>
  <c r="F75" i="3"/>
  <c r="I101" i="3" s="1"/>
  <c r="J101" i="3" s="1"/>
  <c r="Q99" i="3"/>
  <c r="Q107" i="3" s="1"/>
  <c r="T155" i="3"/>
  <c r="U155" i="3" s="1"/>
  <c r="I90" i="3"/>
  <c r="J90" i="3" s="1"/>
  <c r="A24" i="3"/>
  <c r="Q102" i="3"/>
  <c r="G8" i="3"/>
  <c r="T160" i="3"/>
  <c r="U160" i="3" s="1"/>
  <c r="I93" i="3"/>
  <c r="J93" i="3" s="1"/>
  <c r="L29" i="3"/>
  <c r="A18" i="3"/>
  <c r="A19" i="3"/>
  <c r="A22" i="3"/>
  <c r="A25" i="3"/>
  <c r="N77" i="3"/>
  <c r="A21" i="3"/>
  <c r="N70" i="3"/>
  <c r="F29" i="3"/>
  <c r="A17" i="3"/>
  <c r="A26" i="3"/>
  <c r="G29" i="3"/>
  <c r="A20" i="3"/>
  <c r="A28" i="3"/>
  <c r="B24" i="3"/>
  <c r="A23" i="3"/>
  <c r="Q100" i="3"/>
  <c r="G6" i="3"/>
  <c r="E29" i="3"/>
  <c r="G11" i="3"/>
  <c r="Q27" i="3"/>
  <c r="M17" i="3"/>
  <c r="M29" i="3" s="1"/>
  <c r="K29" i="3"/>
  <c r="K12" i="3"/>
  <c r="M12" i="3"/>
  <c r="W18" i="3"/>
  <c r="E12" i="3"/>
  <c r="S145" i="3" s="1"/>
  <c r="R150" i="3" s="1"/>
  <c r="Q103" i="3"/>
  <c r="G9" i="3"/>
  <c r="S6" i="3"/>
  <c r="S13" i="3" s="1"/>
  <c r="Q13" i="3"/>
  <c r="G7" i="3"/>
  <c r="T163" i="3"/>
  <c r="U163" i="3" s="1"/>
  <c r="M121" i="3"/>
  <c r="P137" i="3"/>
  <c r="T157" i="3"/>
  <c r="U157" i="3" s="1"/>
  <c r="N37" i="1"/>
  <c r="N36" i="1"/>
  <c r="N38" i="1" s="1"/>
  <c r="N27" i="1"/>
  <c r="O65" i="1"/>
  <c r="G36" i="1"/>
  <c r="H36" i="1" s="1"/>
  <c r="F36" i="1"/>
  <c r="N76" i="3" l="1"/>
  <c r="O76" i="3" s="1"/>
  <c r="D76" i="3" s="1"/>
  <c r="M70" i="3"/>
  <c r="M73" i="3"/>
  <c r="M80" i="3"/>
  <c r="O80" i="3" s="1"/>
  <c r="D80" i="3" s="1"/>
  <c r="E106" i="3" s="1"/>
  <c r="F106" i="3" s="1"/>
  <c r="M69" i="3"/>
  <c r="M78" i="3"/>
  <c r="O78" i="3" s="1"/>
  <c r="D78" i="3" s="1"/>
  <c r="M60" i="3"/>
  <c r="M71" i="3"/>
  <c r="O70" i="3"/>
  <c r="D70" i="3" s="1"/>
  <c r="E96" i="3" s="1"/>
  <c r="F96" i="3" s="1"/>
  <c r="Q47" i="3"/>
  <c r="M61" i="3"/>
  <c r="M68" i="3"/>
  <c r="M77" i="3"/>
  <c r="B29" i="3"/>
  <c r="O73" i="3"/>
  <c r="D73" i="3" s="1"/>
  <c r="E99" i="3" s="1"/>
  <c r="F99" i="3" s="1"/>
  <c r="N71" i="3"/>
  <c r="O71" i="3" s="1"/>
  <c r="D71" i="3" s="1"/>
  <c r="N73" i="3"/>
  <c r="N61" i="3"/>
  <c r="N68" i="3"/>
  <c r="N60" i="3"/>
  <c r="O60" i="3" s="1"/>
  <c r="D60" i="3" s="1"/>
  <c r="E86" i="3" s="1"/>
  <c r="F86" i="3" s="1"/>
  <c r="N69" i="3"/>
  <c r="O69" i="3" s="1"/>
  <c r="D69" i="3" s="1"/>
  <c r="L51" i="3"/>
  <c r="M51" i="3" s="1"/>
  <c r="R33" i="3"/>
  <c r="R35" i="3" s="1"/>
  <c r="L54" i="3"/>
  <c r="M54" i="3" s="1"/>
  <c r="L50" i="3"/>
  <c r="M50" i="3" s="1"/>
  <c r="L43" i="3"/>
  <c r="M43" i="3" s="1"/>
  <c r="L52" i="3"/>
  <c r="M52" i="3" s="1"/>
  <c r="L41" i="3"/>
  <c r="M41" i="3" s="1"/>
  <c r="L45" i="3"/>
  <c r="M45" i="3" s="1"/>
  <c r="L48" i="3"/>
  <c r="L46" i="3"/>
  <c r="O77" i="3"/>
  <c r="D77" i="3" s="1"/>
  <c r="F77" i="3" s="1"/>
  <c r="I103" i="3" s="1"/>
  <c r="J103" i="3" s="1"/>
  <c r="L37" i="3"/>
  <c r="M37" i="3" s="1"/>
  <c r="L34" i="3"/>
  <c r="M34" i="3" s="1"/>
  <c r="R40" i="3"/>
  <c r="R42" i="3" s="1"/>
  <c r="Q48" i="3"/>
  <c r="A29" i="3"/>
  <c r="F12" i="3"/>
  <c r="L47" i="3"/>
  <c r="M47" i="3" s="1"/>
  <c r="L49" i="3"/>
  <c r="M49" i="3" s="1"/>
  <c r="L38" i="3"/>
  <c r="M38" i="3" s="1"/>
  <c r="G12" i="3"/>
  <c r="L33" i="3" s="1"/>
  <c r="N29" i="1"/>
  <c r="O69" i="1"/>
  <c r="E44" i="1"/>
  <c r="E57" i="1"/>
  <c r="E56" i="1"/>
  <c r="E55" i="1"/>
  <c r="E54" i="1"/>
  <c r="E52" i="1"/>
  <c r="E51" i="1"/>
  <c r="E50" i="1"/>
  <c r="E49" i="1"/>
  <c r="E46" i="1"/>
  <c r="T44" i="1"/>
  <c r="T36" i="1"/>
  <c r="S44" i="1"/>
  <c r="S36" i="1"/>
  <c r="H34" i="1"/>
  <c r="R44" i="1"/>
  <c r="Q44" i="1"/>
  <c r="Q39" i="1"/>
  <c r="R39" i="1" s="1"/>
  <c r="Q37" i="1"/>
  <c r="S12" i="1" s="1"/>
  <c r="R6" i="1"/>
  <c r="Q36" i="1"/>
  <c r="Q38" i="1"/>
  <c r="R38" i="1" s="1"/>
  <c r="Q40" i="1"/>
  <c r="R40" i="1" s="1"/>
  <c r="Q41" i="1"/>
  <c r="R41" i="1" s="1"/>
  <c r="Q42" i="1"/>
  <c r="Q43" i="1"/>
  <c r="R43" i="1" s="1"/>
  <c r="O11" i="1"/>
  <c r="P11" i="1"/>
  <c r="R42" i="1"/>
  <c r="Q11" i="1"/>
  <c r="Q17" i="1"/>
  <c r="Q15" i="1"/>
  <c r="E5" i="1"/>
  <c r="P12" i="1"/>
  <c r="Q12" i="1" s="1"/>
  <c r="P13" i="1"/>
  <c r="Q13" i="1" s="1"/>
  <c r="P14" i="1"/>
  <c r="Q14" i="1" s="1"/>
  <c r="P15" i="1"/>
  <c r="P16" i="1"/>
  <c r="Q16" i="1" s="1"/>
  <c r="P17" i="1"/>
  <c r="P18" i="1"/>
  <c r="Q18" i="1" s="1"/>
  <c r="O19" i="1"/>
  <c r="O18" i="1"/>
  <c r="O12" i="1"/>
  <c r="O13" i="1"/>
  <c r="O14" i="1"/>
  <c r="O15" i="1"/>
  <c r="O16" i="1"/>
  <c r="O17" i="1"/>
  <c r="S7" i="1"/>
  <c r="S6" i="1"/>
  <c r="S9" i="1" s="1"/>
  <c r="I5" i="1"/>
  <c r="R8" i="1"/>
  <c r="S8" i="1" s="1"/>
  <c r="R9" i="1"/>
  <c r="R7" i="1"/>
  <c r="R30" i="1"/>
  <c r="R29" i="1"/>
  <c r="P30" i="1"/>
  <c r="P29" i="1"/>
  <c r="E102" i="3" l="1"/>
  <c r="F102" i="3" s="1"/>
  <c r="F76" i="3"/>
  <c r="I102" i="3" s="1"/>
  <c r="J102" i="3" s="1"/>
  <c r="F73" i="3"/>
  <c r="I99" i="3" s="1"/>
  <c r="J99" i="3" s="1"/>
  <c r="F70" i="3"/>
  <c r="I96" i="3" s="1"/>
  <c r="J96" i="3" s="1"/>
  <c r="F78" i="3"/>
  <c r="I104" i="3" s="1"/>
  <c r="J104" i="3" s="1"/>
  <c r="E104" i="3"/>
  <c r="F104" i="3" s="1"/>
  <c r="F80" i="3"/>
  <c r="I106" i="3" s="1"/>
  <c r="J106" i="3" s="1"/>
  <c r="O68" i="3"/>
  <c r="D68" i="3" s="1"/>
  <c r="E94" i="3" s="1"/>
  <c r="F94" i="3" s="1"/>
  <c r="O61" i="3"/>
  <c r="D61" i="3" s="1"/>
  <c r="F61" i="3" s="1"/>
  <c r="E95" i="3"/>
  <c r="F95" i="3" s="1"/>
  <c r="F69" i="3"/>
  <c r="E97" i="3"/>
  <c r="F97" i="3" s="1"/>
  <c r="F71" i="3"/>
  <c r="I97" i="3" s="1"/>
  <c r="J97" i="3" s="1"/>
  <c r="E103" i="3"/>
  <c r="F103" i="3" s="1"/>
  <c r="T158" i="3"/>
  <c r="U158" i="3" s="1"/>
  <c r="F60" i="3"/>
  <c r="I86" i="3" s="1"/>
  <c r="J86" i="3" s="1"/>
  <c r="M48" i="3"/>
  <c r="M46" i="3"/>
  <c r="L44" i="3"/>
  <c r="M44" i="3" s="1"/>
  <c r="L40" i="3"/>
  <c r="M40" i="3" s="1"/>
  <c r="L35" i="3"/>
  <c r="M35" i="3" s="1"/>
  <c r="L53" i="3"/>
  <c r="M53" i="3" s="1"/>
  <c r="L39" i="3"/>
  <c r="M39" i="3" s="1"/>
  <c r="L36" i="3"/>
  <c r="M36" i="3" s="1"/>
  <c r="R37" i="1"/>
  <c r="R36" i="1"/>
  <c r="R45" i="1"/>
  <c r="M7" i="1"/>
  <c r="I14" i="1"/>
  <c r="I13" i="1"/>
  <c r="I12" i="1"/>
  <c r="I11" i="1"/>
  <c r="I7" i="1"/>
  <c r="I6" i="1"/>
  <c r="H17" i="1"/>
  <c r="G17" i="1"/>
  <c r="E7" i="1"/>
  <c r="E12" i="1"/>
  <c r="E11" i="1"/>
  <c r="E10" i="1"/>
  <c r="E9" i="1"/>
  <c r="E8" i="1"/>
  <c r="E6" i="1"/>
  <c r="E23" i="1"/>
  <c r="E87" i="3" l="1"/>
  <c r="F87" i="3" s="1"/>
  <c r="T161" i="3"/>
  <c r="U161" i="3" s="1"/>
  <c r="I87" i="3"/>
  <c r="J87" i="3" s="1"/>
  <c r="F68" i="3"/>
  <c r="I95" i="3"/>
  <c r="J95" i="3" s="1"/>
  <c r="T159" i="3"/>
  <c r="U159" i="3" s="1"/>
  <c r="F108" i="3"/>
  <c r="M99" i="3" s="1"/>
  <c r="L55" i="3"/>
  <c r="M33" i="3"/>
  <c r="M55" i="3" s="1"/>
  <c r="M101" i="3" s="1"/>
  <c r="I15" i="1"/>
  <c r="I8" i="1"/>
  <c r="E13" i="1"/>
  <c r="R26" i="1" s="1"/>
  <c r="Q31" i="1" s="1"/>
  <c r="L66" i="1"/>
  <c r="L65" i="1"/>
  <c r="L68" i="1"/>
  <c r="G77" i="1"/>
  <c r="H64" i="1"/>
  <c r="H67" i="1"/>
  <c r="I67" i="1" s="1"/>
  <c r="H72" i="1"/>
  <c r="I64" i="1"/>
  <c r="I72" i="1"/>
  <c r="I62" i="1"/>
  <c r="H62" i="1"/>
  <c r="G67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62" i="1"/>
  <c r="E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63" i="1"/>
  <c r="F62" i="1"/>
  <c r="E64" i="1"/>
  <c r="E67" i="1"/>
  <c r="E72" i="1"/>
  <c r="D72" i="1"/>
  <c r="D75" i="1"/>
  <c r="E75" i="1" s="1"/>
  <c r="D64" i="1"/>
  <c r="D67" i="1"/>
  <c r="D68" i="1"/>
  <c r="E68" i="1" s="1"/>
  <c r="D62" i="1"/>
  <c r="G45" i="1"/>
  <c r="G48" i="1"/>
  <c r="G53" i="1"/>
  <c r="G43" i="1"/>
  <c r="F55" i="1"/>
  <c r="F56" i="1"/>
  <c r="F57" i="1"/>
  <c r="D51" i="1"/>
  <c r="D44" i="1"/>
  <c r="D54" i="1"/>
  <c r="D55" i="1"/>
  <c r="D56" i="1"/>
  <c r="D57" i="1"/>
  <c r="D45" i="1"/>
  <c r="D46" i="1"/>
  <c r="D47" i="1"/>
  <c r="D48" i="1"/>
  <c r="D49" i="1"/>
  <c r="D50" i="1"/>
  <c r="D52" i="1"/>
  <c r="D53" i="1"/>
  <c r="D76" i="1"/>
  <c r="E76" i="1" s="1"/>
  <c r="G56" i="1"/>
  <c r="H75" i="1" s="1"/>
  <c r="I75" i="1" s="1"/>
  <c r="G54" i="1"/>
  <c r="G55" i="1"/>
  <c r="D65" i="1"/>
  <c r="E65" i="1" s="1"/>
  <c r="G49" i="1"/>
  <c r="G44" i="1"/>
  <c r="S42" i="1" s="1"/>
  <c r="T42" i="1" s="1"/>
  <c r="D43" i="1"/>
  <c r="E47" i="1"/>
  <c r="D66" i="1" s="1"/>
  <c r="E66" i="1" s="1"/>
  <c r="I94" i="3" l="1"/>
  <c r="J94" i="3" s="1"/>
  <c r="J108" i="3" s="1"/>
  <c r="M103" i="3" s="1"/>
  <c r="M104" i="3" s="1"/>
  <c r="T162" i="3"/>
  <c r="U162" i="3" s="1"/>
  <c r="H74" i="1"/>
  <c r="I74" i="1" s="1"/>
  <c r="S38" i="1"/>
  <c r="T38" i="1" s="1"/>
  <c r="H73" i="1"/>
  <c r="I73" i="1" s="1"/>
  <c r="S39" i="1"/>
  <c r="T39" i="1" s="1"/>
  <c r="H68" i="1"/>
  <c r="I68" i="1" s="1"/>
  <c r="S37" i="1"/>
  <c r="T37" i="1" s="1"/>
  <c r="D74" i="1"/>
  <c r="E74" i="1" s="1"/>
  <c r="D73" i="1"/>
  <c r="E73" i="1" s="1"/>
  <c r="G57" i="1"/>
  <c r="H76" i="1" s="1"/>
  <c r="I76" i="1" s="1"/>
  <c r="G46" i="1"/>
  <c r="H65" i="1" s="1"/>
  <c r="I65" i="1" s="1"/>
  <c r="D63" i="1"/>
  <c r="E63" i="1" s="1"/>
  <c r="G47" i="1"/>
  <c r="H66" i="1" s="1"/>
  <c r="I66" i="1" s="1"/>
  <c r="F54" i="1"/>
  <c r="L8" i="1"/>
  <c r="M14" i="1"/>
  <c r="M15" i="1"/>
  <c r="L14" i="1"/>
  <c r="L15" i="1"/>
  <c r="D38" i="1" l="1"/>
  <c r="C38" i="1"/>
  <c r="F38" i="1"/>
  <c r="F39" i="1" s="1"/>
  <c r="E38" i="1"/>
  <c r="F44" i="1"/>
  <c r="F45" i="1"/>
  <c r="F46" i="1"/>
  <c r="F47" i="1"/>
  <c r="F48" i="1"/>
  <c r="F49" i="1"/>
  <c r="F50" i="1"/>
  <c r="F51" i="1"/>
  <c r="F52" i="1"/>
  <c r="F53" i="1"/>
  <c r="F43" i="1"/>
  <c r="D71" i="1" l="1"/>
  <c r="E71" i="1" s="1"/>
  <c r="G52" i="1"/>
  <c r="G50" i="1"/>
  <c r="D69" i="1"/>
  <c r="E69" i="1" s="1"/>
  <c r="D70" i="1"/>
  <c r="E70" i="1" s="1"/>
  <c r="G51" i="1"/>
  <c r="G38" i="1"/>
  <c r="E39" i="1"/>
  <c r="G39" i="1" s="1"/>
  <c r="H63" i="1"/>
  <c r="I63" i="1" s="1"/>
  <c r="H28" i="1"/>
  <c r="H29" i="1"/>
  <c r="H30" i="1"/>
  <c r="H31" i="1"/>
  <c r="H32" i="1"/>
  <c r="H33" i="1"/>
  <c r="H35" i="1"/>
  <c r="H71" i="1" l="1"/>
  <c r="I71" i="1" s="1"/>
  <c r="S40" i="1"/>
  <c r="T40" i="1" s="1"/>
  <c r="H70" i="1"/>
  <c r="I70" i="1" s="1"/>
  <c r="S43" i="1"/>
  <c r="T43" i="1" s="1"/>
  <c r="H69" i="1"/>
  <c r="I69" i="1" s="1"/>
  <c r="S41" i="1"/>
  <c r="T41" i="1" s="1"/>
  <c r="E77" i="1"/>
  <c r="I77" i="1"/>
  <c r="L69" i="1" s="1"/>
  <c r="L67" i="1"/>
  <c r="M10" i="1"/>
  <c r="L10" i="1"/>
  <c r="M8" i="1"/>
  <c r="L70" i="1" l="1"/>
  <c r="L9" i="1"/>
  <c r="M12" i="1"/>
  <c r="M13" i="1"/>
  <c r="M11" i="1"/>
  <c r="M9" i="1"/>
  <c r="L11" i="1"/>
  <c r="L12" i="1"/>
  <c r="L13" i="1"/>
  <c r="L7" i="1"/>
  <c r="M16" i="1" l="1"/>
</calcChain>
</file>

<file path=xl/sharedStrings.xml><?xml version="1.0" encoding="utf-8"?>
<sst xmlns="http://schemas.openxmlformats.org/spreadsheetml/2006/main" count="641" uniqueCount="119">
  <si>
    <t>Chantilly DG</t>
  </si>
  <si>
    <t>Crema leche</t>
  </si>
  <si>
    <t>Lechera</t>
  </si>
  <si>
    <t>Leche Entera</t>
  </si>
  <si>
    <t>Huevos</t>
  </si>
  <si>
    <t>Esecia</t>
  </si>
  <si>
    <t>Azucar</t>
  </si>
  <si>
    <t>Harina</t>
  </si>
  <si>
    <t>genovesa</t>
  </si>
  <si>
    <t>nombre</t>
  </si>
  <si>
    <t>medida</t>
  </si>
  <si>
    <t>costo</t>
  </si>
  <si>
    <t>Margarina DG</t>
  </si>
  <si>
    <t>Bicarbonato</t>
  </si>
  <si>
    <t>Yogurt</t>
  </si>
  <si>
    <t>Normal</t>
  </si>
  <si>
    <t>Chocolate</t>
  </si>
  <si>
    <t>MezclaChocolate</t>
  </si>
  <si>
    <t>Hy-vol</t>
  </si>
  <si>
    <t>Azucar pulverizada</t>
  </si>
  <si>
    <t>Agua</t>
  </si>
  <si>
    <t>Merengue</t>
  </si>
  <si>
    <t>Reporte</t>
  </si>
  <si>
    <t>pedidos</t>
  </si>
  <si>
    <t>cliente</t>
  </si>
  <si>
    <t>receta</t>
  </si>
  <si>
    <t>gasto</t>
  </si>
  <si>
    <t>venta</t>
  </si>
  <si>
    <t>cantidad</t>
  </si>
  <si>
    <t>juan</t>
  </si>
  <si>
    <t>maria</t>
  </si>
  <si>
    <t>pedro</t>
  </si>
  <si>
    <t>ana</t>
  </si>
  <si>
    <t>stiven</t>
  </si>
  <si>
    <t>dario</t>
  </si>
  <si>
    <t>julia</t>
  </si>
  <si>
    <t>normal</t>
  </si>
  <si>
    <t>ganancia</t>
  </si>
  <si>
    <t>fecha</t>
  </si>
  <si>
    <t>producto</t>
  </si>
  <si>
    <t>entradas</t>
  </si>
  <si>
    <t>bajas</t>
  </si>
  <si>
    <t>consumo</t>
  </si>
  <si>
    <t>restante</t>
  </si>
  <si>
    <t>Inventario</t>
  </si>
  <si>
    <t>entrada</t>
  </si>
  <si>
    <t>precio</t>
  </si>
  <si>
    <t>Bienes</t>
  </si>
  <si>
    <t>Azucar pulv.</t>
  </si>
  <si>
    <t>medidad</t>
  </si>
  <si>
    <t>precio unit</t>
  </si>
  <si>
    <t>5,10,5,5,5,5,5,5,8,5,1,5,5,5,8</t>
  </si>
  <si>
    <t>0,205.5,0,300.25,300,0,0,0,150,8,0,900,0,180,0</t>
  </si>
  <si>
    <t>egreso</t>
  </si>
  <si>
    <t>ingreso</t>
  </si>
  <si>
    <t>inventario</t>
  </si>
  <si>
    <t>bienes</t>
  </si>
  <si>
    <t>reporte</t>
  </si>
  <si>
    <t>estado</t>
  </si>
  <si>
    <t>pendiente</t>
  </si>
  <si>
    <t xml:space="preserve">cliente </t>
  </si>
  <si>
    <t xml:space="preserve">receta </t>
  </si>
  <si>
    <t>ot producto</t>
  </si>
  <si>
    <t>h</t>
  </si>
  <si>
    <t>total</t>
  </si>
  <si>
    <t>productos</t>
  </si>
  <si>
    <t xml:space="preserve">Reporte </t>
  </si>
  <si>
    <t>Mario</t>
  </si>
  <si>
    <t>Entregado</t>
  </si>
  <si>
    <t>mario</t>
  </si>
  <si>
    <t>reporte faltantes</t>
  </si>
  <si>
    <t>faltantes</t>
  </si>
  <si>
    <t>Estadistica</t>
  </si>
  <si>
    <t>Genoveza</t>
  </si>
  <si>
    <t>otros</t>
  </si>
  <si>
    <t>porcentage</t>
  </si>
  <si>
    <t>total ventas</t>
  </si>
  <si>
    <t>MargarinaDG</t>
  </si>
  <si>
    <t>Pastel 3 leche</t>
  </si>
  <si>
    <t>Leche en polvo</t>
  </si>
  <si>
    <t>bicarbonato</t>
  </si>
  <si>
    <t>Pan mantequilla</t>
  </si>
  <si>
    <t xml:space="preserve">harina </t>
  </si>
  <si>
    <t>sal</t>
  </si>
  <si>
    <t>levadura</t>
  </si>
  <si>
    <t>Ecencias</t>
  </si>
  <si>
    <t>Fecula</t>
  </si>
  <si>
    <t>Leche</t>
  </si>
  <si>
    <t>Levadura</t>
  </si>
  <si>
    <t>Manteca</t>
  </si>
  <si>
    <t>Mantequilla</t>
  </si>
  <si>
    <t>Polvo</t>
  </si>
  <si>
    <t>Sal</t>
  </si>
  <si>
    <t>Pan sal</t>
  </si>
  <si>
    <t>Bizcocho Marmolado</t>
  </si>
  <si>
    <t>Entrada</t>
  </si>
  <si>
    <t>cocoa</t>
  </si>
  <si>
    <t>Cocoa</t>
  </si>
  <si>
    <t>dilan</t>
  </si>
  <si>
    <t>pablo</t>
  </si>
  <si>
    <t>roberto</t>
  </si>
  <si>
    <t>antonia</t>
  </si>
  <si>
    <t>karen</t>
  </si>
  <si>
    <t>Marmolado</t>
  </si>
  <si>
    <t>Pan mant</t>
  </si>
  <si>
    <t>precio gramos</t>
  </si>
  <si>
    <t>medida gramos</t>
  </si>
  <si>
    <t>costo gramo</t>
  </si>
  <si>
    <t>pan sal 500</t>
  </si>
  <si>
    <t>pan mant 500</t>
  </si>
  <si>
    <t>tres leche</t>
  </si>
  <si>
    <t>biscocho</t>
  </si>
  <si>
    <t>pan sal</t>
  </si>
  <si>
    <t>pan mante</t>
  </si>
  <si>
    <t>medida total</t>
  </si>
  <si>
    <t>contenido</t>
  </si>
  <si>
    <t>diego</t>
  </si>
  <si>
    <t>0,205.5,0,300.25,300,0,0,0,150,8,0,900,0,180,0,0,0,0,0,0,0,0</t>
  </si>
  <si>
    <t>5,10,5,5,5,5,3,7,9,20,300,10,1,5,5,14,128,38,26,10,8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</si>
</sst>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0" fillId="0" borderId="0" xfId="0" applyBorder="1"/>
    <xf numFmtId="0" fontId="0" fillId="0" borderId="11" xfId="0" applyBorder="1"/>
    <xf numFmtId="14" fontId="0" fillId="0" borderId="8" xfId="0" applyNumberFormat="1" applyBorder="1"/>
    <xf numFmtId="0" fontId="1" fillId="0" borderId="8" xfId="0" applyFont="1" applyFill="1" applyBorder="1"/>
    <xf numFmtId="14" fontId="0" fillId="0" borderId="9" xfId="0" applyNumberFormat="1" applyBorder="1"/>
    <xf numFmtId="14" fontId="0" fillId="0" borderId="10" xfId="0" applyNumberFormat="1" applyBorder="1"/>
    <xf numFmtId="44" fontId="0" fillId="0" borderId="0" xfId="2" applyFont="1"/>
    <xf numFmtId="43" fontId="0" fillId="0" borderId="0" xfId="1" applyFont="1"/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0" xfId="0" applyFont="1" applyBorder="1"/>
    <xf numFmtId="0" fontId="0" fillId="0" borderId="4" xfId="0" applyFill="1" applyBorder="1" applyAlignment="1">
      <alignment vertical="center" wrapText="1"/>
    </xf>
    <xf numFmtId="0" fontId="0" fillId="2" borderId="1" xfId="0" applyFill="1" applyBorder="1"/>
    <xf numFmtId="164" fontId="0" fillId="0" borderId="3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0" fontId="0" fillId="2" borderId="0" xfId="0" applyFill="1"/>
    <xf numFmtId="0" fontId="0" fillId="2" borderId="5" xfId="0" applyFill="1" applyBorder="1"/>
    <xf numFmtId="0" fontId="1" fillId="0" borderId="8" xfId="0" applyFont="1" applyBorder="1"/>
    <xf numFmtId="2" fontId="0" fillId="0" borderId="9" xfId="0" applyNumberFormat="1" applyBorder="1" applyAlignment="1">
      <alignment vertical="center" wrapText="1"/>
    </xf>
    <xf numFmtId="0" fontId="0" fillId="0" borderId="1" xfId="0" applyBorder="1" applyAlignment="1"/>
    <xf numFmtId="2" fontId="0" fillId="0" borderId="3" xfId="0" applyNumberFormat="1" applyBorder="1"/>
    <xf numFmtId="2" fontId="0" fillId="0" borderId="7" xfId="0" applyNumberFormat="1" applyBorder="1"/>
    <xf numFmtId="2" fontId="0" fillId="2" borderId="0" xfId="0" applyNumberFormat="1" applyFill="1"/>
    <xf numFmtId="0" fontId="1" fillId="0" borderId="1" xfId="0" applyFont="1" applyFill="1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applyFill="1" applyBorder="1"/>
    <xf numFmtId="2" fontId="0" fillId="0" borderId="0" xfId="0" applyNumberFormat="1"/>
    <xf numFmtId="1" fontId="0" fillId="0" borderId="0" xfId="0" applyNumberFormat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Fill="1" applyBorder="1" applyAlignment="1">
      <alignment horizontal="center"/>
    </xf>
    <xf numFmtId="9" fontId="0" fillId="0" borderId="0" xfId="3" applyFont="1"/>
    <xf numFmtId="9" fontId="0" fillId="0" borderId="0" xfId="3" applyFont="1" applyBorder="1"/>
    <xf numFmtId="9" fontId="0" fillId="0" borderId="0" xfId="0" applyNumberFormat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4" xfId="0" applyFill="1" applyBorder="1"/>
    <xf numFmtId="0" fontId="0" fillId="0" borderId="8" xfId="0" applyFill="1" applyBorder="1"/>
    <xf numFmtId="0" fontId="0" fillId="0" borderId="0" xfId="0" applyFill="1" applyBorder="1" applyAlignment="1"/>
    <xf numFmtId="0" fontId="0" fillId="0" borderId="6" xfId="0" applyFill="1" applyBorder="1"/>
    <xf numFmtId="0" fontId="0" fillId="0" borderId="9" xfId="0" applyFill="1" applyBorder="1" applyAlignment="1"/>
    <xf numFmtId="2" fontId="0" fillId="0" borderId="8" xfId="0" applyNumberFormat="1" applyBorder="1" applyAlignment="1">
      <alignment vertical="center" wrapText="1"/>
    </xf>
    <xf numFmtId="2" fontId="0" fillId="0" borderId="10" xfId="0" applyNumberFormat="1" applyBorder="1" applyAlignment="1">
      <alignment vertical="center" wrapText="1"/>
    </xf>
    <xf numFmtId="0" fontId="1" fillId="0" borderId="13" xfId="0" applyFont="1" applyBorder="1"/>
    <xf numFmtId="0" fontId="1" fillId="0" borderId="14" xfId="0" applyFont="1" applyBorder="1"/>
    <xf numFmtId="0" fontId="0" fillId="0" borderId="2" xfId="0" applyFill="1" applyBorder="1" applyAlignment="1">
      <alignment vertical="center" wrapText="1"/>
    </xf>
    <xf numFmtId="2" fontId="0" fillId="0" borderId="12" xfId="0" applyNumberFormat="1" applyBorder="1"/>
    <xf numFmtId="2" fontId="0" fillId="0" borderId="11" xfId="0" applyNumberFormat="1" applyBorder="1"/>
    <xf numFmtId="44" fontId="0" fillId="2" borderId="1" xfId="2" applyFont="1" applyFill="1" applyBorder="1"/>
    <xf numFmtId="44" fontId="0" fillId="0" borderId="0" xfId="0" applyNumberFormat="1"/>
    <xf numFmtId="0" fontId="0" fillId="4" borderId="2" xfId="0" applyFill="1" applyBorder="1"/>
    <xf numFmtId="0" fontId="0" fillId="4" borderId="4" xfId="0" applyFill="1" applyBorder="1"/>
    <xf numFmtId="44" fontId="0" fillId="0" borderId="12" xfId="2" applyFont="1" applyBorder="1"/>
    <xf numFmtId="44" fontId="0" fillId="0" borderId="0" xfId="2" applyFont="1" applyBorder="1"/>
    <xf numFmtId="44" fontId="0" fillId="0" borderId="9" xfId="2" applyFont="1" applyBorder="1"/>
    <xf numFmtId="44" fontId="0" fillId="0" borderId="11" xfId="2" applyFont="1" applyBorder="1"/>
    <xf numFmtId="44" fontId="0" fillId="0" borderId="8" xfId="2" applyFont="1" applyBorder="1"/>
    <xf numFmtId="44" fontId="0" fillId="0" borderId="10" xfId="2" applyFont="1" applyBorder="1"/>
    <xf numFmtId="164" fontId="0" fillId="0" borderId="9" xfId="2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4" fontId="0" fillId="0" borderId="3" xfId="2" applyNumberFormat="1" applyFont="1" applyBorder="1"/>
    <xf numFmtId="44" fontId="0" fillId="0" borderId="5" xfId="2" applyNumberFormat="1" applyFont="1" applyBorder="1"/>
    <xf numFmtId="44" fontId="0" fillId="0" borderId="7" xfId="2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82"/>
  <sheetViews>
    <sheetView topLeftCell="B55" zoomScaleNormal="100" workbookViewId="0">
      <selection activeCell="G69" sqref="G69"/>
    </sheetView>
  </sheetViews>
  <sheetFormatPr baseColWidth="10" defaultRowHeight="15" x14ac:dyDescent="0.25"/>
  <cols>
    <col min="3" max="3" width="12.85546875" bestFit="1" customWidth="1"/>
    <col min="5" max="5" width="11.85546875" bestFit="1" customWidth="1"/>
    <col min="9" max="9" width="12.28515625" bestFit="1" customWidth="1"/>
    <col min="11" max="11" width="12.28515625" bestFit="1" customWidth="1"/>
    <col min="12" max="12" width="12.85546875" bestFit="1" customWidth="1"/>
    <col min="16" max="16" width="16.140625" bestFit="1" customWidth="1"/>
    <col min="17" max="17" width="12.7109375" customWidth="1"/>
  </cols>
  <sheetData>
    <row r="3" spans="3:20" x14ac:dyDescent="0.25">
      <c r="C3" s="89" t="s">
        <v>8</v>
      </c>
      <c r="D3" s="90"/>
      <c r="E3" s="43">
        <v>500</v>
      </c>
      <c r="G3" s="89" t="s">
        <v>17</v>
      </c>
      <c r="H3" s="90"/>
      <c r="I3" s="43">
        <v>350</v>
      </c>
      <c r="K3">
        <v>300</v>
      </c>
    </row>
    <row r="4" spans="3:20" x14ac:dyDescent="0.25">
      <c r="C4" s="10" t="s">
        <v>9</v>
      </c>
      <c r="D4" s="10" t="s">
        <v>10</v>
      </c>
      <c r="E4" s="41" t="s">
        <v>11</v>
      </c>
      <c r="G4" s="10" t="s">
        <v>9</v>
      </c>
      <c r="H4" s="10" t="s">
        <v>10</v>
      </c>
      <c r="I4" s="10" t="s">
        <v>11</v>
      </c>
      <c r="Q4" s="89" t="s">
        <v>17</v>
      </c>
      <c r="R4" s="103"/>
      <c r="S4">
        <v>200</v>
      </c>
    </row>
    <row r="5" spans="3:20" x14ac:dyDescent="0.25">
      <c r="C5" s="7" t="s">
        <v>0</v>
      </c>
      <c r="D5" s="1">
        <v>0</v>
      </c>
      <c r="E5" s="7">
        <f>N47/M47*D5</f>
        <v>0</v>
      </c>
      <c r="G5" s="11" t="s">
        <v>1</v>
      </c>
      <c r="H5" s="17">
        <v>100</v>
      </c>
      <c r="I5" s="44">
        <f>N49/M49*H5</f>
        <v>1555.5555555555554</v>
      </c>
      <c r="K5" s="89" t="s">
        <v>22</v>
      </c>
      <c r="L5" s="91"/>
      <c r="M5" s="90"/>
      <c r="Q5" s="10" t="s">
        <v>9</v>
      </c>
      <c r="R5" s="97" t="s">
        <v>10</v>
      </c>
      <c r="S5" s="99"/>
      <c r="T5" s="10" t="s">
        <v>11</v>
      </c>
    </row>
    <row r="6" spans="3:20" x14ac:dyDescent="0.25">
      <c r="C6" s="8" t="s">
        <v>1</v>
      </c>
      <c r="D6" s="3">
        <v>800</v>
      </c>
      <c r="E6" s="42">
        <f>N49/M49*D6</f>
        <v>12444.444444444443</v>
      </c>
      <c r="G6" s="13" t="s">
        <v>16</v>
      </c>
      <c r="H6" s="18">
        <v>150</v>
      </c>
      <c r="I6" s="14">
        <f>N48/M48*H6</f>
        <v>3900</v>
      </c>
      <c r="K6" s="10" t="s">
        <v>9</v>
      </c>
      <c r="L6" s="10" t="s">
        <v>10</v>
      </c>
      <c r="M6" s="10" t="s">
        <v>11</v>
      </c>
      <c r="Q6" s="11" t="s">
        <v>1</v>
      </c>
      <c r="R6" s="17">
        <f>H5/I3</f>
        <v>0.2857142857142857</v>
      </c>
      <c r="S6" s="12">
        <f>R6*S4</f>
        <v>57.142857142857139</v>
      </c>
    </row>
    <row r="7" spans="3:20" x14ac:dyDescent="0.25">
      <c r="C7" s="8" t="s">
        <v>2</v>
      </c>
      <c r="D7" s="3">
        <v>300</v>
      </c>
      <c r="E7" s="42">
        <f>N55/M55*D7</f>
        <v>5952.3809523809523</v>
      </c>
      <c r="G7" s="15" t="s">
        <v>3</v>
      </c>
      <c r="H7" s="19">
        <v>100</v>
      </c>
      <c r="I7" s="45">
        <f>N54/M54*H7</f>
        <v>333.33333333333337</v>
      </c>
      <c r="K7" s="11" t="s">
        <v>0</v>
      </c>
      <c r="L7" s="17">
        <f>D5</f>
        <v>0</v>
      </c>
      <c r="M7" s="12">
        <f>E5</f>
        <v>0</v>
      </c>
      <c r="Q7" s="13" t="s">
        <v>16</v>
      </c>
      <c r="R7" s="18">
        <f>H6/I3</f>
        <v>0.42857142857142855</v>
      </c>
      <c r="S7" s="14">
        <f>R7*S4</f>
        <v>85.714285714285708</v>
      </c>
    </row>
    <row r="8" spans="3:20" x14ac:dyDescent="0.25">
      <c r="C8" s="8" t="s">
        <v>3</v>
      </c>
      <c r="D8" s="3">
        <v>800</v>
      </c>
      <c r="E8" s="42">
        <f>N54/M54*D8</f>
        <v>2666.666666666667</v>
      </c>
      <c r="I8" s="46">
        <f>SUM(I5:I7)</f>
        <v>5788.8888888888887</v>
      </c>
      <c r="K8" s="13" t="s">
        <v>1</v>
      </c>
      <c r="L8" s="18">
        <f>D6+H5</f>
        <v>900</v>
      </c>
      <c r="M8" s="14">
        <f>E6+I5</f>
        <v>13999.999999999998</v>
      </c>
      <c r="Q8" s="15" t="s">
        <v>3</v>
      </c>
      <c r="R8" s="19">
        <f>H7/I3</f>
        <v>0.2857142857142857</v>
      </c>
      <c r="S8" s="16">
        <f>R8*S4</f>
        <v>57.142857142857139</v>
      </c>
    </row>
    <row r="9" spans="3:20" x14ac:dyDescent="0.25">
      <c r="C9" s="8" t="s">
        <v>4</v>
      </c>
      <c r="D9" s="3">
        <v>10</v>
      </c>
      <c r="E9" s="8">
        <f>N52/M52*D9</f>
        <v>5000</v>
      </c>
      <c r="G9" s="92" t="s">
        <v>21</v>
      </c>
      <c r="H9" s="92"/>
      <c r="I9" s="92"/>
      <c r="K9" s="13" t="s">
        <v>2</v>
      </c>
      <c r="L9" s="18">
        <f>D7</f>
        <v>300</v>
      </c>
      <c r="M9" s="14">
        <f>E7</f>
        <v>5952.3809523809523</v>
      </c>
      <c r="R9" s="39">
        <f>SUM(R6:R8)</f>
        <v>0.99999999999999989</v>
      </c>
      <c r="S9">
        <f>SUM(S6:S8)</f>
        <v>199.99999999999997</v>
      </c>
    </row>
    <row r="10" spans="3:20" x14ac:dyDescent="0.25">
      <c r="C10" s="8" t="s">
        <v>5</v>
      </c>
      <c r="D10" s="3">
        <v>5</v>
      </c>
      <c r="E10" s="8">
        <f>N50/M50*D10</f>
        <v>100</v>
      </c>
      <c r="G10" s="10" t="s">
        <v>9</v>
      </c>
      <c r="H10" s="10" t="s">
        <v>10</v>
      </c>
      <c r="I10" s="10" t="s">
        <v>11</v>
      </c>
      <c r="K10" s="13" t="s">
        <v>3</v>
      </c>
      <c r="L10" s="18">
        <f>D8+H7</f>
        <v>900</v>
      </c>
      <c r="M10" s="14">
        <f>E8+I7</f>
        <v>3000.0000000000005</v>
      </c>
      <c r="Q10">
        <v>250</v>
      </c>
    </row>
    <row r="11" spans="3:20" x14ac:dyDescent="0.25">
      <c r="C11" s="8" t="s">
        <v>6</v>
      </c>
      <c r="D11" s="3">
        <v>250</v>
      </c>
      <c r="E11" s="8">
        <f>N44/M44*D11</f>
        <v>1250</v>
      </c>
      <c r="G11" s="11" t="s">
        <v>18</v>
      </c>
      <c r="H11" s="17">
        <v>70</v>
      </c>
      <c r="I11" s="12">
        <f>N53/M53*H11</f>
        <v>4319</v>
      </c>
      <c r="K11" s="13" t="s">
        <v>4</v>
      </c>
      <c r="L11" s="18">
        <f t="shared" ref="L11:M14" si="0">D9</f>
        <v>10</v>
      </c>
      <c r="M11" s="14">
        <f t="shared" si="0"/>
        <v>5000</v>
      </c>
      <c r="O11">
        <f>D5/$E$3</f>
        <v>0</v>
      </c>
      <c r="P11">
        <f>O11*$Q$10</f>
        <v>0</v>
      </c>
      <c r="Q11" s="52">
        <f>N47/M47*P11</f>
        <v>0</v>
      </c>
    </row>
    <row r="12" spans="3:20" x14ac:dyDescent="0.25">
      <c r="C12" s="9" t="s">
        <v>7</v>
      </c>
      <c r="D12" s="5">
        <v>250</v>
      </c>
      <c r="E12" s="9">
        <f>N51/M51*D12</f>
        <v>1100</v>
      </c>
      <c r="G12" s="13" t="s">
        <v>19</v>
      </c>
      <c r="H12" s="18">
        <v>150</v>
      </c>
      <c r="I12" s="14">
        <f>N45/M45*H12</f>
        <v>1230</v>
      </c>
      <c r="K12" s="13" t="s">
        <v>5</v>
      </c>
      <c r="L12" s="18">
        <f t="shared" si="0"/>
        <v>5</v>
      </c>
      <c r="M12" s="14">
        <f t="shared" si="0"/>
        <v>100</v>
      </c>
      <c r="O12">
        <f t="shared" ref="O12:O17" si="1">D6/$E$3</f>
        <v>1.6</v>
      </c>
      <c r="P12">
        <f t="shared" ref="P12:P18" si="2">O12*$Q$10</f>
        <v>400</v>
      </c>
      <c r="Q12" s="52">
        <f>N49/M49*P12</f>
        <v>6222.2222222222217</v>
      </c>
      <c r="S12">
        <f>Q37</f>
        <v>442.85714285714283</v>
      </c>
    </row>
    <row r="13" spans="3:20" x14ac:dyDescent="0.25">
      <c r="E13" s="46">
        <f>SUM(E5:E12)</f>
        <v>28513.492063492064</v>
      </c>
      <c r="G13" s="13" t="s">
        <v>6</v>
      </c>
      <c r="H13" s="18">
        <v>375</v>
      </c>
      <c r="I13" s="14">
        <f>N44/M44*H13</f>
        <v>1875</v>
      </c>
      <c r="K13" s="13" t="s">
        <v>6</v>
      </c>
      <c r="L13" s="18">
        <f t="shared" si="0"/>
        <v>250</v>
      </c>
      <c r="M13" s="14">
        <f t="shared" si="0"/>
        <v>1250</v>
      </c>
      <c r="O13">
        <f t="shared" si="1"/>
        <v>0.6</v>
      </c>
      <c r="P13">
        <f t="shared" si="2"/>
        <v>150</v>
      </c>
      <c r="Q13" s="52">
        <f>N55/M55*P13</f>
        <v>2976.1904761904761</v>
      </c>
    </row>
    <row r="14" spans="3:20" x14ac:dyDescent="0.25">
      <c r="C14" s="92" t="s">
        <v>15</v>
      </c>
      <c r="D14" s="92"/>
      <c r="E14" s="92"/>
      <c r="G14" s="15" t="s">
        <v>20</v>
      </c>
      <c r="H14" s="19">
        <v>250</v>
      </c>
      <c r="I14" s="45">
        <f>N43/M43*H14</f>
        <v>104.16666666666667</v>
      </c>
      <c r="K14" s="13" t="s">
        <v>7</v>
      </c>
      <c r="L14" s="18">
        <f t="shared" si="0"/>
        <v>250</v>
      </c>
      <c r="M14" s="14">
        <f t="shared" si="0"/>
        <v>1100</v>
      </c>
      <c r="O14">
        <f t="shared" si="1"/>
        <v>1.6</v>
      </c>
      <c r="P14">
        <f t="shared" si="2"/>
        <v>400</v>
      </c>
      <c r="Q14" s="52">
        <f>N54/M54*P14</f>
        <v>1333.3333333333335</v>
      </c>
    </row>
    <row r="15" spans="3:20" x14ac:dyDescent="0.25">
      <c r="C15" s="10" t="s">
        <v>9</v>
      </c>
      <c r="D15" s="10" t="s">
        <v>10</v>
      </c>
      <c r="E15" s="10" t="s">
        <v>11</v>
      </c>
      <c r="I15" s="46">
        <f>SUM(I11:I14)</f>
        <v>7528.166666666667</v>
      </c>
      <c r="J15">
        <v>0</v>
      </c>
      <c r="K15" s="15" t="s">
        <v>16</v>
      </c>
      <c r="L15" s="19">
        <f>H6</f>
        <v>150</v>
      </c>
      <c r="M15" s="16">
        <f>I6</f>
        <v>3900</v>
      </c>
      <c r="O15">
        <f t="shared" si="1"/>
        <v>0.02</v>
      </c>
      <c r="P15">
        <f t="shared" si="2"/>
        <v>5</v>
      </c>
      <c r="Q15" s="53">
        <f>N52/M52*P15</f>
        <v>2500</v>
      </c>
    </row>
    <row r="16" spans="3:20" x14ac:dyDescent="0.25">
      <c r="C16" s="1" t="s">
        <v>12</v>
      </c>
      <c r="D16" s="7">
        <v>500</v>
      </c>
      <c r="E16" s="2">
        <v>5200</v>
      </c>
      <c r="M16" s="40">
        <f>SUM(M7:M15)</f>
        <v>34302.380952380947</v>
      </c>
      <c r="O16">
        <f t="shared" si="1"/>
        <v>0.01</v>
      </c>
      <c r="P16">
        <f t="shared" si="2"/>
        <v>2.5</v>
      </c>
      <c r="Q16" s="53">
        <f>N50/M50*P16</f>
        <v>50</v>
      </c>
    </row>
    <row r="17" spans="3:21" x14ac:dyDescent="0.25">
      <c r="C17" s="3" t="s">
        <v>13</v>
      </c>
      <c r="D17" s="8">
        <v>3</v>
      </c>
      <c r="E17" s="4">
        <v>48</v>
      </c>
      <c r="G17">
        <f>D7/500</f>
        <v>0.6</v>
      </c>
      <c r="H17">
        <f>G17*250</f>
        <v>150</v>
      </c>
      <c r="O17">
        <f t="shared" si="1"/>
        <v>0.5</v>
      </c>
      <c r="P17">
        <f t="shared" si="2"/>
        <v>125</v>
      </c>
      <c r="Q17" s="53">
        <f>N44/M44*P17</f>
        <v>625</v>
      </c>
    </row>
    <row r="18" spans="3:21" x14ac:dyDescent="0.25">
      <c r="C18" s="3" t="s">
        <v>5</v>
      </c>
      <c r="D18" s="8">
        <v>10</v>
      </c>
      <c r="E18" s="4">
        <v>200</v>
      </c>
      <c r="O18">
        <f>D12/$E$3</f>
        <v>0.5</v>
      </c>
      <c r="P18">
        <f t="shared" si="2"/>
        <v>125</v>
      </c>
      <c r="Q18" s="53">
        <f>N51/M51*P18</f>
        <v>550</v>
      </c>
    </row>
    <row r="19" spans="3:21" x14ac:dyDescent="0.25">
      <c r="C19" s="3" t="s">
        <v>14</v>
      </c>
      <c r="D19" s="8">
        <v>150</v>
      </c>
      <c r="E19" s="4">
        <v>2300</v>
      </c>
      <c r="O19">
        <f>SUM(O11:O18)</f>
        <v>4.83</v>
      </c>
    </row>
    <row r="20" spans="3:21" x14ac:dyDescent="0.25">
      <c r="C20" s="3" t="s">
        <v>4</v>
      </c>
      <c r="D20" s="8">
        <v>10</v>
      </c>
      <c r="E20" s="4">
        <v>5000</v>
      </c>
    </row>
    <row r="21" spans="3:21" x14ac:dyDescent="0.25">
      <c r="C21" s="3" t="s">
        <v>6</v>
      </c>
      <c r="D21" s="8">
        <v>500</v>
      </c>
      <c r="E21" s="4">
        <v>2500</v>
      </c>
    </row>
    <row r="22" spans="3:21" x14ac:dyDescent="0.25">
      <c r="C22" s="5" t="s">
        <v>7</v>
      </c>
      <c r="D22" s="9">
        <v>500</v>
      </c>
      <c r="E22" s="6">
        <v>2200</v>
      </c>
    </row>
    <row r="23" spans="3:21" x14ac:dyDescent="0.25">
      <c r="E23" s="39">
        <f>SUM(E16:E22)</f>
        <v>17448</v>
      </c>
    </row>
    <row r="24" spans="3:21" x14ac:dyDescent="0.25">
      <c r="P24" s="20" t="s">
        <v>24</v>
      </c>
      <c r="Q24" s="89" t="s">
        <v>69</v>
      </c>
      <c r="R24" s="90"/>
    </row>
    <row r="25" spans="3:21" x14ac:dyDescent="0.25">
      <c r="P25" s="20" t="s">
        <v>61</v>
      </c>
      <c r="Q25" s="20" t="s">
        <v>10</v>
      </c>
      <c r="R25" s="20" t="s">
        <v>46</v>
      </c>
    </row>
    <row r="26" spans="3:21" ht="15.75" x14ac:dyDescent="0.25">
      <c r="C26" s="94" t="s">
        <v>23</v>
      </c>
      <c r="D26" s="95"/>
      <c r="E26" s="95"/>
      <c r="F26" s="95"/>
      <c r="G26" s="95"/>
      <c r="H26" s="95"/>
      <c r="I26" s="95"/>
      <c r="J26" s="96"/>
      <c r="L26" s="22" t="s">
        <v>25</v>
      </c>
      <c r="M26" s="22" t="s">
        <v>28</v>
      </c>
      <c r="N26" s="22" t="s">
        <v>75</v>
      </c>
      <c r="P26" s="48" t="s">
        <v>8</v>
      </c>
      <c r="Q26" s="49">
        <v>250</v>
      </c>
      <c r="R26" s="50">
        <f>E13/E3*Q26</f>
        <v>14256.746031746032</v>
      </c>
    </row>
    <row r="27" spans="3:21" x14ac:dyDescent="0.25">
      <c r="C27" s="10" t="s">
        <v>24</v>
      </c>
      <c r="D27" s="10" t="s">
        <v>25</v>
      </c>
      <c r="E27" s="10" t="s">
        <v>28</v>
      </c>
      <c r="F27" s="10" t="s">
        <v>27</v>
      </c>
      <c r="G27" s="10" t="s">
        <v>26</v>
      </c>
      <c r="H27" s="20" t="s">
        <v>37</v>
      </c>
      <c r="I27" s="25" t="s">
        <v>38</v>
      </c>
      <c r="J27" s="47" t="s">
        <v>58</v>
      </c>
      <c r="L27" s="22" t="s">
        <v>8</v>
      </c>
      <c r="M27" s="51">
        <v>4</v>
      </c>
      <c r="N27" s="58">
        <f>M27/M29</f>
        <v>0.5714285714285714</v>
      </c>
      <c r="P27" s="97" t="s">
        <v>62</v>
      </c>
      <c r="Q27" s="98"/>
      <c r="R27" s="99"/>
    </row>
    <row r="28" spans="3:21" x14ac:dyDescent="0.25">
      <c r="C28" s="11" t="s">
        <v>29</v>
      </c>
      <c r="D28" s="60" t="s">
        <v>8</v>
      </c>
      <c r="E28" s="12">
        <v>500</v>
      </c>
      <c r="F28" s="21">
        <v>50000</v>
      </c>
      <c r="G28" s="17">
        <v>20000</v>
      </c>
      <c r="H28" s="22">
        <f t="shared" ref="H28:H35" si="3">F28-G28</f>
        <v>30000</v>
      </c>
      <c r="I28" s="24">
        <v>44910</v>
      </c>
      <c r="J28" s="12" t="s">
        <v>68</v>
      </c>
      <c r="L28" s="22" t="s">
        <v>36</v>
      </c>
      <c r="M28" s="22">
        <v>3</v>
      </c>
      <c r="N28" s="58">
        <f>M28/M29</f>
        <v>0.42857142857142855</v>
      </c>
      <c r="P28" s="20" t="s">
        <v>39</v>
      </c>
      <c r="Q28" s="20" t="s">
        <v>28</v>
      </c>
      <c r="R28" s="20" t="s">
        <v>46</v>
      </c>
    </row>
    <row r="29" spans="3:21" x14ac:dyDescent="0.25">
      <c r="C29" s="13" t="s">
        <v>30</v>
      </c>
      <c r="D29" s="18" t="s">
        <v>36</v>
      </c>
      <c r="E29" s="14">
        <v>1000</v>
      </c>
      <c r="F29" s="22">
        <v>110000</v>
      </c>
      <c r="G29" s="18">
        <v>40000</v>
      </c>
      <c r="H29" s="22">
        <f t="shared" si="3"/>
        <v>70000</v>
      </c>
      <c r="I29" s="26">
        <v>44911</v>
      </c>
      <c r="J29" s="14" t="s">
        <v>68</v>
      </c>
      <c r="M29">
        <f>SUM(M27:M28)</f>
        <v>7</v>
      </c>
      <c r="N29" s="57">
        <f>SUM(N27:N28)</f>
        <v>1</v>
      </c>
      <c r="P29" s="11" t="str">
        <f>I47</f>
        <v>Chantilly DG</v>
      </c>
      <c r="Q29" s="17">
        <v>200</v>
      </c>
      <c r="R29" s="12">
        <f>N47/M47*Q29</f>
        <v>3200</v>
      </c>
      <c r="U29" t="s">
        <v>63</v>
      </c>
    </row>
    <row r="30" spans="3:21" x14ac:dyDescent="0.25">
      <c r="C30" s="13" t="s">
        <v>31</v>
      </c>
      <c r="D30" s="61" t="s">
        <v>8</v>
      </c>
      <c r="E30" s="14">
        <v>250</v>
      </c>
      <c r="F30" s="22">
        <v>27000</v>
      </c>
      <c r="G30" s="18">
        <v>12000</v>
      </c>
      <c r="H30" s="22">
        <f t="shared" si="3"/>
        <v>15000</v>
      </c>
      <c r="I30" s="26">
        <v>44912</v>
      </c>
      <c r="J30" s="14" t="s">
        <v>68</v>
      </c>
      <c r="P30" s="15" t="str">
        <f>G3</f>
        <v>MezclaChocolate</v>
      </c>
      <c r="Q30" s="19">
        <v>150</v>
      </c>
      <c r="R30" s="16">
        <f>I8/I3*Q30</f>
        <v>2480.9523809523807</v>
      </c>
    </row>
    <row r="31" spans="3:21" x14ac:dyDescent="0.25">
      <c r="C31" s="13" t="s">
        <v>32</v>
      </c>
      <c r="D31" s="61" t="s">
        <v>8</v>
      </c>
      <c r="E31" s="14">
        <v>500</v>
      </c>
      <c r="F31" s="22">
        <v>65000</v>
      </c>
      <c r="G31" s="18">
        <v>20000</v>
      </c>
      <c r="H31" s="22">
        <f t="shared" si="3"/>
        <v>45000</v>
      </c>
      <c r="I31" s="26">
        <v>44913</v>
      </c>
      <c r="J31" s="14" t="s">
        <v>68</v>
      </c>
      <c r="L31" t="s">
        <v>8</v>
      </c>
      <c r="M31" t="s">
        <v>28</v>
      </c>
      <c r="N31" t="s">
        <v>75</v>
      </c>
      <c r="P31" s="48" t="s">
        <v>64</v>
      </c>
      <c r="Q31" s="101">
        <f>SUM(R29:R30)+R26</f>
        <v>19937.698412698413</v>
      </c>
      <c r="R31" s="102"/>
    </row>
    <row r="32" spans="3:21" x14ac:dyDescent="0.25">
      <c r="C32" s="13" t="s">
        <v>33</v>
      </c>
      <c r="D32" s="18" t="s">
        <v>36</v>
      </c>
      <c r="E32" s="14">
        <v>125</v>
      </c>
      <c r="F32" s="22">
        <v>7000</v>
      </c>
      <c r="G32" s="18">
        <v>2500</v>
      </c>
      <c r="H32" s="22">
        <f>F32-G32</f>
        <v>4500</v>
      </c>
      <c r="I32" s="26">
        <v>44914</v>
      </c>
      <c r="J32" s="14" t="s">
        <v>68</v>
      </c>
      <c r="L32">
        <v>500</v>
      </c>
      <c r="M32">
        <v>3</v>
      </c>
      <c r="N32" s="57">
        <f>M32/M34</f>
        <v>0.75</v>
      </c>
      <c r="P32" s="22"/>
      <c r="Q32" s="56"/>
      <c r="R32" s="56"/>
    </row>
    <row r="33" spans="3:20" x14ac:dyDescent="0.25">
      <c r="C33" s="13" t="s">
        <v>34</v>
      </c>
      <c r="D33" s="18" t="s">
        <v>36</v>
      </c>
      <c r="E33" s="14">
        <v>500</v>
      </c>
      <c r="F33" s="22">
        <v>50000</v>
      </c>
      <c r="G33" s="18">
        <v>17500</v>
      </c>
      <c r="H33" s="22">
        <f>F33-G33</f>
        <v>32500</v>
      </c>
      <c r="I33" s="26">
        <v>44915</v>
      </c>
      <c r="J33" s="14" t="s">
        <v>68</v>
      </c>
      <c r="L33">
        <v>250</v>
      </c>
      <c r="M33">
        <v>1</v>
      </c>
      <c r="N33" s="57">
        <f>M33/M34</f>
        <v>0.25</v>
      </c>
      <c r="R33" s="51"/>
    </row>
    <row r="34" spans="3:20" x14ac:dyDescent="0.25">
      <c r="C34" s="13" t="s">
        <v>35</v>
      </c>
      <c r="D34" s="61" t="s">
        <v>8</v>
      </c>
      <c r="E34" s="14">
        <v>500</v>
      </c>
      <c r="F34" s="22">
        <v>45000</v>
      </c>
      <c r="G34" s="18">
        <v>4657</v>
      </c>
      <c r="H34" s="22">
        <f t="shared" ref="H34" si="4">F34-G34</f>
        <v>40343</v>
      </c>
      <c r="I34" s="26">
        <v>44916</v>
      </c>
      <c r="J34" s="14" t="s">
        <v>68</v>
      </c>
      <c r="M34">
        <f>SUM(M32:M33)</f>
        <v>4</v>
      </c>
      <c r="N34" s="57">
        <f>SUM(N32:N33)</f>
        <v>1</v>
      </c>
      <c r="P34" s="97" t="s">
        <v>66</v>
      </c>
      <c r="Q34" s="98"/>
      <c r="R34" s="99"/>
    </row>
    <row r="35" spans="3:20" x14ac:dyDescent="0.25">
      <c r="C35" s="15" t="s">
        <v>67</v>
      </c>
      <c r="D35" s="62" t="s">
        <v>8</v>
      </c>
      <c r="E35" s="16">
        <v>250</v>
      </c>
      <c r="F35" s="23">
        <v>65000</v>
      </c>
      <c r="G35" s="19">
        <v>34657</v>
      </c>
      <c r="H35" s="23">
        <f t="shared" si="3"/>
        <v>30343</v>
      </c>
      <c r="I35" s="27">
        <v>44925</v>
      </c>
      <c r="J35" s="16" t="s">
        <v>59</v>
      </c>
      <c r="P35" s="17" t="s">
        <v>65</v>
      </c>
      <c r="Q35" s="20" t="s">
        <v>28</v>
      </c>
      <c r="R35" s="20" t="s">
        <v>11</v>
      </c>
      <c r="S35" s="51" t="s">
        <v>55</v>
      </c>
      <c r="T35" s="51" t="s">
        <v>71</v>
      </c>
    </row>
    <row r="36" spans="3:20" x14ac:dyDescent="0.25">
      <c r="F36">
        <f>SUM(F28:F34)</f>
        <v>354000</v>
      </c>
      <c r="G36">
        <f>SUM(G28:G34)</f>
        <v>116657</v>
      </c>
      <c r="H36">
        <f>F36-G36</f>
        <v>237343</v>
      </c>
      <c r="L36">
        <v>500</v>
      </c>
      <c r="M36">
        <v>3</v>
      </c>
      <c r="N36" s="57">
        <f>M36/$M$29</f>
        <v>0.42857142857142855</v>
      </c>
      <c r="P36" s="7" t="s">
        <v>0</v>
      </c>
      <c r="Q36" s="17">
        <f>D5/$E$3*$Q$26+Q29</f>
        <v>200</v>
      </c>
      <c r="R36" s="12">
        <f>N47/M47*Q36</f>
        <v>3200</v>
      </c>
      <c r="S36">
        <f>G47</f>
        <v>4700</v>
      </c>
      <c r="T36" t="str">
        <f>IF(S36-Q36&gt;0,"Aceptable",Q36-S36)</f>
        <v>Aceptable</v>
      </c>
    </row>
    <row r="37" spans="3:20" x14ac:dyDescent="0.25">
      <c r="L37">
        <v>250</v>
      </c>
      <c r="M37">
        <v>1</v>
      </c>
      <c r="N37" s="57">
        <f>M37/$M$29</f>
        <v>0.14285714285714285</v>
      </c>
      <c r="P37" s="8" t="s">
        <v>1</v>
      </c>
      <c r="Q37" s="54">
        <f>D6/$E$3*$Q$26+H5/I3*Q30</f>
        <v>442.85714285714283</v>
      </c>
      <c r="R37" s="14">
        <f>N49/M49*Q37</f>
        <v>6888.8888888888887</v>
      </c>
      <c r="S37">
        <f>G49</f>
        <v>1700</v>
      </c>
      <c r="T37" t="str">
        <f t="shared" ref="T37:T44" si="5">IF(S37-Q37&gt;0,"Aceptable",Q37-S37)</f>
        <v>Aceptable</v>
      </c>
    </row>
    <row r="38" spans="3:20" x14ac:dyDescent="0.25">
      <c r="C38">
        <f>($E$28+$E$30+$E$31+$E$35)/500*D20</f>
        <v>30</v>
      </c>
      <c r="D38">
        <f>($E$29+$E$32+$E$33)/500*D20</f>
        <v>32.5</v>
      </c>
      <c r="E38">
        <f>E32+E33+E29</f>
        <v>1625</v>
      </c>
      <c r="F38">
        <f>E28+E30+E31+E35</f>
        <v>1500</v>
      </c>
      <c r="G38">
        <f>E38+F38</f>
        <v>3125</v>
      </c>
      <c r="N38" s="59">
        <f>SUM(N36:N37)</f>
        <v>0.5714285714285714</v>
      </c>
      <c r="P38" s="8" t="s">
        <v>2</v>
      </c>
      <c r="Q38" s="18">
        <f>D7/$E$3*$Q$26</f>
        <v>150</v>
      </c>
      <c r="R38" s="14">
        <f>N55/M55*Q38</f>
        <v>2976.1904761904761</v>
      </c>
      <c r="S38">
        <f>G55</f>
        <v>1470</v>
      </c>
      <c r="T38" t="str">
        <f t="shared" si="5"/>
        <v>Aceptable</v>
      </c>
    </row>
    <row r="39" spans="3:20" x14ac:dyDescent="0.25">
      <c r="E39">
        <f>E38/500</f>
        <v>3.25</v>
      </c>
      <c r="F39">
        <f>F38/500</f>
        <v>3</v>
      </c>
      <c r="G39">
        <f>E39+F39</f>
        <v>6.25</v>
      </c>
      <c r="P39" s="8" t="s">
        <v>3</v>
      </c>
      <c r="Q39" s="54">
        <f>D8/$E$3*$Q$26+H7/I3*Q30</f>
        <v>442.85714285714283</v>
      </c>
      <c r="R39" s="14">
        <f>N54/M54*Q39</f>
        <v>1476.1904761904761</v>
      </c>
      <c r="S39">
        <f>G54</f>
        <v>800</v>
      </c>
      <c r="T39" t="str">
        <f t="shared" si="5"/>
        <v>Aceptable</v>
      </c>
    </row>
    <row r="40" spans="3:20" x14ac:dyDescent="0.25">
      <c r="P40" s="8" t="s">
        <v>4</v>
      </c>
      <c r="Q40" s="18">
        <f>D9/$E$3*$Q$26</f>
        <v>5</v>
      </c>
      <c r="R40" s="14">
        <f>N52/M52*Q40</f>
        <v>2500</v>
      </c>
      <c r="S40">
        <f>G52</f>
        <v>74.5</v>
      </c>
      <c r="T40" t="str">
        <f t="shared" si="5"/>
        <v>Aceptable</v>
      </c>
    </row>
    <row r="41" spans="3:20" x14ac:dyDescent="0.25">
      <c r="C41" s="93" t="s">
        <v>44</v>
      </c>
      <c r="D41" s="93"/>
      <c r="E41" s="93"/>
      <c r="F41" s="93"/>
      <c r="G41" s="93"/>
      <c r="I41" s="92" t="s">
        <v>45</v>
      </c>
      <c r="J41" s="92"/>
      <c r="K41" s="89" t="s">
        <v>41</v>
      </c>
      <c r="L41" s="90"/>
      <c r="P41" s="8" t="s">
        <v>5</v>
      </c>
      <c r="Q41" s="18">
        <f>D10/$E$3*$Q$26</f>
        <v>2.5</v>
      </c>
      <c r="R41" s="14">
        <f>N50/M50*Q41</f>
        <v>50</v>
      </c>
      <c r="S41">
        <f>G50</f>
        <v>400</v>
      </c>
      <c r="T41" t="str">
        <f t="shared" si="5"/>
        <v>Aceptable</v>
      </c>
    </row>
    <row r="42" spans="3:20" x14ac:dyDescent="0.25">
      <c r="C42" s="17" t="s">
        <v>39</v>
      </c>
      <c r="D42" s="17" t="s">
        <v>40</v>
      </c>
      <c r="E42" s="17" t="s">
        <v>42</v>
      </c>
      <c r="F42" s="17" t="s">
        <v>41</v>
      </c>
      <c r="G42" s="17" t="s">
        <v>43</v>
      </c>
      <c r="I42" s="17" t="s">
        <v>39</v>
      </c>
      <c r="J42" s="17" t="s">
        <v>28</v>
      </c>
      <c r="K42" s="17" t="s">
        <v>39</v>
      </c>
      <c r="L42" s="17" t="s">
        <v>28</v>
      </c>
      <c r="M42" s="32" t="s">
        <v>49</v>
      </c>
      <c r="N42" s="32" t="s">
        <v>50</v>
      </c>
      <c r="P42" s="8" t="s">
        <v>6</v>
      </c>
      <c r="Q42" s="18">
        <f>D11/$E$3*$Q$26</f>
        <v>125</v>
      </c>
      <c r="R42" s="14">
        <f>N44/M44*Q42</f>
        <v>625</v>
      </c>
      <c r="S42">
        <f>G44</f>
        <v>7294.5</v>
      </c>
      <c r="T42" t="str">
        <f t="shared" si="5"/>
        <v>Aceptable</v>
      </c>
    </row>
    <row r="43" spans="3:20" x14ac:dyDescent="0.25">
      <c r="C43" s="1" t="s">
        <v>20</v>
      </c>
      <c r="D43" s="17">
        <f>J43*M43</f>
        <v>30000</v>
      </c>
      <c r="E43" s="21">
        <v>0</v>
      </c>
      <c r="F43" s="17">
        <f t="shared" ref="F43:F54" si="6">L43</f>
        <v>0</v>
      </c>
      <c r="G43" s="12">
        <f>D43-E43-F43</f>
        <v>30000</v>
      </c>
      <c r="I43" s="1" t="s">
        <v>20</v>
      </c>
      <c r="J43" s="17">
        <v>5</v>
      </c>
      <c r="K43" s="21" t="s">
        <v>20</v>
      </c>
      <c r="L43" s="17">
        <v>0</v>
      </c>
      <c r="M43" s="17">
        <v>6000</v>
      </c>
      <c r="N43" s="17">
        <v>2500</v>
      </c>
      <c r="P43" s="8" t="s">
        <v>7</v>
      </c>
      <c r="Q43" s="18">
        <f>D12/$E$3*$Q$26</f>
        <v>125</v>
      </c>
      <c r="R43" s="14">
        <f>N51/M51*Q43</f>
        <v>550</v>
      </c>
      <c r="S43">
        <f>G51</f>
        <v>1350</v>
      </c>
      <c r="T43" t="str">
        <f t="shared" si="5"/>
        <v>Aceptable</v>
      </c>
    </row>
    <row r="44" spans="3:20" x14ac:dyDescent="0.25">
      <c r="C44" s="34" t="s">
        <v>6</v>
      </c>
      <c r="D44" s="18">
        <f>J44*M44</f>
        <v>10000</v>
      </c>
      <c r="E44" s="22">
        <f>($E$28+$E$30+$E$31+$E$34)/500*D11+($E$29+$E$32+$E$33)/500*D21</f>
        <v>2500</v>
      </c>
      <c r="F44" s="18">
        <f t="shared" si="6"/>
        <v>205.5</v>
      </c>
      <c r="G44" s="14">
        <f t="shared" ref="G44:G57" si="7">D44-E44-F44</f>
        <v>7294.5</v>
      </c>
      <c r="I44" s="3" t="s">
        <v>6</v>
      </c>
      <c r="J44" s="18">
        <v>10</v>
      </c>
      <c r="K44" s="22" t="s">
        <v>6</v>
      </c>
      <c r="L44" s="18">
        <v>205.5</v>
      </c>
      <c r="M44" s="18">
        <v>1000</v>
      </c>
      <c r="N44" s="18">
        <v>5000</v>
      </c>
      <c r="P44" s="19" t="s">
        <v>16</v>
      </c>
      <c r="Q44" s="55">
        <f>H6/I3*Q30</f>
        <v>64.285714285714278</v>
      </c>
      <c r="R44" s="16">
        <f>N48/M48*Q44</f>
        <v>1671.4285714285711</v>
      </c>
      <c r="S44">
        <f>G48</f>
        <v>1250</v>
      </c>
      <c r="T44" t="str">
        <f t="shared" si="5"/>
        <v>Aceptable</v>
      </c>
    </row>
    <row r="45" spans="3:20" x14ac:dyDescent="0.25">
      <c r="C45" s="3" t="s">
        <v>48</v>
      </c>
      <c r="D45" s="18">
        <f t="shared" ref="D45:D57" si="8">J45*M45</f>
        <v>2500</v>
      </c>
      <c r="E45" s="22">
        <v>0</v>
      </c>
      <c r="F45" s="18">
        <f t="shared" si="6"/>
        <v>0</v>
      </c>
      <c r="G45" s="14">
        <f t="shared" si="7"/>
        <v>2500</v>
      </c>
      <c r="I45" s="3" t="s">
        <v>48</v>
      </c>
      <c r="J45" s="18">
        <v>5</v>
      </c>
      <c r="K45" s="22" t="s">
        <v>48</v>
      </c>
      <c r="L45" s="18">
        <v>0</v>
      </c>
      <c r="M45" s="18">
        <v>500</v>
      </c>
      <c r="N45" s="18">
        <v>4100</v>
      </c>
      <c r="R45" s="46">
        <f>SUM(R36:R44)</f>
        <v>19937.698412698413</v>
      </c>
    </row>
    <row r="46" spans="3:20" x14ac:dyDescent="0.25">
      <c r="C46" s="13" t="s">
        <v>13</v>
      </c>
      <c r="D46" s="18">
        <f t="shared" si="8"/>
        <v>625</v>
      </c>
      <c r="E46" s="22">
        <f>($E$29+$E$32+$E$33)/500*D17</f>
        <v>9.75</v>
      </c>
      <c r="F46" s="18">
        <f t="shared" si="6"/>
        <v>300.25</v>
      </c>
      <c r="G46" s="14">
        <f t="shared" si="7"/>
        <v>315</v>
      </c>
      <c r="I46" s="3" t="s">
        <v>13</v>
      </c>
      <c r="J46" s="18">
        <v>5</v>
      </c>
      <c r="K46" s="22" t="s">
        <v>13</v>
      </c>
      <c r="L46" s="18">
        <v>300.25</v>
      </c>
      <c r="M46" s="18">
        <v>125</v>
      </c>
      <c r="N46" s="18">
        <v>2000</v>
      </c>
    </row>
    <row r="47" spans="3:20" x14ac:dyDescent="0.25">
      <c r="C47" s="3" t="s">
        <v>0</v>
      </c>
      <c r="D47" s="18">
        <f t="shared" si="8"/>
        <v>5000</v>
      </c>
      <c r="E47" s="22">
        <f>($E$28+$E$30+$E$31+$E$35)/500*D5</f>
        <v>0</v>
      </c>
      <c r="F47" s="18">
        <f t="shared" si="6"/>
        <v>300</v>
      </c>
      <c r="G47" s="14">
        <f t="shared" si="7"/>
        <v>4700</v>
      </c>
      <c r="I47" s="3" t="s">
        <v>0</v>
      </c>
      <c r="J47" s="18">
        <v>5</v>
      </c>
      <c r="K47" s="22" t="s">
        <v>0</v>
      </c>
      <c r="L47" s="18">
        <v>300</v>
      </c>
      <c r="M47" s="18">
        <v>1000</v>
      </c>
      <c r="N47" s="18">
        <v>16000</v>
      </c>
      <c r="P47" s="104" t="s">
        <v>70</v>
      </c>
      <c r="Q47" s="104"/>
      <c r="R47" s="104"/>
    </row>
    <row r="48" spans="3:20" x14ac:dyDescent="0.25">
      <c r="C48" s="3" t="s">
        <v>16</v>
      </c>
      <c r="D48" s="18">
        <f t="shared" si="8"/>
        <v>1250</v>
      </c>
      <c r="E48" s="22">
        <v>0</v>
      </c>
      <c r="F48" s="18">
        <f t="shared" si="6"/>
        <v>0</v>
      </c>
      <c r="G48" s="14">
        <f t="shared" si="7"/>
        <v>1250</v>
      </c>
      <c r="I48" s="3" t="s">
        <v>16</v>
      </c>
      <c r="J48" s="18">
        <v>5</v>
      </c>
      <c r="K48" s="22" t="s">
        <v>16</v>
      </c>
      <c r="L48" s="18">
        <v>0</v>
      </c>
      <c r="M48" s="18">
        <v>250</v>
      </c>
      <c r="N48" s="18">
        <v>6500</v>
      </c>
      <c r="P48" s="20" t="s">
        <v>65</v>
      </c>
      <c r="Q48" s="20" t="s">
        <v>28</v>
      </c>
      <c r="R48" s="20" t="s">
        <v>11</v>
      </c>
    </row>
    <row r="49" spans="3:15" x14ac:dyDescent="0.25">
      <c r="C49" s="34" t="s">
        <v>1</v>
      </c>
      <c r="D49" s="18">
        <f t="shared" si="8"/>
        <v>4500</v>
      </c>
      <c r="E49" s="22">
        <f>($E$28+$E$30+$E$31+$E$34)/500*D6</f>
        <v>2800</v>
      </c>
      <c r="F49" s="18">
        <f t="shared" si="6"/>
        <v>0</v>
      </c>
      <c r="G49" s="14">
        <f t="shared" si="7"/>
        <v>1700</v>
      </c>
      <c r="H49" s="22"/>
      <c r="I49" s="3" t="s">
        <v>1</v>
      </c>
      <c r="J49" s="18">
        <v>5</v>
      </c>
      <c r="K49" s="22" t="s">
        <v>1</v>
      </c>
      <c r="L49" s="18">
        <v>0</v>
      </c>
      <c r="M49" s="18">
        <v>900</v>
      </c>
      <c r="N49" s="18">
        <v>14000</v>
      </c>
    </row>
    <row r="50" spans="3:15" x14ac:dyDescent="0.25">
      <c r="C50" s="3" t="s">
        <v>5</v>
      </c>
      <c r="D50" s="18">
        <f t="shared" si="8"/>
        <v>450</v>
      </c>
      <c r="E50" s="22">
        <f>($E$28+$E$30+$E$31+$E$34)/500*D10+($E$29+$E$32+$E$33)/500*D18</f>
        <v>50</v>
      </c>
      <c r="F50" s="18">
        <f t="shared" si="6"/>
        <v>0</v>
      </c>
      <c r="G50" s="14">
        <f t="shared" si="7"/>
        <v>400</v>
      </c>
      <c r="I50" s="3" t="s">
        <v>5</v>
      </c>
      <c r="J50" s="18">
        <v>5</v>
      </c>
      <c r="K50" s="22" t="s">
        <v>5</v>
      </c>
      <c r="L50" s="18">
        <v>0</v>
      </c>
      <c r="M50" s="18">
        <v>90</v>
      </c>
      <c r="N50" s="18">
        <v>1800</v>
      </c>
    </row>
    <row r="51" spans="3:15" x14ac:dyDescent="0.25">
      <c r="C51" s="3" t="s">
        <v>7</v>
      </c>
      <c r="D51" s="18">
        <f>J51*M51</f>
        <v>4000</v>
      </c>
      <c r="E51" s="22">
        <f>($E$28+$E$30+$E$31+$E$34)/500*D12+($E$29+$E$32+$E$33)/500*D22</f>
        <v>2500</v>
      </c>
      <c r="F51" s="18">
        <f t="shared" si="6"/>
        <v>150</v>
      </c>
      <c r="G51" s="14">
        <f t="shared" si="7"/>
        <v>1350</v>
      </c>
      <c r="I51" s="13" t="s">
        <v>7</v>
      </c>
      <c r="J51" s="18">
        <v>8</v>
      </c>
      <c r="K51" s="22" t="s">
        <v>7</v>
      </c>
      <c r="L51" s="18">
        <v>150</v>
      </c>
      <c r="M51" s="18">
        <v>500</v>
      </c>
      <c r="N51" s="18">
        <v>2200</v>
      </c>
    </row>
    <row r="52" spans="3:15" x14ac:dyDescent="0.25">
      <c r="C52" s="3" t="s">
        <v>4</v>
      </c>
      <c r="D52" s="18">
        <f t="shared" si="8"/>
        <v>150</v>
      </c>
      <c r="E52" s="33">
        <f>($E$28+$E$30+$E$31+$E$34)/500*D9+($E$29+$E$32+$E$33)/500*D20</f>
        <v>67.5</v>
      </c>
      <c r="F52" s="18">
        <f t="shared" si="6"/>
        <v>8</v>
      </c>
      <c r="G52" s="14">
        <f t="shared" si="7"/>
        <v>74.5</v>
      </c>
      <c r="I52" s="13" t="s">
        <v>4</v>
      </c>
      <c r="J52" s="18">
        <v>5</v>
      </c>
      <c r="K52" s="22" t="s">
        <v>4</v>
      </c>
      <c r="L52" s="18">
        <v>8</v>
      </c>
      <c r="M52" s="18">
        <v>30</v>
      </c>
      <c r="N52" s="18">
        <v>15000</v>
      </c>
    </row>
    <row r="53" spans="3:15" x14ac:dyDescent="0.25">
      <c r="C53" s="13" t="s">
        <v>18</v>
      </c>
      <c r="D53" s="18">
        <f t="shared" si="8"/>
        <v>1000</v>
      </c>
      <c r="E53" s="22">
        <v>0</v>
      </c>
      <c r="F53" s="18">
        <f t="shared" si="6"/>
        <v>0</v>
      </c>
      <c r="G53" s="14">
        <f t="shared" si="7"/>
        <v>1000</v>
      </c>
      <c r="I53" s="13" t="s">
        <v>18</v>
      </c>
      <c r="J53" s="18">
        <v>1</v>
      </c>
      <c r="K53" s="22" t="s">
        <v>18</v>
      </c>
      <c r="L53" s="18">
        <v>0</v>
      </c>
      <c r="M53" s="18">
        <v>1000</v>
      </c>
      <c r="N53" s="18">
        <v>61700</v>
      </c>
    </row>
    <row r="54" spans="3:15" x14ac:dyDescent="0.25">
      <c r="C54" s="3" t="s">
        <v>3</v>
      </c>
      <c r="D54" s="18">
        <f>J54*M54</f>
        <v>4500</v>
      </c>
      <c r="E54" s="22">
        <f>($E$28+$E$30+$E$31+$E$34)/500*D8</f>
        <v>2800</v>
      </c>
      <c r="F54" s="30">
        <f t="shared" si="6"/>
        <v>900</v>
      </c>
      <c r="G54" s="14">
        <f>D54-E54-F54</f>
        <v>800</v>
      </c>
      <c r="I54" s="13" t="s">
        <v>3</v>
      </c>
      <c r="J54" s="30">
        <v>5</v>
      </c>
      <c r="K54" s="22" t="s">
        <v>3</v>
      </c>
      <c r="L54" s="30">
        <v>900</v>
      </c>
      <c r="M54" s="18">
        <v>900</v>
      </c>
      <c r="N54" s="18">
        <v>3000</v>
      </c>
    </row>
    <row r="55" spans="3:15" x14ac:dyDescent="0.25">
      <c r="C55" s="3" t="s">
        <v>2</v>
      </c>
      <c r="D55" s="18">
        <f t="shared" si="8"/>
        <v>2520</v>
      </c>
      <c r="E55" s="22">
        <f>($E$28+$E$30+$E$31+$E$34)/500*D7</f>
        <v>1050</v>
      </c>
      <c r="F55" s="30">
        <f t="shared" ref="F55:F57" si="9">L55</f>
        <v>0</v>
      </c>
      <c r="G55" s="14">
        <f t="shared" si="7"/>
        <v>1470</v>
      </c>
      <c r="I55" s="13" t="s">
        <v>2</v>
      </c>
      <c r="J55" s="30">
        <v>5</v>
      </c>
      <c r="K55" s="22" t="s">
        <v>2</v>
      </c>
      <c r="L55" s="18">
        <v>0</v>
      </c>
      <c r="M55" s="18">
        <v>504</v>
      </c>
      <c r="N55" s="18">
        <v>10000</v>
      </c>
    </row>
    <row r="56" spans="3:15" x14ac:dyDescent="0.25">
      <c r="C56" s="13" t="s">
        <v>12</v>
      </c>
      <c r="D56" s="18">
        <f t="shared" si="8"/>
        <v>2500</v>
      </c>
      <c r="E56" s="22">
        <f>($E$29+$E$32+$E$33)/500*D16</f>
        <v>1625</v>
      </c>
      <c r="F56" s="30">
        <f t="shared" si="9"/>
        <v>180</v>
      </c>
      <c r="G56" s="14">
        <f>D56-E56-F56</f>
        <v>695</v>
      </c>
      <c r="I56" s="13" t="s">
        <v>12</v>
      </c>
      <c r="J56" s="30">
        <v>5</v>
      </c>
      <c r="K56" s="22" t="s">
        <v>12</v>
      </c>
      <c r="L56" s="18">
        <v>180</v>
      </c>
      <c r="M56" s="18">
        <v>500</v>
      </c>
      <c r="N56" s="18">
        <v>5200</v>
      </c>
    </row>
    <row r="57" spans="3:15" x14ac:dyDescent="0.25">
      <c r="C57" s="15" t="s">
        <v>14</v>
      </c>
      <c r="D57" s="19">
        <f t="shared" si="8"/>
        <v>1200</v>
      </c>
      <c r="E57" s="23">
        <f>($E$29+$E$32+$E$33)/500*D19</f>
        <v>487.5</v>
      </c>
      <c r="F57" s="31">
        <f t="shared" si="9"/>
        <v>0</v>
      </c>
      <c r="G57" s="16">
        <f t="shared" si="7"/>
        <v>712.5</v>
      </c>
      <c r="I57" s="15" t="s">
        <v>14</v>
      </c>
      <c r="J57" s="31">
        <v>8</v>
      </c>
      <c r="K57" s="23" t="s">
        <v>14</v>
      </c>
      <c r="L57" s="19">
        <v>0</v>
      </c>
      <c r="M57" s="19">
        <v>150</v>
      </c>
      <c r="N57" s="19">
        <v>2300</v>
      </c>
    </row>
    <row r="59" spans="3:15" x14ac:dyDescent="0.25">
      <c r="K59" t="s">
        <v>51</v>
      </c>
    </row>
    <row r="60" spans="3:15" x14ac:dyDescent="0.25">
      <c r="C60" s="89" t="s">
        <v>47</v>
      </c>
      <c r="D60" s="91"/>
      <c r="E60" s="91"/>
      <c r="F60" s="91"/>
      <c r="G60" s="91"/>
      <c r="H60" s="91"/>
      <c r="I60" s="90"/>
      <c r="K60" t="s">
        <v>52</v>
      </c>
    </row>
    <row r="61" spans="3:15" x14ac:dyDescent="0.25">
      <c r="C61" s="20" t="s">
        <v>39</v>
      </c>
      <c r="D61" s="17" t="s">
        <v>42</v>
      </c>
      <c r="E61" t="s">
        <v>46</v>
      </c>
      <c r="F61" s="17" t="s">
        <v>41</v>
      </c>
      <c r="G61" t="s">
        <v>46</v>
      </c>
      <c r="H61" s="17" t="s">
        <v>43</v>
      </c>
      <c r="I61" s="17" t="s">
        <v>46</v>
      </c>
    </row>
    <row r="62" spans="3:15" x14ac:dyDescent="0.25">
      <c r="C62" s="1" t="s">
        <v>20</v>
      </c>
      <c r="D62" s="17">
        <f>E43</f>
        <v>0</v>
      </c>
      <c r="E62" s="11">
        <f>N43/M43*D62</f>
        <v>0</v>
      </c>
      <c r="F62" s="17">
        <f>F43</f>
        <v>0</v>
      </c>
      <c r="G62" s="21">
        <f>N43/M43*F62</f>
        <v>0</v>
      </c>
      <c r="H62" s="17">
        <f>G43</f>
        <v>30000</v>
      </c>
      <c r="I62" s="12">
        <f>N43/M43*H62</f>
        <v>12500</v>
      </c>
      <c r="L62" s="28">
        <v>23500.45</v>
      </c>
    </row>
    <row r="63" spans="3:15" x14ac:dyDescent="0.25">
      <c r="C63" s="34" t="s">
        <v>6</v>
      </c>
      <c r="D63" s="18">
        <f>E44</f>
        <v>2500</v>
      </c>
      <c r="E63" s="13">
        <f t="shared" ref="E63:E75" si="10">N44/M44*D63</f>
        <v>12500</v>
      </c>
      <c r="F63" s="18">
        <f>F44</f>
        <v>205.5</v>
      </c>
      <c r="G63" s="22">
        <f>N44/M44*F63</f>
        <v>1027.5</v>
      </c>
      <c r="H63" s="18">
        <f t="shared" ref="H63:H76" si="11">G44</f>
        <v>7294.5</v>
      </c>
      <c r="I63" s="14">
        <f t="shared" ref="I63:I76" si="12">N44/M44*H63</f>
        <v>36472.5</v>
      </c>
      <c r="L63" s="29"/>
    </row>
    <row r="64" spans="3:15" x14ac:dyDescent="0.25">
      <c r="C64" s="3" t="s">
        <v>48</v>
      </c>
      <c r="D64" s="18">
        <f t="shared" ref="D64:D76" si="13">E45</f>
        <v>0</v>
      </c>
      <c r="E64" s="13">
        <f t="shared" si="10"/>
        <v>0</v>
      </c>
      <c r="F64" s="18">
        <f t="shared" ref="F64:F76" si="14">F45</f>
        <v>0</v>
      </c>
      <c r="G64" s="22">
        <f t="shared" ref="G64:G76" si="15">N45/M45*F64</f>
        <v>0</v>
      </c>
      <c r="H64" s="18">
        <f t="shared" si="11"/>
        <v>2500</v>
      </c>
      <c r="I64" s="14">
        <f t="shared" si="12"/>
        <v>20500</v>
      </c>
      <c r="K64" s="89" t="s">
        <v>47</v>
      </c>
      <c r="L64" s="90"/>
      <c r="N64" s="100" t="s">
        <v>72</v>
      </c>
      <c r="O64" s="100"/>
    </row>
    <row r="65" spans="3:15" x14ac:dyDescent="0.25">
      <c r="C65" s="13" t="s">
        <v>13</v>
      </c>
      <c r="D65" s="18">
        <f t="shared" si="13"/>
        <v>9.75</v>
      </c>
      <c r="E65" s="13">
        <f t="shared" si="10"/>
        <v>156</v>
      </c>
      <c r="F65" s="18">
        <f t="shared" si="14"/>
        <v>300.25</v>
      </c>
      <c r="G65" s="22">
        <f t="shared" si="15"/>
        <v>4804</v>
      </c>
      <c r="H65" s="18">
        <f t="shared" si="11"/>
        <v>315</v>
      </c>
      <c r="I65" s="14">
        <f t="shared" si="12"/>
        <v>5040</v>
      </c>
      <c r="K65" s="17" t="s">
        <v>53</v>
      </c>
      <c r="L65" s="36">
        <f>G36</f>
        <v>116657</v>
      </c>
      <c r="N65" t="s">
        <v>76</v>
      </c>
      <c r="O65">
        <f>M29</f>
        <v>7</v>
      </c>
    </row>
    <row r="66" spans="3:15" x14ac:dyDescent="0.25">
      <c r="C66" s="3" t="s">
        <v>0</v>
      </c>
      <c r="D66" s="18">
        <f>E47</f>
        <v>0</v>
      </c>
      <c r="E66" s="13">
        <f>N47/M47*D66</f>
        <v>0</v>
      </c>
      <c r="F66" s="18">
        <f t="shared" si="14"/>
        <v>300</v>
      </c>
      <c r="G66" s="22">
        <f t="shared" si="15"/>
        <v>4800</v>
      </c>
      <c r="H66" s="18">
        <f t="shared" si="11"/>
        <v>4700</v>
      </c>
      <c r="I66" s="14">
        <f t="shared" si="12"/>
        <v>75200</v>
      </c>
      <c r="K66" s="18" t="s">
        <v>54</v>
      </c>
      <c r="L66" s="37">
        <f>F36</f>
        <v>354000</v>
      </c>
    </row>
    <row r="67" spans="3:15" x14ac:dyDescent="0.25">
      <c r="C67" s="3" t="s">
        <v>16</v>
      </c>
      <c r="D67" s="18">
        <f t="shared" si="13"/>
        <v>0</v>
      </c>
      <c r="E67" s="13">
        <f t="shared" si="10"/>
        <v>0</v>
      </c>
      <c r="F67" s="18">
        <f t="shared" si="14"/>
        <v>0</v>
      </c>
      <c r="G67" s="22">
        <f>N48/M48*F67</f>
        <v>0</v>
      </c>
      <c r="H67" s="18">
        <f t="shared" si="11"/>
        <v>1250</v>
      </c>
      <c r="I67" s="14">
        <f t="shared" si="12"/>
        <v>32500</v>
      </c>
      <c r="K67" s="18" t="s">
        <v>37</v>
      </c>
      <c r="L67" s="37">
        <f>H36</f>
        <v>237343</v>
      </c>
    </row>
    <row r="68" spans="3:15" x14ac:dyDescent="0.25">
      <c r="C68" s="34" t="s">
        <v>1</v>
      </c>
      <c r="D68" s="18">
        <f t="shared" si="13"/>
        <v>2800</v>
      </c>
      <c r="E68" s="13">
        <f t="shared" si="10"/>
        <v>43555.555555555555</v>
      </c>
      <c r="F68" s="18">
        <f t="shared" si="14"/>
        <v>0</v>
      </c>
      <c r="G68" s="22">
        <f t="shared" si="15"/>
        <v>0</v>
      </c>
      <c r="H68" s="18">
        <f t="shared" si="11"/>
        <v>1700</v>
      </c>
      <c r="I68" s="14">
        <f t="shared" si="12"/>
        <v>26444.444444444445</v>
      </c>
      <c r="K68" s="18" t="s">
        <v>41</v>
      </c>
      <c r="L68" s="37">
        <f>G77</f>
        <v>20163.5</v>
      </c>
    </row>
    <row r="69" spans="3:15" x14ac:dyDescent="0.25">
      <c r="C69" s="3" t="s">
        <v>5</v>
      </c>
      <c r="D69" s="18">
        <f t="shared" si="13"/>
        <v>50</v>
      </c>
      <c r="E69" s="13">
        <f t="shared" si="10"/>
        <v>1000</v>
      </c>
      <c r="F69" s="18">
        <f t="shared" si="14"/>
        <v>0</v>
      </c>
      <c r="G69" s="22">
        <f t="shared" si="15"/>
        <v>0</v>
      </c>
      <c r="H69" s="18">
        <f t="shared" si="11"/>
        <v>400</v>
      </c>
      <c r="I69" s="14">
        <f t="shared" si="12"/>
        <v>8000</v>
      </c>
      <c r="K69" s="18" t="s">
        <v>55</v>
      </c>
      <c r="L69" s="37">
        <f>I77</f>
        <v>371533.27777777781</v>
      </c>
      <c r="N69" t="s">
        <v>73</v>
      </c>
      <c r="O69" s="59">
        <f>N27</f>
        <v>0.5714285714285714</v>
      </c>
    </row>
    <row r="70" spans="3:15" x14ac:dyDescent="0.25">
      <c r="C70" s="3" t="s">
        <v>7</v>
      </c>
      <c r="D70" s="18">
        <f t="shared" si="13"/>
        <v>2500</v>
      </c>
      <c r="E70" s="13">
        <f t="shared" si="10"/>
        <v>11000</v>
      </c>
      <c r="F70" s="18">
        <f t="shared" si="14"/>
        <v>150</v>
      </c>
      <c r="G70" s="22">
        <f t="shared" si="15"/>
        <v>660</v>
      </c>
      <c r="H70" s="18">
        <f t="shared" si="11"/>
        <v>1350</v>
      </c>
      <c r="I70" s="14">
        <f t="shared" si="12"/>
        <v>5940.0000000000009</v>
      </c>
      <c r="K70" s="19" t="s">
        <v>56</v>
      </c>
      <c r="L70" s="38">
        <f>L67+L69</f>
        <v>608876.27777777775</v>
      </c>
      <c r="N70" t="s">
        <v>36</v>
      </c>
      <c r="O70" s="59">
        <f>N28</f>
        <v>0.42857142857142855</v>
      </c>
    </row>
    <row r="71" spans="3:15" x14ac:dyDescent="0.25">
      <c r="C71" s="3" t="s">
        <v>4</v>
      </c>
      <c r="D71" s="18">
        <f t="shared" si="13"/>
        <v>67.5</v>
      </c>
      <c r="E71" s="13">
        <f t="shared" si="10"/>
        <v>33750</v>
      </c>
      <c r="F71" s="18">
        <f t="shared" si="14"/>
        <v>8</v>
      </c>
      <c r="G71" s="22">
        <f t="shared" si="15"/>
        <v>4000</v>
      </c>
      <c r="H71" s="18">
        <f t="shared" si="11"/>
        <v>74.5</v>
      </c>
      <c r="I71" s="14">
        <f t="shared" si="12"/>
        <v>37250</v>
      </c>
      <c r="N71" t="s">
        <v>74</v>
      </c>
      <c r="O71" s="57">
        <v>0</v>
      </c>
    </row>
    <row r="72" spans="3:15" x14ac:dyDescent="0.25">
      <c r="C72" s="13" t="s">
        <v>18</v>
      </c>
      <c r="D72" s="18">
        <f t="shared" si="13"/>
        <v>0</v>
      </c>
      <c r="E72" s="13">
        <f t="shared" si="10"/>
        <v>0</v>
      </c>
      <c r="F72" s="18">
        <f t="shared" si="14"/>
        <v>0</v>
      </c>
      <c r="G72" s="22">
        <f t="shared" si="15"/>
        <v>0</v>
      </c>
      <c r="H72" s="18">
        <f t="shared" si="11"/>
        <v>1000</v>
      </c>
      <c r="I72" s="14">
        <f t="shared" si="12"/>
        <v>61700</v>
      </c>
    </row>
    <row r="73" spans="3:15" x14ac:dyDescent="0.25">
      <c r="C73" s="3" t="s">
        <v>3</v>
      </c>
      <c r="D73" s="18">
        <f t="shared" si="13"/>
        <v>2800</v>
      </c>
      <c r="E73" s="13">
        <f t="shared" si="10"/>
        <v>9333.3333333333339</v>
      </c>
      <c r="F73" s="18">
        <f t="shared" si="14"/>
        <v>900</v>
      </c>
      <c r="G73" s="22">
        <f t="shared" si="15"/>
        <v>3000</v>
      </c>
      <c r="H73" s="18">
        <f t="shared" si="11"/>
        <v>800</v>
      </c>
      <c r="I73" s="14">
        <f>N54/M54*H73</f>
        <v>2666.666666666667</v>
      </c>
    </row>
    <row r="74" spans="3:15" x14ac:dyDescent="0.25">
      <c r="C74" s="3" t="s">
        <v>2</v>
      </c>
      <c r="D74" s="18">
        <f t="shared" si="13"/>
        <v>1050</v>
      </c>
      <c r="E74" s="13">
        <f>N55/M55*D74</f>
        <v>20833.333333333332</v>
      </c>
      <c r="F74" s="18">
        <f t="shared" si="14"/>
        <v>0</v>
      </c>
      <c r="G74" s="22">
        <f t="shared" si="15"/>
        <v>0</v>
      </c>
      <c r="H74" s="18">
        <f t="shared" si="11"/>
        <v>1470</v>
      </c>
      <c r="I74" s="14">
        <f t="shared" si="12"/>
        <v>29166.666666666668</v>
      </c>
    </row>
    <row r="75" spans="3:15" x14ac:dyDescent="0.25">
      <c r="C75" s="13" t="s">
        <v>12</v>
      </c>
      <c r="D75" s="18">
        <f t="shared" si="13"/>
        <v>1625</v>
      </c>
      <c r="E75" s="13">
        <f t="shared" si="10"/>
        <v>16900</v>
      </c>
      <c r="F75" s="18">
        <f t="shared" si="14"/>
        <v>180</v>
      </c>
      <c r="G75" s="22">
        <f t="shared" si="15"/>
        <v>1872</v>
      </c>
      <c r="H75" s="18">
        <f t="shared" si="11"/>
        <v>695</v>
      </c>
      <c r="I75" s="14">
        <f t="shared" si="12"/>
        <v>7228</v>
      </c>
    </row>
    <row r="76" spans="3:15" x14ac:dyDescent="0.25">
      <c r="C76" s="15" t="s">
        <v>14</v>
      </c>
      <c r="D76" s="19">
        <f t="shared" si="13"/>
        <v>487.5</v>
      </c>
      <c r="E76" s="15">
        <f>N57/M57*D76</f>
        <v>7475</v>
      </c>
      <c r="F76" s="19">
        <f t="shared" si="14"/>
        <v>0</v>
      </c>
      <c r="G76" s="23">
        <f t="shared" si="15"/>
        <v>0</v>
      </c>
      <c r="H76" s="19">
        <f t="shared" si="11"/>
        <v>712.5</v>
      </c>
      <c r="I76" s="16">
        <f t="shared" si="12"/>
        <v>10925</v>
      </c>
    </row>
    <row r="77" spans="3:15" x14ac:dyDescent="0.25">
      <c r="E77" s="35">
        <f>SUM(E62:E76)</f>
        <v>156503.22222222222</v>
      </c>
      <c r="G77" s="35">
        <f>SUM(G62:G76)</f>
        <v>20163.5</v>
      </c>
      <c r="I77" s="35">
        <f>SUM(I62:I76)</f>
        <v>371533.27777777781</v>
      </c>
    </row>
    <row r="80" spans="3:15" x14ac:dyDescent="0.25">
      <c r="D80" t="s">
        <v>60</v>
      </c>
      <c r="E80" t="s">
        <v>29</v>
      </c>
    </row>
    <row r="81" spans="3:5" x14ac:dyDescent="0.25">
      <c r="C81" t="s">
        <v>57</v>
      </c>
    </row>
    <row r="82" spans="3:5" x14ac:dyDescent="0.25">
      <c r="C82" t="s">
        <v>39</v>
      </c>
      <c r="D82" t="s">
        <v>28</v>
      </c>
      <c r="E82" t="s">
        <v>11</v>
      </c>
    </row>
  </sheetData>
  <mergeCells count="19">
    <mergeCell ref="N64:O64"/>
    <mergeCell ref="Q31:R31"/>
    <mergeCell ref="Q4:R4"/>
    <mergeCell ref="R5:S5"/>
    <mergeCell ref="P34:R34"/>
    <mergeCell ref="P47:R47"/>
    <mergeCell ref="C3:D3"/>
    <mergeCell ref="G3:H3"/>
    <mergeCell ref="C26:J26"/>
    <mergeCell ref="P27:R27"/>
    <mergeCell ref="Q24:R24"/>
    <mergeCell ref="K64:L64"/>
    <mergeCell ref="C60:I60"/>
    <mergeCell ref="C14:E14"/>
    <mergeCell ref="G9:I9"/>
    <mergeCell ref="K5:M5"/>
    <mergeCell ref="C41:G41"/>
    <mergeCell ref="I41:J41"/>
    <mergeCell ref="K41:L41"/>
  </mergeCells>
  <pageMargins left="0.7" right="0.7" top="0.75" bottom="0.75" header="0.3" footer="0.3"/>
  <pageSetup paperSize="9" orientation="portrait" r:id="rId1"/>
  <ignoredErrors>
    <ignoredError sqref="H63 Q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67"/>
  <sheetViews>
    <sheetView tabSelected="1" topLeftCell="C73" zoomScale="85" zoomScaleNormal="85" workbookViewId="0">
      <selection activeCell="M99" sqref="M99:M104"/>
    </sheetView>
  </sheetViews>
  <sheetFormatPr baseColWidth="10" defaultRowHeight="15" x14ac:dyDescent="0.25"/>
  <cols>
    <col min="2" max="2" width="16.140625" customWidth="1"/>
    <col min="3" max="3" width="15.42578125" customWidth="1"/>
    <col min="4" max="4" width="14.5703125" customWidth="1"/>
    <col min="5" max="5" width="13.140625" bestFit="1" customWidth="1"/>
    <col min="6" max="6" width="14.85546875" customWidth="1"/>
    <col min="7" max="7" width="14.140625" customWidth="1"/>
    <col min="8" max="8" width="15.7109375" customWidth="1"/>
    <col min="9" max="9" width="16.28515625" customWidth="1"/>
    <col min="10" max="10" width="13" customWidth="1"/>
    <col min="11" max="11" width="15.85546875" customWidth="1"/>
    <col min="12" max="12" width="16" customWidth="1"/>
    <col min="13" max="13" width="16.28515625" customWidth="1"/>
    <col min="14" max="15" width="14.28515625" customWidth="1"/>
    <col min="16" max="16" width="16.140625" bestFit="1" customWidth="1"/>
    <col min="17" max="17" width="12.7109375" customWidth="1"/>
    <col min="18" max="18" width="14.85546875" customWidth="1"/>
    <col min="19" max="19" width="14.140625" customWidth="1"/>
    <col min="20" max="20" width="18.7109375" customWidth="1"/>
    <col min="24" max="24" width="14.5703125" bestFit="1" customWidth="1"/>
    <col min="25" max="25" width="11.7109375" bestFit="1" customWidth="1"/>
  </cols>
  <sheetData>
    <row r="3" spans="1:25" x14ac:dyDescent="0.25">
      <c r="C3" s="97" t="s">
        <v>8</v>
      </c>
      <c r="D3" s="98"/>
      <c r="E3" s="98"/>
      <c r="F3" s="99"/>
      <c r="G3" s="43">
        <v>500</v>
      </c>
      <c r="I3" s="97" t="s">
        <v>15</v>
      </c>
      <c r="J3" s="98"/>
      <c r="K3" s="98"/>
      <c r="L3" s="99"/>
      <c r="M3" s="20">
        <v>500</v>
      </c>
      <c r="O3" s="97" t="s">
        <v>78</v>
      </c>
      <c r="P3" s="98"/>
      <c r="Q3" s="98"/>
      <c r="R3" s="99"/>
      <c r="S3" s="43">
        <v>500</v>
      </c>
      <c r="U3" s="97" t="s">
        <v>17</v>
      </c>
      <c r="V3" s="98"/>
      <c r="W3" s="98"/>
      <c r="X3" s="99"/>
      <c r="Y3" s="43">
        <v>350</v>
      </c>
    </row>
    <row r="4" spans="1:25" x14ac:dyDescent="0.25">
      <c r="C4" s="10" t="s">
        <v>9</v>
      </c>
      <c r="D4" s="10" t="s">
        <v>10</v>
      </c>
      <c r="E4" s="41" t="s">
        <v>11</v>
      </c>
      <c r="F4" s="47" t="s">
        <v>106</v>
      </c>
      <c r="G4" s="47" t="s">
        <v>107</v>
      </c>
      <c r="I4" s="10" t="s">
        <v>9</v>
      </c>
      <c r="J4" s="10" t="s">
        <v>10</v>
      </c>
      <c r="K4" s="41" t="s">
        <v>11</v>
      </c>
      <c r="L4" s="47" t="s">
        <v>106</v>
      </c>
      <c r="M4" s="47" t="s">
        <v>107</v>
      </c>
      <c r="O4" s="10" t="s">
        <v>9</v>
      </c>
      <c r="P4" s="10" t="s">
        <v>10</v>
      </c>
      <c r="Q4" s="41" t="s">
        <v>11</v>
      </c>
      <c r="R4" s="47" t="s">
        <v>106</v>
      </c>
      <c r="S4" s="47" t="s">
        <v>107</v>
      </c>
      <c r="U4" s="10" t="s">
        <v>9</v>
      </c>
      <c r="V4" s="10" t="s">
        <v>10</v>
      </c>
      <c r="W4" s="10" t="s">
        <v>11</v>
      </c>
      <c r="X4" s="47" t="s">
        <v>106</v>
      </c>
      <c r="Y4" s="47" t="s">
        <v>107</v>
      </c>
    </row>
    <row r="5" spans="1:25" x14ac:dyDescent="0.25">
      <c r="C5" s="8" t="s">
        <v>6</v>
      </c>
      <c r="D5" s="3">
        <v>250</v>
      </c>
      <c r="E5" s="71">
        <f>F34*D5</f>
        <v>1250</v>
      </c>
      <c r="F5" s="18">
        <f>D5/$G$3</f>
        <v>0.5</v>
      </c>
      <c r="G5" s="17">
        <f>E5/$G$3</f>
        <v>2.5</v>
      </c>
      <c r="I5" s="1" t="s">
        <v>6</v>
      </c>
      <c r="J5" s="1">
        <v>500</v>
      </c>
      <c r="K5" s="7">
        <f>F34*J5</f>
        <v>2500</v>
      </c>
      <c r="L5" s="21">
        <f t="shared" ref="L5:M11" si="0">J5/$M$3</f>
        <v>1</v>
      </c>
      <c r="M5" s="17">
        <f t="shared" si="0"/>
        <v>5</v>
      </c>
      <c r="O5" s="7" t="s">
        <v>6</v>
      </c>
      <c r="P5" s="1">
        <v>250</v>
      </c>
      <c r="Q5" s="3">
        <f>F34*P5</f>
        <v>1250</v>
      </c>
      <c r="R5" s="17">
        <f t="shared" ref="R5:S12" si="1">P5/$S$3</f>
        <v>0.5</v>
      </c>
      <c r="S5" s="12">
        <f t="shared" si="1"/>
        <v>2.5</v>
      </c>
      <c r="U5" s="11" t="s">
        <v>1</v>
      </c>
      <c r="V5" s="17">
        <v>100</v>
      </c>
      <c r="W5" s="76">
        <f>F40*V5</f>
        <v>2044.4444444444443</v>
      </c>
      <c r="X5" s="17">
        <f t="shared" ref="X5:Y7" si="2">V5/$Y$3</f>
        <v>0.2857142857142857</v>
      </c>
      <c r="Y5" s="17">
        <f t="shared" si="2"/>
        <v>5.8412698412698409</v>
      </c>
    </row>
    <row r="6" spans="1:25" x14ac:dyDescent="0.25">
      <c r="C6" s="8" t="s">
        <v>1</v>
      </c>
      <c r="D6" s="3">
        <v>800</v>
      </c>
      <c r="E6" s="42">
        <f>F40*D6</f>
        <v>16355.555555555555</v>
      </c>
      <c r="F6" s="18">
        <f>D6/$G$3</f>
        <v>1.6</v>
      </c>
      <c r="G6" s="18">
        <f>E6/$G$3</f>
        <v>32.711111111111109</v>
      </c>
      <c r="I6" s="3" t="s">
        <v>13</v>
      </c>
      <c r="J6" s="3">
        <v>3</v>
      </c>
      <c r="K6" s="8">
        <f>F36*J6</f>
        <v>48</v>
      </c>
      <c r="L6" s="22">
        <f t="shared" si="0"/>
        <v>6.0000000000000001E-3</v>
      </c>
      <c r="M6" s="18">
        <f t="shared" si="0"/>
        <v>9.6000000000000002E-2</v>
      </c>
      <c r="O6" s="8" t="s">
        <v>80</v>
      </c>
      <c r="P6" s="3">
        <v>2</v>
      </c>
      <c r="Q6" s="3">
        <f>F36*P6</f>
        <v>32</v>
      </c>
      <c r="R6" s="18">
        <f t="shared" si="1"/>
        <v>4.0000000000000001E-3</v>
      </c>
      <c r="S6" s="14">
        <f t="shared" si="1"/>
        <v>6.4000000000000001E-2</v>
      </c>
      <c r="U6" s="13" t="s">
        <v>16</v>
      </c>
      <c r="V6" s="18">
        <v>150</v>
      </c>
      <c r="W6" s="22">
        <f>F38*V6</f>
        <v>3900</v>
      </c>
      <c r="X6" s="18">
        <f t="shared" si="2"/>
        <v>0.42857142857142855</v>
      </c>
      <c r="Y6" s="18">
        <f t="shared" si="2"/>
        <v>11.142857142857142</v>
      </c>
    </row>
    <row r="7" spans="1:25" x14ac:dyDescent="0.25">
      <c r="C7" s="8" t="s">
        <v>5</v>
      </c>
      <c r="D7" s="3">
        <v>5</v>
      </c>
      <c r="E7" s="42">
        <f>F41*D7</f>
        <v>100</v>
      </c>
      <c r="F7" s="18">
        <f t="shared" ref="F7:F8" si="3">D7/$G$3</f>
        <v>0.01</v>
      </c>
      <c r="G7" s="18">
        <f>E7/$G$3</f>
        <v>0.2</v>
      </c>
      <c r="I7" s="3" t="s">
        <v>5</v>
      </c>
      <c r="J7" s="3">
        <v>10</v>
      </c>
      <c r="K7" s="8">
        <f>F41*J7</f>
        <v>200</v>
      </c>
      <c r="L7" s="22">
        <f t="shared" si="0"/>
        <v>0.02</v>
      </c>
      <c r="M7" s="18">
        <f t="shared" si="0"/>
        <v>0.4</v>
      </c>
      <c r="O7" s="8" t="s">
        <v>1</v>
      </c>
      <c r="P7" s="3">
        <v>250</v>
      </c>
      <c r="Q7" s="3">
        <f>F40*P7</f>
        <v>5111.1111111111104</v>
      </c>
      <c r="R7" s="18">
        <f t="shared" si="1"/>
        <v>0.5</v>
      </c>
      <c r="S7" s="14">
        <f t="shared" si="1"/>
        <v>10.222222222222221</v>
      </c>
      <c r="U7" s="15" t="s">
        <v>3</v>
      </c>
      <c r="V7" s="19">
        <v>100</v>
      </c>
      <c r="W7" s="77">
        <f>F47*V7</f>
        <v>361.11111111111114</v>
      </c>
      <c r="X7" s="18">
        <f t="shared" si="2"/>
        <v>0.2857142857142857</v>
      </c>
      <c r="Y7" s="18">
        <f t="shared" si="2"/>
        <v>1.0317460317460319</v>
      </c>
    </row>
    <row r="8" spans="1:25" x14ac:dyDescent="0.25">
      <c r="C8" s="8" t="s">
        <v>7</v>
      </c>
      <c r="D8" s="3">
        <v>250</v>
      </c>
      <c r="E8" s="42">
        <f>F43*D8</f>
        <v>1100</v>
      </c>
      <c r="F8" s="18">
        <f t="shared" si="3"/>
        <v>0.5</v>
      </c>
      <c r="G8" s="18">
        <f>E8/$G$3</f>
        <v>2.2000000000000002</v>
      </c>
      <c r="I8" s="3" t="s">
        <v>7</v>
      </c>
      <c r="J8" s="3">
        <v>500</v>
      </c>
      <c r="K8" s="8">
        <f>F43*J8</f>
        <v>2200</v>
      </c>
      <c r="L8" s="22">
        <f t="shared" si="0"/>
        <v>1</v>
      </c>
      <c r="M8" s="18">
        <f t="shared" si="0"/>
        <v>4.4000000000000004</v>
      </c>
      <c r="O8" s="8" t="s">
        <v>5</v>
      </c>
      <c r="P8" s="3">
        <v>5</v>
      </c>
      <c r="Q8" s="3">
        <f>F41*P8</f>
        <v>100</v>
      </c>
      <c r="R8" s="18">
        <f t="shared" si="1"/>
        <v>0.01</v>
      </c>
      <c r="S8" s="14">
        <f t="shared" si="1"/>
        <v>0.2</v>
      </c>
      <c r="W8" s="46">
        <f>SUM(W5:W7)</f>
        <v>6305.5555555555557</v>
      </c>
      <c r="X8" s="20">
        <f>SUM(X5:X7)</f>
        <v>0.99999999999999989</v>
      </c>
      <c r="Y8" s="20">
        <f>SUM(Y5:Y7)</f>
        <v>18.015873015873016</v>
      </c>
    </row>
    <row r="9" spans="1:25" x14ac:dyDescent="0.25">
      <c r="C9" s="8" t="s">
        <v>4</v>
      </c>
      <c r="D9" s="3">
        <v>10</v>
      </c>
      <c r="E9" s="42">
        <f>F44*D9</f>
        <v>5333.3333333333339</v>
      </c>
      <c r="F9" s="18">
        <f>D9/$G$3</f>
        <v>0.02</v>
      </c>
      <c r="G9" s="18">
        <f>E9/$G$3</f>
        <v>10.666666666666668</v>
      </c>
      <c r="I9" s="3" t="s">
        <v>4</v>
      </c>
      <c r="J9" s="3">
        <v>10</v>
      </c>
      <c r="K9" s="8">
        <f>F44*J9</f>
        <v>5333.3333333333339</v>
      </c>
      <c r="L9" s="22">
        <f t="shared" si="0"/>
        <v>0.02</v>
      </c>
      <c r="M9" s="18">
        <f t="shared" si="0"/>
        <v>10.666666666666668</v>
      </c>
      <c r="O9" s="8" t="s">
        <v>7</v>
      </c>
      <c r="P9" s="3">
        <v>500</v>
      </c>
      <c r="Q9" s="3">
        <f>F43*P9</f>
        <v>2200</v>
      </c>
      <c r="R9" s="18">
        <f t="shared" si="1"/>
        <v>1</v>
      </c>
      <c r="S9" s="14">
        <f t="shared" si="1"/>
        <v>4.4000000000000004</v>
      </c>
    </row>
    <row r="10" spans="1:25" x14ac:dyDescent="0.25">
      <c r="C10" s="8" t="s">
        <v>3</v>
      </c>
      <c r="D10" s="3">
        <v>800</v>
      </c>
      <c r="E10" s="42">
        <f>F47*D10</f>
        <v>2888.8888888888891</v>
      </c>
      <c r="F10" s="18">
        <f>D10/$G$3</f>
        <v>1.6</v>
      </c>
      <c r="G10" s="18">
        <f>E10/$G$3</f>
        <v>5.7777777777777786</v>
      </c>
      <c r="I10" s="3" t="s">
        <v>77</v>
      </c>
      <c r="J10" s="3">
        <v>500</v>
      </c>
      <c r="K10" s="8">
        <f>F51*J10</f>
        <v>5200</v>
      </c>
      <c r="L10" s="22">
        <f t="shared" si="0"/>
        <v>1</v>
      </c>
      <c r="M10" s="18">
        <f t="shared" si="0"/>
        <v>10.4</v>
      </c>
      <c r="O10" s="8" t="s">
        <v>4</v>
      </c>
      <c r="P10" s="3">
        <v>8</v>
      </c>
      <c r="Q10" s="3">
        <f>F44*P10</f>
        <v>4266.666666666667</v>
      </c>
      <c r="R10" s="18">
        <f t="shared" si="1"/>
        <v>1.6E-2</v>
      </c>
      <c r="S10" s="14">
        <f t="shared" si="1"/>
        <v>8.5333333333333332</v>
      </c>
    </row>
    <row r="11" spans="1:25" x14ac:dyDescent="0.25">
      <c r="C11" s="9" t="s">
        <v>2</v>
      </c>
      <c r="D11" s="5">
        <v>300</v>
      </c>
      <c r="E11" s="72">
        <f>F48*D11</f>
        <v>8015.625</v>
      </c>
      <c r="F11" s="19">
        <f>D11/$G$3</f>
        <v>0.6</v>
      </c>
      <c r="G11" s="19">
        <f>E11/$G$3</f>
        <v>16.03125</v>
      </c>
      <c r="I11" s="5" t="s">
        <v>14</v>
      </c>
      <c r="J11" s="5">
        <v>150</v>
      </c>
      <c r="K11" s="9">
        <f>F54*J11</f>
        <v>2300</v>
      </c>
      <c r="L11" s="23">
        <f t="shared" si="0"/>
        <v>0.3</v>
      </c>
      <c r="M11" s="19">
        <f t="shared" si="0"/>
        <v>4.5999999999999996</v>
      </c>
      <c r="O11" s="8" t="s">
        <v>79</v>
      </c>
      <c r="P11" s="3">
        <v>250</v>
      </c>
      <c r="Q11" s="3">
        <f>F46*P11</f>
        <v>3000</v>
      </c>
      <c r="R11" s="18">
        <f t="shared" si="1"/>
        <v>0.5</v>
      </c>
      <c r="S11" s="14">
        <f t="shared" si="1"/>
        <v>6</v>
      </c>
    </row>
    <row r="12" spans="1:25" x14ac:dyDescent="0.25">
      <c r="E12" s="46">
        <f>SUM(E5:E11)</f>
        <v>35043.402777777781</v>
      </c>
      <c r="F12" s="32">
        <f>SUM(F5:F11)</f>
        <v>4.83</v>
      </c>
      <c r="G12" s="32">
        <f>SUM(G5:G11)</f>
        <v>70.086805555555571</v>
      </c>
      <c r="K12" s="39">
        <f>SUM(K5:K11)</f>
        <v>17781.333333333336</v>
      </c>
      <c r="L12" s="32">
        <f>SUM(L5:L11)</f>
        <v>3.3459999999999996</v>
      </c>
      <c r="M12" s="32">
        <f>SUM(M5:M11)</f>
        <v>35.562666666666672</v>
      </c>
      <c r="O12" s="9" t="s">
        <v>2</v>
      </c>
      <c r="P12" s="5">
        <v>250</v>
      </c>
      <c r="Q12" s="3">
        <f>F48*P12</f>
        <v>6679.6875</v>
      </c>
      <c r="R12" s="18">
        <f t="shared" si="1"/>
        <v>0.5</v>
      </c>
      <c r="S12" s="14">
        <f t="shared" si="1"/>
        <v>13.359375</v>
      </c>
      <c r="U12" s="97" t="s">
        <v>21</v>
      </c>
      <c r="V12" s="98"/>
      <c r="W12" s="98"/>
      <c r="X12" s="99"/>
      <c r="Y12" s="20">
        <v>500</v>
      </c>
    </row>
    <row r="13" spans="1:25" x14ac:dyDescent="0.25">
      <c r="Q13" s="46">
        <f>SUM(Q5:Q12)</f>
        <v>22639.465277777777</v>
      </c>
      <c r="R13" s="20">
        <f>SUM(R5:R12)</f>
        <v>3.0300000000000002</v>
      </c>
      <c r="S13" s="50">
        <f>SUM(S5:S12)</f>
        <v>45.278930555555554</v>
      </c>
      <c r="U13" s="10" t="s">
        <v>9</v>
      </c>
      <c r="V13" s="10" t="s">
        <v>10</v>
      </c>
      <c r="W13" s="10" t="s">
        <v>11</v>
      </c>
      <c r="X13" s="47" t="s">
        <v>106</v>
      </c>
      <c r="Y13" s="47" t="s">
        <v>107</v>
      </c>
    </row>
    <row r="14" spans="1:25" x14ac:dyDescent="0.25">
      <c r="F14" t="s">
        <v>82</v>
      </c>
      <c r="K14" t="s">
        <v>82</v>
      </c>
      <c r="U14" s="11" t="s">
        <v>18</v>
      </c>
      <c r="V14" s="17">
        <v>70</v>
      </c>
      <c r="W14" s="22">
        <f>F45*V14</f>
        <v>4319</v>
      </c>
      <c r="X14" s="17">
        <f>V14/$Y$12</f>
        <v>0.14000000000000001</v>
      </c>
      <c r="Y14" s="17">
        <f>W14/$Y$12</f>
        <v>8.6379999999999999</v>
      </c>
    </row>
    <row r="15" spans="1:25" x14ac:dyDescent="0.25">
      <c r="A15">
        <f>275*R39</f>
        <v>12127.5</v>
      </c>
      <c r="C15" s="97" t="s">
        <v>81</v>
      </c>
      <c r="D15" s="98"/>
      <c r="E15" s="98"/>
      <c r="F15" s="99"/>
      <c r="G15" s="20">
        <f>D29</f>
        <v>1764</v>
      </c>
      <c r="I15" s="97" t="s">
        <v>93</v>
      </c>
      <c r="J15" s="98"/>
      <c r="K15" s="98"/>
      <c r="L15" s="99"/>
      <c r="M15" s="43">
        <f>J29</f>
        <v>1799</v>
      </c>
      <c r="O15" s="97" t="s">
        <v>94</v>
      </c>
      <c r="P15" s="98"/>
      <c r="Q15" s="98"/>
      <c r="R15" s="99"/>
      <c r="S15" s="43">
        <v>250</v>
      </c>
      <c r="U15" s="13" t="s">
        <v>19</v>
      </c>
      <c r="V15" s="18">
        <v>150</v>
      </c>
      <c r="W15" s="22">
        <f>F35*V15</f>
        <v>1230</v>
      </c>
      <c r="X15" s="18">
        <f t="shared" ref="X15:X17" si="4">V15/$Y$12</f>
        <v>0.3</v>
      </c>
      <c r="Y15" s="18">
        <f t="shared" ref="Y15:Y17" si="5">W15/$Y$12</f>
        <v>2.46</v>
      </c>
    </row>
    <row r="16" spans="1:25" x14ac:dyDescent="0.25">
      <c r="C16" s="73" t="s">
        <v>9</v>
      </c>
      <c r="D16" s="10" t="s">
        <v>10</v>
      </c>
      <c r="E16" s="74" t="s">
        <v>11</v>
      </c>
      <c r="F16" s="47" t="s">
        <v>106</v>
      </c>
      <c r="G16" s="47" t="s">
        <v>107</v>
      </c>
      <c r="I16" s="41" t="s">
        <v>9</v>
      </c>
      <c r="J16" s="41" t="s">
        <v>10</v>
      </c>
      <c r="K16" s="41" t="s">
        <v>11</v>
      </c>
      <c r="L16" s="47" t="s">
        <v>106</v>
      </c>
      <c r="M16" s="47" t="s">
        <v>107</v>
      </c>
      <c r="O16" s="10" t="s">
        <v>9</v>
      </c>
      <c r="P16" s="10" t="s">
        <v>10</v>
      </c>
      <c r="Q16" s="41" t="s">
        <v>11</v>
      </c>
      <c r="R16" s="47" t="s">
        <v>106</v>
      </c>
      <c r="S16" s="47" t="s">
        <v>107</v>
      </c>
      <c r="U16" s="13" t="s">
        <v>6</v>
      </c>
      <c r="V16" s="18">
        <v>375</v>
      </c>
      <c r="W16" s="22">
        <f>F34*V16</f>
        <v>1875</v>
      </c>
      <c r="X16" s="18">
        <f t="shared" si="4"/>
        <v>0.75</v>
      </c>
      <c r="Y16" s="18">
        <f t="shared" si="5"/>
        <v>3.75</v>
      </c>
    </row>
    <row r="17" spans="1:25" x14ac:dyDescent="0.25">
      <c r="A17">
        <f>F17*$A$15</f>
        <v>1375</v>
      </c>
      <c r="B17">
        <f>G17*$A$15</f>
        <v>572.91666666666674</v>
      </c>
      <c r="C17" s="13" t="s">
        <v>20</v>
      </c>
      <c r="D17" s="18">
        <v>200</v>
      </c>
      <c r="E17" s="17">
        <f>F33*D17</f>
        <v>83.333333333333343</v>
      </c>
      <c r="F17" s="11">
        <f t="shared" ref="F17:F26" si="6">D17/$G$15</f>
        <v>0.11337868480725624</v>
      </c>
      <c r="G17" s="17">
        <f t="shared" ref="G17:G26" si="7">E17/$G$15</f>
        <v>4.7241118669690101E-2</v>
      </c>
      <c r="I17" s="13" t="s">
        <v>20</v>
      </c>
      <c r="J17" s="18">
        <v>200</v>
      </c>
      <c r="K17" s="17">
        <f>F33*J17</f>
        <v>83.333333333333343</v>
      </c>
      <c r="L17" s="11">
        <f t="shared" ref="L17:L26" si="8">J17/$M$15</f>
        <v>0.11117287381878821</v>
      </c>
      <c r="M17" s="17">
        <f t="shared" ref="M17:M26" si="9">K17/$M$15</f>
        <v>4.6322030757828425E-2</v>
      </c>
      <c r="O17" s="1" t="s">
        <v>6</v>
      </c>
      <c r="P17" s="1">
        <v>150</v>
      </c>
      <c r="Q17" s="1">
        <f>F34*P17</f>
        <v>750</v>
      </c>
      <c r="R17" s="17">
        <f t="shared" ref="R17:R26" si="10">P17/$S$15</f>
        <v>0.6</v>
      </c>
      <c r="S17" s="17">
        <f t="shared" ref="S17:S26" si="11">Q17/$S$15</f>
        <v>3</v>
      </c>
      <c r="U17" s="15" t="s">
        <v>20</v>
      </c>
      <c r="V17" s="19">
        <v>250</v>
      </c>
      <c r="W17" s="77">
        <f>F33*V17</f>
        <v>104.16666666666667</v>
      </c>
      <c r="X17" s="18">
        <f t="shared" si="4"/>
        <v>0.5</v>
      </c>
      <c r="Y17" s="18">
        <f t="shared" si="5"/>
        <v>0.20833333333333334</v>
      </c>
    </row>
    <row r="18" spans="1:25" x14ac:dyDescent="0.25">
      <c r="A18">
        <f t="shared" ref="A18:A28" si="12">F18*$A$15</f>
        <v>962.5</v>
      </c>
      <c r="B18">
        <f t="shared" ref="B18:B28" si="13">G18*$A$15</f>
        <v>4812.5</v>
      </c>
      <c r="C18" s="13" t="s">
        <v>6</v>
      </c>
      <c r="D18" s="8">
        <v>140</v>
      </c>
      <c r="E18" s="18">
        <f>F34*D18</f>
        <v>700</v>
      </c>
      <c r="F18" s="13">
        <f t="shared" si="6"/>
        <v>7.9365079365079361E-2</v>
      </c>
      <c r="G18" s="18">
        <f t="shared" si="7"/>
        <v>0.3968253968253968</v>
      </c>
      <c r="I18" s="13" t="s">
        <v>6</v>
      </c>
      <c r="J18" s="8">
        <v>131</v>
      </c>
      <c r="K18" s="18">
        <f>F34*J18</f>
        <v>655</v>
      </c>
      <c r="L18" s="13">
        <f t="shared" si="8"/>
        <v>7.2818232351306286E-2</v>
      </c>
      <c r="M18" s="18">
        <f t="shared" si="9"/>
        <v>0.36409116175653139</v>
      </c>
      <c r="O18" s="3" t="s">
        <v>13</v>
      </c>
      <c r="P18" s="3">
        <v>3</v>
      </c>
      <c r="Q18" s="3">
        <f>F36*P18</f>
        <v>48</v>
      </c>
      <c r="R18" s="18">
        <f t="shared" si="10"/>
        <v>1.2E-2</v>
      </c>
      <c r="S18" s="18">
        <f t="shared" si="11"/>
        <v>0.192</v>
      </c>
      <c r="W18" s="46">
        <f>SUM(W14:W17)</f>
        <v>7528.166666666667</v>
      </c>
      <c r="X18" s="20">
        <f>SUM(X14:X17)</f>
        <v>1.69</v>
      </c>
      <c r="Y18" s="20">
        <f>SUM(Y14:Y17)</f>
        <v>15.056333333333333</v>
      </c>
    </row>
    <row r="19" spans="1:25" x14ac:dyDescent="0.25">
      <c r="A19">
        <f t="shared" si="12"/>
        <v>68.75</v>
      </c>
      <c r="B19">
        <f>G19*$A$15</f>
        <v>1375</v>
      </c>
      <c r="C19" s="13" t="s">
        <v>85</v>
      </c>
      <c r="D19" s="8">
        <v>10</v>
      </c>
      <c r="E19" s="18">
        <f>F41*D19</f>
        <v>200</v>
      </c>
      <c r="F19" s="13">
        <f t="shared" si="6"/>
        <v>5.6689342403628117E-3</v>
      </c>
      <c r="G19" s="18">
        <f t="shared" si="7"/>
        <v>0.11337868480725624</v>
      </c>
      <c r="I19" s="13" t="s">
        <v>85</v>
      </c>
      <c r="J19" s="8">
        <v>14</v>
      </c>
      <c r="K19" s="18">
        <f>F41*J19</f>
        <v>280</v>
      </c>
      <c r="L19" s="13">
        <f t="shared" si="8"/>
        <v>7.7821011673151752E-3</v>
      </c>
      <c r="M19" s="18">
        <f t="shared" si="9"/>
        <v>0.1556420233463035</v>
      </c>
      <c r="O19" s="13" t="s">
        <v>96</v>
      </c>
      <c r="P19" s="34">
        <v>15</v>
      </c>
      <c r="Q19" s="3">
        <f>F39*P19</f>
        <v>330</v>
      </c>
      <c r="R19" s="18">
        <f t="shared" si="10"/>
        <v>0.06</v>
      </c>
      <c r="S19" s="18">
        <f t="shared" si="11"/>
        <v>1.32</v>
      </c>
    </row>
    <row r="20" spans="1:25" x14ac:dyDescent="0.25">
      <c r="A20">
        <f t="shared" si="12"/>
        <v>275</v>
      </c>
      <c r="B20">
        <f t="shared" si="13"/>
        <v>7363.8888888888887</v>
      </c>
      <c r="C20" s="13" t="s">
        <v>86</v>
      </c>
      <c r="D20" s="8">
        <v>40</v>
      </c>
      <c r="E20" s="18">
        <f>F42*D20</f>
        <v>1071.1111111111111</v>
      </c>
      <c r="F20" s="13">
        <f t="shared" si="6"/>
        <v>2.2675736961451247E-2</v>
      </c>
      <c r="G20" s="18">
        <f t="shared" si="7"/>
        <v>0.60720584530108335</v>
      </c>
      <c r="I20" s="13" t="s">
        <v>86</v>
      </c>
      <c r="J20" s="8">
        <v>42</v>
      </c>
      <c r="K20" s="18">
        <f>F42*J20</f>
        <v>1124.6666666666667</v>
      </c>
      <c r="L20" s="13">
        <f t="shared" si="8"/>
        <v>2.3346303501945526E-2</v>
      </c>
      <c r="M20" s="18">
        <f t="shared" si="9"/>
        <v>0.6251621271076524</v>
      </c>
      <c r="O20" s="3" t="s">
        <v>5</v>
      </c>
      <c r="P20" s="3">
        <v>10</v>
      </c>
      <c r="Q20" s="3">
        <f>F41*P20</f>
        <v>200</v>
      </c>
      <c r="R20" s="18">
        <f t="shared" si="10"/>
        <v>0.04</v>
      </c>
      <c r="S20" s="18">
        <f t="shared" si="11"/>
        <v>0.8</v>
      </c>
    </row>
    <row r="21" spans="1:25" x14ac:dyDescent="0.25">
      <c r="A21">
        <f t="shared" si="12"/>
        <v>6875</v>
      </c>
      <c r="B21">
        <f t="shared" si="13"/>
        <v>30250</v>
      </c>
      <c r="C21" s="13" t="s">
        <v>7</v>
      </c>
      <c r="D21" s="8">
        <v>1000</v>
      </c>
      <c r="E21" s="18">
        <f>F43*D21</f>
        <v>4400</v>
      </c>
      <c r="F21" s="13">
        <f t="shared" si="6"/>
        <v>0.56689342403628118</v>
      </c>
      <c r="G21" s="18">
        <f t="shared" si="7"/>
        <v>2.4943310657596371</v>
      </c>
      <c r="I21" s="13" t="s">
        <v>7</v>
      </c>
      <c r="J21" s="8">
        <v>1000</v>
      </c>
      <c r="K21" s="18">
        <f>F43*J21</f>
        <v>4400</v>
      </c>
      <c r="L21" s="13">
        <f t="shared" si="8"/>
        <v>0.5558643690939411</v>
      </c>
      <c r="M21" s="18">
        <f t="shared" si="9"/>
        <v>2.4458032240133409</v>
      </c>
      <c r="O21" s="3" t="s">
        <v>7</v>
      </c>
      <c r="P21" s="3">
        <v>250</v>
      </c>
      <c r="Q21" s="3">
        <f>F43*P21</f>
        <v>1100</v>
      </c>
      <c r="R21" s="18">
        <f t="shared" si="10"/>
        <v>1</v>
      </c>
      <c r="S21" s="18">
        <f t="shared" si="11"/>
        <v>4.4000000000000004</v>
      </c>
    </row>
    <row r="22" spans="1:25" x14ac:dyDescent="0.25">
      <c r="A22">
        <f t="shared" si="12"/>
        <v>13.75</v>
      </c>
      <c r="B22">
        <f t="shared" si="13"/>
        <v>7333.3333333333339</v>
      </c>
      <c r="C22" s="13" t="s">
        <v>4</v>
      </c>
      <c r="D22" s="8">
        <v>2</v>
      </c>
      <c r="E22" s="18">
        <f>F44*D22</f>
        <v>1066.6666666666667</v>
      </c>
      <c r="F22" s="13">
        <f t="shared" si="6"/>
        <v>1.1337868480725624E-3</v>
      </c>
      <c r="G22" s="18">
        <f t="shared" si="7"/>
        <v>0.60468631897203329</v>
      </c>
      <c r="I22" s="13" t="s">
        <v>4</v>
      </c>
      <c r="J22" s="8">
        <v>3</v>
      </c>
      <c r="K22" s="18">
        <f>F44*J22</f>
        <v>1600</v>
      </c>
      <c r="L22" s="13">
        <f t="shared" si="8"/>
        <v>1.6675931072818232E-3</v>
      </c>
      <c r="M22" s="18">
        <f t="shared" si="9"/>
        <v>0.88938299055030567</v>
      </c>
      <c r="O22" s="3" t="s">
        <v>4</v>
      </c>
      <c r="P22" s="3">
        <v>4</v>
      </c>
      <c r="Q22" s="3">
        <f>F44*P22</f>
        <v>2133.3333333333335</v>
      </c>
      <c r="R22" s="18">
        <f t="shared" si="10"/>
        <v>1.6E-2</v>
      </c>
      <c r="S22" s="18">
        <f t="shared" si="11"/>
        <v>8.5333333333333332</v>
      </c>
    </row>
    <row r="23" spans="1:25" x14ac:dyDescent="0.25">
      <c r="A23">
        <f t="shared" si="12"/>
        <v>110</v>
      </c>
      <c r="B23">
        <f t="shared" si="13"/>
        <v>1320</v>
      </c>
      <c r="C23" s="13" t="s">
        <v>79</v>
      </c>
      <c r="D23" s="8">
        <v>16</v>
      </c>
      <c r="E23" s="18">
        <f>F46*D23</f>
        <v>192</v>
      </c>
      <c r="F23" s="13">
        <f t="shared" si="6"/>
        <v>9.0702947845804991E-3</v>
      </c>
      <c r="G23" s="18">
        <f t="shared" si="7"/>
        <v>0.10884353741496598</v>
      </c>
      <c r="I23" s="13" t="s">
        <v>87</v>
      </c>
      <c r="J23" s="8">
        <v>22</v>
      </c>
      <c r="K23" s="18">
        <f>F46*J23</f>
        <v>264</v>
      </c>
      <c r="L23" s="13">
        <f t="shared" si="8"/>
        <v>1.2229016120066704E-2</v>
      </c>
      <c r="M23" s="18">
        <f t="shared" si="9"/>
        <v>0.14674819344080045</v>
      </c>
      <c r="O23" s="8" t="s">
        <v>3</v>
      </c>
      <c r="P23" s="34">
        <v>50</v>
      </c>
      <c r="Q23" s="3">
        <f>F47*P23</f>
        <v>180.55555555555557</v>
      </c>
      <c r="R23" s="18">
        <f t="shared" si="10"/>
        <v>0.2</v>
      </c>
      <c r="S23" s="18">
        <f t="shared" si="11"/>
        <v>0.72222222222222232</v>
      </c>
    </row>
    <row r="24" spans="1:25" x14ac:dyDescent="0.25">
      <c r="A24">
        <f t="shared" si="12"/>
        <v>110</v>
      </c>
      <c r="B24">
        <f t="shared" si="13"/>
        <v>14142.857142857143</v>
      </c>
      <c r="C24" s="13" t="s">
        <v>88</v>
      </c>
      <c r="D24" s="8">
        <v>16</v>
      </c>
      <c r="E24" s="18">
        <f>F49*D24</f>
        <v>2057.1428571428573</v>
      </c>
      <c r="F24" s="13">
        <f t="shared" si="6"/>
        <v>9.0702947845804991E-3</v>
      </c>
      <c r="G24" s="18">
        <f t="shared" si="7"/>
        <v>1.1661807580174928</v>
      </c>
      <c r="I24" s="13" t="s">
        <v>88</v>
      </c>
      <c r="J24" s="8">
        <v>17</v>
      </c>
      <c r="K24" s="18">
        <f>F49*J24</f>
        <v>2185.7142857142858</v>
      </c>
      <c r="L24" s="13">
        <f t="shared" si="8"/>
        <v>9.4496942745969977E-3</v>
      </c>
      <c r="M24" s="18">
        <f t="shared" si="9"/>
        <v>1.2149606924481855</v>
      </c>
      <c r="O24" s="34" t="s">
        <v>84</v>
      </c>
      <c r="P24" s="34">
        <v>45</v>
      </c>
      <c r="Q24" s="3">
        <f>F49*P24</f>
        <v>5785.7142857142862</v>
      </c>
      <c r="R24" s="18">
        <f t="shared" si="10"/>
        <v>0.18</v>
      </c>
      <c r="S24" s="18">
        <f t="shared" si="11"/>
        <v>23.142857142857146</v>
      </c>
    </row>
    <row r="25" spans="1:25" x14ac:dyDescent="0.25">
      <c r="A25">
        <f t="shared" si="12"/>
        <v>1650.0000000000002</v>
      </c>
      <c r="B25">
        <f t="shared" si="13"/>
        <v>16500</v>
      </c>
      <c r="C25" s="13" t="s">
        <v>89</v>
      </c>
      <c r="D25" s="63">
        <v>240</v>
      </c>
      <c r="E25" s="18">
        <f>F50*D25</f>
        <v>2400</v>
      </c>
      <c r="F25" s="13">
        <f t="shared" si="6"/>
        <v>0.1360544217687075</v>
      </c>
      <c r="G25" s="18">
        <f t="shared" si="7"/>
        <v>1.3605442176870748</v>
      </c>
      <c r="I25" s="13" t="s">
        <v>89</v>
      </c>
      <c r="J25" s="63">
        <v>267</v>
      </c>
      <c r="K25" s="18">
        <f>F50*J25</f>
        <v>2670</v>
      </c>
      <c r="L25" s="13">
        <f t="shared" si="8"/>
        <v>0.14841578654808227</v>
      </c>
      <c r="M25" s="18">
        <f t="shared" si="9"/>
        <v>1.4841578654808227</v>
      </c>
      <c r="O25" s="3" t="s">
        <v>77</v>
      </c>
      <c r="P25" s="3">
        <v>125</v>
      </c>
      <c r="Q25" s="3">
        <f>F51*P25</f>
        <v>1300</v>
      </c>
      <c r="R25" s="18">
        <f t="shared" si="10"/>
        <v>0.5</v>
      </c>
      <c r="S25" s="18">
        <f t="shared" si="11"/>
        <v>5.2</v>
      </c>
    </row>
    <row r="26" spans="1:25" x14ac:dyDescent="0.25">
      <c r="A26">
        <f t="shared" si="12"/>
        <v>550</v>
      </c>
      <c r="B26">
        <f t="shared" si="13"/>
        <v>5720</v>
      </c>
      <c r="C26" s="13" t="s">
        <v>90</v>
      </c>
      <c r="D26" s="63">
        <v>80</v>
      </c>
      <c r="E26" s="18">
        <f>F51*D26</f>
        <v>832</v>
      </c>
      <c r="F26" s="13">
        <f t="shared" si="6"/>
        <v>4.5351473922902494E-2</v>
      </c>
      <c r="G26" s="18">
        <f t="shared" si="7"/>
        <v>0.47165532879818595</v>
      </c>
      <c r="I26" s="13" t="s">
        <v>90</v>
      </c>
      <c r="J26" s="63">
        <v>83</v>
      </c>
      <c r="K26" s="18">
        <f>F51*J26</f>
        <v>863.2</v>
      </c>
      <c r="L26" s="13">
        <f t="shared" si="8"/>
        <v>4.6136742634797112E-2</v>
      </c>
      <c r="M26" s="18">
        <f t="shared" si="9"/>
        <v>0.47982212340188996</v>
      </c>
      <c r="O26" s="64" t="s">
        <v>83</v>
      </c>
      <c r="P26" s="65">
        <v>0.3</v>
      </c>
      <c r="Q26" s="5">
        <f>F53*P26</f>
        <v>0.3</v>
      </c>
      <c r="R26" s="18">
        <f t="shared" si="10"/>
        <v>1.1999999999999999E-3</v>
      </c>
      <c r="S26" s="18">
        <f t="shared" si="11"/>
        <v>1.1999999999999999E-3</v>
      </c>
    </row>
    <row r="27" spans="1:25" x14ac:dyDescent="0.25">
      <c r="A27">
        <f t="shared" si="12"/>
        <v>0</v>
      </c>
      <c r="B27">
        <f t="shared" si="13"/>
        <v>0</v>
      </c>
      <c r="C27" s="13" t="s">
        <v>91</v>
      </c>
      <c r="D27" s="63">
        <v>20</v>
      </c>
      <c r="E27" s="18">
        <f>F52*D27</f>
        <v>0</v>
      </c>
      <c r="F27" s="13">
        <v>0</v>
      </c>
      <c r="G27" s="18">
        <f>E27/$G$15</f>
        <v>0</v>
      </c>
      <c r="I27" s="13" t="s">
        <v>91</v>
      </c>
      <c r="J27" s="63">
        <v>10</v>
      </c>
      <c r="K27" s="18">
        <f>F52*J27</f>
        <v>0</v>
      </c>
      <c r="L27" s="13">
        <f>0</f>
        <v>0</v>
      </c>
      <c r="M27" s="18">
        <f>K27/$M$15</f>
        <v>0</v>
      </c>
      <c r="Q27" s="39">
        <f>SUM(Q17:Q26)</f>
        <v>11827.903174603176</v>
      </c>
      <c r="R27" s="20">
        <f>SUM(R17:R26)</f>
        <v>2.6092</v>
      </c>
      <c r="S27" s="20">
        <f>SUM(S17:S26)</f>
        <v>47.311612698412702</v>
      </c>
    </row>
    <row r="28" spans="1:25" x14ac:dyDescent="0.25">
      <c r="A28">
        <f t="shared" si="12"/>
        <v>137.5</v>
      </c>
      <c r="B28">
        <f t="shared" si="13"/>
        <v>137.5</v>
      </c>
      <c r="C28" s="15" t="s">
        <v>92</v>
      </c>
      <c r="D28" s="19">
        <v>20</v>
      </c>
      <c r="E28" s="19">
        <f>F53*D28</f>
        <v>20</v>
      </c>
      <c r="F28" s="15">
        <f>D28/$G$15</f>
        <v>1.1337868480725623E-2</v>
      </c>
      <c r="G28" s="19">
        <f>E28/$G$15</f>
        <v>1.1337868480725623E-2</v>
      </c>
      <c r="I28" s="15" t="s">
        <v>92</v>
      </c>
      <c r="J28" s="19">
        <v>20</v>
      </c>
      <c r="K28" s="19">
        <f>F53*J28</f>
        <v>20</v>
      </c>
      <c r="L28" s="15">
        <f>J28/$M$15</f>
        <v>1.1117287381878822E-2</v>
      </c>
      <c r="M28" s="19">
        <f>K28/$M$15</f>
        <v>1.1117287381878822E-2</v>
      </c>
    </row>
    <row r="29" spans="1:25" x14ac:dyDescent="0.25">
      <c r="A29">
        <f>SUM(A17:A28)</f>
        <v>12127.5</v>
      </c>
      <c r="B29">
        <f>SUM(B17:B28)</f>
        <v>89527.996031746035</v>
      </c>
      <c r="D29">
        <f>SUM(D17:D28)-D27</f>
        <v>1764</v>
      </c>
      <c r="E29" s="30">
        <f>SUM(E17:E28)</f>
        <v>13022.253968253968</v>
      </c>
      <c r="F29" s="32">
        <f>SUM(F17:F28)</f>
        <v>1.0000000000000002</v>
      </c>
      <c r="G29" s="32">
        <f>SUM(G17:G28)</f>
        <v>7.382230140733542</v>
      </c>
      <c r="J29">
        <f>SUM(J17:J28)-J27</f>
        <v>1799</v>
      </c>
      <c r="K29" s="30">
        <f>SUM(K17:K28)</f>
        <v>14145.914285714287</v>
      </c>
      <c r="L29" s="20">
        <f>SUM(L17:L28)</f>
        <v>1</v>
      </c>
      <c r="M29" s="19">
        <f>SUM(M17:M28)</f>
        <v>7.8632097196855399</v>
      </c>
    </row>
    <row r="31" spans="1:25" ht="15.75" x14ac:dyDescent="0.25">
      <c r="B31" s="97" t="s">
        <v>95</v>
      </c>
      <c r="C31" s="98"/>
      <c r="D31" s="98"/>
      <c r="E31" s="98"/>
      <c r="F31" s="99"/>
      <c r="H31" s="94" t="s">
        <v>23</v>
      </c>
      <c r="I31" s="95"/>
      <c r="J31" s="95"/>
      <c r="K31" s="95"/>
      <c r="L31" s="95"/>
      <c r="M31" s="95"/>
      <c r="N31" s="95"/>
      <c r="O31" s="96"/>
      <c r="Q31" s="105" t="s">
        <v>108</v>
      </c>
      <c r="R31" s="103"/>
    </row>
    <row r="32" spans="1:25" x14ac:dyDescent="0.25">
      <c r="B32" s="17" t="s">
        <v>39</v>
      </c>
      <c r="C32" s="17" t="s">
        <v>28</v>
      </c>
      <c r="D32" s="67" t="s">
        <v>115</v>
      </c>
      <c r="E32" s="67" t="s">
        <v>50</v>
      </c>
      <c r="F32" s="67" t="s">
        <v>105</v>
      </c>
      <c r="H32" s="41" t="s">
        <v>24</v>
      </c>
      <c r="I32" s="41" t="s">
        <v>25</v>
      </c>
      <c r="J32" s="41" t="s">
        <v>28</v>
      </c>
      <c r="K32" s="41" t="s">
        <v>27</v>
      </c>
      <c r="L32" s="41" t="s">
        <v>26</v>
      </c>
      <c r="M32" s="41" t="s">
        <v>37</v>
      </c>
      <c r="N32" s="25" t="s">
        <v>38</v>
      </c>
      <c r="O32" s="25" t="s">
        <v>58</v>
      </c>
      <c r="Q32" s="17" t="s">
        <v>49</v>
      </c>
      <c r="R32" s="12">
        <f>M15/40</f>
        <v>44.975000000000001</v>
      </c>
    </row>
    <row r="33" spans="2:18" x14ac:dyDescent="0.25">
      <c r="B33" s="75" t="s">
        <v>20</v>
      </c>
      <c r="C33" s="17">
        <v>5</v>
      </c>
      <c r="D33" s="21">
        <v>6000</v>
      </c>
      <c r="E33" s="11">
        <v>2500</v>
      </c>
      <c r="F33" s="17">
        <f>E33/D33</f>
        <v>0.41666666666666669</v>
      </c>
      <c r="H33" s="80" t="s">
        <v>29</v>
      </c>
      <c r="I33" s="67" t="s">
        <v>8</v>
      </c>
      <c r="J33" s="21">
        <v>500</v>
      </c>
      <c r="K33" s="17">
        <v>50000</v>
      </c>
      <c r="L33" s="82">
        <f>J33*G12</f>
        <v>35043.402777777788</v>
      </c>
      <c r="M33" s="86">
        <f t="shared" ref="M33:M54" si="14">K33-L33</f>
        <v>14956.597222222212</v>
      </c>
      <c r="N33" s="24">
        <v>44910</v>
      </c>
      <c r="O33" s="12" t="s">
        <v>68</v>
      </c>
      <c r="Q33" s="18" t="s">
        <v>26</v>
      </c>
      <c r="R33" s="14">
        <f>M29*R32</f>
        <v>353.64785714285716</v>
      </c>
    </row>
    <row r="34" spans="2:18" x14ac:dyDescent="0.25">
      <c r="B34" s="34" t="s">
        <v>6</v>
      </c>
      <c r="C34" s="18">
        <v>10</v>
      </c>
      <c r="D34" s="22">
        <v>1000</v>
      </c>
      <c r="E34" s="13">
        <v>5000</v>
      </c>
      <c r="F34" s="18">
        <f t="shared" ref="F34:F53" si="15">E34/D34</f>
        <v>5</v>
      </c>
      <c r="H34" s="81" t="s">
        <v>30</v>
      </c>
      <c r="I34" s="30" t="s">
        <v>36</v>
      </c>
      <c r="J34" s="22">
        <v>1000</v>
      </c>
      <c r="K34" s="18">
        <v>110000</v>
      </c>
      <c r="L34" s="83">
        <f>J34*M12</f>
        <v>35562.666666666672</v>
      </c>
      <c r="M34" s="84">
        <f t="shared" si="14"/>
        <v>74437.333333333328</v>
      </c>
      <c r="N34" s="26">
        <v>44911</v>
      </c>
      <c r="O34" s="14" t="s">
        <v>68</v>
      </c>
      <c r="Q34" s="18" t="s">
        <v>27</v>
      </c>
      <c r="R34" s="14">
        <v>700</v>
      </c>
    </row>
    <row r="35" spans="2:18" x14ac:dyDescent="0.25">
      <c r="B35" s="34" t="s">
        <v>48</v>
      </c>
      <c r="C35" s="18">
        <v>5</v>
      </c>
      <c r="D35" s="22">
        <v>500</v>
      </c>
      <c r="E35" s="13">
        <v>4100</v>
      </c>
      <c r="F35" s="18">
        <f t="shared" si="15"/>
        <v>8.1999999999999993</v>
      </c>
      <c r="H35" s="81" t="s">
        <v>31</v>
      </c>
      <c r="I35" s="30" t="s">
        <v>8</v>
      </c>
      <c r="J35" s="22">
        <v>250</v>
      </c>
      <c r="K35" s="18">
        <v>27000</v>
      </c>
      <c r="L35" s="83">
        <f>J35*G12</f>
        <v>17521.701388888894</v>
      </c>
      <c r="M35" s="84">
        <f t="shared" si="14"/>
        <v>9478.2986111111059</v>
      </c>
      <c r="N35" s="26">
        <v>44912</v>
      </c>
      <c r="O35" s="14" t="s">
        <v>68</v>
      </c>
      <c r="Q35" s="31" t="s">
        <v>37</v>
      </c>
      <c r="R35" s="16">
        <f>R34-R33</f>
        <v>346.35214285714284</v>
      </c>
    </row>
    <row r="36" spans="2:18" x14ac:dyDescent="0.25">
      <c r="B36" s="34" t="s">
        <v>13</v>
      </c>
      <c r="C36" s="18">
        <v>5</v>
      </c>
      <c r="D36" s="22">
        <v>125</v>
      </c>
      <c r="E36" s="13">
        <v>2000</v>
      </c>
      <c r="F36" s="18">
        <f t="shared" si="15"/>
        <v>16</v>
      </c>
      <c r="H36" s="81" t="s">
        <v>32</v>
      </c>
      <c r="I36" s="30" t="s">
        <v>8</v>
      </c>
      <c r="J36" s="22">
        <v>500</v>
      </c>
      <c r="K36" s="18">
        <v>65000</v>
      </c>
      <c r="L36" s="83">
        <f>J36*G12</f>
        <v>35043.402777777788</v>
      </c>
      <c r="M36" s="84">
        <f t="shared" si="14"/>
        <v>29956.597222222212</v>
      </c>
      <c r="N36" s="26">
        <v>44913</v>
      </c>
      <c r="O36" s="14" t="s">
        <v>68</v>
      </c>
    </row>
    <row r="37" spans="2:18" x14ac:dyDescent="0.25">
      <c r="B37" s="34" t="s">
        <v>0</v>
      </c>
      <c r="C37" s="18">
        <v>5</v>
      </c>
      <c r="D37" s="22">
        <v>1000</v>
      </c>
      <c r="E37" s="13">
        <v>16000</v>
      </c>
      <c r="F37" s="18">
        <f t="shared" si="15"/>
        <v>16</v>
      </c>
      <c r="H37" s="81" t="s">
        <v>33</v>
      </c>
      <c r="I37" s="30" t="s">
        <v>36</v>
      </c>
      <c r="J37" s="22">
        <v>125</v>
      </c>
      <c r="K37" s="18">
        <v>7000</v>
      </c>
      <c r="L37" s="83">
        <f>J37*M12</f>
        <v>4445.3333333333339</v>
      </c>
      <c r="M37" s="84">
        <f>K37-L37</f>
        <v>2554.6666666666661</v>
      </c>
      <c r="N37" s="26">
        <v>44914</v>
      </c>
      <c r="O37" s="14" t="s">
        <v>68</v>
      </c>
    </row>
    <row r="38" spans="2:18" x14ac:dyDescent="0.25">
      <c r="B38" s="34" t="s">
        <v>16</v>
      </c>
      <c r="C38" s="18">
        <v>5</v>
      </c>
      <c r="D38" s="22">
        <v>250</v>
      </c>
      <c r="E38" s="13">
        <v>6500</v>
      </c>
      <c r="F38" s="18">
        <f t="shared" si="15"/>
        <v>26</v>
      </c>
      <c r="H38" s="81" t="s">
        <v>34</v>
      </c>
      <c r="I38" s="30" t="s">
        <v>36</v>
      </c>
      <c r="J38" s="22">
        <v>500</v>
      </c>
      <c r="K38" s="18">
        <v>50000</v>
      </c>
      <c r="L38" s="83">
        <f>J38*M12</f>
        <v>17781.333333333336</v>
      </c>
      <c r="M38" s="84">
        <f>K38-L38</f>
        <v>32218.666666666664</v>
      </c>
      <c r="N38" s="26">
        <v>44915</v>
      </c>
      <c r="O38" s="14" t="s">
        <v>68</v>
      </c>
      <c r="Q38" s="105" t="s">
        <v>109</v>
      </c>
      <c r="R38" s="103"/>
    </row>
    <row r="39" spans="2:18" x14ac:dyDescent="0.25">
      <c r="B39" s="66" t="s">
        <v>97</v>
      </c>
      <c r="C39" s="18">
        <v>3</v>
      </c>
      <c r="D39" s="51">
        <v>250</v>
      </c>
      <c r="E39" s="13">
        <v>5500</v>
      </c>
      <c r="F39" s="18">
        <f t="shared" si="15"/>
        <v>22</v>
      </c>
      <c r="H39" s="81" t="s">
        <v>35</v>
      </c>
      <c r="I39" s="30" t="s">
        <v>8</v>
      </c>
      <c r="J39" s="22">
        <v>500</v>
      </c>
      <c r="K39" s="18">
        <v>45000</v>
      </c>
      <c r="L39" s="83">
        <f>J39*G12</f>
        <v>35043.402777777788</v>
      </c>
      <c r="M39" s="84">
        <f t="shared" ref="M39" si="16">K39-L39</f>
        <v>9956.5972222222117</v>
      </c>
      <c r="N39" s="26">
        <v>44916</v>
      </c>
      <c r="O39" s="14" t="s">
        <v>68</v>
      </c>
      <c r="Q39" s="17" t="s">
        <v>49</v>
      </c>
      <c r="R39" s="12">
        <f>G15/40</f>
        <v>44.1</v>
      </c>
    </row>
    <row r="40" spans="2:18" x14ac:dyDescent="0.25">
      <c r="B40" s="34" t="s">
        <v>1</v>
      </c>
      <c r="C40" s="18">
        <v>7</v>
      </c>
      <c r="D40" s="22">
        <v>900</v>
      </c>
      <c r="E40" s="13">
        <v>18400</v>
      </c>
      <c r="F40" s="18">
        <f t="shared" si="15"/>
        <v>20.444444444444443</v>
      </c>
      <c r="H40" s="81" t="s">
        <v>67</v>
      </c>
      <c r="I40" s="30" t="s">
        <v>8</v>
      </c>
      <c r="J40" s="22">
        <v>250</v>
      </c>
      <c r="K40" s="18">
        <v>65000</v>
      </c>
      <c r="L40" s="83">
        <f>J40*G12</f>
        <v>17521.701388888894</v>
      </c>
      <c r="M40" s="84">
        <f t="shared" si="14"/>
        <v>47478.298611111109</v>
      </c>
      <c r="N40" s="26">
        <v>44925</v>
      </c>
      <c r="O40" s="14" t="s">
        <v>68</v>
      </c>
      <c r="Q40" s="18" t="s">
        <v>26</v>
      </c>
      <c r="R40" s="14">
        <f>G29*R39</f>
        <v>325.55634920634924</v>
      </c>
    </row>
    <row r="41" spans="2:18" x14ac:dyDescent="0.25">
      <c r="B41" s="34" t="s">
        <v>5</v>
      </c>
      <c r="C41" s="18">
        <v>9</v>
      </c>
      <c r="D41" s="22">
        <v>90</v>
      </c>
      <c r="E41" s="13">
        <v>1800</v>
      </c>
      <c r="F41" s="18">
        <f t="shared" si="15"/>
        <v>20</v>
      </c>
      <c r="H41" s="81" t="s">
        <v>30</v>
      </c>
      <c r="I41" s="30" t="s">
        <v>78</v>
      </c>
      <c r="J41" s="51">
        <v>250</v>
      </c>
      <c r="K41" s="18">
        <v>50000</v>
      </c>
      <c r="L41" s="83">
        <f>J41*S13</f>
        <v>11319.732638888889</v>
      </c>
      <c r="M41" s="84">
        <f t="shared" si="14"/>
        <v>38680.267361111109</v>
      </c>
      <c r="N41" s="26">
        <v>44926</v>
      </c>
      <c r="O41" s="14" t="s">
        <v>68</v>
      </c>
      <c r="Q41" s="18" t="s">
        <v>27</v>
      </c>
      <c r="R41" s="14">
        <v>700</v>
      </c>
    </row>
    <row r="42" spans="2:18" x14ac:dyDescent="0.25">
      <c r="B42" s="66" t="s">
        <v>86</v>
      </c>
      <c r="C42" s="18">
        <v>20</v>
      </c>
      <c r="D42" s="51">
        <v>90</v>
      </c>
      <c r="E42" s="13">
        <v>2410</v>
      </c>
      <c r="F42" s="18">
        <f t="shared" si="15"/>
        <v>26.777777777777779</v>
      </c>
      <c r="H42" s="81" t="s">
        <v>29</v>
      </c>
      <c r="I42" s="30" t="s">
        <v>103</v>
      </c>
      <c r="J42" s="51">
        <v>500</v>
      </c>
      <c r="K42" s="18">
        <v>40000</v>
      </c>
      <c r="L42" s="83">
        <f>J42*S27</f>
        <v>23655.806349206352</v>
      </c>
      <c r="M42" s="84">
        <f t="shared" si="14"/>
        <v>16344.193650793648</v>
      </c>
      <c r="N42" s="26">
        <v>44927</v>
      </c>
      <c r="O42" s="14" t="s">
        <v>68</v>
      </c>
      <c r="Q42" s="31" t="s">
        <v>37</v>
      </c>
      <c r="R42" s="16">
        <f>R41-R40</f>
        <v>374.44365079365076</v>
      </c>
    </row>
    <row r="43" spans="2:18" x14ac:dyDescent="0.25">
      <c r="B43" s="66" t="s">
        <v>7</v>
      </c>
      <c r="C43" s="18">
        <v>300</v>
      </c>
      <c r="D43" s="22">
        <v>500</v>
      </c>
      <c r="E43" s="13">
        <v>2200</v>
      </c>
      <c r="F43" s="18">
        <f t="shared" si="15"/>
        <v>4.4000000000000004</v>
      </c>
      <c r="H43" s="81" t="s">
        <v>32</v>
      </c>
      <c r="I43" s="30" t="s">
        <v>93</v>
      </c>
      <c r="J43" s="51">
        <f>40*R32</f>
        <v>1799</v>
      </c>
      <c r="K43" s="18">
        <f>40*700</f>
        <v>28000</v>
      </c>
      <c r="L43" s="83">
        <f>J43*M29</f>
        <v>14145.914285714287</v>
      </c>
      <c r="M43" s="84">
        <f t="shared" si="14"/>
        <v>13854.085714285713</v>
      </c>
      <c r="N43" s="26">
        <v>44928</v>
      </c>
      <c r="O43" s="14" t="s">
        <v>68</v>
      </c>
    </row>
    <row r="44" spans="2:18" x14ac:dyDescent="0.25">
      <c r="B44" s="66" t="s">
        <v>4</v>
      </c>
      <c r="C44" s="18">
        <v>10</v>
      </c>
      <c r="D44" s="22">
        <v>30</v>
      </c>
      <c r="E44" s="13">
        <v>16000</v>
      </c>
      <c r="F44" s="18">
        <f t="shared" si="15"/>
        <v>533.33333333333337</v>
      </c>
      <c r="H44" s="81" t="s">
        <v>34</v>
      </c>
      <c r="I44" s="30" t="s">
        <v>8</v>
      </c>
      <c r="J44" s="51">
        <v>250</v>
      </c>
      <c r="K44" s="18">
        <v>50000</v>
      </c>
      <c r="L44" s="83">
        <f>J44*G12</f>
        <v>17521.701388888894</v>
      </c>
      <c r="M44" s="84">
        <f t="shared" si="14"/>
        <v>32478.298611111106</v>
      </c>
      <c r="N44" s="26">
        <v>44929</v>
      </c>
      <c r="O44" s="14" t="s">
        <v>68</v>
      </c>
    </row>
    <row r="45" spans="2:18" x14ac:dyDescent="0.25">
      <c r="B45" s="66" t="s">
        <v>18</v>
      </c>
      <c r="C45" s="18">
        <v>1</v>
      </c>
      <c r="D45" s="22">
        <v>1000</v>
      </c>
      <c r="E45" s="13">
        <v>61700</v>
      </c>
      <c r="F45" s="18">
        <f t="shared" si="15"/>
        <v>61.7</v>
      </c>
      <c r="H45" s="81" t="s">
        <v>67</v>
      </c>
      <c r="I45" s="30" t="s">
        <v>78</v>
      </c>
      <c r="J45" s="51">
        <v>125</v>
      </c>
      <c r="K45" s="18">
        <v>20000</v>
      </c>
      <c r="L45" s="83">
        <f>J45*S13</f>
        <v>5659.8663194444443</v>
      </c>
      <c r="M45" s="84">
        <f t="shared" si="14"/>
        <v>14340.133680555555</v>
      </c>
      <c r="N45" s="26">
        <v>44930</v>
      </c>
      <c r="O45" s="14" t="s">
        <v>68</v>
      </c>
      <c r="Q45">
        <f xml:space="preserve"> 40*45.225</f>
        <v>1809</v>
      </c>
    </row>
    <row r="46" spans="2:18" x14ac:dyDescent="0.25">
      <c r="B46" s="66" t="s">
        <v>79</v>
      </c>
      <c r="C46" s="18">
        <v>5</v>
      </c>
      <c r="D46" s="51">
        <v>500</v>
      </c>
      <c r="E46" s="13">
        <v>6000</v>
      </c>
      <c r="F46" s="18">
        <f t="shared" si="15"/>
        <v>12</v>
      </c>
      <c r="H46" s="81" t="s">
        <v>98</v>
      </c>
      <c r="I46" s="30" t="s">
        <v>104</v>
      </c>
      <c r="J46" s="51">
        <f>275*R39</f>
        <v>12127.5</v>
      </c>
      <c r="K46" s="18">
        <f>275*700</f>
        <v>192500</v>
      </c>
      <c r="L46" s="84">
        <f>J46*G29</f>
        <v>89527.996031746035</v>
      </c>
      <c r="M46" s="88">
        <f t="shared" si="14"/>
        <v>102972.00396825396</v>
      </c>
      <c r="N46" s="26">
        <v>44931</v>
      </c>
      <c r="O46" s="14" t="s">
        <v>68</v>
      </c>
    </row>
    <row r="47" spans="2:18" x14ac:dyDescent="0.25">
      <c r="B47" s="66" t="s">
        <v>3</v>
      </c>
      <c r="C47" s="30">
        <v>5</v>
      </c>
      <c r="D47" s="22">
        <v>900</v>
      </c>
      <c r="E47" s="13">
        <v>3250</v>
      </c>
      <c r="F47" s="18">
        <f t="shared" si="15"/>
        <v>3.6111111111111112</v>
      </c>
      <c r="H47" s="81" t="s">
        <v>99</v>
      </c>
      <c r="I47" s="30" t="s">
        <v>78</v>
      </c>
      <c r="J47" s="51">
        <v>750</v>
      </c>
      <c r="K47" s="18">
        <v>60000</v>
      </c>
      <c r="L47" s="83">
        <f>J47*S13</f>
        <v>33959.197916666664</v>
      </c>
      <c r="M47" s="84">
        <f t="shared" si="14"/>
        <v>26040.802083333336</v>
      </c>
      <c r="N47" s="26">
        <v>44932</v>
      </c>
      <c r="O47" s="14" t="s">
        <v>68</v>
      </c>
      <c r="Q47">
        <f>J43*R32</f>
        <v>80910.025000000009</v>
      </c>
    </row>
    <row r="48" spans="2:18" x14ac:dyDescent="0.25">
      <c r="B48" s="66" t="s">
        <v>2</v>
      </c>
      <c r="C48" s="30">
        <v>14</v>
      </c>
      <c r="D48" s="22">
        <v>320</v>
      </c>
      <c r="E48" s="13">
        <v>8550</v>
      </c>
      <c r="F48" s="18">
        <f>E48/D48</f>
        <v>26.71875</v>
      </c>
      <c r="H48" s="81" t="s">
        <v>100</v>
      </c>
      <c r="I48" s="70" t="s">
        <v>104</v>
      </c>
      <c r="J48" s="68">
        <f>300*R39</f>
        <v>13230</v>
      </c>
      <c r="K48" s="18">
        <f>300*700</f>
        <v>210000</v>
      </c>
      <c r="L48" s="83">
        <f>J48*G29</f>
        <v>97666.904761904763</v>
      </c>
      <c r="M48" s="84">
        <f t="shared" si="14"/>
        <v>112333.09523809524</v>
      </c>
      <c r="N48" s="26">
        <v>44933</v>
      </c>
      <c r="O48" s="14" t="s">
        <v>68</v>
      </c>
      <c r="Q48">
        <f>Q47*M29</f>
        <v>636212.49500000011</v>
      </c>
    </row>
    <row r="49" spans="2:20" x14ac:dyDescent="0.25">
      <c r="B49" s="66" t="s">
        <v>88</v>
      </c>
      <c r="C49" s="18">
        <v>128</v>
      </c>
      <c r="D49" s="51">
        <v>7</v>
      </c>
      <c r="E49" s="13">
        <v>900</v>
      </c>
      <c r="F49" s="18">
        <f t="shared" si="15"/>
        <v>128.57142857142858</v>
      </c>
      <c r="H49" s="81" t="s">
        <v>33</v>
      </c>
      <c r="I49" s="30" t="s">
        <v>78</v>
      </c>
      <c r="J49" s="68">
        <v>1000</v>
      </c>
      <c r="K49" s="18">
        <v>80000</v>
      </c>
      <c r="L49" s="83">
        <f>J49*S13</f>
        <v>45278.930555555555</v>
      </c>
      <c r="M49" s="84">
        <f t="shared" si="14"/>
        <v>34721.069444444445</v>
      </c>
      <c r="N49" s="26">
        <v>44934</v>
      </c>
      <c r="O49" s="14" t="s">
        <v>68</v>
      </c>
    </row>
    <row r="50" spans="2:20" x14ac:dyDescent="0.25">
      <c r="B50" s="66" t="s">
        <v>89</v>
      </c>
      <c r="C50" s="18">
        <v>38</v>
      </c>
      <c r="D50" s="51">
        <v>250</v>
      </c>
      <c r="E50" s="13">
        <v>2500</v>
      </c>
      <c r="F50" s="18">
        <f t="shared" si="15"/>
        <v>10</v>
      </c>
      <c r="H50" s="81" t="s">
        <v>34</v>
      </c>
      <c r="I50" s="30" t="s">
        <v>93</v>
      </c>
      <c r="J50" s="68">
        <f>120*R32</f>
        <v>5397</v>
      </c>
      <c r="K50" s="18">
        <f>120*700</f>
        <v>84000</v>
      </c>
      <c r="L50" s="83">
        <f>J50*M29</f>
        <v>42437.742857142861</v>
      </c>
      <c r="M50" s="84">
        <f t="shared" si="14"/>
        <v>41562.257142857139</v>
      </c>
      <c r="N50" s="26">
        <v>44935</v>
      </c>
      <c r="O50" s="14" t="s">
        <v>68</v>
      </c>
    </row>
    <row r="51" spans="2:20" x14ac:dyDescent="0.25">
      <c r="B51" s="66" t="s">
        <v>12</v>
      </c>
      <c r="C51" s="30">
        <v>26</v>
      </c>
      <c r="D51" s="22">
        <v>500</v>
      </c>
      <c r="E51" s="13">
        <v>5200</v>
      </c>
      <c r="F51" s="18">
        <f t="shared" si="15"/>
        <v>10.4</v>
      </c>
      <c r="H51" s="66" t="s">
        <v>35</v>
      </c>
      <c r="I51" s="30" t="s">
        <v>103</v>
      </c>
      <c r="J51" s="51">
        <v>750</v>
      </c>
      <c r="K51" s="18">
        <v>60000</v>
      </c>
      <c r="L51" s="83">
        <f>J51*S27</f>
        <v>35483.709523809528</v>
      </c>
      <c r="M51" s="84">
        <f t="shared" si="14"/>
        <v>24516.290476190472</v>
      </c>
      <c r="N51" s="26">
        <v>44936</v>
      </c>
      <c r="O51" s="14" t="s">
        <v>68</v>
      </c>
    </row>
    <row r="52" spans="2:20" x14ac:dyDescent="0.25">
      <c r="B52" s="66" t="s">
        <v>91</v>
      </c>
      <c r="C52" s="18">
        <v>9</v>
      </c>
      <c r="D52" s="51">
        <v>0</v>
      </c>
      <c r="E52" s="13">
        <v>0</v>
      </c>
      <c r="F52" s="18">
        <v>0</v>
      </c>
      <c r="H52" s="66" t="s">
        <v>116</v>
      </c>
      <c r="I52" s="30" t="s">
        <v>103</v>
      </c>
      <c r="J52" s="51">
        <v>500</v>
      </c>
      <c r="K52" s="18">
        <v>40000</v>
      </c>
      <c r="L52" s="83">
        <f>J52*S27</f>
        <v>23655.806349206352</v>
      </c>
      <c r="M52" s="84">
        <f t="shared" si="14"/>
        <v>16344.193650793648</v>
      </c>
      <c r="N52" s="26">
        <v>44937</v>
      </c>
      <c r="O52" s="14" t="s">
        <v>68</v>
      </c>
      <c r="Q52">
        <f>9260-1385</f>
        <v>7875</v>
      </c>
    </row>
    <row r="53" spans="2:20" x14ac:dyDescent="0.25">
      <c r="B53" s="66" t="s">
        <v>92</v>
      </c>
      <c r="C53" s="18">
        <v>10</v>
      </c>
      <c r="D53" s="51">
        <v>500</v>
      </c>
      <c r="E53" s="13">
        <v>500</v>
      </c>
      <c r="F53" s="18">
        <f t="shared" si="15"/>
        <v>1</v>
      </c>
      <c r="H53" s="66" t="s">
        <v>101</v>
      </c>
      <c r="I53" s="30" t="s">
        <v>8</v>
      </c>
      <c r="J53" s="22">
        <v>125</v>
      </c>
      <c r="K53" s="18">
        <v>25000</v>
      </c>
      <c r="L53" s="83">
        <f>J53*G12</f>
        <v>8760.8506944444471</v>
      </c>
      <c r="M53" s="84">
        <f t="shared" si="14"/>
        <v>16239.149305555553</v>
      </c>
      <c r="N53" s="26">
        <v>44938</v>
      </c>
      <c r="O53" s="14" t="s">
        <v>68</v>
      </c>
    </row>
    <row r="54" spans="2:20" x14ac:dyDescent="0.25">
      <c r="B54" s="69" t="s">
        <v>14</v>
      </c>
      <c r="C54" s="31">
        <v>8</v>
      </c>
      <c r="D54" s="23">
        <v>150</v>
      </c>
      <c r="E54" s="15">
        <v>2300</v>
      </c>
      <c r="F54" s="19">
        <f>E54/D54</f>
        <v>15.333333333333334</v>
      </c>
      <c r="H54" s="69" t="s">
        <v>102</v>
      </c>
      <c r="I54" s="31" t="s">
        <v>93</v>
      </c>
      <c r="J54" s="23">
        <f>650*R32</f>
        <v>29233.75</v>
      </c>
      <c r="K54" s="19">
        <f>650*700</f>
        <v>455000</v>
      </c>
      <c r="L54" s="85">
        <f>J54*M29</f>
        <v>229871.10714285716</v>
      </c>
      <c r="M54" s="87">
        <f t="shared" si="14"/>
        <v>225128.89285714284</v>
      </c>
      <c r="N54" s="27">
        <v>44939</v>
      </c>
      <c r="O54" s="16" t="s">
        <v>68</v>
      </c>
    </row>
    <row r="55" spans="2:20" x14ac:dyDescent="0.25">
      <c r="K55" s="78">
        <f>SUM(K33:K54)</f>
        <v>1813500</v>
      </c>
      <c r="L55" s="78">
        <f>SUM(L33:L54)</f>
        <v>876908.21125992062</v>
      </c>
      <c r="M55" s="78">
        <f t="shared" ref="M55" si="17">SUM(M33:M54)</f>
        <v>936591.78874007938</v>
      </c>
    </row>
    <row r="56" spans="2:20" x14ac:dyDescent="0.25">
      <c r="C56" t="s">
        <v>118</v>
      </c>
      <c r="G56" s="28"/>
    </row>
    <row r="57" spans="2:20" x14ac:dyDescent="0.25">
      <c r="H57" s="97" t="s">
        <v>42</v>
      </c>
      <c r="I57" s="98"/>
      <c r="J57" s="98"/>
      <c r="K57" s="98"/>
      <c r="L57" s="98"/>
      <c r="M57" s="98"/>
      <c r="N57" s="98"/>
      <c r="O57" s="99"/>
      <c r="S57" s="97" t="s">
        <v>41</v>
      </c>
      <c r="T57" s="99"/>
    </row>
    <row r="58" spans="2:20" x14ac:dyDescent="0.25">
      <c r="B58" s="93" t="s">
        <v>44</v>
      </c>
      <c r="C58" s="93"/>
      <c r="D58" s="93"/>
      <c r="E58" s="93"/>
      <c r="F58" s="93"/>
      <c r="H58" s="20"/>
      <c r="I58" s="10" t="s">
        <v>8</v>
      </c>
      <c r="J58" s="10" t="s">
        <v>36</v>
      </c>
      <c r="K58" s="10" t="s">
        <v>110</v>
      </c>
      <c r="L58" s="10" t="s">
        <v>111</v>
      </c>
      <c r="M58" s="10" t="s">
        <v>112</v>
      </c>
      <c r="N58" s="10" t="s">
        <v>113</v>
      </c>
      <c r="O58" s="47" t="s">
        <v>64</v>
      </c>
      <c r="S58" s="17" t="s">
        <v>39</v>
      </c>
      <c r="T58" s="17" t="s">
        <v>28</v>
      </c>
    </row>
    <row r="59" spans="2:20" x14ac:dyDescent="0.25">
      <c r="B59" s="17" t="s">
        <v>39</v>
      </c>
      <c r="C59" s="17" t="s">
        <v>40</v>
      </c>
      <c r="D59" s="17" t="s">
        <v>42</v>
      </c>
      <c r="E59" s="17" t="s">
        <v>41</v>
      </c>
      <c r="F59" s="17" t="s">
        <v>43</v>
      </c>
      <c r="H59" s="20" t="s">
        <v>114</v>
      </c>
      <c r="I59" s="49">
        <f>(J33+J35+J36+J39+J40+J44+J53)</f>
        <v>2375</v>
      </c>
      <c r="J59" s="20">
        <f>J34+J37+J38</f>
        <v>1625</v>
      </c>
      <c r="K59" s="49">
        <f>J41+J45+J47+J49</f>
        <v>2125</v>
      </c>
      <c r="L59" s="20">
        <f>J42+J51+J52</f>
        <v>1750</v>
      </c>
      <c r="M59" s="20">
        <f>(J43+J50+J54)</f>
        <v>36429.75</v>
      </c>
      <c r="N59" s="50">
        <f>(J46+J48)</f>
        <v>25357.5</v>
      </c>
      <c r="O59" s="20"/>
      <c r="S59" s="1" t="s">
        <v>20</v>
      </c>
      <c r="T59" s="17">
        <v>0</v>
      </c>
    </row>
    <row r="60" spans="2:20" x14ac:dyDescent="0.25">
      <c r="B60" s="1" t="s">
        <v>20</v>
      </c>
      <c r="C60" s="11">
        <f>C33*D33</f>
        <v>30000</v>
      </c>
      <c r="D60" s="11">
        <f>O60</f>
        <v>6925</v>
      </c>
      <c r="E60" s="17">
        <f t="shared" ref="E60:E69" si="18">T59</f>
        <v>0</v>
      </c>
      <c r="F60" s="12">
        <f>C60-D60-E60</f>
        <v>23075</v>
      </c>
      <c r="H60" s="7" t="s">
        <v>20</v>
      </c>
      <c r="I60" s="11">
        <v>0</v>
      </c>
      <c r="J60" s="17">
        <v>0</v>
      </c>
      <c r="K60" s="21">
        <v>0</v>
      </c>
      <c r="L60" s="17">
        <v>0</v>
      </c>
      <c r="M60" s="12">
        <f>L17*M59</f>
        <v>4049.9999999999995</v>
      </c>
      <c r="N60" s="11">
        <f>F17*N59</f>
        <v>2875</v>
      </c>
      <c r="O60" s="18">
        <f>SUM(I60:N60)</f>
        <v>6925</v>
      </c>
      <c r="S60" s="3" t="s">
        <v>6</v>
      </c>
      <c r="T60" s="18">
        <v>205.5</v>
      </c>
    </row>
    <row r="61" spans="2:20" x14ac:dyDescent="0.25">
      <c r="B61" s="3" t="s">
        <v>6</v>
      </c>
      <c r="C61" s="13">
        <f t="shared" ref="C61:C81" si="19">C34*D34</f>
        <v>10000</v>
      </c>
      <c r="D61" s="13">
        <f>O61</f>
        <v>9590.25</v>
      </c>
      <c r="E61" s="18">
        <f t="shared" si="18"/>
        <v>205.5</v>
      </c>
      <c r="F61" s="14">
        <f t="shared" ref="F61:F80" si="20">C61-D61-E61</f>
        <v>204.25</v>
      </c>
      <c r="H61" s="8" t="s">
        <v>6</v>
      </c>
      <c r="I61" s="13">
        <f>F5*I59</f>
        <v>1187.5</v>
      </c>
      <c r="J61" s="13">
        <f>L5*J59</f>
        <v>1625</v>
      </c>
      <c r="K61" s="13">
        <f>R5*K59</f>
        <v>1062.5</v>
      </c>
      <c r="L61" s="13">
        <f>R17*L59</f>
        <v>1050</v>
      </c>
      <c r="M61" s="13">
        <f>L18*M59</f>
        <v>2652.75</v>
      </c>
      <c r="N61" s="13">
        <f>F18*N59</f>
        <v>2012.5</v>
      </c>
      <c r="O61" s="18">
        <f>SUM(I61:N61)</f>
        <v>9590.25</v>
      </c>
      <c r="S61" s="3" t="s">
        <v>48</v>
      </c>
      <c r="T61" s="18">
        <v>0</v>
      </c>
    </row>
    <row r="62" spans="2:20" x14ac:dyDescent="0.25">
      <c r="B62" s="3" t="s">
        <v>48</v>
      </c>
      <c r="C62" s="13">
        <f t="shared" si="19"/>
        <v>2500</v>
      </c>
      <c r="D62" s="13">
        <f t="shared" ref="D62:D81" si="21">O62</f>
        <v>0</v>
      </c>
      <c r="E62" s="18">
        <f t="shared" si="18"/>
        <v>0</v>
      </c>
      <c r="F62" s="14">
        <f t="shared" si="20"/>
        <v>2500</v>
      </c>
      <c r="H62" s="8" t="s">
        <v>48</v>
      </c>
      <c r="I62" s="13">
        <v>0</v>
      </c>
      <c r="J62" s="18">
        <v>0</v>
      </c>
      <c r="K62" s="22">
        <v>0</v>
      </c>
      <c r="L62" s="18">
        <v>0</v>
      </c>
      <c r="M62" s="14">
        <v>0</v>
      </c>
      <c r="N62" s="13">
        <v>0</v>
      </c>
      <c r="O62" s="18">
        <f t="shared" ref="O62:O81" si="22">SUM(I62:N62)</f>
        <v>0</v>
      </c>
      <c r="S62" s="3" t="s">
        <v>13</v>
      </c>
      <c r="T62" s="18">
        <v>300.25</v>
      </c>
    </row>
    <row r="63" spans="2:20" x14ac:dyDescent="0.25">
      <c r="B63" s="3" t="s">
        <v>13</v>
      </c>
      <c r="C63" s="13">
        <f t="shared" si="19"/>
        <v>625</v>
      </c>
      <c r="D63" s="13">
        <f t="shared" si="21"/>
        <v>39.25</v>
      </c>
      <c r="E63" s="18">
        <f t="shared" si="18"/>
        <v>300.25</v>
      </c>
      <c r="F63" s="14">
        <f t="shared" si="20"/>
        <v>285.5</v>
      </c>
      <c r="H63" s="8" t="s">
        <v>13</v>
      </c>
      <c r="I63" s="13">
        <v>0</v>
      </c>
      <c r="J63" s="18">
        <f>L6*J59</f>
        <v>9.75</v>
      </c>
      <c r="K63" s="22">
        <f>R6*K59</f>
        <v>8.5</v>
      </c>
      <c r="L63" s="18">
        <f>R18*L59</f>
        <v>21</v>
      </c>
      <c r="M63" s="14">
        <v>0</v>
      </c>
      <c r="N63" s="13">
        <v>0</v>
      </c>
      <c r="O63" s="18">
        <f t="shared" si="22"/>
        <v>39.25</v>
      </c>
      <c r="S63" s="3" t="s">
        <v>0</v>
      </c>
      <c r="T63" s="18">
        <v>300</v>
      </c>
    </row>
    <row r="64" spans="2:20" x14ac:dyDescent="0.25">
      <c r="B64" s="3" t="s">
        <v>0</v>
      </c>
      <c r="C64" s="13">
        <f t="shared" si="19"/>
        <v>5000</v>
      </c>
      <c r="D64" s="13">
        <f t="shared" si="21"/>
        <v>0</v>
      </c>
      <c r="E64" s="18">
        <f t="shared" si="18"/>
        <v>300</v>
      </c>
      <c r="F64" s="14">
        <f t="shared" si="20"/>
        <v>4700</v>
      </c>
      <c r="H64" s="8" t="s">
        <v>0</v>
      </c>
      <c r="I64" s="13">
        <v>0</v>
      </c>
      <c r="J64" s="18">
        <v>0</v>
      </c>
      <c r="K64" s="22">
        <v>0</v>
      </c>
      <c r="L64" s="18">
        <v>0</v>
      </c>
      <c r="M64" s="14">
        <v>0</v>
      </c>
      <c r="N64" s="13">
        <v>0</v>
      </c>
      <c r="O64" s="18">
        <f t="shared" si="22"/>
        <v>0</v>
      </c>
      <c r="S64" s="3" t="s">
        <v>16</v>
      </c>
      <c r="T64" s="18">
        <v>0</v>
      </c>
    </row>
    <row r="65" spans="2:20" x14ac:dyDescent="0.25">
      <c r="B65" s="3" t="s">
        <v>16</v>
      </c>
      <c r="C65" s="13">
        <f t="shared" si="19"/>
        <v>1250</v>
      </c>
      <c r="D65" s="13">
        <f t="shared" si="21"/>
        <v>0</v>
      </c>
      <c r="E65" s="18">
        <f t="shared" si="18"/>
        <v>0</v>
      </c>
      <c r="F65" s="14">
        <f t="shared" si="20"/>
        <v>1250</v>
      </c>
      <c r="H65" s="8" t="s">
        <v>16</v>
      </c>
      <c r="I65" s="13">
        <v>0</v>
      </c>
      <c r="J65" s="18">
        <v>0</v>
      </c>
      <c r="K65" s="51">
        <v>0</v>
      </c>
      <c r="L65" s="18">
        <v>0</v>
      </c>
      <c r="M65" s="14">
        <v>0</v>
      </c>
      <c r="N65" s="13">
        <v>0</v>
      </c>
      <c r="O65" s="18">
        <f t="shared" si="22"/>
        <v>0</v>
      </c>
      <c r="S65" s="66" t="s">
        <v>97</v>
      </c>
      <c r="T65" s="18">
        <v>0</v>
      </c>
    </row>
    <row r="66" spans="2:20" x14ac:dyDescent="0.25">
      <c r="B66" s="66" t="s">
        <v>97</v>
      </c>
      <c r="C66" s="13">
        <f t="shared" si="19"/>
        <v>750</v>
      </c>
      <c r="D66" s="13">
        <f t="shared" si="21"/>
        <v>105</v>
      </c>
      <c r="E66" s="18">
        <f t="shared" si="18"/>
        <v>0</v>
      </c>
      <c r="F66" s="14">
        <f t="shared" si="20"/>
        <v>645</v>
      </c>
      <c r="H66" s="30" t="s">
        <v>97</v>
      </c>
      <c r="I66" s="13">
        <v>0</v>
      </c>
      <c r="J66" s="18">
        <v>0</v>
      </c>
      <c r="K66" s="51">
        <v>0</v>
      </c>
      <c r="L66" s="18">
        <f>R19*L59</f>
        <v>105</v>
      </c>
      <c r="M66" s="14">
        <v>0</v>
      </c>
      <c r="N66" s="13">
        <v>0</v>
      </c>
      <c r="O66" s="18">
        <f t="shared" si="22"/>
        <v>105</v>
      </c>
      <c r="S66" s="3" t="s">
        <v>1</v>
      </c>
      <c r="T66" s="18">
        <v>0</v>
      </c>
    </row>
    <row r="67" spans="2:20" x14ac:dyDescent="0.25">
      <c r="B67" s="3" t="s">
        <v>1</v>
      </c>
      <c r="C67" s="13">
        <f t="shared" si="19"/>
        <v>6300</v>
      </c>
      <c r="D67" s="13">
        <f t="shared" si="21"/>
        <v>4862.5</v>
      </c>
      <c r="E67" s="18">
        <f t="shared" si="18"/>
        <v>0</v>
      </c>
      <c r="F67" s="14">
        <f t="shared" si="20"/>
        <v>1437.5</v>
      </c>
      <c r="H67" s="8" t="s">
        <v>1</v>
      </c>
      <c r="I67" s="13">
        <f>F6*I59</f>
        <v>3800</v>
      </c>
      <c r="J67" s="18">
        <v>0</v>
      </c>
      <c r="K67" s="22">
        <f>R7*K59</f>
        <v>1062.5</v>
      </c>
      <c r="L67" s="18">
        <v>0</v>
      </c>
      <c r="M67" s="14">
        <v>0</v>
      </c>
      <c r="N67" s="13">
        <v>0</v>
      </c>
      <c r="O67" s="18">
        <f t="shared" si="22"/>
        <v>4862.5</v>
      </c>
      <c r="S67" s="3" t="s">
        <v>5</v>
      </c>
      <c r="T67" s="18">
        <v>150</v>
      </c>
    </row>
    <row r="68" spans="2:20" x14ac:dyDescent="0.25">
      <c r="B68" s="3" t="s">
        <v>5</v>
      </c>
      <c r="C68" s="13">
        <f t="shared" si="19"/>
        <v>810</v>
      </c>
      <c r="D68" s="13">
        <f t="shared" si="21"/>
        <v>574.75</v>
      </c>
      <c r="E68" s="18">
        <f t="shared" si="18"/>
        <v>150</v>
      </c>
      <c r="F68" s="14">
        <f t="shared" si="20"/>
        <v>85.25</v>
      </c>
      <c r="H68" s="8" t="s">
        <v>5</v>
      </c>
      <c r="I68" s="13">
        <f>F7*I59</f>
        <v>23.75</v>
      </c>
      <c r="J68" s="18">
        <f>L7*J59</f>
        <v>32.5</v>
      </c>
      <c r="K68" s="22">
        <f>K59*R8</f>
        <v>21.25</v>
      </c>
      <c r="L68" s="18">
        <f>R20*L59</f>
        <v>70</v>
      </c>
      <c r="M68" s="14">
        <f>$M$59*L19</f>
        <v>283.5</v>
      </c>
      <c r="N68" s="14">
        <f>$N$59*F19</f>
        <v>143.75</v>
      </c>
      <c r="O68" s="18">
        <f t="shared" si="22"/>
        <v>574.75</v>
      </c>
      <c r="S68" s="66" t="s">
        <v>86</v>
      </c>
      <c r="T68" s="18">
        <v>8</v>
      </c>
    </row>
    <row r="69" spans="2:20" x14ac:dyDescent="0.25">
      <c r="B69" s="66" t="s">
        <v>86</v>
      </c>
      <c r="C69" s="13">
        <f t="shared" si="19"/>
        <v>1800</v>
      </c>
      <c r="D69" s="13">
        <f t="shared" si="21"/>
        <v>1425.5</v>
      </c>
      <c r="E69" s="18">
        <f t="shared" si="18"/>
        <v>8</v>
      </c>
      <c r="F69" s="14">
        <f>C69-D69-E69</f>
        <v>366.5</v>
      </c>
      <c r="H69" s="30" t="s">
        <v>86</v>
      </c>
      <c r="I69" s="13">
        <v>0</v>
      </c>
      <c r="J69" s="18">
        <v>0</v>
      </c>
      <c r="K69" s="51">
        <v>0</v>
      </c>
      <c r="L69" s="18">
        <v>0</v>
      </c>
      <c r="M69" s="14">
        <f>$M$59*L20</f>
        <v>850.5</v>
      </c>
      <c r="N69" s="14">
        <f>$N$59*F20</f>
        <v>575</v>
      </c>
      <c r="O69" s="18">
        <f t="shared" si="22"/>
        <v>1425.5</v>
      </c>
      <c r="S69" s="13" t="s">
        <v>7</v>
      </c>
      <c r="T69" s="18">
        <v>0</v>
      </c>
    </row>
    <row r="70" spans="2:20" x14ac:dyDescent="0.25">
      <c r="B70" s="13" t="s">
        <v>7</v>
      </c>
      <c r="C70" s="13">
        <f t="shared" si="19"/>
        <v>150000</v>
      </c>
      <c r="D70" s="13">
        <f>O70</f>
        <v>41312.5</v>
      </c>
      <c r="E70" s="18">
        <f t="shared" ref="E70:E81" si="23">T69</f>
        <v>0</v>
      </c>
      <c r="F70" s="14">
        <f t="shared" si="20"/>
        <v>108687.5</v>
      </c>
      <c r="H70" s="18" t="s">
        <v>7</v>
      </c>
      <c r="I70" s="13">
        <f>F8*I59</f>
        <v>1187.5</v>
      </c>
      <c r="J70" s="18">
        <f>L8*J59</f>
        <v>1625</v>
      </c>
      <c r="K70" s="22">
        <f>K59*R9</f>
        <v>2125</v>
      </c>
      <c r="L70" s="18">
        <f>L59*R21</f>
        <v>1750</v>
      </c>
      <c r="M70" s="14">
        <f>$M$59*L21</f>
        <v>20250</v>
      </c>
      <c r="N70" s="14">
        <f t="shared" ref="N70" si="24">$N$59*F21</f>
        <v>14375</v>
      </c>
      <c r="O70" s="18">
        <f t="shared" si="22"/>
        <v>41312.5</v>
      </c>
      <c r="S70" s="13" t="s">
        <v>4</v>
      </c>
      <c r="T70" s="30">
        <v>9</v>
      </c>
    </row>
    <row r="71" spans="2:20" x14ac:dyDescent="0.25">
      <c r="B71" s="13" t="s">
        <v>4</v>
      </c>
      <c r="C71" s="13">
        <f t="shared" si="19"/>
        <v>300</v>
      </c>
      <c r="D71" s="13">
        <f t="shared" si="21"/>
        <v>231.5</v>
      </c>
      <c r="E71" s="18">
        <f t="shared" si="23"/>
        <v>9</v>
      </c>
      <c r="F71" s="14">
        <f>C71-D71-E71</f>
        <v>59.5</v>
      </c>
      <c r="H71" s="18" t="s">
        <v>4</v>
      </c>
      <c r="I71" s="13">
        <f>F9*I59</f>
        <v>47.5</v>
      </c>
      <c r="J71" s="18">
        <f>L9*J59</f>
        <v>32.5</v>
      </c>
      <c r="K71" s="22">
        <f>K59*R10</f>
        <v>34</v>
      </c>
      <c r="L71" s="18">
        <f>L59*R22</f>
        <v>28</v>
      </c>
      <c r="M71" s="14">
        <f>$M$59*L22</f>
        <v>60.75</v>
      </c>
      <c r="N71" s="14">
        <f>$N$59*F22</f>
        <v>28.75</v>
      </c>
      <c r="O71" s="18">
        <f t="shared" si="22"/>
        <v>231.5</v>
      </c>
      <c r="S71" s="13" t="s">
        <v>18</v>
      </c>
      <c r="T71" s="18">
        <v>0</v>
      </c>
    </row>
    <row r="72" spans="2:20" x14ac:dyDescent="0.25">
      <c r="B72" s="13" t="s">
        <v>18</v>
      </c>
      <c r="C72" s="13">
        <f t="shared" si="19"/>
        <v>1000</v>
      </c>
      <c r="D72" s="13">
        <f t="shared" si="21"/>
        <v>0</v>
      </c>
      <c r="E72" s="18">
        <f t="shared" si="23"/>
        <v>0</v>
      </c>
      <c r="F72" s="14">
        <f t="shared" si="20"/>
        <v>1000</v>
      </c>
      <c r="H72" s="18" t="s">
        <v>18</v>
      </c>
      <c r="I72" s="13">
        <v>0</v>
      </c>
      <c r="J72" s="18">
        <v>0</v>
      </c>
      <c r="K72" s="22">
        <v>0</v>
      </c>
      <c r="L72" s="18">
        <v>0</v>
      </c>
      <c r="M72" s="14">
        <v>0</v>
      </c>
      <c r="N72" s="13">
        <v>0</v>
      </c>
      <c r="O72" s="18">
        <f t="shared" si="22"/>
        <v>0</v>
      </c>
      <c r="S72" s="66" t="s">
        <v>79</v>
      </c>
      <c r="T72" s="18">
        <v>180</v>
      </c>
    </row>
    <row r="73" spans="2:20" x14ac:dyDescent="0.25">
      <c r="B73" s="66" t="s">
        <v>79</v>
      </c>
      <c r="C73" s="13">
        <f t="shared" si="19"/>
        <v>2500</v>
      </c>
      <c r="D73" s="13">
        <f t="shared" si="21"/>
        <v>1738</v>
      </c>
      <c r="E73" s="18">
        <f t="shared" si="23"/>
        <v>180</v>
      </c>
      <c r="F73" s="14">
        <f t="shared" si="20"/>
        <v>582</v>
      </c>
      <c r="H73" s="30" t="s">
        <v>79</v>
      </c>
      <c r="I73" s="13">
        <v>0</v>
      </c>
      <c r="J73" s="18">
        <v>0</v>
      </c>
      <c r="K73" s="22">
        <f>K59*R11</f>
        <v>1062.5</v>
      </c>
      <c r="L73" s="18">
        <v>0</v>
      </c>
      <c r="M73" s="14">
        <f>M59*L23</f>
        <v>445.5</v>
      </c>
      <c r="N73" s="14">
        <f>N59*F23</f>
        <v>230</v>
      </c>
      <c r="O73" s="18">
        <f t="shared" si="22"/>
        <v>1738</v>
      </c>
      <c r="S73" s="13" t="s">
        <v>3</v>
      </c>
      <c r="T73" s="18">
        <v>0</v>
      </c>
    </row>
    <row r="74" spans="2:20" x14ac:dyDescent="0.25">
      <c r="B74" s="13" t="s">
        <v>3</v>
      </c>
      <c r="C74" s="13">
        <f t="shared" si="19"/>
        <v>4500</v>
      </c>
      <c r="D74" s="13">
        <f t="shared" si="21"/>
        <v>4150</v>
      </c>
      <c r="E74" s="18">
        <f t="shared" si="23"/>
        <v>0</v>
      </c>
      <c r="F74" s="14">
        <f t="shared" si="20"/>
        <v>350</v>
      </c>
      <c r="H74" s="18" t="s">
        <v>3</v>
      </c>
      <c r="I74" s="13">
        <f>F10*I59</f>
        <v>3800</v>
      </c>
      <c r="J74" s="18">
        <v>0</v>
      </c>
      <c r="K74" s="22">
        <v>0</v>
      </c>
      <c r="L74" s="18">
        <f>L59*R23</f>
        <v>350</v>
      </c>
      <c r="M74" s="14">
        <v>0</v>
      </c>
      <c r="N74" s="13">
        <v>0</v>
      </c>
      <c r="O74" s="18">
        <f t="shared" si="22"/>
        <v>4150</v>
      </c>
      <c r="S74" s="13" t="s">
        <v>2</v>
      </c>
      <c r="T74" s="30">
        <v>0</v>
      </c>
    </row>
    <row r="75" spans="2:20" x14ac:dyDescent="0.25">
      <c r="B75" s="13" t="s">
        <v>2</v>
      </c>
      <c r="C75" s="13">
        <f t="shared" si="19"/>
        <v>4480</v>
      </c>
      <c r="D75" s="13">
        <f t="shared" si="21"/>
        <v>2487.5</v>
      </c>
      <c r="E75" s="18">
        <f t="shared" si="23"/>
        <v>0</v>
      </c>
      <c r="F75" s="14">
        <f t="shared" si="20"/>
        <v>1992.5</v>
      </c>
      <c r="H75" s="18" t="s">
        <v>2</v>
      </c>
      <c r="I75" s="13">
        <f>F11*I59</f>
        <v>1425</v>
      </c>
      <c r="J75" s="18">
        <v>0</v>
      </c>
      <c r="K75" s="22">
        <f>K59*R12</f>
        <v>1062.5</v>
      </c>
      <c r="L75" s="18">
        <v>0</v>
      </c>
      <c r="M75" s="14">
        <v>0</v>
      </c>
      <c r="N75" s="13">
        <v>0</v>
      </c>
      <c r="O75" s="18">
        <f t="shared" si="22"/>
        <v>2487.5</v>
      </c>
      <c r="S75" s="66" t="s">
        <v>88</v>
      </c>
      <c r="T75" s="30">
        <v>0</v>
      </c>
    </row>
    <row r="76" spans="2:20" x14ac:dyDescent="0.25">
      <c r="B76" s="66" t="s">
        <v>88</v>
      </c>
      <c r="C76" s="13">
        <f t="shared" si="19"/>
        <v>896</v>
      </c>
      <c r="D76" s="13">
        <f t="shared" si="21"/>
        <v>889.25</v>
      </c>
      <c r="E76" s="18">
        <f t="shared" si="23"/>
        <v>0</v>
      </c>
      <c r="F76" s="14">
        <f t="shared" si="20"/>
        <v>6.75</v>
      </c>
      <c r="H76" s="30" t="s">
        <v>88</v>
      </c>
      <c r="I76" s="13">
        <v>0</v>
      </c>
      <c r="J76" s="18">
        <v>0</v>
      </c>
      <c r="K76" s="22">
        <v>0</v>
      </c>
      <c r="L76" s="18">
        <f>L59*R24</f>
        <v>315</v>
      </c>
      <c r="M76" s="14">
        <f>$M$59*L24</f>
        <v>344.25</v>
      </c>
      <c r="N76" s="14">
        <f>$N$59*F24</f>
        <v>230</v>
      </c>
      <c r="O76" s="18">
        <f t="shared" si="22"/>
        <v>889.25</v>
      </c>
      <c r="S76" s="66" t="s">
        <v>89</v>
      </c>
      <c r="T76" s="30">
        <v>0</v>
      </c>
    </row>
    <row r="77" spans="2:20" x14ac:dyDescent="0.25">
      <c r="B77" s="66" t="s">
        <v>89</v>
      </c>
      <c r="C77" s="13">
        <f t="shared" si="19"/>
        <v>9500</v>
      </c>
      <c r="D77" s="13">
        <f t="shared" si="21"/>
        <v>8856.75</v>
      </c>
      <c r="E77" s="18">
        <f t="shared" si="23"/>
        <v>0</v>
      </c>
      <c r="F77" s="14">
        <f t="shared" si="20"/>
        <v>643.25</v>
      </c>
      <c r="H77" s="30" t="s">
        <v>89</v>
      </c>
      <c r="I77" s="13">
        <v>0</v>
      </c>
      <c r="J77" s="18">
        <v>0</v>
      </c>
      <c r="K77" s="51">
        <v>0</v>
      </c>
      <c r="L77" s="18">
        <v>0</v>
      </c>
      <c r="M77" s="14">
        <f>$M$59*L25</f>
        <v>5406.75</v>
      </c>
      <c r="N77" s="14">
        <f t="shared" ref="N77:N78" si="25">$N$59*F25</f>
        <v>3450.0000000000005</v>
      </c>
      <c r="O77" s="18">
        <f t="shared" si="22"/>
        <v>8856.75</v>
      </c>
      <c r="S77" s="13" t="s">
        <v>12</v>
      </c>
      <c r="T77" s="30">
        <v>0</v>
      </c>
    </row>
    <row r="78" spans="2:20" x14ac:dyDescent="0.25">
      <c r="B78" s="13" t="s">
        <v>12</v>
      </c>
      <c r="C78" s="13">
        <f t="shared" si="19"/>
        <v>13000</v>
      </c>
      <c r="D78" s="13">
        <f t="shared" si="21"/>
        <v>5330.75</v>
      </c>
      <c r="E78" s="18">
        <f t="shared" si="23"/>
        <v>0</v>
      </c>
      <c r="F78" s="14">
        <f t="shared" si="20"/>
        <v>7669.25</v>
      </c>
      <c r="H78" s="18" t="s">
        <v>12</v>
      </c>
      <c r="I78" s="13">
        <v>0</v>
      </c>
      <c r="J78" s="18">
        <f>L10*J59</f>
        <v>1625</v>
      </c>
      <c r="K78" s="51">
        <v>0</v>
      </c>
      <c r="L78" s="18">
        <f>L59*R25</f>
        <v>875</v>
      </c>
      <c r="M78" s="14">
        <f>$M$59*L26</f>
        <v>1680.75</v>
      </c>
      <c r="N78" s="14">
        <f t="shared" si="25"/>
        <v>1150</v>
      </c>
      <c r="O78" s="18">
        <f t="shared" si="22"/>
        <v>5330.75</v>
      </c>
      <c r="S78" s="66" t="s">
        <v>91</v>
      </c>
      <c r="T78" s="30">
        <v>0</v>
      </c>
    </row>
    <row r="79" spans="2:20" x14ac:dyDescent="0.25">
      <c r="B79" s="66" t="s">
        <v>91</v>
      </c>
      <c r="C79" s="13">
        <f t="shared" si="19"/>
        <v>0</v>
      </c>
      <c r="D79" s="13">
        <f t="shared" si="21"/>
        <v>0</v>
      </c>
      <c r="E79" s="18">
        <f t="shared" si="23"/>
        <v>0</v>
      </c>
      <c r="F79" s="14">
        <f t="shared" si="20"/>
        <v>0</v>
      </c>
      <c r="H79" s="30" t="s">
        <v>91</v>
      </c>
      <c r="I79" s="13">
        <v>0</v>
      </c>
      <c r="J79" s="18">
        <v>0</v>
      </c>
      <c r="K79" s="22">
        <v>0</v>
      </c>
      <c r="L79" s="18">
        <v>0</v>
      </c>
      <c r="M79" s="14">
        <v>0</v>
      </c>
      <c r="N79" s="13">
        <v>0</v>
      </c>
      <c r="O79" s="18">
        <f t="shared" si="22"/>
        <v>0</v>
      </c>
      <c r="S79" s="66" t="s">
        <v>92</v>
      </c>
      <c r="T79" s="18">
        <v>0</v>
      </c>
    </row>
    <row r="80" spans="2:20" x14ac:dyDescent="0.25">
      <c r="B80" s="66" t="s">
        <v>92</v>
      </c>
      <c r="C80" s="13">
        <f>C53*D53</f>
        <v>5000</v>
      </c>
      <c r="D80" s="13">
        <f t="shared" si="21"/>
        <v>694.6</v>
      </c>
      <c r="E80" s="18">
        <f t="shared" si="23"/>
        <v>0</v>
      </c>
      <c r="F80" s="14">
        <f t="shared" si="20"/>
        <v>4305.3999999999996</v>
      </c>
      <c r="H80" s="30" t="s">
        <v>92</v>
      </c>
      <c r="I80" s="13">
        <v>0</v>
      </c>
      <c r="J80" s="18">
        <v>0</v>
      </c>
      <c r="K80" s="51">
        <v>0</v>
      </c>
      <c r="L80" s="18">
        <f>L59*R26</f>
        <v>2.0999999999999996</v>
      </c>
      <c r="M80" s="14">
        <f>M59*L28</f>
        <v>405</v>
      </c>
      <c r="N80" s="13">
        <f>N59*F28</f>
        <v>287.5</v>
      </c>
      <c r="O80" s="18">
        <f t="shared" si="22"/>
        <v>694.6</v>
      </c>
      <c r="S80" s="15" t="s">
        <v>14</v>
      </c>
      <c r="T80" s="19">
        <v>0</v>
      </c>
    </row>
    <row r="81" spans="2:17" x14ac:dyDescent="0.25">
      <c r="B81" s="15" t="s">
        <v>14</v>
      </c>
      <c r="C81" s="15">
        <f t="shared" si="19"/>
        <v>1200</v>
      </c>
      <c r="D81" s="15">
        <f t="shared" si="21"/>
        <v>487.5</v>
      </c>
      <c r="E81" s="18">
        <f t="shared" si="23"/>
        <v>0</v>
      </c>
      <c r="F81" s="16">
        <f>C81-D81-E81</f>
        <v>712.5</v>
      </c>
      <c r="H81" s="19" t="s">
        <v>14</v>
      </c>
      <c r="I81" s="15">
        <v>0</v>
      </c>
      <c r="J81" s="19">
        <f>L11*J59</f>
        <v>487.5</v>
      </c>
      <c r="K81" s="23">
        <v>0</v>
      </c>
      <c r="L81" s="19">
        <v>0</v>
      </c>
      <c r="M81" s="16">
        <v>0</v>
      </c>
      <c r="N81" s="15">
        <v>0</v>
      </c>
      <c r="O81" s="19">
        <f t="shared" si="22"/>
        <v>487.5</v>
      </c>
    </row>
    <row r="82" spans="2:17" x14ac:dyDescent="0.25">
      <c r="D82" t="s">
        <v>117</v>
      </c>
    </row>
    <row r="84" spans="2:17" x14ac:dyDescent="0.25">
      <c r="B84" s="97" t="s">
        <v>47</v>
      </c>
      <c r="C84" s="98"/>
      <c r="D84" s="98"/>
      <c r="E84" s="98"/>
      <c r="F84" s="98"/>
      <c r="G84" s="98"/>
      <c r="H84" s="98"/>
      <c r="I84" s="98"/>
      <c r="J84" s="99"/>
    </row>
    <row r="85" spans="2:17" x14ac:dyDescent="0.25">
      <c r="B85" s="48" t="s">
        <v>39</v>
      </c>
      <c r="C85" s="20" t="s">
        <v>95</v>
      </c>
      <c r="D85" s="20" t="s">
        <v>46</v>
      </c>
      <c r="E85" s="17" t="s">
        <v>42</v>
      </c>
      <c r="F85" t="s">
        <v>46</v>
      </c>
      <c r="G85" s="17" t="s">
        <v>41</v>
      </c>
      <c r="H85" t="s">
        <v>46</v>
      </c>
      <c r="I85" s="17" t="s">
        <v>43</v>
      </c>
      <c r="J85" s="17" t="s">
        <v>46</v>
      </c>
    </row>
    <row r="86" spans="2:17" x14ac:dyDescent="0.25">
      <c r="B86" s="1" t="s">
        <v>20</v>
      </c>
      <c r="C86" s="17">
        <f>C33*D33</f>
        <v>30000</v>
      </c>
      <c r="D86" s="17">
        <f>F33*C86</f>
        <v>12500</v>
      </c>
      <c r="E86" s="11">
        <f t="shared" ref="E86:E107" si="26">D60</f>
        <v>6925</v>
      </c>
      <c r="F86" s="17">
        <f t="shared" ref="F86:F107" si="27">F33*E86</f>
        <v>2885.416666666667</v>
      </c>
      <c r="G86" s="21">
        <f t="shared" ref="G86:G107" si="28">E60</f>
        <v>0</v>
      </c>
      <c r="H86" s="17">
        <f t="shared" ref="H86:H107" si="29">F33*G86</f>
        <v>0</v>
      </c>
      <c r="I86" s="21">
        <f t="shared" ref="I86:I107" si="30">F60</f>
        <v>23075</v>
      </c>
      <c r="J86" s="17">
        <f t="shared" ref="J86:J107" si="31">F33*I86</f>
        <v>9614.5833333333339</v>
      </c>
    </row>
    <row r="87" spans="2:17" x14ac:dyDescent="0.25">
      <c r="B87" s="3" t="s">
        <v>6</v>
      </c>
      <c r="C87" s="18">
        <f t="shared" ref="C87:C107" si="32">C34*D34</f>
        <v>10000</v>
      </c>
      <c r="D87" s="18">
        <f t="shared" ref="D87:D107" si="33">F34*C87</f>
        <v>50000</v>
      </c>
      <c r="E87" s="13">
        <f t="shared" si="26"/>
        <v>9590.25</v>
      </c>
      <c r="F87" s="18">
        <f t="shared" si="27"/>
        <v>47951.25</v>
      </c>
      <c r="G87" s="22">
        <f t="shared" si="28"/>
        <v>205.5</v>
      </c>
      <c r="H87" s="18">
        <f t="shared" si="29"/>
        <v>1027.5</v>
      </c>
      <c r="I87" s="22">
        <f t="shared" si="30"/>
        <v>204.25</v>
      </c>
      <c r="J87" s="18">
        <f t="shared" si="31"/>
        <v>1021.25</v>
      </c>
    </row>
    <row r="88" spans="2:17" x14ac:dyDescent="0.25">
      <c r="B88" s="3" t="s">
        <v>48</v>
      </c>
      <c r="C88" s="18">
        <f t="shared" si="32"/>
        <v>2500</v>
      </c>
      <c r="D88" s="18">
        <f t="shared" si="33"/>
        <v>20500</v>
      </c>
      <c r="E88" s="13">
        <f t="shared" si="26"/>
        <v>0</v>
      </c>
      <c r="F88" s="18">
        <f t="shared" si="27"/>
        <v>0</v>
      </c>
      <c r="G88" s="22">
        <f t="shared" si="28"/>
        <v>0</v>
      </c>
      <c r="H88" s="18">
        <f t="shared" si="29"/>
        <v>0</v>
      </c>
      <c r="I88" s="22">
        <f t="shared" si="30"/>
        <v>2500</v>
      </c>
      <c r="J88" s="18">
        <f t="shared" si="31"/>
        <v>20500</v>
      </c>
    </row>
    <row r="89" spans="2:17" x14ac:dyDescent="0.25">
      <c r="B89" s="3" t="s">
        <v>13</v>
      </c>
      <c r="C89" s="18">
        <f t="shared" si="32"/>
        <v>625</v>
      </c>
      <c r="D89" s="18">
        <f t="shared" si="33"/>
        <v>10000</v>
      </c>
      <c r="E89" s="13">
        <f t="shared" si="26"/>
        <v>39.25</v>
      </c>
      <c r="F89" s="18">
        <f t="shared" si="27"/>
        <v>628</v>
      </c>
      <c r="G89" s="22">
        <f t="shared" si="28"/>
        <v>300.25</v>
      </c>
      <c r="H89" s="18">
        <f t="shared" si="29"/>
        <v>4804</v>
      </c>
      <c r="I89" s="22">
        <f t="shared" si="30"/>
        <v>285.5</v>
      </c>
      <c r="J89" s="18">
        <f t="shared" si="31"/>
        <v>4568</v>
      </c>
    </row>
    <row r="90" spans="2:17" x14ac:dyDescent="0.25">
      <c r="B90" s="3" t="s">
        <v>0</v>
      </c>
      <c r="C90" s="18">
        <f t="shared" si="32"/>
        <v>5000</v>
      </c>
      <c r="D90" s="18">
        <f t="shared" si="33"/>
        <v>80000</v>
      </c>
      <c r="E90" s="13">
        <f t="shared" si="26"/>
        <v>0</v>
      </c>
      <c r="F90" s="18">
        <f t="shared" si="27"/>
        <v>0</v>
      </c>
      <c r="G90" s="22">
        <f t="shared" si="28"/>
        <v>300</v>
      </c>
      <c r="H90" s="18">
        <f t="shared" si="29"/>
        <v>4800</v>
      </c>
      <c r="I90" s="22">
        <f t="shared" si="30"/>
        <v>4700</v>
      </c>
      <c r="J90" s="18">
        <f t="shared" si="31"/>
        <v>75200</v>
      </c>
    </row>
    <row r="91" spans="2:17" x14ac:dyDescent="0.25">
      <c r="B91" s="3" t="s">
        <v>16</v>
      </c>
      <c r="C91" s="18">
        <f t="shared" si="32"/>
        <v>1250</v>
      </c>
      <c r="D91" s="18">
        <f t="shared" si="33"/>
        <v>32500</v>
      </c>
      <c r="E91" s="13">
        <f t="shared" si="26"/>
        <v>0</v>
      </c>
      <c r="F91" s="18">
        <f t="shared" si="27"/>
        <v>0</v>
      </c>
      <c r="G91" s="22">
        <f t="shared" si="28"/>
        <v>0</v>
      </c>
      <c r="H91" s="18">
        <f t="shared" si="29"/>
        <v>0</v>
      </c>
      <c r="I91" s="22">
        <f t="shared" si="30"/>
        <v>1250</v>
      </c>
      <c r="J91" s="18">
        <f t="shared" si="31"/>
        <v>32500</v>
      </c>
    </row>
    <row r="92" spans="2:17" x14ac:dyDescent="0.25">
      <c r="B92" s="66" t="s">
        <v>97</v>
      </c>
      <c r="C92" s="18">
        <f t="shared" si="32"/>
        <v>750</v>
      </c>
      <c r="D92" s="18">
        <f t="shared" si="33"/>
        <v>16500</v>
      </c>
      <c r="E92" s="13">
        <f t="shared" si="26"/>
        <v>105</v>
      </c>
      <c r="F92" s="18">
        <f t="shared" si="27"/>
        <v>2310</v>
      </c>
      <c r="G92" s="22">
        <f t="shared" si="28"/>
        <v>0</v>
      </c>
      <c r="H92" s="18">
        <f t="shared" si="29"/>
        <v>0</v>
      </c>
      <c r="I92" s="22">
        <f t="shared" si="30"/>
        <v>645</v>
      </c>
      <c r="J92" s="18">
        <f t="shared" si="31"/>
        <v>14190</v>
      </c>
    </row>
    <row r="93" spans="2:17" x14ac:dyDescent="0.25">
      <c r="B93" s="3" t="s">
        <v>1</v>
      </c>
      <c r="C93" s="18">
        <f t="shared" si="32"/>
        <v>6300</v>
      </c>
      <c r="D93" s="18">
        <f t="shared" si="33"/>
        <v>128799.99999999999</v>
      </c>
      <c r="E93" s="13">
        <f t="shared" si="26"/>
        <v>4862.5</v>
      </c>
      <c r="F93" s="18">
        <f t="shared" si="27"/>
        <v>99411.111111111109</v>
      </c>
      <c r="G93" s="22">
        <f t="shared" si="28"/>
        <v>0</v>
      </c>
      <c r="H93" s="18">
        <f t="shared" si="29"/>
        <v>0</v>
      </c>
      <c r="I93" s="22">
        <f t="shared" si="30"/>
        <v>1437.5</v>
      </c>
      <c r="J93" s="18">
        <f t="shared" si="31"/>
        <v>29388.888888888887</v>
      </c>
    </row>
    <row r="94" spans="2:17" x14ac:dyDescent="0.25">
      <c r="B94" s="3" t="s">
        <v>5</v>
      </c>
      <c r="C94" s="18">
        <f t="shared" si="32"/>
        <v>810</v>
      </c>
      <c r="D94" s="18">
        <f t="shared" si="33"/>
        <v>16200</v>
      </c>
      <c r="E94" s="13">
        <f t="shared" si="26"/>
        <v>574.75</v>
      </c>
      <c r="F94" s="18">
        <f t="shared" si="27"/>
        <v>11495</v>
      </c>
      <c r="G94" s="22">
        <f t="shared" si="28"/>
        <v>150</v>
      </c>
      <c r="H94" s="18">
        <f t="shared" si="29"/>
        <v>3000</v>
      </c>
      <c r="I94" s="22">
        <f t="shared" si="30"/>
        <v>85.25</v>
      </c>
      <c r="J94" s="18">
        <f t="shared" si="31"/>
        <v>1705</v>
      </c>
    </row>
    <row r="95" spans="2:17" x14ac:dyDescent="0.25">
      <c r="B95" s="66" t="s">
        <v>86</v>
      </c>
      <c r="C95" s="18">
        <f t="shared" si="32"/>
        <v>1800</v>
      </c>
      <c r="D95" s="18">
        <f t="shared" si="33"/>
        <v>48200</v>
      </c>
      <c r="E95" s="13">
        <f t="shared" si="26"/>
        <v>1425.5</v>
      </c>
      <c r="F95" s="18">
        <f t="shared" si="27"/>
        <v>38171.722222222226</v>
      </c>
      <c r="G95" s="22">
        <f t="shared" si="28"/>
        <v>8</v>
      </c>
      <c r="H95" s="18">
        <f t="shared" si="29"/>
        <v>214.22222222222223</v>
      </c>
      <c r="I95" s="22">
        <f t="shared" si="30"/>
        <v>366.5</v>
      </c>
      <c r="J95" s="18">
        <f t="shared" si="31"/>
        <v>9814.0555555555566</v>
      </c>
    </row>
    <row r="96" spans="2:17" x14ac:dyDescent="0.25">
      <c r="B96" s="13" t="s">
        <v>7</v>
      </c>
      <c r="C96" s="18">
        <f t="shared" si="32"/>
        <v>150000</v>
      </c>
      <c r="D96" s="18">
        <f t="shared" si="33"/>
        <v>660000</v>
      </c>
      <c r="E96" s="13">
        <f t="shared" si="26"/>
        <v>41312.5</v>
      </c>
      <c r="F96" s="18">
        <f t="shared" si="27"/>
        <v>181775.00000000003</v>
      </c>
      <c r="G96" s="22">
        <f t="shared" si="28"/>
        <v>0</v>
      </c>
      <c r="H96" s="18">
        <f t="shared" si="29"/>
        <v>0</v>
      </c>
      <c r="I96" s="22">
        <f t="shared" si="30"/>
        <v>108687.5</v>
      </c>
      <c r="J96" s="18">
        <f t="shared" si="31"/>
        <v>478225.00000000006</v>
      </c>
      <c r="O96" s="89" t="s">
        <v>22</v>
      </c>
      <c r="P96" s="91"/>
      <c r="Q96" s="90"/>
    </row>
    <row r="97" spans="2:18" x14ac:dyDescent="0.25">
      <c r="B97" s="13" t="s">
        <v>4</v>
      </c>
      <c r="C97" s="18">
        <f t="shared" si="32"/>
        <v>300</v>
      </c>
      <c r="D97" s="18">
        <f t="shared" si="33"/>
        <v>160000</v>
      </c>
      <c r="E97" s="13">
        <f t="shared" si="26"/>
        <v>231.5</v>
      </c>
      <c r="F97" s="18">
        <f t="shared" si="27"/>
        <v>123466.66666666667</v>
      </c>
      <c r="G97" s="22">
        <f t="shared" si="28"/>
        <v>9</v>
      </c>
      <c r="H97" s="18">
        <f t="shared" si="29"/>
        <v>4800</v>
      </c>
      <c r="I97" s="22">
        <f t="shared" si="30"/>
        <v>59.5</v>
      </c>
      <c r="J97" s="18">
        <f t="shared" si="31"/>
        <v>31733.333333333336</v>
      </c>
      <c r="O97" s="10" t="s">
        <v>9</v>
      </c>
      <c r="P97" s="10" t="s">
        <v>10</v>
      </c>
      <c r="Q97" s="10" t="s">
        <v>11</v>
      </c>
    </row>
    <row r="98" spans="2:18" x14ac:dyDescent="0.25">
      <c r="B98" s="13" t="s">
        <v>18</v>
      </c>
      <c r="C98" s="18">
        <f t="shared" si="32"/>
        <v>1000</v>
      </c>
      <c r="D98" s="18">
        <f t="shared" si="33"/>
        <v>61700</v>
      </c>
      <c r="E98" s="13">
        <f t="shared" si="26"/>
        <v>0</v>
      </c>
      <c r="F98" s="18">
        <f t="shared" si="27"/>
        <v>0</v>
      </c>
      <c r="G98" s="22">
        <f t="shared" si="28"/>
        <v>0</v>
      </c>
      <c r="H98" s="18">
        <f t="shared" si="29"/>
        <v>0</v>
      </c>
      <c r="I98" s="22">
        <f t="shared" si="30"/>
        <v>1000</v>
      </c>
      <c r="J98" s="18">
        <f t="shared" si="31"/>
        <v>61700</v>
      </c>
      <c r="L98" s="89" t="s">
        <v>47</v>
      </c>
      <c r="M98" s="90"/>
      <c r="O98" s="11" t="s">
        <v>0</v>
      </c>
      <c r="P98" s="17" t="e">
        <f>#REF!</f>
        <v>#REF!</v>
      </c>
      <c r="Q98" s="12" t="e">
        <f>#REF!</f>
        <v>#REF!</v>
      </c>
      <c r="R98">
        <v>300</v>
      </c>
    </row>
    <row r="99" spans="2:18" x14ac:dyDescent="0.25">
      <c r="B99" s="66" t="s">
        <v>79</v>
      </c>
      <c r="C99" s="18">
        <f t="shared" si="32"/>
        <v>2500</v>
      </c>
      <c r="D99" s="18">
        <f t="shared" si="33"/>
        <v>30000</v>
      </c>
      <c r="E99" s="13">
        <f t="shared" si="26"/>
        <v>1738</v>
      </c>
      <c r="F99" s="18">
        <f t="shared" si="27"/>
        <v>20856</v>
      </c>
      <c r="G99" s="22">
        <f t="shared" si="28"/>
        <v>180</v>
      </c>
      <c r="H99" s="18">
        <f t="shared" si="29"/>
        <v>2160</v>
      </c>
      <c r="I99" s="22">
        <f t="shared" si="30"/>
        <v>582</v>
      </c>
      <c r="J99" s="18">
        <f t="shared" si="31"/>
        <v>6984</v>
      </c>
      <c r="L99" s="17" t="s">
        <v>53</v>
      </c>
      <c r="M99" s="106">
        <f>F108</f>
        <v>876908.21125992073</v>
      </c>
      <c r="O99" s="13" t="s">
        <v>1</v>
      </c>
      <c r="P99" s="18">
        <f>D5+V5</f>
        <v>350</v>
      </c>
      <c r="Q99" s="14">
        <f>E5+W5</f>
        <v>3294.4444444444443</v>
      </c>
    </row>
    <row r="100" spans="2:18" x14ac:dyDescent="0.25">
      <c r="B100" s="13" t="s">
        <v>3</v>
      </c>
      <c r="C100" s="18">
        <f t="shared" si="32"/>
        <v>4500</v>
      </c>
      <c r="D100" s="18">
        <f t="shared" si="33"/>
        <v>16250</v>
      </c>
      <c r="E100" s="13">
        <f t="shared" si="26"/>
        <v>4150</v>
      </c>
      <c r="F100" s="18">
        <f t="shared" si="27"/>
        <v>14986.111111111111</v>
      </c>
      <c r="G100" s="22">
        <f t="shared" si="28"/>
        <v>0</v>
      </c>
      <c r="H100" s="18">
        <f t="shared" si="29"/>
        <v>0</v>
      </c>
      <c r="I100" s="22">
        <f t="shared" si="30"/>
        <v>350</v>
      </c>
      <c r="J100" s="18">
        <f t="shared" si="31"/>
        <v>1263.8888888888889</v>
      </c>
      <c r="L100" s="18" t="s">
        <v>54</v>
      </c>
      <c r="M100" s="107">
        <f>K55</f>
        <v>1813500</v>
      </c>
      <c r="O100" s="13" t="s">
        <v>2</v>
      </c>
      <c r="P100" s="18">
        <f>D6</f>
        <v>800</v>
      </c>
      <c r="Q100" s="14">
        <f>E6</f>
        <v>16355.555555555555</v>
      </c>
    </row>
    <row r="101" spans="2:18" x14ac:dyDescent="0.25">
      <c r="B101" s="13" t="s">
        <v>2</v>
      </c>
      <c r="C101" s="18">
        <f t="shared" si="32"/>
        <v>4480</v>
      </c>
      <c r="D101" s="18">
        <f t="shared" si="33"/>
        <v>119700</v>
      </c>
      <c r="E101" s="13">
        <f t="shared" si="26"/>
        <v>2487.5</v>
      </c>
      <c r="F101" s="18">
        <f t="shared" si="27"/>
        <v>66462.890625</v>
      </c>
      <c r="G101" s="22">
        <f t="shared" si="28"/>
        <v>0</v>
      </c>
      <c r="H101" s="18">
        <f t="shared" si="29"/>
        <v>0</v>
      </c>
      <c r="I101" s="22">
        <f t="shared" si="30"/>
        <v>1992.5</v>
      </c>
      <c r="J101" s="18">
        <f t="shared" si="31"/>
        <v>53237.109375</v>
      </c>
      <c r="L101" s="18" t="s">
        <v>37</v>
      </c>
      <c r="M101" s="107">
        <f>M55</f>
        <v>936591.78874007938</v>
      </c>
      <c r="O101" s="13" t="s">
        <v>3</v>
      </c>
      <c r="P101" s="18">
        <f>D7+V7</f>
        <v>105</v>
      </c>
      <c r="Q101" s="14">
        <f>E7+W7</f>
        <v>461.11111111111114</v>
      </c>
    </row>
    <row r="102" spans="2:18" x14ac:dyDescent="0.25">
      <c r="B102" s="66" t="s">
        <v>88</v>
      </c>
      <c r="C102" s="18">
        <f t="shared" si="32"/>
        <v>896</v>
      </c>
      <c r="D102" s="18">
        <f t="shared" si="33"/>
        <v>115200.00000000001</v>
      </c>
      <c r="E102" s="13">
        <f t="shared" si="26"/>
        <v>889.25</v>
      </c>
      <c r="F102" s="18">
        <f t="shared" si="27"/>
        <v>114332.14285714287</v>
      </c>
      <c r="G102" s="22">
        <f t="shared" si="28"/>
        <v>0</v>
      </c>
      <c r="H102" s="18">
        <f t="shared" si="29"/>
        <v>0</v>
      </c>
      <c r="I102" s="22">
        <f t="shared" si="30"/>
        <v>6.75</v>
      </c>
      <c r="J102" s="18">
        <f t="shared" si="31"/>
        <v>867.85714285714289</v>
      </c>
      <c r="L102" s="18" t="s">
        <v>41</v>
      </c>
      <c r="M102" s="107">
        <f>H108</f>
        <v>20805.722222222223</v>
      </c>
      <c r="O102" s="13" t="s">
        <v>4</v>
      </c>
      <c r="P102" s="18">
        <f t="shared" ref="P102:Q105" si="34">D8</f>
        <v>250</v>
      </c>
      <c r="Q102" s="14">
        <f t="shared" si="34"/>
        <v>1100</v>
      </c>
    </row>
    <row r="103" spans="2:18" x14ac:dyDescent="0.25">
      <c r="B103" s="66" t="s">
        <v>89</v>
      </c>
      <c r="C103" s="18">
        <f t="shared" si="32"/>
        <v>9500</v>
      </c>
      <c r="D103" s="18">
        <f t="shared" si="33"/>
        <v>95000</v>
      </c>
      <c r="E103" s="13">
        <f t="shared" si="26"/>
        <v>8856.75</v>
      </c>
      <c r="F103" s="18">
        <f t="shared" si="27"/>
        <v>88567.5</v>
      </c>
      <c r="G103" s="22">
        <f t="shared" si="28"/>
        <v>0</v>
      </c>
      <c r="H103" s="18">
        <f t="shared" si="29"/>
        <v>0</v>
      </c>
      <c r="I103" s="22">
        <f t="shared" si="30"/>
        <v>643.25</v>
      </c>
      <c r="J103" s="18">
        <f t="shared" si="31"/>
        <v>6432.5</v>
      </c>
      <c r="L103" s="18" t="s">
        <v>55</v>
      </c>
      <c r="M103" s="107">
        <f>J108</f>
        <v>933936.06651785725</v>
      </c>
      <c r="O103" s="13" t="s">
        <v>5</v>
      </c>
      <c r="P103" s="18">
        <f t="shared" si="34"/>
        <v>10</v>
      </c>
      <c r="Q103" s="14">
        <f t="shared" si="34"/>
        <v>5333.3333333333339</v>
      </c>
    </row>
    <row r="104" spans="2:18" x14ac:dyDescent="0.25">
      <c r="B104" s="13" t="s">
        <v>12</v>
      </c>
      <c r="C104" s="18">
        <f t="shared" si="32"/>
        <v>13000</v>
      </c>
      <c r="D104" s="18">
        <f t="shared" si="33"/>
        <v>135200</v>
      </c>
      <c r="E104" s="13">
        <f t="shared" si="26"/>
        <v>5330.75</v>
      </c>
      <c r="F104" s="18">
        <f t="shared" si="27"/>
        <v>55439.8</v>
      </c>
      <c r="G104" s="22">
        <f t="shared" si="28"/>
        <v>0</v>
      </c>
      <c r="H104" s="18">
        <f t="shared" si="29"/>
        <v>0</v>
      </c>
      <c r="I104" s="22">
        <f t="shared" si="30"/>
        <v>7669.25</v>
      </c>
      <c r="J104" s="18">
        <f t="shared" si="31"/>
        <v>79760.2</v>
      </c>
      <c r="L104" s="19" t="s">
        <v>56</v>
      </c>
      <c r="M104" s="108">
        <f>M101+M103</f>
        <v>1870527.8552579368</v>
      </c>
      <c r="O104" s="13" t="s">
        <v>6</v>
      </c>
      <c r="P104" s="18">
        <f t="shared" si="34"/>
        <v>800</v>
      </c>
      <c r="Q104" s="14">
        <f t="shared" si="34"/>
        <v>2888.8888888888891</v>
      </c>
    </row>
    <row r="105" spans="2:18" x14ac:dyDescent="0.25">
      <c r="B105" s="66" t="s">
        <v>91</v>
      </c>
      <c r="C105" s="18">
        <f t="shared" si="32"/>
        <v>0</v>
      </c>
      <c r="D105" s="18">
        <f t="shared" si="33"/>
        <v>0</v>
      </c>
      <c r="E105" s="13">
        <f t="shared" si="26"/>
        <v>0</v>
      </c>
      <c r="F105" s="18">
        <f t="shared" si="27"/>
        <v>0</v>
      </c>
      <c r="G105" s="22">
        <f t="shared" si="28"/>
        <v>0</v>
      </c>
      <c r="H105" s="18">
        <f t="shared" si="29"/>
        <v>0</v>
      </c>
      <c r="I105" s="22">
        <f t="shared" si="30"/>
        <v>0</v>
      </c>
      <c r="J105" s="18">
        <f t="shared" si="31"/>
        <v>0</v>
      </c>
      <c r="O105" s="13" t="s">
        <v>7</v>
      </c>
      <c r="P105" s="18">
        <f t="shared" si="34"/>
        <v>300</v>
      </c>
      <c r="Q105" s="14">
        <f t="shared" si="34"/>
        <v>8015.625</v>
      </c>
    </row>
    <row r="106" spans="2:18" x14ac:dyDescent="0.25">
      <c r="B106" s="66" t="s">
        <v>92</v>
      </c>
      <c r="C106" s="18">
        <f t="shared" si="32"/>
        <v>5000</v>
      </c>
      <c r="D106" s="18">
        <f t="shared" si="33"/>
        <v>5000</v>
      </c>
      <c r="E106" s="13">
        <f t="shared" si="26"/>
        <v>694.6</v>
      </c>
      <c r="F106" s="18">
        <f t="shared" si="27"/>
        <v>694.6</v>
      </c>
      <c r="G106" s="22">
        <f t="shared" si="28"/>
        <v>0</v>
      </c>
      <c r="H106" s="18">
        <f t="shared" si="29"/>
        <v>0</v>
      </c>
      <c r="I106" s="22">
        <f t="shared" si="30"/>
        <v>4305.3999999999996</v>
      </c>
      <c r="J106" s="18">
        <f t="shared" si="31"/>
        <v>4305.3999999999996</v>
      </c>
      <c r="O106" s="15" t="s">
        <v>16</v>
      </c>
      <c r="P106" s="19">
        <f>V6</f>
        <v>150</v>
      </c>
      <c r="Q106" s="16">
        <f>W6</f>
        <v>3900</v>
      </c>
    </row>
    <row r="107" spans="2:18" x14ac:dyDescent="0.25">
      <c r="B107" s="15" t="s">
        <v>14</v>
      </c>
      <c r="C107" s="19">
        <f t="shared" si="32"/>
        <v>1200</v>
      </c>
      <c r="D107" s="19">
        <f t="shared" si="33"/>
        <v>18400</v>
      </c>
      <c r="E107" s="15">
        <f t="shared" si="26"/>
        <v>487.5</v>
      </c>
      <c r="F107" s="19">
        <f t="shared" si="27"/>
        <v>7475</v>
      </c>
      <c r="G107" s="23">
        <f t="shared" si="28"/>
        <v>0</v>
      </c>
      <c r="H107" s="19">
        <f t="shared" si="29"/>
        <v>0</v>
      </c>
      <c r="I107" s="23">
        <f t="shared" si="30"/>
        <v>712.5</v>
      </c>
      <c r="J107" s="19">
        <f t="shared" si="31"/>
        <v>10925</v>
      </c>
      <c r="Q107" s="40" t="e">
        <f>SUM(Q98:Q106)</f>
        <v>#REF!</v>
      </c>
    </row>
    <row r="108" spans="2:18" x14ac:dyDescent="0.25">
      <c r="D108" s="78">
        <f>SUM(D86:D107)</f>
        <v>1831650</v>
      </c>
      <c r="F108" s="78">
        <f>SUM(F86:F107)</f>
        <v>876908.21125992073</v>
      </c>
      <c r="H108" s="78">
        <f>SUM(H86:H107)</f>
        <v>20805.722222222223</v>
      </c>
      <c r="J108" s="78">
        <f>SUM(J86:J107)</f>
        <v>933936.06651785725</v>
      </c>
    </row>
    <row r="109" spans="2:18" x14ac:dyDescent="0.25">
      <c r="K109" s="22" t="s">
        <v>25</v>
      </c>
      <c r="L109" s="22" t="s">
        <v>28</v>
      </c>
      <c r="M109" s="22" t="s">
        <v>75</v>
      </c>
    </row>
    <row r="110" spans="2:18" x14ac:dyDescent="0.25">
      <c r="K110" s="22" t="s">
        <v>8</v>
      </c>
      <c r="L110" s="51">
        <v>4</v>
      </c>
      <c r="M110" s="58">
        <f>L110/L112</f>
        <v>0.5714285714285714</v>
      </c>
    </row>
    <row r="111" spans="2:18" x14ac:dyDescent="0.25">
      <c r="K111" s="22" t="s">
        <v>36</v>
      </c>
      <c r="L111" s="22">
        <v>3</v>
      </c>
      <c r="M111" s="58">
        <f>L111/L112</f>
        <v>0.42857142857142855</v>
      </c>
    </row>
    <row r="112" spans="2:18" x14ac:dyDescent="0.25">
      <c r="E112" s="79"/>
      <c r="L112">
        <f>SUM(L110:L111)</f>
        <v>7</v>
      </c>
      <c r="M112" s="57">
        <f>SUM(M110:M111)</f>
        <v>1</v>
      </c>
    </row>
    <row r="114" spans="3:13" x14ac:dyDescent="0.25">
      <c r="K114" t="s">
        <v>8</v>
      </c>
      <c r="L114" t="s">
        <v>28</v>
      </c>
      <c r="M114" t="s">
        <v>75</v>
      </c>
    </row>
    <row r="115" spans="3:13" x14ac:dyDescent="0.25">
      <c r="C115">
        <f>($J$33+$J$35+$J$36+$J$40)/500*J9</f>
        <v>30</v>
      </c>
      <c r="D115">
        <f>($J$34+$J$37+$J$38)/500*J9</f>
        <v>32.5</v>
      </c>
      <c r="E115">
        <f>J37+J38+J34</f>
        <v>1625</v>
      </c>
      <c r="F115">
        <f>J33+J35+J36+J40</f>
        <v>1500</v>
      </c>
      <c r="G115">
        <f>E115+F115</f>
        <v>3125</v>
      </c>
      <c r="K115">
        <v>500</v>
      </c>
      <c r="L115">
        <v>3</v>
      </c>
      <c r="M115" s="57">
        <f>L115/L117</f>
        <v>0.75</v>
      </c>
    </row>
    <row r="116" spans="3:13" x14ac:dyDescent="0.25">
      <c r="E116">
        <f>E115/500</f>
        <v>3.25</v>
      </c>
      <c r="F116">
        <f>F115/500</f>
        <v>3</v>
      </c>
      <c r="G116">
        <f>E116+F116</f>
        <v>6.25</v>
      </c>
      <c r="K116">
        <v>250</v>
      </c>
      <c r="L116">
        <v>1</v>
      </c>
      <c r="M116" s="57">
        <f>L116/L117</f>
        <v>0.25</v>
      </c>
    </row>
    <row r="117" spans="3:13" x14ac:dyDescent="0.25">
      <c r="L117">
        <f>SUM(L115:L116)</f>
        <v>4</v>
      </c>
      <c r="M117" s="57">
        <f>SUM(M115:M116)</f>
        <v>1</v>
      </c>
    </row>
    <row r="119" spans="3:13" x14ac:dyDescent="0.25">
      <c r="K119">
        <v>500</v>
      </c>
      <c r="L119">
        <v>3</v>
      </c>
      <c r="M119" s="57">
        <f>L119/$L$112</f>
        <v>0.42857142857142855</v>
      </c>
    </row>
    <row r="120" spans="3:13" x14ac:dyDescent="0.25">
      <c r="K120">
        <v>250</v>
      </c>
      <c r="L120">
        <v>1</v>
      </c>
      <c r="M120" s="57">
        <f>L120/$L$112</f>
        <v>0.14285714285714285</v>
      </c>
    </row>
    <row r="121" spans="3:13" x14ac:dyDescent="0.25">
      <c r="M121" s="59">
        <f>SUM(M119:M120)</f>
        <v>0.5714285714285714</v>
      </c>
    </row>
    <row r="126" spans="3:13" x14ac:dyDescent="0.25">
      <c r="L126" t="s">
        <v>51</v>
      </c>
    </row>
    <row r="127" spans="3:13" x14ac:dyDescent="0.25">
      <c r="L127" t="s">
        <v>52</v>
      </c>
    </row>
    <row r="129" spans="13:19" x14ac:dyDescent="0.25">
      <c r="M129" s="28">
        <v>23500.45</v>
      </c>
    </row>
    <row r="130" spans="13:19" x14ac:dyDescent="0.25">
      <c r="M130" s="29"/>
    </row>
    <row r="131" spans="13:19" x14ac:dyDescent="0.25">
      <c r="O131" s="100" t="s">
        <v>72</v>
      </c>
      <c r="P131" s="100"/>
    </row>
    <row r="132" spans="13:19" x14ac:dyDescent="0.25">
      <c r="O132" t="s">
        <v>76</v>
      </c>
      <c r="P132">
        <f>L112</f>
        <v>7</v>
      </c>
    </row>
    <row r="136" spans="13:19" x14ac:dyDescent="0.25">
      <c r="O136" t="s">
        <v>73</v>
      </c>
      <c r="P136" s="59">
        <f>M110</f>
        <v>0.5714285714285714</v>
      </c>
    </row>
    <row r="137" spans="13:19" x14ac:dyDescent="0.25">
      <c r="O137" t="s">
        <v>36</v>
      </c>
      <c r="P137" s="59">
        <f>M111</f>
        <v>0.42857142857142855</v>
      </c>
    </row>
    <row r="138" spans="13:19" x14ac:dyDescent="0.25">
      <c r="O138" t="s">
        <v>74</v>
      </c>
      <c r="P138" s="57">
        <v>0</v>
      </c>
    </row>
    <row r="143" spans="13:19" x14ac:dyDescent="0.25">
      <c r="Q143" s="20" t="s">
        <v>24</v>
      </c>
      <c r="R143" s="89" t="s">
        <v>69</v>
      </c>
      <c r="S143" s="90"/>
    </row>
    <row r="144" spans="13:19" x14ac:dyDescent="0.25">
      <c r="Q144" s="20" t="s">
        <v>61</v>
      </c>
      <c r="R144" s="20" t="s">
        <v>10</v>
      </c>
      <c r="S144" s="20" t="s">
        <v>46</v>
      </c>
    </row>
    <row r="145" spans="17:21" x14ac:dyDescent="0.25">
      <c r="Q145" s="48" t="s">
        <v>8</v>
      </c>
      <c r="R145" s="49">
        <v>250</v>
      </c>
      <c r="S145" s="50">
        <f>E12/G3*R145</f>
        <v>17521.701388888891</v>
      </c>
    </row>
    <row r="146" spans="17:21" x14ac:dyDescent="0.25">
      <c r="Q146" s="97" t="s">
        <v>62</v>
      </c>
      <c r="R146" s="98"/>
      <c r="S146" s="99"/>
    </row>
    <row r="147" spans="17:21" x14ac:dyDescent="0.25">
      <c r="Q147" s="20" t="s">
        <v>39</v>
      </c>
      <c r="R147" s="20" t="s">
        <v>28</v>
      </c>
      <c r="S147" s="20" t="s">
        <v>46</v>
      </c>
    </row>
    <row r="148" spans="17:21" x14ac:dyDescent="0.25">
      <c r="Q148" s="11" t="str">
        <f>B37</f>
        <v>Chantilly DG</v>
      </c>
      <c r="R148" s="17">
        <v>200</v>
      </c>
      <c r="S148" s="12">
        <f>E37/D37*R148</f>
        <v>3200</v>
      </c>
    </row>
    <row r="149" spans="17:21" x14ac:dyDescent="0.25">
      <c r="Q149" s="15" t="str">
        <f>U3</f>
        <v>MezclaChocolate</v>
      </c>
      <c r="R149" s="19">
        <v>150</v>
      </c>
      <c r="S149" s="16">
        <f>W8/Y3*R149</f>
        <v>2702.3809523809523</v>
      </c>
    </row>
    <row r="150" spans="17:21" x14ac:dyDescent="0.25">
      <c r="Q150" s="48" t="s">
        <v>64</v>
      </c>
      <c r="R150" s="101">
        <f>SUM(S148:S149)+S145</f>
        <v>23424.082341269845</v>
      </c>
      <c r="S150" s="102"/>
    </row>
    <row r="151" spans="17:21" x14ac:dyDescent="0.25">
      <c r="Q151" s="22"/>
      <c r="R151" s="56"/>
      <c r="S151" s="56"/>
    </row>
    <row r="152" spans="17:21" x14ac:dyDescent="0.25">
      <c r="S152" s="51"/>
    </row>
    <row r="153" spans="17:21" x14ac:dyDescent="0.25">
      <c r="Q153" s="97" t="s">
        <v>66</v>
      </c>
      <c r="R153" s="98"/>
      <c r="S153" s="99"/>
    </row>
    <row r="154" spans="17:21" x14ac:dyDescent="0.25">
      <c r="Q154" s="17" t="s">
        <v>65</v>
      </c>
      <c r="R154" s="20" t="s">
        <v>28</v>
      </c>
      <c r="S154" s="20" t="s">
        <v>11</v>
      </c>
      <c r="T154" s="51" t="s">
        <v>55</v>
      </c>
      <c r="U154" s="51" t="s">
        <v>71</v>
      </c>
    </row>
    <row r="155" spans="17:21" x14ac:dyDescent="0.25">
      <c r="Q155" s="7" t="s">
        <v>0</v>
      </c>
      <c r="R155" s="17" t="e">
        <f>#REF!/$G$3*$R$145+R148</f>
        <v>#REF!</v>
      </c>
      <c r="S155" s="12" t="e">
        <f>E37/D37*R155</f>
        <v>#REF!</v>
      </c>
      <c r="T155">
        <f>F64</f>
        <v>4700</v>
      </c>
      <c r="U155" t="e">
        <f>IF(T155-R155&gt;0,"Aceptable",R155-T155)</f>
        <v>#REF!</v>
      </c>
    </row>
    <row r="156" spans="17:21" x14ac:dyDescent="0.25">
      <c r="Q156" s="8" t="s">
        <v>1</v>
      </c>
      <c r="R156" s="54">
        <f>D5/$G$3*$R$145+V5/Y3*R149</f>
        <v>167.85714285714286</v>
      </c>
      <c r="S156" s="14">
        <f>E39/D39*R156</f>
        <v>3692.8571428571431</v>
      </c>
      <c r="T156">
        <f>F66</f>
        <v>645</v>
      </c>
      <c r="U156" t="str">
        <f t="shared" ref="U156:U163" si="35">IF(T156-R156&gt;0,"Aceptable",R156-T156)</f>
        <v>Aceptable</v>
      </c>
    </row>
    <row r="157" spans="17:21" x14ac:dyDescent="0.25">
      <c r="Q157" s="8" t="s">
        <v>2</v>
      </c>
      <c r="R157" s="18">
        <f>D6/$G$3*$R$145</f>
        <v>400</v>
      </c>
      <c r="S157" s="14">
        <f>E45/D45*R157</f>
        <v>24680</v>
      </c>
      <c r="T157">
        <f>F72</f>
        <v>1000</v>
      </c>
      <c r="U157" t="str">
        <f t="shared" si="35"/>
        <v>Aceptable</v>
      </c>
    </row>
    <row r="158" spans="17:21" x14ac:dyDescent="0.25">
      <c r="Q158" s="8" t="s">
        <v>3</v>
      </c>
      <c r="R158" s="54">
        <f>D7/$G$3*$R$145+V7/Y3*R149</f>
        <v>45.357142857142854</v>
      </c>
      <c r="S158" s="14">
        <f>E44/D44*R158</f>
        <v>24190.476190476191</v>
      </c>
      <c r="T158">
        <f>F71</f>
        <v>59.5</v>
      </c>
      <c r="U158" t="str">
        <f t="shared" si="35"/>
        <v>Aceptable</v>
      </c>
    </row>
    <row r="159" spans="17:21" x14ac:dyDescent="0.25">
      <c r="Q159" s="8" t="s">
        <v>4</v>
      </c>
      <c r="R159" s="18">
        <f>D8/$G$3*$R$145</f>
        <v>125</v>
      </c>
      <c r="S159" s="14">
        <f>E42/D42*R159</f>
        <v>3347.2222222222222</v>
      </c>
      <c r="T159">
        <f>F69</f>
        <v>366.5</v>
      </c>
      <c r="U159" t="str">
        <f t="shared" si="35"/>
        <v>Aceptable</v>
      </c>
    </row>
    <row r="160" spans="17:21" x14ac:dyDescent="0.25">
      <c r="Q160" s="8" t="s">
        <v>5</v>
      </c>
      <c r="R160" s="18">
        <f>D9/$G$3*$R$145</f>
        <v>5</v>
      </c>
      <c r="S160" s="14">
        <f>E40/D40*R160</f>
        <v>102.22222222222221</v>
      </c>
      <c r="T160">
        <f>F67</f>
        <v>1437.5</v>
      </c>
      <c r="U160" t="str">
        <f t="shared" si="35"/>
        <v>Aceptable</v>
      </c>
    </row>
    <row r="161" spans="17:21" x14ac:dyDescent="0.25">
      <c r="Q161" s="8" t="s">
        <v>6</v>
      </c>
      <c r="R161" s="18">
        <f>D10/$G$3*$R$145</f>
        <v>400</v>
      </c>
      <c r="S161" s="14">
        <f>E34/D34*R161</f>
        <v>2000</v>
      </c>
      <c r="T161">
        <f>F61</f>
        <v>204.25</v>
      </c>
      <c r="U161">
        <f t="shared" si="35"/>
        <v>195.75</v>
      </c>
    </row>
    <row r="162" spans="17:21" x14ac:dyDescent="0.25">
      <c r="Q162" s="8" t="s">
        <v>7</v>
      </c>
      <c r="R162" s="18">
        <f>D11/$G$3*$R$145</f>
        <v>150</v>
      </c>
      <c r="S162" s="14">
        <f>E41/D41*R162</f>
        <v>3000</v>
      </c>
      <c r="T162">
        <f>F68</f>
        <v>85.25</v>
      </c>
      <c r="U162">
        <f t="shared" si="35"/>
        <v>64.75</v>
      </c>
    </row>
    <row r="163" spans="17:21" x14ac:dyDescent="0.25">
      <c r="Q163" s="19" t="s">
        <v>16</v>
      </c>
      <c r="R163" s="55">
        <f>V6/Y3*R149</f>
        <v>64.285714285714278</v>
      </c>
      <c r="S163" s="16">
        <f>E38/D38*R163</f>
        <v>1671.4285714285711</v>
      </c>
      <c r="T163">
        <f>F65</f>
        <v>1250</v>
      </c>
      <c r="U163" t="str">
        <f t="shared" si="35"/>
        <v>Aceptable</v>
      </c>
    </row>
    <row r="164" spans="17:21" x14ac:dyDescent="0.25">
      <c r="S164" s="46" t="e">
        <f>SUM(S155:S163)</f>
        <v>#REF!</v>
      </c>
    </row>
    <row r="166" spans="17:21" x14ac:dyDescent="0.25">
      <c r="Q166" s="104" t="s">
        <v>70</v>
      </c>
      <c r="R166" s="104"/>
      <c r="S166" s="104"/>
    </row>
    <row r="167" spans="17:21" x14ac:dyDescent="0.25">
      <c r="Q167" s="20" t="s">
        <v>65</v>
      </c>
      <c r="R167" s="20" t="s">
        <v>28</v>
      </c>
      <c r="S167" s="20" t="s">
        <v>11</v>
      </c>
    </row>
  </sheetData>
  <sortState ref="B33:E54">
    <sortCondition ref="B33"/>
  </sortState>
  <mergeCells count="24">
    <mergeCell ref="U3:X3"/>
    <mergeCell ref="U12:X12"/>
    <mergeCell ref="B58:F58"/>
    <mergeCell ref="S57:T57"/>
    <mergeCell ref="Q166:S166"/>
    <mergeCell ref="L98:M98"/>
    <mergeCell ref="O131:P131"/>
    <mergeCell ref="R143:S143"/>
    <mergeCell ref="H31:O31"/>
    <mergeCell ref="Q146:S146"/>
    <mergeCell ref="R150:S150"/>
    <mergeCell ref="Q153:S153"/>
    <mergeCell ref="O96:Q96"/>
    <mergeCell ref="B31:F31"/>
    <mergeCell ref="C3:F3"/>
    <mergeCell ref="Q31:R31"/>
    <mergeCell ref="Q38:R38"/>
    <mergeCell ref="H57:O57"/>
    <mergeCell ref="B84:J84"/>
    <mergeCell ref="I3:L3"/>
    <mergeCell ref="C15:F15"/>
    <mergeCell ref="I15:L15"/>
    <mergeCell ref="O3:R3"/>
    <mergeCell ref="O15:R15"/>
  </mergeCells>
  <pageMargins left="0.7" right="0.7" top="0.75" bottom="0.75" header="0.3" footer="0.3"/>
  <pageSetup paperSize="9" orientation="portrait" r:id="rId1"/>
  <ignoredErrors>
    <ignoredError sqref="Q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2022-12-11T05:17:33Z</dcterms:created>
  <dcterms:modified xsi:type="dcterms:W3CDTF">2023-01-23T08:46:57Z</dcterms:modified>
</cp:coreProperties>
</file>