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sarst\Google Drive (sarsteg@gmail.com)\Data Analytics\Udemy\Microsoft Excel Dashboard Design\Excel+Dashboard+Datasets\"/>
    </mc:Choice>
  </mc:AlternateContent>
  <xr:revisionPtr revIDLastSave="0" documentId="13_ncr:1_{A9EC441F-4149-452E-AD26-83098913545D}" xr6:coauthVersionLast="47" xr6:coauthVersionMax="47" xr10:uidLastSave="{00000000-0000-0000-0000-000000000000}"/>
  <workbookProtection lockStructure="1"/>
  <bookViews>
    <workbookView xWindow="-100" yWindow="40" windowWidth="21880" windowHeight="13680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state="hidden" r:id="rId4"/>
    <sheet name="New Data (Sep 2021)" sheetId="18" state="hidden" r:id="rId5"/>
  </sheets>
  <definedNames>
    <definedName name="_xlnm._FilterDatabase" localSheetId="0" hidden="1">Data!$A$1:$J$4795</definedName>
    <definedName name="Current_Month">'Data Prep'!$B$9</definedName>
    <definedName name="Current_Year">'Data Prep'!$B$8</definedName>
    <definedName name="PM_Year">'Data Prep'!$B$12</definedName>
    <definedName name="Previous_Month">'Data Prep'!$B$11</definedName>
    <definedName name="Previous_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3" l="1"/>
  <c r="B3" i="22"/>
  <c r="B8" i="22"/>
  <c r="B9" i="22" s="1"/>
  <c r="K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K8" i="22"/>
  <c r="K7" i="22"/>
  <c r="K14" i="22"/>
  <c r="K6" i="22"/>
  <c r="K3" i="22"/>
  <c r="K13" i="22"/>
  <c r="K5" i="22"/>
  <c r="K12" i="22"/>
  <c r="AB6" i="22"/>
  <c r="AB23" i="22"/>
  <c r="AB16" i="22"/>
  <c r="AB5" i="22"/>
  <c r="N7" i="22"/>
  <c r="AB20" i="22"/>
  <c r="N8" i="22"/>
  <c r="N10" i="22"/>
  <c r="AB33" i="22"/>
  <c r="AB26" i="22"/>
  <c r="AB12" i="22"/>
  <c r="AB8" i="22"/>
  <c r="N3" i="22"/>
  <c r="AB36" i="22"/>
  <c r="AB29" i="22"/>
  <c r="AB22" i="22"/>
  <c r="AB19" i="22"/>
  <c r="AB15" i="22"/>
  <c r="AB4" i="22"/>
  <c r="AB17" i="22"/>
  <c r="AB30" i="22"/>
  <c r="AB9" i="22"/>
  <c r="N6" i="22"/>
  <c r="N12" i="22"/>
  <c r="AB32" i="22"/>
  <c r="AB25" i="22"/>
  <c r="AB11" i="22"/>
  <c r="AB7" i="22"/>
  <c r="N9" i="22"/>
  <c r="AB27" i="22"/>
  <c r="AB28" i="22"/>
  <c r="AB18" i="22"/>
  <c r="AB14" i="22"/>
  <c r="AB3" i="22"/>
  <c r="AB34" i="22"/>
  <c r="AB13" i="22"/>
  <c r="N4" i="22"/>
  <c r="N11" i="22"/>
  <c r="N5" i="22"/>
  <c r="AB35" i="22"/>
  <c r="AB31" i="22"/>
  <c r="AB24" i="22"/>
  <c r="AB21" i="22"/>
  <c r="AB10" i="22"/>
  <c r="J14" i="22"/>
  <c r="J13" i="22"/>
  <c r="J12" i="22"/>
  <c r="J11" i="22"/>
  <c r="K11" i="22" s="1"/>
  <c r="B11" i="22"/>
  <c r="B12" i="22"/>
  <c r="E2" i="22"/>
  <c r="B10" i="22"/>
  <c r="I2" i="22" s="1"/>
  <c r="J2" i="22"/>
  <c r="J7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J10" i="22" l="1"/>
  <c r="K10" i="22" s="1"/>
  <c r="Q3" i="22"/>
  <c r="AC17" i="22"/>
  <c r="AC9" i="22"/>
  <c r="AC6" i="22"/>
  <c r="AD6" i="22" s="1"/>
  <c r="AC10" i="22"/>
  <c r="AD10" i="22" s="1"/>
  <c r="AC21" i="22"/>
  <c r="AD21" i="22" s="1"/>
  <c r="AC24" i="22"/>
  <c r="AD24" i="22" s="1"/>
  <c r="AC31" i="22"/>
  <c r="AD31" i="22" s="1"/>
  <c r="AC35" i="22"/>
  <c r="AD35" i="22" s="1"/>
  <c r="O5" i="22"/>
  <c r="P5" i="22" s="1"/>
  <c r="O11" i="22"/>
  <c r="O4" i="22"/>
  <c r="P4" i="22" s="1"/>
  <c r="AC5" i="22"/>
  <c r="AD5" i="22" s="1"/>
  <c r="AC23" i="22"/>
  <c r="AD23" i="22" s="1"/>
  <c r="O7" i="22"/>
  <c r="P7" i="22" s="1"/>
  <c r="AC14" i="22"/>
  <c r="AD14" i="22" s="1"/>
  <c r="AC18" i="22"/>
  <c r="AD18" i="22" s="1"/>
  <c r="AC28" i="22"/>
  <c r="AD28" i="22" s="1"/>
  <c r="O3" i="22"/>
  <c r="P3" i="22" s="1"/>
  <c r="AC34" i="22"/>
  <c r="AD34" i="22" s="1"/>
  <c r="AC7" i="22"/>
  <c r="AD7" i="22" s="1"/>
  <c r="AC11" i="22"/>
  <c r="AD11" i="22" s="1"/>
  <c r="AC25" i="22"/>
  <c r="AD25" i="22" s="1"/>
  <c r="AC32" i="22"/>
  <c r="AD32" i="22" s="1"/>
  <c r="O12" i="22"/>
  <c r="P12" i="22" s="1"/>
  <c r="O6" i="22"/>
  <c r="P6" i="22" s="1"/>
  <c r="AC16" i="22"/>
  <c r="AD16" i="22" s="1"/>
  <c r="AC3" i="22"/>
  <c r="AD3" i="22" s="1"/>
  <c r="AC13" i="22"/>
  <c r="AD13" i="22" s="1"/>
  <c r="AC30" i="22"/>
  <c r="AD30" i="22" s="1"/>
  <c r="AC4" i="22"/>
  <c r="AD4" i="22" s="1"/>
  <c r="AC15" i="22"/>
  <c r="AD15" i="22" s="1"/>
  <c r="AC19" i="22"/>
  <c r="AD19" i="22" s="1"/>
  <c r="AC22" i="22"/>
  <c r="AD22" i="22" s="1"/>
  <c r="AC29" i="22"/>
  <c r="AD29" i="22" s="1"/>
  <c r="AC36" i="22"/>
  <c r="AD36" i="22" s="1"/>
  <c r="AC20" i="22"/>
  <c r="AD20" i="22" s="1"/>
  <c r="O9" i="22"/>
  <c r="P9" i="22" s="1"/>
  <c r="AC8" i="22"/>
  <c r="AD8" i="22" s="1"/>
  <c r="AC12" i="22"/>
  <c r="AD12" i="22" s="1"/>
  <c r="AC26" i="22"/>
  <c r="AD26" i="22" s="1"/>
  <c r="AC33" i="22"/>
  <c r="AD33" i="22" s="1"/>
  <c r="O10" i="22"/>
  <c r="P10" i="22" s="1"/>
  <c r="O8" i="22"/>
  <c r="P8" i="22" s="1"/>
  <c r="AC27" i="22"/>
  <c r="AD27" i="22" s="1"/>
  <c r="Q10" i="22"/>
  <c r="Q6" i="22"/>
  <c r="Q8" i="22"/>
  <c r="Q11" i="22"/>
  <c r="P11" i="22"/>
  <c r="AD9" i="22"/>
  <c r="Q5" i="22"/>
  <c r="Q4" i="22"/>
  <c r="Q9" i="22"/>
  <c r="Q12" i="22"/>
  <c r="Q7" i="22"/>
  <c r="AD17" i="22"/>
  <c r="J4" i="22"/>
  <c r="E4" i="22"/>
  <c r="E6" i="22" s="1"/>
  <c r="J5" i="22"/>
  <c r="J8" i="22"/>
  <c r="J9" i="22"/>
  <c r="K9" i="22" s="1"/>
  <c r="J6" i="22"/>
  <c r="J3" i="22"/>
  <c r="I9" i="22"/>
  <c r="I10" i="22"/>
  <c r="I11" i="22"/>
  <c r="I6" i="22"/>
  <c r="I7" i="22"/>
  <c r="I4" i="22"/>
  <c r="I12" i="22"/>
  <c r="I3" i="22"/>
  <c r="I5" i="22"/>
  <c r="I13" i="22"/>
  <c r="I14" i="22"/>
  <c r="I8" i="22"/>
  <c r="E3" i="22"/>
  <c r="E5" i="22" s="1"/>
  <c r="T4" i="22" l="1"/>
  <c r="U4" i="22" s="1"/>
  <c r="W4" i="22"/>
  <c r="Y4" i="22" s="1"/>
  <c r="V4" i="22"/>
  <c r="T8" i="22"/>
  <c r="U8" i="22" s="1"/>
  <c r="Y8" i="22" s="1"/>
  <c r="B18" i="23"/>
  <c r="F6" i="22"/>
  <c r="D18" i="23"/>
  <c r="F5" i="22"/>
  <c r="X4" i="22"/>
  <c r="X8" i="22"/>
  <c r="V12" i="22"/>
  <c r="V8" i="22"/>
  <c r="V11" i="22"/>
  <c r="T6" i="22"/>
  <c r="U6" i="22" s="1"/>
  <c r="V7" i="22"/>
  <c r="V10" i="22"/>
  <c r="V9" i="22"/>
  <c r="AF35" i="22"/>
  <c r="AE35" i="22"/>
  <c r="AF12" i="22"/>
  <c r="AE12" i="22"/>
  <c r="AF31" i="22"/>
  <c r="AE31" i="22"/>
  <c r="AF8" i="22"/>
  <c r="AE8" i="22"/>
  <c r="AE18" i="22"/>
  <c r="AF18" i="22"/>
  <c r="AF27" i="22"/>
  <c r="AE27" i="22"/>
  <c r="AF20" i="22"/>
  <c r="AE20" i="22"/>
  <c r="AE13" i="22"/>
  <c r="AF13" i="22"/>
  <c r="AF19" i="22"/>
  <c r="AE19" i="22"/>
  <c r="AF36" i="22"/>
  <c r="AE36" i="22"/>
  <c r="AF3" i="22"/>
  <c r="AE3" i="22"/>
  <c r="AE26" i="22"/>
  <c r="AF26" i="22"/>
  <c r="AE33" i="22"/>
  <c r="AF33" i="22"/>
  <c r="AF15" i="22"/>
  <c r="AE15" i="22"/>
  <c r="AE21" i="22"/>
  <c r="AF21" i="22"/>
  <c r="AE22" i="22"/>
  <c r="AF22" i="22"/>
  <c r="AF32" i="22"/>
  <c r="AE32" i="22"/>
  <c r="V6" i="22"/>
  <c r="V5" i="22"/>
  <c r="V3" i="22"/>
  <c r="AE25" i="22"/>
  <c r="AF25" i="22"/>
  <c r="AE5" i="22"/>
  <c r="AF5" i="22"/>
  <c r="AE29" i="22"/>
  <c r="AF29" i="22"/>
  <c r="AF24" i="22"/>
  <c r="AE24" i="22"/>
  <c r="T3" i="22"/>
  <c r="U3" i="22" s="1"/>
  <c r="T11" i="22"/>
  <c r="U11" i="22" s="1"/>
  <c r="T9" i="22"/>
  <c r="U9" i="22" s="1"/>
  <c r="AE30" i="22"/>
  <c r="AF30" i="22"/>
  <c r="T5" i="22"/>
  <c r="U5" i="22" s="1"/>
  <c r="W12" i="22"/>
  <c r="W11" i="22"/>
  <c r="AE10" i="22"/>
  <c r="AF10" i="22"/>
  <c r="AE17" i="22"/>
  <c r="AF17" i="22"/>
  <c r="AF28" i="22"/>
  <c r="AE28" i="22"/>
  <c r="AE6" i="22"/>
  <c r="AF6" i="22"/>
  <c r="AE34" i="22"/>
  <c r="AF34" i="22"/>
  <c r="W9" i="22"/>
  <c r="W7" i="22"/>
  <c r="AE9" i="22"/>
  <c r="AF9" i="22"/>
  <c r="W10" i="22"/>
  <c r="W5" i="22"/>
  <c r="W3" i="22"/>
  <c r="AF4" i="22"/>
  <c r="AE4" i="22"/>
  <c r="AF16" i="22"/>
  <c r="AE16" i="22"/>
  <c r="T7" i="22"/>
  <c r="U7" i="22" s="1"/>
  <c r="W8" i="22"/>
  <c r="AE14" i="22"/>
  <c r="AF14" i="22"/>
  <c r="AF7" i="22"/>
  <c r="AE7" i="22"/>
  <c r="W6" i="22"/>
  <c r="T12" i="22"/>
  <c r="U12" i="22" s="1"/>
  <c r="T10" i="22"/>
  <c r="U10" i="22" s="1"/>
  <c r="AF23" i="22"/>
  <c r="AE23" i="22"/>
  <c r="AF11" i="22"/>
  <c r="AE11" i="22"/>
  <c r="Y6" i="22" l="1"/>
  <c r="X6" i="22"/>
  <c r="X9" i="22"/>
  <c r="Y9" i="22"/>
  <c r="X7" i="22"/>
  <c r="Y7" i="22"/>
  <c r="Y5" i="22"/>
  <c r="X5" i="22"/>
  <c r="Y10" i="22"/>
  <c r="X10" i="22"/>
  <c r="Y12" i="22"/>
  <c r="X12" i="22"/>
  <c r="Y11" i="22"/>
  <c r="X11" i="22"/>
  <c r="Y3" i="22"/>
  <c r="X3" i="22"/>
  <c r="AJ14" i="22"/>
  <c r="W30" i="23" s="1"/>
  <c r="AI12" i="22"/>
  <c r="V28" i="23" s="1"/>
  <c r="AK14" i="22"/>
  <c r="X30" i="23" s="1"/>
  <c r="AJ11" i="22"/>
  <c r="W27" i="23" s="1"/>
  <c r="AJ12" i="22"/>
  <c r="W28" i="23" s="1"/>
  <c r="AI15" i="22"/>
  <c r="V31" i="23" s="1"/>
  <c r="AJ13" i="22"/>
  <c r="W29" i="23" s="1"/>
  <c r="AK12" i="22"/>
  <c r="X28" i="23" s="1"/>
  <c r="AJ15" i="22"/>
  <c r="W31" i="23" s="1"/>
  <c r="AK15" i="22"/>
  <c r="X31" i="23" s="1"/>
  <c r="AK11" i="22"/>
  <c r="X27" i="23" s="1"/>
  <c r="AI13" i="22"/>
  <c r="V29" i="23" s="1"/>
  <c r="AK13" i="22"/>
  <c r="X29" i="23" s="1"/>
  <c r="AI14" i="22"/>
  <c r="V30" i="23" s="1"/>
  <c r="AI11" i="22"/>
  <c r="V27" i="23" s="1"/>
  <c r="AI4" i="22"/>
  <c r="V16" i="23" s="1"/>
  <c r="AK6" i="22"/>
  <c r="X18" i="23" s="1"/>
  <c r="AJ6" i="22"/>
  <c r="W18" i="23" s="1"/>
  <c r="AJ4" i="22"/>
  <c r="W16" i="23" s="1"/>
  <c r="AI7" i="22"/>
  <c r="V19" i="23" s="1"/>
  <c r="AK4" i="22"/>
  <c r="X16" i="23" s="1"/>
  <c r="AJ7" i="22"/>
  <c r="W19" i="23" s="1"/>
  <c r="AI5" i="22"/>
  <c r="V17" i="23" s="1"/>
  <c r="AK7" i="22"/>
  <c r="X19" i="23" s="1"/>
  <c r="AJ5" i="22"/>
  <c r="W17" i="23" s="1"/>
  <c r="AJ3" i="22"/>
  <c r="W15" i="23" s="1"/>
  <c r="AI3" i="22"/>
  <c r="V15" i="23" s="1"/>
  <c r="AK5" i="22"/>
  <c r="X17" i="23" s="1"/>
  <c r="AK3" i="22"/>
  <c r="X15" i="23" s="1"/>
  <c r="AI6" i="22"/>
  <c r="V18" i="23" s="1"/>
  <c r="X20" i="23" l="1"/>
  <c r="X32" i="23"/>
</calcChain>
</file>

<file path=xl/sharedStrings.xml><?xml version="1.0" encoding="utf-8"?>
<sst xmlns="http://schemas.openxmlformats.org/spreadsheetml/2006/main" count="25518" uniqueCount="126">
  <si>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</si>
  <si>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</si>
  <si>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</si>
  <si>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</si>
  <si>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</si>
  <si>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</si>
  <si>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</si>
  <si>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</si>
  <si>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</si>
  <si>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</si>
  <si>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</si>
  <si>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</si>
  <si>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</si>
  <si>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</si>
  <si>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</si>
  <si>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</si>
  <si>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</si>
  <si>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</si>
  <si>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</si>
  <si>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</si>
  <si>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</si>
  <si>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</si>
  <si>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</si>
  <si>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</si>
  <si>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</si>
  <si>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</si>
  <si>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</si>
  <si>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</si>
  <si>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</si>
  <si>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</si>
  <si>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</si>
  <si>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</si>
  <si>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</si>
  <si>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</si>
  <si>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</si>
  <si>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</si>
  <si>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</si>
  <si>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</si>
  <si>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</si>
  <si>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</si>
  <si>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</si>
  <si>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</si>
  <si>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</si>
  <si>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</si>
  <si>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</si>
  <si>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</si>
  <si>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</si>
  <si>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</si>
  <si>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</si>
  <si>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</si>
  <si>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</si>
  <si>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</si>
  <si>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</si>
  <si>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</si>
  <si>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</si>
  <si>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</si>
  <si>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</si>
  <si>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</si>
  <si>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</si>
  <si>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</si>
  <si>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</si>
  <si>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</si>
  <si>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</si>
  <si>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</si>
  <si>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</si>
  <si>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</si>
  <si>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</si>
  <si>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</si>
  <si>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</si>
  <si>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</si>
  <si>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</si>
  <si>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</si>
  <si>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</si>
  <si>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</si>
  <si>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</si>
  <si>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</si>
  <si>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</si>
  <si>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</si>
  <si>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</si>
  <si>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</si>
  <si>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</si>
  <si>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</si>
  <si>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KPIs</t>
  </si>
  <si>
    <t>Total Revenue</t>
  </si>
  <si>
    <t>Previous Year Revenue</t>
  </si>
  <si>
    <t>Year calculation for Previous Month</t>
  </si>
  <si>
    <t>Year over Year (YoY) %Δ</t>
  </si>
  <si>
    <t>Month over Month (MoM) %Δ</t>
  </si>
  <si>
    <t>REVENUE TREND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</si>
  <si>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</si>
  <si>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</si>
  <si>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</si>
  <si>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</si>
  <si>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</si>
  <si>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</si>
  <si>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</si>
  <si>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</si>
  <si>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</si>
  <si>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Previous Month Revenue</t>
  </si>
  <si>
    <t>MoM %Δ</t>
  </si>
  <si>
    <t>Rank</t>
  </si>
  <si>
    <t>STORE PERFORMANCE (RANKED)</t>
  </si>
  <si>
    <t>PRODUCT PERFORMANCE</t>
  </si>
  <si>
    <t>Product</t>
  </si>
  <si>
    <t>PM Revenue</t>
  </si>
  <si>
    <t>MoM Δ</t>
  </si>
  <si>
    <t>Rank (+)</t>
  </si>
  <si>
    <t>Rank (-)</t>
  </si>
  <si>
    <t>TOP PERFORMING PRODUCTS</t>
  </si>
  <si>
    <t>LOWEST PERFORMING PRODUCTS</t>
  </si>
  <si>
    <t>How did</t>
  </si>
  <si>
    <t>Current Period</t>
  </si>
  <si>
    <t>Month #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</si>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</sst>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6" formatCode="mm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8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1" fillId="6" borderId="0" xfId="0" applyFont="1" applyFill="1"/>
    <xf numFmtId="0" fontId="3" fillId="5" borderId="0" xfId="0" applyFont="1" applyFill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3" fillId="7" borderId="0" xfId="0" applyFont="1" applyFill="1" applyAlignment="1">
      <alignment horizontal="centerContinuous"/>
    </xf>
    <xf numFmtId="0" fontId="1" fillId="7" borderId="0" xfId="0" applyFont="1" applyFill="1" applyAlignment="1">
      <alignment horizontal="centerContinuous"/>
    </xf>
    <xf numFmtId="0" fontId="1" fillId="8" borderId="0" xfId="0" applyFont="1" applyFill="1"/>
    <xf numFmtId="0" fontId="3" fillId="10" borderId="0" xfId="0" applyFont="1" applyFill="1" applyAlignment="1">
      <alignment horizontal="centerContinuous"/>
    </xf>
    <xf numFmtId="0" fontId="1" fillId="10" borderId="0" xfId="0" applyFont="1" applyFill="1" applyAlignment="1">
      <alignment horizontal="centerContinuous"/>
    </xf>
    <xf numFmtId="0" fontId="1" fillId="11" borderId="0" xfId="0" applyFont="1" applyFill="1"/>
    <xf numFmtId="166" fontId="1" fillId="0" borderId="0" xfId="0" applyNumberFormat="1" applyFont="1"/>
    <xf numFmtId="9" fontId="0" fillId="0" borderId="0" xfId="1" applyFont="1"/>
    <xf numFmtId="165" fontId="1" fillId="9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5" fillId="0" borderId="2" xfId="0" applyFont="1" applyFill="1" applyBorder="1"/>
    <xf numFmtId="0" fontId="6" fillId="0" borderId="2" xfId="0" applyFont="1" applyBorder="1"/>
    <xf numFmtId="164" fontId="6" fillId="0" borderId="2" xfId="0" applyNumberFormat="1" applyFont="1" applyBorder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0" fillId="12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F4343"/>
      <color rgb="FFF98386"/>
      <color rgb="FFF9777A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B5-4962-952C-2C325AA454D1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B5-4962-952C-2C325AA454D1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9FD-9D07-7FAC902B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735944"/>
        <c:axId val="680728400"/>
      </c:lineChart>
      <c:catAx>
        <c:axId val="68073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</a:t>
                </a:r>
              </a:p>
            </c:rich>
          </c:tx>
          <c:layout>
            <c:manualLayout>
              <c:xMode val="edge"/>
              <c:yMode val="edge"/>
              <c:x val="0.17619644926208028"/>
              <c:y val="0.90048727149597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28400"/>
        <c:crosses val="autoZero"/>
        <c:auto val="1"/>
        <c:lblAlgn val="ctr"/>
        <c:lblOffset val="100"/>
        <c:noMultiLvlLbl val="0"/>
      </c:catAx>
      <c:valAx>
        <c:axId val="680728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Revenue</a:t>
                </a:r>
              </a:p>
            </c:rich>
          </c:tx>
          <c:layout>
            <c:manualLayout>
              <c:xMode val="edge"/>
              <c:yMode val="edge"/>
              <c:x val="2.4509845488782538E-2"/>
              <c:y val="2.38882884850557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in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3594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86599802075739"/>
          <c:y val="3.4188034188034191E-2"/>
          <c:w val="0.73313400197924261"/>
          <c:h val="0.884366622004417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5-44C9-A887-BE3AE476E254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017-96C4-BD57DFE7A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634091896"/>
        <c:axId val="634091240"/>
      </c:barChart>
      <c:catAx>
        <c:axId val="63409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1240"/>
        <c:crosses val="autoZero"/>
        <c:auto val="1"/>
        <c:lblAlgn val="ctr"/>
        <c:lblOffset val="100"/>
        <c:noMultiLvlLbl val="0"/>
      </c:catAx>
      <c:valAx>
        <c:axId val="634091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Revenue</a:t>
                </a:r>
              </a:p>
            </c:rich>
          </c:tx>
          <c:layout>
            <c:manualLayout>
              <c:xMode val="edge"/>
              <c:yMode val="edge"/>
              <c:x val="0.26692648679375119"/>
              <c:y val="0.91855468066491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6340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094121922753405E-2"/>
          <c:y val="3.4201317228111767E-2"/>
          <c:w val="0.93590587807724646"/>
          <c:h val="0.884321695092686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BFBFBF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BFB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56F-460E-9572-59D7C7836D0A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1F4E79"/>
            </a:solidFill>
            <a:ln>
              <a:noFill/>
            </a:ln>
            <a:effectLst/>
          </c:spPr>
          <c:invertIfNegative val="1"/>
          <c:dLbls>
            <c:numFmt formatCode="#%;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6BC-44E6-943D-3A156655F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634091896"/>
        <c:axId val="634091240"/>
      </c:barChart>
      <c:catAx>
        <c:axId val="6340918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91240"/>
        <c:crosses val="autoZero"/>
        <c:auto val="1"/>
        <c:lblAlgn val="ctr"/>
        <c:lblOffset val="100"/>
        <c:noMultiLvlLbl val="0"/>
      </c:catAx>
      <c:valAx>
        <c:axId val="6340912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MoM %</a:t>
                </a:r>
                <a:r>
                  <a:rPr lang="el-GR" sz="1200"/>
                  <a:t>Δ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3853922300364245"/>
              <c:y val="0.92862796619636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6340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171873</xdr:colOff>
          <xdr:row>15</xdr:row>
          <xdr:rowOff>107950</xdr:rowOff>
        </xdr:from>
        <xdr:to>
          <xdr:col>3</xdr:col>
          <xdr:colOff>762000</xdr:colOff>
          <xdr:row>17</xdr:row>
          <xdr:rowOff>69850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6488B0E3-6E60-C6BF-9B68-9A3D9D8A17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11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03923" y="2870200"/>
              <a:ext cx="1199727" cy="330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743373</xdr:colOff>
          <xdr:row>15</xdr:row>
          <xdr:rowOff>127000</xdr:rowOff>
        </xdr:from>
        <xdr:to>
          <xdr:col>3</xdr:col>
          <xdr:colOff>1943100</xdr:colOff>
          <xdr:row>17</xdr:row>
          <xdr:rowOff>88900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A9E22627-44BB-D51E-0195-E276AB8BBE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111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785023" y="2889250"/>
              <a:ext cx="1199727" cy="330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3629</xdr:colOff>
      <xdr:row>0</xdr:row>
      <xdr:rowOff>171450</xdr:rowOff>
    </xdr:from>
    <xdr:to>
      <xdr:col>9</xdr:col>
      <xdr:colOff>236362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140E-D3D4-BC71-91E3-71C13B600A8C}"/>
            </a:ext>
          </a:extLst>
        </xdr:cNvPr>
        <xdr:cNvSpPr txBox="1"/>
      </xdr:nvSpPr>
      <xdr:spPr>
        <a:xfrm>
          <a:off x="203200" y="171450"/>
          <a:ext cx="7280729" cy="735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 b="1">
              <a:solidFill>
                <a:schemeClr val="tx1">
                  <a:lumMod val="75000"/>
                  <a:lumOff val="25000"/>
                </a:schemeClr>
              </a:solidFill>
            </a:rPr>
            <a:t>Regional Revenue Dashboard</a:t>
          </a:r>
        </a:p>
      </xdr:txBody>
    </xdr:sp>
    <xdr:clientData/>
  </xdr:twoCellAnchor>
  <xdr:twoCellAnchor editAs="absolute">
    <xdr:from>
      <xdr:col>1</xdr:col>
      <xdr:colOff>0</xdr:colOff>
      <xdr:row>8</xdr:row>
      <xdr:rowOff>134560</xdr:rowOff>
    </xdr:from>
    <xdr:to>
      <xdr:col>24</xdr:col>
      <xdr:colOff>198564</xdr:colOff>
      <xdr:row>8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C2037E-4AF3-E7CF-A93E-D40DFA0CD222}"/>
            </a:ext>
          </a:extLst>
        </xdr:cNvPr>
        <xdr:cNvCxnSpPr/>
      </xdr:nvCxnSpPr>
      <xdr:spPr>
        <a:xfrm>
          <a:off x="206375" y="1780268"/>
          <a:ext cx="17811750" cy="13607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absolute">
    <xdr:from>
      <xdr:col>21</xdr:col>
      <xdr:colOff>73680</xdr:colOff>
      <xdr:row>10</xdr:row>
      <xdr:rowOff>50219</xdr:rowOff>
    </xdr:from>
    <xdr:to>
      <xdr:col>24</xdr:col>
      <xdr:colOff>285016</xdr:colOff>
      <xdr:row>12</xdr:row>
      <xdr:rowOff>116416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9A3A50-CEF8-3903-7994-8A3F525EE390}"/>
            </a:ext>
          </a:extLst>
        </xdr:cNvPr>
        <xdr:cNvSpPr txBox="1"/>
      </xdr:nvSpPr>
      <xdr:spPr>
        <a:xfrm>
          <a:off x="13706020" y="1965802"/>
          <a:ext cx="4562599" cy="426031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</a:rPr>
            <a:t>Products</a:t>
          </a:r>
          <a:r>
            <a:rPr lang="en-US" sz="2000" b="1" baseline="0">
              <a:solidFill>
                <a:schemeClr val="tx1">
                  <a:lumMod val="75000"/>
                  <a:lumOff val="25000"/>
                </a:schemeClr>
              </a:solidFill>
            </a:rPr>
            <a:t> that </a:t>
          </a:r>
          <a:r>
            <a:rPr lang="en-US" sz="20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endParaRPr lang="en-US" sz="2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5</xdr:col>
      <xdr:colOff>493991</xdr:colOff>
      <xdr:row>10</xdr:row>
      <xdr:rowOff>17234</xdr:rowOff>
    </xdr:from>
    <xdr:to>
      <xdr:col>20</xdr:col>
      <xdr:colOff>100289</xdr:colOff>
      <xdr:row>12</xdr:row>
      <xdr:rowOff>99787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AAE906-1E4D-78FD-B821-97BC52716D1C}"/>
            </a:ext>
          </a:extLst>
        </xdr:cNvPr>
        <xdr:cNvSpPr txBox="1"/>
      </xdr:nvSpPr>
      <xdr:spPr>
        <a:xfrm>
          <a:off x="5310415" y="1949448"/>
          <a:ext cx="7924799" cy="445410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</a:rPr>
            <a:t>How </a:t>
          </a:r>
          <a:r>
            <a:rPr lang="en-US" sz="2000" b="1">
              <a:solidFill>
                <a:schemeClr val="accent5">
                  <a:lumMod val="50000"/>
                </a:schemeClr>
              </a:solidFill>
            </a:rPr>
            <a:t>our</a:t>
          </a:r>
          <a:r>
            <a:rPr lang="en-US" sz="2000" b="1" baseline="0">
              <a:solidFill>
                <a:schemeClr val="accent5">
                  <a:lumMod val="50000"/>
                </a:schemeClr>
              </a:solidFill>
            </a:rPr>
            <a:t> stores </a:t>
          </a:r>
          <a:r>
            <a:rPr lang="en-US" sz="2000" b="1" baseline="0">
              <a:solidFill>
                <a:schemeClr val="tx1">
                  <a:lumMod val="75000"/>
                  <a:lumOff val="25000"/>
                </a:schemeClr>
              </a:solidFill>
            </a:rPr>
            <a:t>ranked compared to </a:t>
          </a:r>
          <a:r>
            <a:rPr lang="en-US" sz="2000" b="1" baseline="0">
              <a:solidFill>
                <a:schemeClr val="tx1">
                  <a:lumMod val="50000"/>
                  <a:lumOff val="50000"/>
                </a:schemeClr>
              </a:solidFill>
            </a:rPr>
            <a:t>other regions</a:t>
          </a:r>
          <a:endParaRPr lang="en-US" sz="20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3</xdr:col>
      <xdr:colOff>281215</xdr:colOff>
      <xdr:row>16</xdr:row>
      <xdr:rowOff>250973</xdr:rowOff>
    </xdr:from>
    <xdr:to>
      <xdr:col>4</xdr:col>
      <xdr:colOff>1188357</xdr:colOff>
      <xdr:row>18</xdr:row>
      <xdr:rowOff>243917</xdr:rowOff>
    </xdr:to>
    <xdr:sp macro="" textlink="'Data Prep'!$E$5">
      <xdr:nvSpPr>
        <xdr:cNvPr id="44" name="Rectangle 43">
          <a:extLst>
            <a:ext uri="{FF2B5EF4-FFF2-40B4-BE49-F238E27FC236}">
              <a16:creationId xmlns:a16="http://schemas.microsoft.com/office/drawing/2014/main" id="{362C3D00-670E-302D-0010-8064897807B1}"/>
            </a:ext>
          </a:extLst>
        </xdr:cNvPr>
        <xdr:cNvSpPr/>
      </xdr:nvSpPr>
      <xdr:spPr>
        <a:xfrm>
          <a:off x="2739572" y="3716259"/>
          <a:ext cx="2004785" cy="646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AD52D85-CEED-450D-95CD-357F327205E0}" type="TxLink">
            <a:rPr lang="en-US" sz="4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45.3%</a:t>
          </a:fld>
          <a:endParaRPr lang="en-US" sz="4000"/>
        </a:p>
      </xdr:txBody>
    </xdr:sp>
    <xdr:clientData/>
  </xdr:twoCellAnchor>
  <xdr:twoCellAnchor>
    <xdr:from>
      <xdr:col>1</xdr:col>
      <xdr:colOff>299357</xdr:colOff>
      <xdr:row>16</xdr:row>
      <xdr:rowOff>250973</xdr:rowOff>
    </xdr:from>
    <xdr:to>
      <xdr:col>3</xdr:col>
      <xdr:colOff>18143</xdr:colOff>
      <xdr:row>18</xdr:row>
      <xdr:rowOff>243917</xdr:rowOff>
    </xdr:to>
    <xdr:sp macro="" textlink="'Data Prep'!$E$6">
      <xdr:nvSpPr>
        <xdr:cNvPr id="45" name="Rectangle 44">
          <a:extLst>
            <a:ext uri="{FF2B5EF4-FFF2-40B4-BE49-F238E27FC236}">
              <a16:creationId xmlns:a16="http://schemas.microsoft.com/office/drawing/2014/main" id="{49443A7F-36FC-4BA4-82B9-36CB24411C33}"/>
            </a:ext>
          </a:extLst>
        </xdr:cNvPr>
        <xdr:cNvSpPr/>
      </xdr:nvSpPr>
      <xdr:spPr>
        <a:xfrm>
          <a:off x="498928" y="3716259"/>
          <a:ext cx="1977572" cy="646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0A6C9D70-1E80-47B2-8B6C-9374600AC418}" type="TxLink">
            <a:rPr lang="en-US" sz="4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1.6%</a:t>
          </a:fld>
          <a:endParaRPr lang="en-US" sz="40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absolute">
    <xdr:from>
      <xdr:col>21</xdr:col>
      <xdr:colOff>50589</xdr:colOff>
      <xdr:row>23</xdr:row>
      <xdr:rowOff>142376</xdr:rowOff>
    </xdr:from>
    <xdr:to>
      <xdr:col>24</xdr:col>
      <xdr:colOff>261925</xdr:colOff>
      <xdr:row>23</xdr:row>
      <xdr:rowOff>569919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561DAE-FD85-77FD-32EB-42B7CCDE85F7}"/>
            </a:ext>
          </a:extLst>
        </xdr:cNvPr>
        <xdr:cNvSpPr txBox="1"/>
      </xdr:nvSpPr>
      <xdr:spPr>
        <a:xfrm>
          <a:off x="13682929" y="5423459"/>
          <a:ext cx="4562599" cy="427543"/>
        </a:xfrm>
        <a:prstGeom prst="rect">
          <a:avLst/>
        </a:prstGeom>
        <a:noFill/>
        <a:ln>
          <a:noFill/>
          <a:prstDash val="sys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tx1">
                  <a:lumMod val="75000"/>
                  <a:lumOff val="25000"/>
                </a:schemeClr>
              </a:solidFill>
            </a:rPr>
            <a:t>Products that </a:t>
          </a:r>
          <a:r>
            <a:rPr lang="en-US" sz="2000" b="1">
              <a:solidFill>
                <a:srgbClr val="FF0000"/>
              </a:solidFill>
            </a:rPr>
            <a:t>need improvement</a:t>
          </a:r>
        </a:p>
      </xdr:txBody>
    </xdr:sp>
    <xdr:clientData/>
  </xdr:twoCellAnchor>
  <xdr:twoCellAnchor editAs="absolute">
    <xdr:from>
      <xdr:col>0</xdr:col>
      <xdr:colOff>198725</xdr:colOff>
      <xdr:row>16</xdr:row>
      <xdr:rowOff>110282</xdr:rowOff>
    </xdr:from>
    <xdr:to>
      <xdr:col>4</xdr:col>
      <xdr:colOff>1197086</xdr:colOff>
      <xdr:row>20</xdr:row>
      <xdr:rowOff>28244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FF80258E-C251-6089-C47B-DE7B0707DE06}"/>
            </a:ext>
          </a:extLst>
        </xdr:cNvPr>
        <xdr:cNvGrpSpPr/>
      </xdr:nvGrpSpPr>
      <xdr:grpSpPr>
        <a:xfrm>
          <a:off x="198725" y="3575568"/>
          <a:ext cx="4554361" cy="1206105"/>
          <a:chOff x="195036" y="3621922"/>
          <a:chExt cx="4543778" cy="1215164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AC51317F-98C8-4A33-BFC9-F11E7A66BC20}"/>
              </a:ext>
            </a:extLst>
          </xdr:cNvPr>
          <xdr:cNvCxnSpPr/>
        </xdr:nvCxnSpPr>
        <xdr:spPr>
          <a:xfrm>
            <a:off x="195036" y="3623737"/>
            <a:ext cx="4543778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A1C51A81-F865-464D-BC27-D89BA6C6AC4B}"/>
              </a:ext>
            </a:extLst>
          </xdr:cNvPr>
          <xdr:cNvCxnSpPr>
            <a:endCxn id="3" idx="2"/>
          </xdr:cNvCxnSpPr>
        </xdr:nvCxnSpPr>
        <xdr:spPr>
          <a:xfrm flipH="1">
            <a:off x="2466222" y="3621922"/>
            <a:ext cx="3222" cy="1215164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1</xdr:col>
      <xdr:colOff>1170</xdr:colOff>
      <xdr:row>10</xdr:row>
      <xdr:rowOff>24408</xdr:rowOff>
    </xdr:from>
    <xdr:to>
      <xdr:col>4</xdr:col>
      <xdr:colOff>1190030</xdr:colOff>
      <xdr:row>15</xdr:row>
      <xdr:rowOff>319742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FD032547-39BD-B869-5CED-6DFFE8212C9A}"/>
            </a:ext>
          </a:extLst>
        </xdr:cNvPr>
        <xdr:cNvGrpSpPr/>
      </xdr:nvGrpSpPr>
      <xdr:grpSpPr>
        <a:xfrm>
          <a:off x="200741" y="1956622"/>
          <a:ext cx="4545289" cy="1501834"/>
          <a:chOff x="199572" y="1956614"/>
          <a:chExt cx="4535714" cy="1508681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B03357B-0155-0619-B07B-37A40D6E4E44}"/>
              </a:ext>
            </a:extLst>
          </xdr:cNvPr>
          <xdr:cNvSpPr txBox="1"/>
        </xdr:nvSpPr>
        <xdr:spPr>
          <a:xfrm>
            <a:off x="696502" y="1956614"/>
            <a:ext cx="3541856" cy="422007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The</a:t>
            </a:r>
            <a:r>
              <a:rPr lang="en-US" sz="2000" b="1">
                <a:solidFill>
                  <a:schemeClr val="accent5">
                    <a:lumMod val="50000"/>
                  </a:schemeClr>
                </a:solidFill>
                <a:latin typeface="+mn-lt"/>
              </a:rPr>
              <a:t> revenue </a:t>
            </a:r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we drove in...</a:t>
            </a:r>
          </a:p>
        </xdr:txBody>
      </xdr:sp>
      <xdr:sp macro="" textlink="'Data Prep'!$E$2">
        <xdr:nvSpPr>
          <xdr:cNvPr id="17" name="TextBox 16">
            <a:extLst>
              <a:ext uri="{FF2B5EF4-FFF2-40B4-BE49-F238E27FC236}">
                <a16:creationId xmlns:a16="http://schemas.microsoft.com/office/drawing/2014/main" id="{7A752578-2DB3-4FD7-A2BA-CA96AAE8F579}"/>
              </a:ext>
            </a:extLst>
          </xdr:cNvPr>
          <xdr:cNvSpPr txBox="1"/>
        </xdr:nvSpPr>
        <xdr:spPr>
          <a:xfrm>
            <a:off x="199572" y="2140867"/>
            <a:ext cx="4535714" cy="1324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7912E33-EE83-4E2A-9157-D3770C4F9CF1}" type="TxLink">
              <a:rPr lang="en-US" sz="8800" b="0" i="0" u="none" strike="noStrike">
                <a:solidFill>
                  <a:schemeClr val="accent5">
                    <a:lumMod val="50000"/>
                  </a:schemeClr>
                </a:solidFill>
                <a:latin typeface="+mn-lt"/>
                <a:ea typeface="Calibri"/>
                <a:cs typeface="Calibri"/>
              </a:rPr>
              <a:pPr algn="ctr"/>
              <a:t>$50,618</a:t>
            </a:fld>
            <a:endParaRPr lang="en-US" sz="49600">
              <a:solidFill>
                <a:schemeClr val="accent5">
                  <a:lumMod val="50000"/>
                </a:schemeClr>
              </a:solidFill>
              <a:latin typeface="+mn-lt"/>
            </a:endParaRPr>
          </a:p>
        </xdr:txBody>
      </xdr:sp>
    </xdr:grpSp>
    <xdr:clientData/>
  </xdr:twoCellAnchor>
  <xdr:twoCellAnchor editAs="absolute">
    <xdr:from>
      <xdr:col>1</xdr:col>
      <xdr:colOff>1170</xdr:colOff>
      <xdr:row>10</xdr:row>
      <xdr:rowOff>36286</xdr:rowOff>
    </xdr:from>
    <xdr:to>
      <xdr:col>4</xdr:col>
      <xdr:colOff>1190031</xdr:colOff>
      <xdr:row>20</xdr:row>
      <xdr:rowOff>28245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545FAAA-C884-B0E3-1E12-4A7B5FF2F471}"/>
            </a:ext>
          </a:extLst>
        </xdr:cNvPr>
        <xdr:cNvSpPr/>
      </xdr:nvSpPr>
      <xdr:spPr>
        <a:xfrm>
          <a:off x="200741" y="1968500"/>
          <a:ext cx="4545290" cy="2813174"/>
        </a:xfrm>
        <a:prstGeom prst="roundRect">
          <a:avLst>
            <a:gd name="adj" fmla="val 5250"/>
          </a:avLst>
        </a:prstGeom>
        <a:noFill/>
        <a:ln w="2857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281311</xdr:colOff>
      <xdr:row>18</xdr:row>
      <xdr:rowOff>226794</xdr:rowOff>
    </xdr:from>
    <xdr:to>
      <xdr:col>4</xdr:col>
      <xdr:colOff>913654</xdr:colOff>
      <xdr:row>20</xdr:row>
      <xdr:rowOff>8287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D171FEB-0365-1486-28F6-D811DA0A1B48}"/>
            </a:ext>
          </a:extLst>
        </xdr:cNvPr>
        <xdr:cNvGrpSpPr/>
      </xdr:nvGrpSpPr>
      <xdr:grpSpPr>
        <a:xfrm>
          <a:off x="480882" y="4345223"/>
          <a:ext cx="3988772" cy="416493"/>
          <a:chOff x="487302" y="4351564"/>
          <a:chExt cx="3980327" cy="41819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1BB70D1-B9F6-4779-B0FF-5B2BC2352D76}"/>
              </a:ext>
            </a:extLst>
          </xdr:cNvPr>
          <xdr:cNvSpPr txBox="1"/>
        </xdr:nvSpPr>
        <xdr:spPr>
          <a:xfrm>
            <a:off x="487302" y="4351564"/>
            <a:ext cx="1701800" cy="418193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solidFill>
                  <a:schemeClr val="tx1">
                    <a:lumMod val="75000"/>
                    <a:lumOff val="25000"/>
                  </a:schemeClr>
                </a:solidFill>
              </a:rPr>
              <a:t>vs. Last Month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9A6726C7-6A72-44E3-87ED-47D004A72C1C}"/>
              </a:ext>
            </a:extLst>
          </xdr:cNvPr>
          <xdr:cNvSpPr txBox="1"/>
        </xdr:nvSpPr>
        <xdr:spPr>
          <a:xfrm>
            <a:off x="2765829" y="4351564"/>
            <a:ext cx="1701800" cy="418193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solidFill>
                  <a:schemeClr val="tx1">
                    <a:lumMod val="75000"/>
                    <a:lumOff val="25000"/>
                  </a:schemeClr>
                </a:solidFill>
              </a:rPr>
              <a:t>vs.</a:t>
            </a:r>
            <a:r>
              <a:rPr lang="en-US" sz="18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Last Year</a:t>
            </a:r>
            <a:endParaRPr lang="en-US" sz="18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127000</xdr:colOff>
      <xdr:row>23</xdr:row>
      <xdr:rowOff>199091</xdr:rowOff>
    </xdr:from>
    <xdr:to>
      <xdr:col>4</xdr:col>
      <xdr:colOff>1179788</xdr:colOff>
      <xdr:row>32</xdr:row>
      <xdr:rowOff>90955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EEB46C-01FE-4D2D-A97C-5969B5E4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178567</xdr:colOff>
      <xdr:row>22</xdr:row>
      <xdr:rowOff>28245</xdr:rowOff>
    </xdr:from>
    <xdr:to>
      <xdr:col>4</xdr:col>
      <xdr:colOff>1167857</xdr:colOff>
      <xdr:row>32</xdr:row>
      <xdr:rowOff>87931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959CACA-2580-4347-B125-CF59ADEBF711}"/>
            </a:ext>
          </a:extLst>
        </xdr:cNvPr>
        <xdr:cNvSpPr/>
      </xdr:nvSpPr>
      <xdr:spPr>
        <a:xfrm>
          <a:off x="178567" y="5279695"/>
          <a:ext cx="4550229" cy="3334169"/>
        </a:xfrm>
        <a:prstGeom prst="roundRect">
          <a:avLst>
            <a:gd name="adj" fmla="val 5250"/>
          </a:avLst>
        </a:prstGeom>
        <a:noFill/>
        <a:ln w="2857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544790</xdr:colOff>
      <xdr:row>12</xdr:row>
      <xdr:rowOff>131535</xdr:rowOff>
    </xdr:from>
    <xdr:to>
      <xdr:col>20</xdr:col>
      <xdr:colOff>91218</xdr:colOff>
      <xdr:row>32</xdr:row>
      <xdr:rowOff>87931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2704E2D-9A59-4229-8D82-0CB0ED978283}"/>
            </a:ext>
          </a:extLst>
        </xdr:cNvPr>
        <xdr:cNvGrpSpPr/>
      </xdr:nvGrpSpPr>
      <xdr:grpSpPr>
        <a:xfrm>
          <a:off x="5379861" y="2426606"/>
          <a:ext cx="7874000" cy="5997968"/>
          <a:chOff x="10233025" y="2398713"/>
          <a:chExt cx="5292726" cy="4086225"/>
        </a:xfrm>
      </xdr:grpSpPr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6F29F12F-4067-42FB-8471-22EA1B2DA912}"/>
              </a:ext>
            </a:extLst>
          </xdr:cNvPr>
          <xdr:cNvGraphicFramePr/>
        </xdr:nvGraphicFramePr>
        <xdr:xfrm>
          <a:off x="10233025" y="2398713"/>
          <a:ext cx="3363913" cy="408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5C300661-C987-B134-07E9-902D14486CC0}"/>
              </a:ext>
            </a:extLst>
          </xdr:cNvPr>
          <xdr:cNvGraphicFramePr/>
        </xdr:nvGraphicFramePr>
        <xdr:xfrm>
          <a:off x="13364707" y="2398713"/>
          <a:ext cx="2161044" cy="40846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5</xdr:col>
      <xdr:colOff>263577</xdr:colOff>
      <xdr:row>10</xdr:row>
      <xdr:rowOff>36286</xdr:rowOff>
    </xdr:from>
    <xdr:to>
      <xdr:col>20</xdr:col>
      <xdr:colOff>100290</xdr:colOff>
      <xdr:row>32</xdr:row>
      <xdr:rowOff>84667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DC48FB29-55EA-4534-BF33-7EF13C5B7D08}"/>
            </a:ext>
          </a:extLst>
        </xdr:cNvPr>
        <xdr:cNvSpPr/>
      </xdr:nvSpPr>
      <xdr:spPr>
        <a:xfrm>
          <a:off x="5077986" y="1983619"/>
          <a:ext cx="8142110" cy="6475992"/>
        </a:xfrm>
        <a:prstGeom prst="roundRect">
          <a:avLst>
            <a:gd name="adj" fmla="val 2249"/>
          </a:avLst>
        </a:prstGeom>
        <a:noFill/>
        <a:ln w="2857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21</xdr:col>
      <xdr:colOff>54508</xdr:colOff>
      <xdr:row>10</xdr:row>
      <xdr:rowOff>36286</xdr:rowOff>
    </xdr:from>
    <xdr:to>
      <xdr:col>24</xdr:col>
      <xdr:colOff>251413</xdr:colOff>
      <xdr:row>21</xdr:row>
      <xdr:rowOff>48139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A124BAB-43AE-4679-9019-1756026CCCC5}"/>
            </a:ext>
          </a:extLst>
        </xdr:cNvPr>
        <xdr:cNvSpPr/>
      </xdr:nvSpPr>
      <xdr:spPr>
        <a:xfrm>
          <a:off x="13686848" y="1951869"/>
          <a:ext cx="4548168" cy="3017520"/>
        </a:xfrm>
        <a:prstGeom prst="roundRect">
          <a:avLst>
            <a:gd name="adj" fmla="val 5250"/>
          </a:avLst>
        </a:prstGeom>
        <a:noFill/>
        <a:ln w="2857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21</xdr:col>
      <xdr:colOff>55261</xdr:colOff>
      <xdr:row>23</xdr:row>
      <xdr:rowOff>115223</xdr:rowOff>
    </xdr:from>
    <xdr:to>
      <xdr:col>24</xdr:col>
      <xdr:colOff>255136</xdr:colOff>
      <xdr:row>32</xdr:row>
      <xdr:rowOff>84743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2E82145-DFC9-4B2A-B71E-67829E0855D5}"/>
            </a:ext>
          </a:extLst>
        </xdr:cNvPr>
        <xdr:cNvSpPr/>
      </xdr:nvSpPr>
      <xdr:spPr>
        <a:xfrm>
          <a:off x="13687601" y="5396306"/>
          <a:ext cx="4551138" cy="3017520"/>
        </a:xfrm>
        <a:prstGeom prst="roundRect">
          <a:avLst>
            <a:gd name="adj" fmla="val 5250"/>
          </a:avLst>
        </a:prstGeom>
        <a:noFill/>
        <a:ln w="2857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783166</xdr:colOff>
      <xdr:row>1</xdr:row>
      <xdr:rowOff>62170</xdr:rowOff>
    </xdr:from>
    <xdr:to>
      <xdr:col>23</xdr:col>
      <xdr:colOff>1061168</xdr:colOff>
      <xdr:row>8</xdr:row>
      <xdr:rowOff>5071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05F98FE-F7C3-F61D-BB20-FB3175C6C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2083" y="242087"/>
          <a:ext cx="3453002" cy="1318734"/>
        </a:xfrm>
        <a:prstGeom prst="rect">
          <a:avLst/>
        </a:prstGeom>
      </xdr:spPr>
    </xdr:pic>
    <xdr:clientData/>
  </xdr:twoCellAnchor>
  <xdr:twoCellAnchor>
    <xdr:from>
      <xdr:col>0</xdr:col>
      <xdr:colOff>89477</xdr:colOff>
      <xdr:row>22</xdr:row>
      <xdr:rowOff>42182</xdr:rowOff>
    </xdr:from>
    <xdr:to>
      <xdr:col>4</xdr:col>
      <xdr:colOff>1188357</xdr:colOff>
      <xdr:row>23</xdr:row>
      <xdr:rowOff>244929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DC52A4-77B3-4F86-41C2-62F97E248748}"/>
            </a:ext>
          </a:extLst>
        </xdr:cNvPr>
        <xdr:cNvGrpSpPr/>
      </xdr:nvGrpSpPr>
      <xdr:grpSpPr>
        <a:xfrm>
          <a:off x="89477" y="5158468"/>
          <a:ext cx="4654880" cy="384175"/>
          <a:chOff x="31750" y="5185682"/>
          <a:chExt cx="4563341" cy="321500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59BE352-C6D3-167B-57B9-28F6B0DC294A}"/>
              </a:ext>
            </a:extLst>
          </xdr:cNvPr>
          <xdr:cNvSpPr txBox="1"/>
        </xdr:nvSpPr>
        <xdr:spPr>
          <a:xfrm>
            <a:off x="31750" y="5185682"/>
            <a:ext cx="4101523" cy="317652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</a:rPr>
              <a:t>... and revenue trend for </a:t>
            </a:r>
            <a:r>
              <a:rPr lang="en-US" sz="2000" b="1">
                <a:solidFill>
                  <a:schemeClr val="accent5">
                    <a:lumMod val="50000"/>
                  </a:schemeClr>
                </a:solidFill>
              </a:rPr>
              <a:t>         </a:t>
            </a:r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</a:rPr>
              <a:t> and </a:t>
            </a:r>
            <a:r>
              <a:rPr lang="en-US" sz="2000" b="1">
                <a:solidFill>
                  <a:schemeClr val="tx1">
                    <a:lumMod val="50000"/>
                    <a:lumOff val="50000"/>
                  </a:schemeClr>
                </a:solidFill>
              </a:rPr>
              <a:t>        </a:t>
            </a:r>
            <a:r>
              <a:rPr lang="en-US" sz="2000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endParaRPr lang="en-US" sz="2000" b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  <xdr:sp macro="" textlink="Previous_Year">
        <xdr:nvSpPr>
          <xdr:cNvPr id="31" name="TextBox 30">
            <a:extLst>
              <a:ext uri="{FF2B5EF4-FFF2-40B4-BE49-F238E27FC236}">
                <a16:creationId xmlns:a16="http://schemas.microsoft.com/office/drawing/2014/main" id="{45A921AC-97E3-47D1-9227-B5ED6CD3DB9E}"/>
              </a:ext>
            </a:extLst>
          </xdr:cNvPr>
          <xdr:cNvSpPr txBox="1"/>
        </xdr:nvSpPr>
        <xdr:spPr>
          <a:xfrm>
            <a:off x="3782484" y="5185682"/>
            <a:ext cx="812607" cy="317652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8B515256-7AA1-46BB-B762-EF06C08A0427}" type="TxLink">
              <a:rPr lang="en-US" sz="2000" b="1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rPr>
              <a:pPr marL="0" indent="0" algn="ctr"/>
              <a:t>2020</a:t>
            </a:fld>
            <a:endParaRPr lang="en-US" sz="20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Current_Year">
        <xdr:nvSpPr>
          <xdr:cNvPr id="32" name="TextBox 31">
            <a:extLst>
              <a:ext uri="{FF2B5EF4-FFF2-40B4-BE49-F238E27FC236}">
                <a16:creationId xmlns:a16="http://schemas.microsoft.com/office/drawing/2014/main" id="{97B6BC8F-7D1F-41B1-ADA4-89100E2A815A}"/>
              </a:ext>
            </a:extLst>
          </xdr:cNvPr>
          <xdr:cNvSpPr txBox="1"/>
        </xdr:nvSpPr>
        <xdr:spPr>
          <a:xfrm>
            <a:off x="2772257" y="5185682"/>
            <a:ext cx="812607" cy="321500"/>
          </a:xfrm>
          <a:prstGeom prst="rect">
            <a:avLst/>
          </a:prstGeom>
          <a:noFill/>
          <a:ln>
            <a:noFill/>
            <a:prstDash val="sysDash"/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6AEAA068-907D-4960-BC5C-0C2510E24851}" type="TxLink">
              <a:rPr lang="en-US" sz="2000" b="1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pPr marL="0" indent="0" algn="ctr"/>
              <a:t>2021</a:t>
            </a:fld>
            <a:endParaRPr lang="en-US" sz="2000" b="1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7E187-136D-4AAC-B54B-39657A3E71CB}" name="Data" displayName="Data" ref="A1:J4795" totalsRowShown="0" headerRowDxfId="8">
  <autoFilter ref="A1:J4795" xr:uid="{0317E187-136D-4AAC-B54B-39657A3E71CB}"/>
  <tableColumns count="10">
    <tableColumn id="1" xr3:uid="{31B56CC4-BB14-491A-93FF-2908EDF5FE16}" name="Year"/>
    <tableColumn id="2" xr3:uid="{D364A979-E69C-4E29-BCB4-2F359423C971}" name="Month"/>
    <tableColumn id="3" xr3:uid="{66E15406-C516-4F15-AC6A-48FF9F5EC191}" name="Store Name"/>
    <tableColumn id="4" xr3:uid="{578FABDF-BF61-4292-BC08-396B7D154438}" name="Region"/>
    <tableColumn id="5" xr3:uid="{3F8991A9-0D4F-4B82-AD3B-A280159B7BE7}" name="Store Type"/>
    <tableColumn id="6" xr3:uid="{1CFAD2B1-BF0C-428D-89DD-D5E620E882BA}" name="Product Name"/>
    <tableColumn id="7" xr3:uid="{B929FB02-C84A-4C07-8CAD-2F8FE1A2736F}" name="Product Category"/>
    <tableColumn id="8" xr3:uid="{81F2A5FF-D2E4-48AB-91C4-4A4F0B1948EB}" name="Units Sold"/>
    <tableColumn id="9" xr3:uid="{A285F84E-969A-49B0-8786-47BEC7A6AC65}" name="Revenue" dataDxfId="7"/>
    <tableColumn id="10" xr3:uid="{0A37E710-F339-4417-B692-8813905DA6CD}" name="Profit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765" zoomScaleNormal="100" workbookViewId="0">
      <selection activeCell="A4796" sqref="A4796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5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5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5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5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5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5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5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5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5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5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5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5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5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5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5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5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5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5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5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5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5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5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5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5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5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5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5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5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5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5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5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5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5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5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5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5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5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5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5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5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5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5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5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5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5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5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5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5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5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5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5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5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5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5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5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5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5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5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5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5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5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5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5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5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5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5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5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5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5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5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5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5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5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5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5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5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5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5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5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5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5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5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5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5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5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5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5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5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5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5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5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5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5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5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5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5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5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5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5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5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5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5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5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5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5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5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5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5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5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5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5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5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5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5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5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5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5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5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5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5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5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5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5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5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5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5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5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5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5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5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5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5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5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5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5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5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5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5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5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5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5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5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5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5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5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5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5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5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5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5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5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5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5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5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5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5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5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5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5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5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5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5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5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5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5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5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5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5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5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5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5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5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5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5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5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5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5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5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5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5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5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5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5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5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5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5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5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5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5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5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5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5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5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5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5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5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5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5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5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5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5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5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5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5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5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5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5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5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5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5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5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5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5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5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5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5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5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5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5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5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5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5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5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5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5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5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5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5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5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5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5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5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5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5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5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5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5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5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5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5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5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5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5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5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5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5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5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5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5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5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5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5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5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5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5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5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5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5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5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5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B620-26CB-4701-B327-5A7D4DD3B05A}">
  <dimension ref="A1:AK36"/>
  <sheetViews>
    <sheetView zoomScale="90" zoomScaleNormal="90" workbookViewId="0">
      <selection activeCell="F6" sqref="F6"/>
    </sheetView>
  </sheetViews>
  <sheetFormatPr defaultRowHeight="14.5" x14ac:dyDescent="0.35"/>
  <cols>
    <col min="1" max="1" width="18.90625" customWidth="1"/>
    <col min="2" max="2" width="15.90625" customWidth="1"/>
    <col min="4" max="4" width="28.26953125" customWidth="1"/>
    <col min="5" max="5" width="8.54296875" customWidth="1"/>
    <col min="13" max="13" width="20.7265625" customWidth="1"/>
    <col min="14" max="14" width="11.7265625" customWidth="1"/>
    <col min="15" max="15" width="20.90625" customWidth="1"/>
    <col min="24" max="25" width="11.453125" customWidth="1"/>
  </cols>
  <sheetData>
    <row r="1" spans="1:37" x14ac:dyDescent="0.35">
      <c r="A1" s="8" t="s">
        <v>75</v>
      </c>
      <c r="B1" s="9"/>
      <c r="D1" s="10" t="s">
        <v>82</v>
      </c>
      <c r="E1" s="11"/>
      <c r="G1" s="13" t="s">
        <v>88</v>
      </c>
      <c r="H1" s="13"/>
      <c r="I1" s="14"/>
      <c r="J1" s="13"/>
      <c r="K1" s="13"/>
      <c r="M1" s="13" t="s">
        <v>97</v>
      </c>
      <c r="N1" s="13"/>
      <c r="O1" s="13"/>
      <c r="P1" s="13"/>
      <c r="Q1" s="13"/>
      <c r="S1" s="13" t="s">
        <v>101</v>
      </c>
      <c r="T1" s="13"/>
      <c r="U1" s="13"/>
      <c r="V1" s="13"/>
      <c r="W1" s="13"/>
      <c r="X1" s="13"/>
      <c r="Y1" s="13"/>
      <c r="AA1" s="13" t="s">
        <v>102</v>
      </c>
      <c r="AB1" s="13"/>
      <c r="AC1" s="13"/>
      <c r="AD1" s="13"/>
      <c r="AE1" s="13"/>
      <c r="AF1" s="13"/>
      <c r="AH1" t="s">
        <v>108</v>
      </c>
    </row>
    <row r="2" spans="1:37" x14ac:dyDescent="0.35">
      <c r="A2" s="7" t="s">
        <v>52</v>
      </c>
      <c r="B2" s="7" t="s">
        <v>76</v>
      </c>
      <c r="D2" s="12" t="s">
        <v>83</v>
      </c>
      <c r="E2" s="2">
        <f>SUMIFS(Data[Revenue], Data[Region], Region, Data[Month], Current_Month, Data[Year], Current_Year)</f>
        <v>50618.369999999995</v>
      </c>
      <c r="G2" s="15" t="s">
        <v>49</v>
      </c>
      <c r="H2" s="15" t="s">
        <v>49</v>
      </c>
      <c r="I2" s="15">
        <f>Previous_Year</f>
        <v>2020</v>
      </c>
      <c r="J2" s="15">
        <f>Current_Year</f>
        <v>2021</v>
      </c>
      <c r="K2" s="15" t="s">
        <v>76</v>
      </c>
      <c r="M2" s="15" t="s">
        <v>63</v>
      </c>
      <c r="N2" s="15" t="s">
        <v>46</v>
      </c>
      <c r="O2" s="15" t="s">
        <v>98</v>
      </c>
      <c r="P2" s="15" t="s">
        <v>99</v>
      </c>
      <c r="Q2" s="15" t="s">
        <v>100</v>
      </c>
      <c r="S2" s="15" t="s">
        <v>100</v>
      </c>
      <c r="T2" s="15" t="s">
        <v>63</v>
      </c>
      <c r="U2" s="15" t="s">
        <v>52</v>
      </c>
      <c r="V2" s="15" t="s">
        <v>46</v>
      </c>
      <c r="W2" s="15" t="s">
        <v>99</v>
      </c>
      <c r="X2" s="15" t="s">
        <v>76</v>
      </c>
      <c r="Y2" s="15" t="s">
        <v>76</v>
      </c>
      <c r="AA2" s="15" t="s">
        <v>103</v>
      </c>
      <c r="AB2" s="15" t="s">
        <v>46</v>
      </c>
      <c r="AC2" s="15" t="s">
        <v>104</v>
      </c>
      <c r="AD2" s="15" t="s">
        <v>105</v>
      </c>
      <c r="AE2" s="15" t="s">
        <v>106</v>
      </c>
      <c r="AF2" s="15" t="s">
        <v>107</v>
      </c>
      <c r="AH2" s="15" t="s">
        <v>100</v>
      </c>
      <c r="AI2" s="15" t="s">
        <v>103</v>
      </c>
      <c r="AJ2" s="15" t="s">
        <v>46</v>
      </c>
      <c r="AK2" s="15" t="s">
        <v>105</v>
      </c>
    </row>
    <row r="3" spans="1:37" x14ac:dyDescent="0.35">
      <c r="A3" t="s">
        <v>4</v>
      </c>
      <c r="B3" t="str">
        <f>Dashboard!$C$7</f>
        <v>New York</v>
      </c>
      <c r="D3" s="12" t="s">
        <v>84</v>
      </c>
      <c r="E3" s="2">
        <f>SUMIFS(Data[Revenue], Data[Region], Region, Data[Month], Current_Month, Data[Year], Previous_Year)</f>
        <v>34844.409999999982</v>
      </c>
      <c r="G3" s="6">
        <v>1</v>
      </c>
      <c r="H3" s="16" t="s">
        <v>89</v>
      </c>
      <c r="I3" s="2">
        <f>SUMIFS(Data[[Revenue]:[Revenue]], Data[[Region]:[Region]], Region, Data[[Month]:[Month]], 'Data Prep'!$G3, Data[[Year]:[Year]], 'Data Prep'!I$2)</f>
        <v>31544.950000000004</v>
      </c>
      <c r="J3" s="2">
        <f>IF(G3&gt;Current_Month, NA(), SUMIFS(Data[[Revenue]:[Revenue]], Data[[Region]:[Region]], Region, Data[[Month]:[Month]], 'Data Prep'!$G3, Data[[Year]:[Year]], 'Data Prep'!J$2))</f>
        <v>45431.029999999984</v>
      </c>
      <c r="K3" s="2" t="e">
        <f>IF(G3=Current_Month, J3, NA())</f>
        <v>#N/A</v>
      </c>
      <c r="M3" t="s">
        <v>56</v>
      </c>
      <c r="N3" s="2">
        <f>SUMIFS(Data[Revenue], Data[Store Name], M3, Data[Month], Current_Month, Data[Year], Current_Year)</f>
        <v>15765.830000000002</v>
      </c>
      <c r="O3" s="2">
        <f>SUMIFS(Data[Revenue], Data[Store Name], M3, Data[Month], Previous_Month, Data[Year], PM_Year)</f>
        <v>11411.519999999999</v>
      </c>
      <c r="P3" s="17">
        <f t="shared" ref="P3:P12" si="0">N3/O3-1</f>
        <v>0.38157142957292312</v>
      </c>
      <c r="Q3">
        <f t="shared" ref="Q3:Q12" si="1">_xlfn.RANK.AVG(N3, $N$3:$N$12, 1)</f>
        <v>4</v>
      </c>
      <c r="S3">
        <v>1</v>
      </c>
      <c r="T3" t="str">
        <f>INDEX($M$3:$P$12,MATCH($S3,$Q$3:$Q$12,0), MATCH(T$2, $M$2:$P$2, 0))</f>
        <v>Michigan Ave</v>
      </c>
      <c r="U3" t="str">
        <f>INDEX(Data[Region], MATCH('Data Prep'!T3, Data[Store Name], 0))</f>
        <v>Chicago</v>
      </c>
      <c r="V3" s="2">
        <f>INDEX($M$3:$P$12,MATCH($S3,$Q$3:$Q$12,0), MATCH(V$2, $M$2:$P$2, 0))</f>
        <v>7721.8800000000019</v>
      </c>
      <c r="W3" s="17">
        <f>INDEX($M$3:$P$12,MATCH($S3,$Q$3:$Q$12,0), MATCH(W$2, $M$2:$P$2, 0))</f>
        <v>-0.23788412342481746</v>
      </c>
      <c r="X3" s="2">
        <f>IF($U3=Region, V3, 0)</f>
        <v>0</v>
      </c>
      <c r="Y3" s="17">
        <f>IF($U3=Region, W3, 0)</f>
        <v>0</v>
      </c>
      <c r="AA3" t="s">
        <v>13</v>
      </c>
      <c r="AB3" s="2">
        <f>SUMIFS(Data[Revenue], Data[Region], Region, Data[Month], Current_Month, Data[Year], Current_Year, Data[Product Name], AA3)</f>
        <v>1311.1799999999998</v>
      </c>
      <c r="AC3" s="2">
        <f>SUMIFS(Data[Revenue], Data[Region], Region, Data[Month], Previous_Month, Data[Year], PM_Year, Data[Product Name], AA3)</f>
        <v>1471.0800000000002</v>
      </c>
      <c r="AD3" s="2">
        <f>AB3-AC3</f>
        <v>-159.90000000000032</v>
      </c>
      <c r="AE3">
        <f>_xlfn.RANK.AVG(AD3, $AD$3:$AD$36, 0)</f>
        <v>23</v>
      </c>
      <c r="AF3">
        <f>_xlfn.RANK.AVG(AD3, $AD$3:$AD$36, 1)</f>
        <v>12</v>
      </c>
      <c r="AH3">
        <v>1</v>
      </c>
      <c r="AI3" t="str">
        <f>INDEX($AA$3:$AD$36, MATCH($AH3, $AE$3:$AE$36, 0), MATCH(AI$2, $AA$2:$AD$2, 0))</f>
        <v>Dinosaur Figures</v>
      </c>
      <c r="AJ3" s="2">
        <f t="shared" ref="AJ3:AK7" si="2">INDEX($AA$3:$AD$36, MATCH($AH3, $AE$3:$AE$36, 0), MATCH(AJ$2, $AA$2:$AD$2, 0))</f>
        <v>2893.07</v>
      </c>
      <c r="AK3" s="2">
        <f t="shared" si="2"/>
        <v>989.34000000000015</v>
      </c>
    </row>
    <row r="4" spans="1:37" x14ac:dyDescent="0.35">
      <c r="A4" t="s">
        <v>5</v>
      </c>
      <c r="D4" s="12" t="s">
        <v>81</v>
      </c>
      <c r="E4" s="2">
        <f>SUMIFS(Data[Revenue],Data[Region],Region,Data[Month],Previous_Month,Data[Year],PM_Year)</f>
        <v>49838.54</v>
      </c>
      <c r="G4" s="6">
        <v>2</v>
      </c>
      <c r="H4" s="16" t="s">
        <v>90</v>
      </c>
      <c r="I4" s="2">
        <f>SUMIFS(Data[[Revenue]:[Revenue]], Data[[Region]:[Region]], Region, Data[[Month]:[Month]], 'Data Prep'!$G4, Data[[Year]:[Year]], 'Data Prep'!I$2)</f>
        <v>31002.100000000009</v>
      </c>
      <c r="J4" s="2">
        <f>IF(G4&gt;Current_Month, NA(), SUMIFS(Data[[Revenue]:[Revenue]], Data[[Region]:[Region]], Region, Data[[Month]:[Month]], 'Data Prep'!$G4, Data[[Year]:[Year]], 'Data Prep'!J$2))</f>
        <v>42456.219999999987</v>
      </c>
      <c r="K4" s="2" t="e">
        <f>IF(G4=Current_Month, J4, NA())</f>
        <v>#N/A</v>
      </c>
      <c r="M4" t="s">
        <v>58</v>
      </c>
      <c r="N4" s="2">
        <f>SUMIFS(Data[Revenue], Data[Store Name], M4, Data[Month], Current_Month, Data[Year], Current_Year)</f>
        <v>16255.230000000001</v>
      </c>
      <c r="O4" s="2">
        <f>SUMIFS(Data[Revenue], Data[Store Name], M4, Data[Month], Previous_Month, Data[Year], PM_Year)</f>
        <v>18815.63</v>
      </c>
      <c r="P4" s="17">
        <f t="shared" si="0"/>
        <v>-0.13607835613264074</v>
      </c>
      <c r="Q4">
        <f t="shared" si="1"/>
        <v>5</v>
      </c>
      <c r="S4">
        <v>2</v>
      </c>
      <c r="T4" t="str">
        <f>INDEX($M$3:$P$12,MATCH($S4,$Q$3:$Q$12,0), MATCH(T$2, $M$2:$P$2, 0))</f>
        <v>Hollywood</v>
      </c>
      <c r="U4" t="str">
        <f>INDEX(Data[Region], MATCH('Data Prep'!T4, Data[Store Name], 0))</f>
        <v>Los Angeles</v>
      </c>
      <c r="V4" s="2">
        <f>INDEX($M$3:$P$12,MATCH($S4,$Q$3:$Q$12,0), MATCH(V$2, $M$2:$P$2, 0))</f>
        <v>10103.540000000001</v>
      </c>
      <c r="W4" s="17">
        <f>INDEX($M$3:$P$12,MATCH($S4,$Q$3:$Q$12,0), MATCH(W$2, $M$2:$P$2, 0))</f>
        <v>0.27268490293194403</v>
      </c>
      <c r="X4" s="2">
        <f>IF($U4=Region, V4, 0)</f>
        <v>0</v>
      </c>
      <c r="Y4" s="17">
        <f>IF($U4=Region, W4, 0)</f>
        <v>0</v>
      </c>
      <c r="AA4" t="s">
        <v>24</v>
      </c>
      <c r="AB4" s="2">
        <f>SUMIFS(Data[Revenue], Data[Region], Region, Data[Month], Current_Month, Data[Year], Current_Year, Data[Product Name], AA4)</f>
        <v>2649.96</v>
      </c>
      <c r="AC4" s="2">
        <f>SUMIFS(Data[Revenue], Data[Region], Region, Data[Month], Previous_Month, Data[Year], PM_Year, Data[Product Name], AA4)</f>
        <v>2766.87</v>
      </c>
      <c r="AD4" s="2">
        <f t="shared" ref="AD4:AD36" si="3">AB4-AC4</f>
        <v>-116.90999999999985</v>
      </c>
      <c r="AE4">
        <f t="shared" ref="AE4:AE36" si="4">_xlfn.RANK.AVG(AD4, $AD$3:$AD$36, 0)</f>
        <v>21</v>
      </c>
      <c r="AF4">
        <f t="shared" ref="AF4:AF36" si="5">_xlfn.RANK.AVG(AD4, $AD$3:$AD$36, 1)</f>
        <v>14</v>
      </c>
      <c r="AH4">
        <v>2</v>
      </c>
      <c r="AI4" t="str">
        <f t="shared" ref="AI4:AI7" si="6">INDEX($AA$3:$AD$36, MATCH($AH4, $AE$3:$AE$36, 0), MATCH(AI$2, $AA$2:$AD$2, 0))</f>
        <v>Monopoly</v>
      </c>
      <c r="AJ4" s="2">
        <f t="shared" si="2"/>
        <v>899.55</v>
      </c>
      <c r="AK4" s="2">
        <f t="shared" si="2"/>
        <v>739.63</v>
      </c>
    </row>
    <row r="5" spans="1:37" x14ac:dyDescent="0.35">
      <c r="A5" t="s">
        <v>48</v>
      </c>
      <c r="D5" s="12" t="s">
        <v>86</v>
      </c>
      <c r="E5" s="18">
        <f>E2/E3-1</f>
        <v>0.45269700362267651</v>
      </c>
      <c r="F5" t="str">
        <f>IF('Data Prep'!E5&gt;0, "↑", "↓")</f>
        <v>↑</v>
      </c>
      <c r="G5" s="6">
        <v>3</v>
      </c>
      <c r="H5" s="16" t="s">
        <v>91</v>
      </c>
      <c r="I5" s="2">
        <f>SUMIFS(Data[[Revenue]:[Revenue]], Data[[Region]:[Region]], Region, Data[[Month]:[Month]], 'Data Prep'!$G5, Data[[Year]:[Year]], 'Data Prep'!I$2)</f>
        <v>40942.11</v>
      </c>
      <c r="J5" s="2">
        <f>IF(G5&gt;Current_Month, NA(), SUMIFS(Data[[Revenue]:[Revenue]], Data[[Region]:[Region]], Region, Data[[Month]:[Month]], 'Data Prep'!$G5, Data[[Year]:[Year]], 'Data Prep'!J$2))</f>
        <v>58945.410000000011</v>
      </c>
      <c r="K5" s="2" t="e">
        <f>IF(G5=Current_Month, J5, NA())</f>
        <v>#N/A</v>
      </c>
      <c r="M5" t="s">
        <v>59</v>
      </c>
      <c r="N5" s="2">
        <f>SUMIFS(Data[Revenue], Data[Store Name], M5, Data[Month], Current_Month, Data[Year], Current_Year)</f>
        <v>10103.540000000001</v>
      </c>
      <c r="O5" s="2">
        <f>SUMIFS(Data[Revenue], Data[Store Name], M5, Data[Month], Previous_Month, Data[Year], PM_Year)</f>
        <v>7938.76</v>
      </c>
      <c r="P5" s="17">
        <f t="shared" si="0"/>
        <v>0.27268490293194403</v>
      </c>
      <c r="Q5">
        <f t="shared" si="1"/>
        <v>2</v>
      </c>
      <c r="S5">
        <v>3</v>
      </c>
      <c r="T5" t="str">
        <f>INDEX($M$3:$P$12,MATCH($S5,$Q$3:$Q$12,0), MATCH(T$2, $M$2:$P$2, 0))</f>
        <v>JFK</v>
      </c>
      <c r="U5" t="str">
        <f>INDEX(Data[Region], MATCH('Data Prep'!T5, Data[Store Name], 0))</f>
        <v>New York</v>
      </c>
      <c r="V5" s="2">
        <f>INDEX($M$3:$P$12,MATCH($S5,$Q$3:$Q$12,0), MATCH(V$2, $M$2:$P$2, 0))</f>
        <v>13879.13</v>
      </c>
      <c r="W5" s="17">
        <f>INDEX($M$3:$P$12,MATCH($S5,$Q$3:$Q$12,0), MATCH(W$2, $M$2:$P$2, 0))</f>
        <v>5.7257752439920262E-2</v>
      </c>
      <c r="X5" s="2">
        <f>IF($U5=Region, V5, 0)</f>
        <v>13879.13</v>
      </c>
      <c r="Y5" s="17">
        <f>IF($U5=Region, W5, 0)</f>
        <v>5.7257752439920262E-2</v>
      </c>
      <c r="AA5" t="s">
        <v>18</v>
      </c>
      <c r="AB5" s="2">
        <f>SUMIFS(Data[Revenue], Data[Region], Region, Data[Month], Current_Month, Data[Year], Current_Year, Data[Product Name], AA5)</f>
        <v>0</v>
      </c>
      <c r="AC5" s="2">
        <f>SUMIFS(Data[Revenue], Data[Region], Region, Data[Month], Previous_Month, Data[Year], PM_Year, Data[Product Name], AA5)</f>
        <v>402.69</v>
      </c>
      <c r="AD5" s="2">
        <f t="shared" si="3"/>
        <v>-402.69</v>
      </c>
      <c r="AE5">
        <f t="shared" si="4"/>
        <v>29</v>
      </c>
      <c r="AF5">
        <f t="shared" si="5"/>
        <v>6</v>
      </c>
      <c r="AH5">
        <v>3</v>
      </c>
      <c r="AI5" t="str">
        <f t="shared" si="6"/>
        <v>Magic Sand</v>
      </c>
      <c r="AJ5" s="2">
        <f t="shared" si="2"/>
        <v>4589.13</v>
      </c>
      <c r="AK5" s="2">
        <f t="shared" si="2"/>
        <v>687.57000000000016</v>
      </c>
    </row>
    <row r="6" spans="1:37" x14ac:dyDescent="0.35">
      <c r="D6" s="12" t="s">
        <v>87</v>
      </c>
      <c r="E6" s="18">
        <f>E2/E4-1</f>
        <v>1.5647127704784269E-2</v>
      </c>
      <c r="F6" t="str">
        <f>IF('Data Prep'!E6&gt;0, "↑", "↓")</f>
        <v>↑</v>
      </c>
      <c r="G6" s="6">
        <v>4</v>
      </c>
      <c r="H6" s="16" t="s">
        <v>92</v>
      </c>
      <c r="I6" s="2">
        <f>SUMIFS(Data[[Revenue]:[Revenue]], Data[[Region]:[Region]], Region, Data[[Month]:[Month]], 'Data Prep'!$G6, Data[[Year]:[Year]], 'Data Prep'!I$2)</f>
        <v>51274.420000000006</v>
      </c>
      <c r="J6" s="2">
        <f>IF(G6&gt;Current_Month, NA(), SUMIFS(Data[[Revenue]:[Revenue]], Data[[Region]:[Region]], Region, Data[[Month]:[Month]], 'Data Prep'!$G6, Data[[Year]:[Year]], 'Data Prep'!J$2))</f>
        <v>66317.759999999995</v>
      </c>
      <c r="K6" s="2" t="e">
        <f>IF(G6=Current_Month, J6, NA())</f>
        <v>#N/A</v>
      </c>
      <c r="M6" t="s">
        <v>60</v>
      </c>
      <c r="N6" s="2">
        <f>SUMIFS(Data[Revenue], Data[Store Name], M6, Data[Month], Current_Month, Data[Year], Current_Year)</f>
        <v>13879.13</v>
      </c>
      <c r="O6" s="2">
        <f>SUMIFS(Data[Revenue], Data[Store Name], M6, Data[Month], Previous_Month, Data[Year], PM_Year)</f>
        <v>13127.479999999996</v>
      </c>
      <c r="P6" s="17">
        <f t="shared" si="0"/>
        <v>5.7257752439920262E-2</v>
      </c>
      <c r="Q6">
        <f t="shared" si="1"/>
        <v>3</v>
      </c>
      <c r="S6">
        <v>4</v>
      </c>
      <c r="T6" t="str">
        <f>INDEX($M$3:$P$12,MATCH($S6,$Q$3:$Q$12,0), MATCH(T$2, $M$2:$P$2, 0))</f>
        <v>Beverly Hills</v>
      </c>
      <c r="U6" t="str">
        <f>INDEX(Data[Region], MATCH('Data Prep'!T6, Data[Store Name], 0))</f>
        <v>Los Angeles</v>
      </c>
      <c r="V6" s="2">
        <f>INDEX($M$3:$P$12,MATCH($S6,$Q$3:$Q$12,0), MATCH(V$2, $M$2:$P$2, 0))</f>
        <v>15765.830000000002</v>
      </c>
      <c r="W6" s="17">
        <f>INDEX($M$3:$P$12,MATCH($S6,$Q$3:$Q$12,0), MATCH(W$2, $M$2:$P$2, 0))</f>
        <v>0.38157142957292312</v>
      </c>
      <c r="X6" s="2">
        <f>IF($U6=Region, V6, 0)</f>
        <v>0</v>
      </c>
      <c r="Y6" s="17">
        <f>IF($U6=Region, W6, 0)</f>
        <v>0</v>
      </c>
      <c r="AA6" t="s">
        <v>30</v>
      </c>
      <c r="AB6" s="2">
        <f>SUMIFS(Data[Revenue], Data[Region], Region, Data[Month], Current_Month, Data[Year], Current_Year, Data[Product Name], AA6)</f>
        <v>109.89</v>
      </c>
      <c r="AC6" s="2">
        <f>SUMIFS(Data[Revenue], Data[Region], Region, Data[Month], Previous_Month, Data[Year], PM_Year, Data[Product Name], AA6)</f>
        <v>0</v>
      </c>
      <c r="AD6" s="2">
        <f t="shared" si="3"/>
        <v>109.89</v>
      </c>
      <c r="AE6">
        <f t="shared" si="4"/>
        <v>9</v>
      </c>
      <c r="AF6">
        <f t="shared" si="5"/>
        <v>26</v>
      </c>
      <c r="AH6">
        <v>4</v>
      </c>
      <c r="AI6" t="str">
        <f t="shared" si="6"/>
        <v>Barrel O' Slime</v>
      </c>
      <c r="AJ6" s="2">
        <f t="shared" si="2"/>
        <v>1356.6</v>
      </c>
      <c r="AK6" s="2">
        <f t="shared" si="2"/>
        <v>550.61999999999989</v>
      </c>
    </row>
    <row r="7" spans="1:37" x14ac:dyDescent="0.35">
      <c r="A7" s="8" t="s">
        <v>77</v>
      </c>
      <c r="B7" s="9"/>
      <c r="G7" s="6">
        <v>5</v>
      </c>
      <c r="H7" s="16" t="s">
        <v>91</v>
      </c>
      <c r="I7" s="2">
        <f>SUMIFS(Data[[Revenue]:[Revenue]], Data[[Region]:[Region]], Region, Data[[Month]:[Month]], 'Data Prep'!$G7, Data[[Year]:[Year]], 'Data Prep'!I$2)</f>
        <v>39052.43</v>
      </c>
      <c r="J7" s="2">
        <f>IF(G7&gt;Current_Month, NA(), SUMIFS(Data[[Revenue]:[Revenue]], Data[[Region]:[Region]], Region, Data[[Month]:[Month]], 'Data Prep'!$G7, Data[[Year]:[Year]], 'Data Prep'!J$2))</f>
        <v>63906.600000000006</v>
      </c>
      <c r="K7" s="2" t="e">
        <f>IF(G7=Current_Month, J7, NA())</f>
        <v>#N/A</v>
      </c>
      <c r="M7" t="s">
        <v>61</v>
      </c>
      <c r="N7" s="2">
        <f>SUMIFS(Data[Revenue], Data[Store Name], M7, Data[Month], Current_Month, Data[Year], Current_Year)</f>
        <v>18171.759999999995</v>
      </c>
      <c r="O7" s="2">
        <f>SUMIFS(Data[Revenue], Data[Store Name], M7, Data[Month], Previous_Month, Data[Year], PM_Year)</f>
        <v>21919.900000000005</v>
      </c>
      <c r="P7" s="17">
        <f t="shared" si="0"/>
        <v>-0.17099256839675403</v>
      </c>
      <c r="Q7">
        <f t="shared" si="1"/>
        <v>7</v>
      </c>
      <c r="S7">
        <v>5</v>
      </c>
      <c r="T7" t="str">
        <f>INDEX($M$3:$P$12,MATCH($S7,$Q$3:$Q$12,0), MATCH(T$2, $M$2:$P$2, 0))</f>
        <v>Fifth Avenue</v>
      </c>
      <c r="U7" t="str">
        <f>INDEX(Data[Region], MATCH('Data Prep'!T7, Data[Store Name], 0))</f>
        <v>New York</v>
      </c>
      <c r="V7" s="2">
        <f>INDEX($M$3:$P$12,MATCH($S7,$Q$3:$Q$12,0), MATCH(V$2, $M$2:$P$2, 0))</f>
        <v>16255.230000000001</v>
      </c>
      <c r="W7" s="17">
        <f>INDEX($M$3:$P$12,MATCH($S7,$Q$3:$Q$12,0), MATCH(W$2, $M$2:$P$2, 0))</f>
        <v>-0.13607835613264074</v>
      </c>
      <c r="X7" s="2">
        <f>IF($U7=Region, V7, 0)</f>
        <v>16255.230000000001</v>
      </c>
      <c r="Y7" s="17">
        <f>IF($U7=Region, W7, 0)</f>
        <v>-0.13607835613264074</v>
      </c>
      <c r="AA7" t="s">
        <v>20</v>
      </c>
      <c r="AB7" s="2">
        <f>SUMIFS(Data[Revenue], Data[Region], Region, Data[Month], Current_Month, Data[Year], Current_Year, Data[Product Name], AA7)</f>
        <v>3117.92</v>
      </c>
      <c r="AC7" s="2">
        <f>SUMIFS(Data[Revenue], Data[Region], Region, Data[Month], Previous_Month, Data[Year], PM_Year, Data[Product Name], AA7)</f>
        <v>3102.93</v>
      </c>
      <c r="AD7" s="2">
        <f t="shared" si="3"/>
        <v>14.990000000000236</v>
      </c>
      <c r="AE7">
        <f t="shared" si="4"/>
        <v>12</v>
      </c>
      <c r="AF7">
        <f t="shared" si="5"/>
        <v>23</v>
      </c>
      <c r="AH7">
        <v>5</v>
      </c>
      <c r="AI7" t="str">
        <f t="shared" si="6"/>
        <v>Deck Of Cards</v>
      </c>
      <c r="AJ7" s="2">
        <f t="shared" si="2"/>
        <v>1901.28</v>
      </c>
      <c r="AK7" s="2">
        <f t="shared" si="2"/>
        <v>426.38999999999987</v>
      </c>
    </row>
    <row r="8" spans="1:37" x14ac:dyDescent="0.35">
      <c r="A8" s="7" t="s">
        <v>78</v>
      </c>
      <c r="B8">
        <f>MAX(Data[Year])</f>
        <v>2021</v>
      </c>
      <c r="G8" s="6">
        <v>6</v>
      </c>
      <c r="H8" s="16" t="s">
        <v>89</v>
      </c>
      <c r="I8" s="2">
        <f>SUMIFS(Data[[Revenue]:[Revenue]], Data[[Region]:[Region]], Region, Data[[Month]:[Month]], 'Data Prep'!$G8, Data[[Year]:[Year]], 'Data Prep'!I$2)</f>
        <v>47915.380000000005</v>
      </c>
      <c r="J8" s="2">
        <f>IF(G8&gt;Current_Month, NA(), SUMIFS(Data[[Revenue]:[Revenue]], Data[[Region]:[Region]], Region, Data[[Month]:[Month]], 'Data Prep'!$G8, Data[[Year]:[Year]], 'Data Prep'!J$2))</f>
        <v>61649.439999999981</v>
      </c>
      <c r="K8" s="2" t="e">
        <f>IF(G8=Current_Month, J8, NA())</f>
        <v>#N/A</v>
      </c>
      <c r="M8" t="s">
        <v>53</v>
      </c>
      <c r="N8" s="2">
        <f>SUMIFS(Data[Revenue], Data[Store Name], M8, Data[Month], Current_Month, Data[Year], Current_Year)</f>
        <v>17505.330000000002</v>
      </c>
      <c r="O8" s="2">
        <f>SUMIFS(Data[Revenue], Data[Store Name], M8, Data[Month], Previous_Month, Data[Year], PM_Year)</f>
        <v>17049.52</v>
      </c>
      <c r="P8" s="17">
        <f t="shared" si="0"/>
        <v>2.6734476982343214E-2</v>
      </c>
      <c r="Q8">
        <f t="shared" si="1"/>
        <v>6</v>
      </c>
      <c r="S8">
        <v>6</v>
      </c>
      <c r="T8" t="str">
        <f>INDEX($M$3:$P$12,MATCH($S8,$Q$3:$Q$12,0), MATCH(T$2, $M$2:$P$2, 0))</f>
        <v>Lincoln Park</v>
      </c>
      <c r="U8" t="str">
        <f>INDEX(Data[Region], MATCH('Data Prep'!T8, Data[Store Name], 0))</f>
        <v>Chicago</v>
      </c>
      <c r="V8" s="2">
        <f>INDEX($M$3:$P$12,MATCH($S8,$Q$3:$Q$12,0), MATCH(V$2, $M$2:$P$2, 0))</f>
        <v>17505.330000000002</v>
      </c>
      <c r="W8" s="17">
        <f>INDEX($M$3:$P$12,MATCH($S8,$Q$3:$Q$12,0), MATCH(W$2, $M$2:$P$2, 0))</f>
        <v>2.6734476982343214E-2</v>
      </c>
      <c r="X8" s="2">
        <f>IF($U8=Region, V8, 0)</f>
        <v>0</v>
      </c>
      <c r="Y8" s="17">
        <f>IF($U8=Region, W8, 0)</f>
        <v>0</v>
      </c>
      <c r="AA8" t="s">
        <v>25</v>
      </c>
      <c r="AB8" s="2">
        <f>SUMIFS(Data[Revenue], Data[Region], Region, Data[Month], Current_Month, Data[Year], Current_Year, Data[Product Name], AA8)</f>
        <v>1487.0700000000002</v>
      </c>
      <c r="AC8" s="2">
        <f>SUMIFS(Data[Revenue], Data[Region], Region, Data[Month], Previous_Month, Data[Year], PM_Year, Data[Product Name], AA8)</f>
        <v>1087.32</v>
      </c>
      <c r="AD8" s="2">
        <f t="shared" si="3"/>
        <v>399.75000000000023</v>
      </c>
      <c r="AE8">
        <f t="shared" si="4"/>
        <v>7</v>
      </c>
      <c r="AF8">
        <f t="shared" si="5"/>
        <v>28</v>
      </c>
    </row>
    <row r="9" spans="1:37" x14ac:dyDescent="0.35">
      <c r="A9" s="7" t="s">
        <v>79</v>
      </c>
      <c r="B9">
        <f>_xlfn.MAXIFS(Data[Month], Data[Year], Current_Year)</f>
        <v>9</v>
      </c>
      <c r="G9" s="6">
        <v>7</v>
      </c>
      <c r="H9" s="16" t="s">
        <v>89</v>
      </c>
      <c r="I9" s="2">
        <f>SUMIFS(Data[[Revenue]:[Revenue]], Data[[Region]:[Region]], Region, Data[[Month]:[Month]], 'Data Prep'!$G9, Data[[Year]:[Year]], 'Data Prep'!I$2)</f>
        <v>41568.47</v>
      </c>
      <c r="J9" s="2">
        <f>IF(G9&gt;Current_Month, NA(), SUMIFS(Data[[Revenue]:[Revenue]], Data[[Region]:[Region]], Region, Data[[Month]:[Month]], 'Data Prep'!$G9, Data[[Year]:[Year]], 'Data Prep'!J$2))</f>
        <v>69037.8</v>
      </c>
      <c r="K9" s="2" t="e">
        <f>IF(G9=Current_Month, J9, NA())</f>
        <v>#N/A</v>
      </c>
      <c r="M9" t="s">
        <v>54</v>
      </c>
      <c r="N9" s="2">
        <f>SUMIFS(Data[Revenue], Data[Store Name], M9, Data[Month], Current_Month, Data[Year], Current_Year)</f>
        <v>7721.8800000000019</v>
      </c>
      <c r="O9" s="2">
        <f>SUMIFS(Data[Revenue], Data[Store Name], M9, Data[Month], Previous_Month, Data[Year], PM_Year)</f>
        <v>10132.16</v>
      </c>
      <c r="P9" s="17">
        <f t="shared" si="0"/>
        <v>-0.23788412342481746</v>
      </c>
      <c r="Q9">
        <f t="shared" si="1"/>
        <v>1</v>
      </c>
      <c r="S9">
        <v>7</v>
      </c>
      <c r="T9" t="str">
        <f>INDEX($M$3:$P$12,MATCH($S9,$Q$3:$Q$12,0), MATCH(T$2, $M$2:$P$2, 0))</f>
        <v>LAX</v>
      </c>
      <c r="U9" t="str">
        <f>INDEX(Data[Region], MATCH('Data Prep'!T9, Data[Store Name], 0))</f>
        <v>Los Angeles</v>
      </c>
      <c r="V9" s="2">
        <f>INDEX($M$3:$P$12,MATCH($S9,$Q$3:$Q$12,0), MATCH(V$2, $M$2:$P$2, 0))</f>
        <v>18171.759999999995</v>
      </c>
      <c r="W9" s="17">
        <f>INDEX($M$3:$P$12,MATCH($S9,$Q$3:$Q$12,0), MATCH(W$2, $M$2:$P$2, 0))</f>
        <v>-0.17099256839675403</v>
      </c>
      <c r="X9" s="2">
        <f>IF($U9=Region, V9, 0)</f>
        <v>0</v>
      </c>
      <c r="Y9" s="17">
        <f>IF($U9=Region, W9, 0)</f>
        <v>0</v>
      </c>
      <c r="AA9" t="s">
        <v>8</v>
      </c>
      <c r="AB9" s="2">
        <f>SUMIFS(Data[Revenue], Data[Region], Region, Data[Month], Current_Month, Data[Year], Current_Year, Data[Product Name], AA9)</f>
        <v>1901.28</v>
      </c>
      <c r="AC9" s="2">
        <f>SUMIFS(Data[Revenue], Data[Region], Region, Data[Month], Previous_Month, Data[Year], PM_Year, Data[Product Name], AA9)</f>
        <v>1474.89</v>
      </c>
      <c r="AD9" s="2">
        <f t="shared" si="3"/>
        <v>426.38999999999987</v>
      </c>
      <c r="AE9">
        <f t="shared" si="4"/>
        <v>5</v>
      </c>
      <c r="AF9">
        <f t="shared" si="5"/>
        <v>30</v>
      </c>
      <c r="AH9" t="s">
        <v>109</v>
      </c>
    </row>
    <row r="10" spans="1:37" x14ac:dyDescent="0.35">
      <c r="A10" s="7" t="s">
        <v>80</v>
      </c>
      <c r="B10">
        <f>Current_Year-1</f>
        <v>2020</v>
      </c>
      <c r="G10" s="6">
        <v>8</v>
      </c>
      <c r="H10" s="16" t="s">
        <v>92</v>
      </c>
      <c r="I10" s="2">
        <f>SUMIFS(Data[[Revenue]:[Revenue]], Data[[Region]:[Region]], Region, Data[[Month]:[Month]], 'Data Prep'!$G10, Data[[Year]:[Year]], 'Data Prep'!I$2)</f>
        <v>30149.900000000009</v>
      </c>
      <c r="J10" s="2">
        <f>IF(G10&gt;Current_Month, NA(), SUMIFS(Data[[Revenue]:[Revenue]], Data[[Region]:[Region]], Region, Data[[Month]:[Month]], 'Data Prep'!$G10, Data[[Year]:[Year]], 'Data Prep'!J$2))</f>
        <v>49838.54</v>
      </c>
      <c r="K10" s="2" t="e">
        <f>IF(G10=Current_Month, J10, NA())</f>
        <v>#N/A</v>
      </c>
      <c r="M10" t="s">
        <v>55</v>
      </c>
      <c r="N10" s="2">
        <f>SUMIFS(Data[Revenue], Data[Store Name], M10, Data[Month], Current_Month, Data[Year], Current_Year)</f>
        <v>18238.46</v>
      </c>
      <c r="O10" s="2">
        <f>SUMIFS(Data[Revenue], Data[Store Name], M10, Data[Month], Previous_Month, Data[Year], PM_Year)</f>
        <v>15332.379999999996</v>
      </c>
      <c r="P10" s="17">
        <f t="shared" si="0"/>
        <v>0.18953874088693379</v>
      </c>
      <c r="Q10">
        <f t="shared" si="1"/>
        <v>9</v>
      </c>
      <c r="S10">
        <v>8</v>
      </c>
      <c r="T10" t="str">
        <f>INDEX($M$3:$P$12,MATCH($S10,$Q$3:$Q$12,0), MATCH(T$2, $M$2:$P$2, 0))</f>
        <v>O'Hare</v>
      </c>
      <c r="U10" t="str">
        <f>INDEX(Data[Region], MATCH('Data Prep'!T10, Data[Store Name], 0))</f>
        <v>Chicago</v>
      </c>
      <c r="V10" s="2">
        <f>INDEX($M$3:$P$12,MATCH($S10,$Q$3:$Q$12,0), MATCH(V$2, $M$2:$P$2, 0))</f>
        <v>18237.980000000003</v>
      </c>
      <c r="W10" s="17">
        <f>INDEX($M$3:$P$12,MATCH($S10,$Q$3:$Q$12,0), MATCH(W$2, $M$2:$P$2, 0))</f>
        <v>-0.3315731431233282</v>
      </c>
      <c r="X10" s="2">
        <f>IF($U10=Region, V10, 0)</f>
        <v>0</v>
      </c>
      <c r="Y10" s="17">
        <f>IF($U10=Region, W10, 0)</f>
        <v>0</v>
      </c>
      <c r="AA10" t="s">
        <v>17</v>
      </c>
      <c r="AB10" s="2">
        <f>SUMIFS(Data[Revenue], Data[Region], Region, Data[Month], Current_Month, Data[Year], Current_Year, Data[Product Name], AA10)</f>
        <v>1483.65</v>
      </c>
      <c r="AC10" s="2">
        <f>SUMIFS(Data[Revenue], Data[Region], Region, Data[Month], Previous_Month, Data[Year], PM_Year, Data[Product Name], AA10)</f>
        <v>1780.38</v>
      </c>
      <c r="AD10" s="2">
        <f t="shared" si="3"/>
        <v>-296.73</v>
      </c>
      <c r="AE10">
        <f t="shared" si="4"/>
        <v>25</v>
      </c>
      <c r="AF10">
        <f t="shared" si="5"/>
        <v>10</v>
      </c>
      <c r="AH10" s="15" t="s">
        <v>100</v>
      </c>
      <c r="AI10" s="15" t="s">
        <v>103</v>
      </c>
      <c r="AJ10" s="15" t="s">
        <v>46</v>
      </c>
      <c r="AK10" s="15" t="s">
        <v>105</v>
      </c>
    </row>
    <row r="11" spans="1:37" x14ac:dyDescent="0.35">
      <c r="A11" s="7" t="s">
        <v>81</v>
      </c>
      <c r="B11">
        <f>IF(Current_Month=1, 12, Current_Month-1)</f>
        <v>8</v>
      </c>
      <c r="G11" s="6">
        <v>9</v>
      </c>
      <c r="H11" s="16" t="s">
        <v>93</v>
      </c>
      <c r="I11" s="2">
        <f>SUMIFS(Data[[Revenue]:[Revenue]], Data[[Region]:[Region]], Region, Data[[Month]:[Month]], 'Data Prep'!$G11, Data[[Year]:[Year]], 'Data Prep'!I$2)</f>
        <v>34844.409999999982</v>
      </c>
      <c r="J11" s="2">
        <f>IF(G11&gt;Current_Month, NA(), SUMIFS(Data[[Revenue]:[Revenue]], Data[[Region]:[Region]], Region, Data[[Month]:[Month]], 'Data Prep'!$G11, Data[[Year]:[Year]], 'Data Prep'!J$2))</f>
        <v>50618.369999999995</v>
      </c>
      <c r="K11" s="2">
        <f>IF(G11=Current_Month, J11, NA())</f>
        <v>50618.369999999995</v>
      </c>
      <c r="M11" t="s">
        <v>57</v>
      </c>
      <c r="N11" s="2">
        <f>SUMIFS(Data[Revenue], Data[Store Name], M11, Data[Month], Current_Month, Data[Year], Current_Year)</f>
        <v>18237.980000000003</v>
      </c>
      <c r="O11" s="2">
        <f>SUMIFS(Data[Revenue], Data[Store Name], M11, Data[Month], Previous_Month, Data[Year], PM_Year)</f>
        <v>27284.929999999993</v>
      </c>
      <c r="P11" s="17">
        <f t="shared" si="0"/>
        <v>-0.3315731431233282</v>
      </c>
      <c r="Q11">
        <f t="shared" si="1"/>
        <v>8</v>
      </c>
      <c r="S11">
        <v>9</v>
      </c>
      <c r="T11" t="str">
        <f>INDEX($M$3:$P$12,MATCH($S11,$Q$3:$Q$12,0), MATCH(T$2, $M$2:$P$2, 0))</f>
        <v>Millenium</v>
      </c>
      <c r="U11" t="str">
        <f>INDEX(Data[Region], MATCH('Data Prep'!T11, Data[Store Name], 0))</f>
        <v>Chicago</v>
      </c>
      <c r="V11" s="2">
        <f>INDEX($M$3:$P$12,MATCH($S11,$Q$3:$Q$12,0), MATCH(V$2, $M$2:$P$2, 0))</f>
        <v>18238.46</v>
      </c>
      <c r="W11" s="17">
        <f>INDEX($M$3:$P$12,MATCH($S11,$Q$3:$Q$12,0), MATCH(W$2, $M$2:$P$2, 0))</f>
        <v>0.18953874088693379</v>
      </c>
      <c r="X11" s="2">
        <f>IF($U11=Region, V11, 0)</f>
        <v>0</v>
      </c>
      <c r="Y11" s="17">
        <f>IF($U11=Region, W11, 0)</f>
        <v>0</v>
      </c>
      <c r="AA11" t="s">
        <v>28</v>
      </c>
      <c r="AB11" s="2">
        <f>SUMIFS(Data[Revenue], Data[Region], Region, Data[Month], Current_Month, Data[Year], Current_Year, Data[Product Name], AA11)</f>
        <v>2893.07</v>
      </c>
      <c r="AC11" s="2">
        <f>SUMIFS(Data[Revenue], Data[Region], Region, Data[Month], Previous_Month, Data[Year], PM_Year, Data[Product Name], AA11)</f>
        <v>1903.73</v>
      </c>
      <c r="AD11" s="2">
        <f t="shared" si="3"/>
        <v>989.34000000000015</v>
      </c>
      <c r="AE11">
        <f t="shared" si="4"/>
        <v>1</v>
      </c>
      <c r="AF11">
        <f t="shared" si="5"/>
        <v>34</v>
      </c>
      <c r="AH11">
        <v>1</v>
      </c>
      <c r="AI11" t="str">
        <f>INDEX($AA$3:$AD$36, MATCH($AH11, $AF$3:$AF$36, 0), MATCH(AI$10, $AA$2:$AD$2, 0))</f>
        <v>Rubik's Cube</v>
      </c>
      <c r="AJ11" s="2">
        <f t="shared" ref="AJ11:AK15" si="7">INDEX($AA$3:$AD$36, MATCH($AH11, $AF$3:$AF$36, 0), MATCH(AJ$10, $AA$2:$AD$2, 0))</f>
        <v>639.67999999999984</v>
      </c>
      <c r="AK11" s="2">
        <f t="shared" si="7"/>
        <v>-1359.3200000000002</v>
      </c>
    </row>
    <row r="12" spans="1:37" x14ac:dyDescent="0.35">
      <c r="A12" s="7" t="s">
        <v>85</v>
      </c>
      <c r="B12">
        <f>IF(Current_Month=1,Previous_Year,Current_Year)</f>
        <v>2021</v>
      </c>
      <c r="G12" s="6">
        <v>10</v>
      </c>
      <c r="H12" s="16" t="s">
        <v>94</v>
      </c>
      <c r="I12" s="2">
        <f>SUMIFS(Data[[Revenue]:[Revenue]], Data[[Region]:[Region]], Region, Data[[Month]:[Month]], 'Data Prep'!$G12, Data[[Year]:[Year]], 'Data Prep'!I$2)</f>
        <v>36809.12000000001</v>
      </c>
      <c r="J12" s="2" t="e">
        <f>IF(G12&gt;Current_Month, NA(), SUMIFS(Data[[Revenue]:[Revenue]], Data[[Region]:[Region]], Region, Data[[Month]:[Month]], 'Data Prep'!$G12, Data[[Year]:[Year]], 'Data Prep'!J$2))</f>
        <v>#N/A</v>
      </c>
      <c r="K12" s="2" t="e">
        <f>IF(G12=Current_Month, J12, NA())</f>
        <v>#N/A</v>
      </c>
      <c r="M12" t="s">
        <v>62</v>
      </c>
      <c r="N12" s="2">
        <f>SUMIFS(Data[Revenue], Data[Store Name], M12, Data[Month], Current_Month, Data[Year], Current_Year)</f>
        <v>20484.010000000002</v>
      </c>
      <c r="O12" s="2">
        <f>SUMIFS(Data[Revenue], Data[Store Name], M12, Data[Month], Previous_Month, Data[Year], PM_Year)</f>
        <v>17895.43</v>
      </c>
      <c r="P12" s="17">
        <f t="shared" si="0"/>
        <v>0.14465033810308014</v>
      </c>
      <c r="Q12">
        <f t="shared" si="1"/>
        <v>10</v>
      </c>
      <c r="S12">
        <v>10</v>
      </c>
      <c r="T12" t="str">
        <f>INDEX($M$3:$P$12,MATCH($S12,$Q$3:$Q$12,0), MATCH(T$2, $M$2:$P$2, 0))</f>
        <v>Times Square</v>
      </c>
      <c r="U12" t="str">
        <f>INDEX(Data[Region], MATCH('Data Prep'!T12, Data[Store Name], 0))</f>
        <v>New York</v>
      </c>
      <c r="V12" s="2">
        <f>INDEX($M$3:$P$12,MATCH($S12,$Q$3:$Q$12,0), MATCH(V$2, $M$2:$P$2, 0))</f>
        <v>20484.010000000002</v>
      </c>
      <c r="W12" s="17">
        <f>INDEX($M$3:$P$12,MATCH($S12,$Q$3:$Q$12,0), MATCH(W$2, $M$2:$P$2, 0))</f>
        <v>0.14465033810308014</v>
      </c>
      <c r="X12" s="2">
        <f>IF($U12=Region, V12, 0)</f>
        <v>20484.010000000002</v>
      </c>
      <c r="Y12" s="17">
        <f>IF($U12=Region, W12, 0)</f>
        <v>0.14465033810308014</v>
      </c>
      <c r="AA12" t="s">
        <v>32</v>
      </c>
      <c r="AB12" s="2">
        <f>SUMIFS(Data[Revenue], Data[Region], Region, Data[Month], Current_Month, Data[Year], Current_Year, Data[Product Name], AA12)</f>
        <v>989.1</v>
      </c>
      <c r="AC12" s="2">
        <f>SUMIFS(Data[Revenue], Data[Region], Region, Data[Month], Previous_Month, Data[Year], PM_Year, Data[Product Name], AA12)</f>
        <v>1505.63</v>
      </c>
      <c r="AD12" s="2">
        <f t="shared" si="3"/>
        <v>-516.53000000000009</v>
      </c>
      <c r="AE12">
        <f t="shared" si="4"/>
        <v>30</v>
      </c>
      <c r="AF12">
        <f t="shared" si="5"/>
        <v>5</v>
      </c>
      <c r="AH12">
        <v>2</v>
      </c>
      <c r="AI12" t="str">
        <f t="shared" ref="AI12:AI15" si="8">INDEX($AA$3:$AD$36, MATCH($AH12, $AF$3:$AF$36, 0), MATCH(AI$10, $AA$2:$AD$2, 0))</f>
        <v>Lego Bricks</v>
      </c>
      <c r="AJ12" s="2">
        <f t="shared" si="7"/>
        <v>9317.67</v>
      </c>
      <c r="AK12" s="2">
        <f t="shared" si="7"/>
        <v>-799.80000000000109</v>
      </c>
    </row>
    <row r="13" spans="1:37" x14ac:dyDescent="0.35">
      <c r="A13" s="7" t="s">
        <v>111</v>
      </c>
      <c r="B13" t="str">
        <f>VLOOKUP(Current_Month,A17:B28, 2, 0)&amp;" "&amp;Current_Year</f>
        <v>September 2021</v>
      </c>
      <c r="G13" s="6">
        <v>11</v>
      </c>
      <c r="H13" s="16" t="s">
        <v>95</v>
      </c>
      <c r="I13" s="2">
        <f>SUMIFS(Data[[Revenue]:[Revenue]], Data[[Region]:[Region]], Region, Data[[Month]:[Month]], 'Data Prep'!$G13, Data[[Year]:[Year]], 'Data Prep'!I$2)</f>
        <v>42365.650000000009</v>
      </c>
      <c r="J13" s="2" t="e">
        <f>IF(G13&gt;Current_Month, NA(), SUMIFS(Data[[Revenue]:[Revenue]], Data[[Region]:[Region]], Region, Data[[Month]:[Month]], 'Data Prep'!$G13, Data[[Year]:[Year]], 'Data Prep'!J$2))</f>
        <v>#N/A</v>
      </c>
      <c r="K13" s="2" t="e">
        <f>IF(G13=Current_Month, J13, NA())</f>
        <v>#N/A</v>
      </c>
      <c r="AA13" t="s">
        <v>31</v>
      </c>
      <c r="AB13" s="2">
        <f>SUMIFS(Data[Revenue], Data[Region], Region, Data[Month], Current_Month, Data[Year], Current_Year, Data[Product Name], AA13)</f>
        <v>1159.4199999999998</v>
      </c>
      <c r="AC13" s="2">
        <f>SUMIFS(Data[Revenue], Data[Region], Region, Data[Month], Previous_Month, Data[Year], PM_Year, Data[Product Name], AA13)</f>
        <v>1559.2199999999998</v>
      </c>
      <c r="AD13" s="2">
        <f t="shared" si="3"/>
        <v>-399.79999999999995</v>
      </c>
      <c r="AE13">
        <f t="shared" si="4"/>
        <v>28</v>
      </c>
      <c r="AF13">
        <f t="shared" si="5"/>
        <v>7</v>
      </c>
      <c r="AH13">
        <v>3</v>
      </c>
      <c r="AI13" t="str">
        <f t="shared" si="8"/>
        <v>Mr. Potatohead</v>
      </c>
      <c r="AJ13" s="2">
        <f t="shared" si="7"/>
        <v>459.53999999999996</v>
      </c>
      <c r="AK13" s="2">
        <f t="shared" si="7"/>
        <v>-719.28</v>
      </c>
    </row>
    <row r="14" spans="1:37" x14ac:dyDescent="0.35">
      <c r="G14" s="6">
        <v>12</v>
      </c>
      <c r="H14" s="16" t="s">
        <v>96</v>
      </c>
      <c r="I14" s="2">
        <f>SUMIFS(Data[[Revenue]:[Revenue]], Data[[Region]:[Region]], Region, Data[[Month]:[Month]], 'Data Prep'!$G14, Data[[Year]:[Year]], 'Data Prep'!I$2)</f>
        <v>48216.44999999999</v>
      </c>
      <c r="J14" s="2" t="e">
        <f>IF(G14&gt;Current_Month, NA(), SUMIFS(Data[[Revenue]:[Revenue]], Data[[Region]:[Region]], Region, Data[[Month]:[Month]], 'Data Prep'!$G14, Data[[Year]:[Year]], 'Data Prep'!J$2))</f>
        <v>#N/A</v>
      </c>
      <c r="K14" s="2" t="e">
        <f>IF(G14=Current_Month, J14, NA())</f>
        <v>#N/A</v>
      </c>
      <c r="AA14" t="s">
        <v>15</v>
      </c>
      <c r="AB14" s="2">
        <f>SUMIFS(Data[Revenue], Data[Region], Region, Data[Month], Current_Month, Data[Year], Current_Year, Data[Product Name], AA14)</f>
        <v>9317.67</v>
      </c>
      <c r="AC14" s="2">
        <f>SUMIFS(Data[Revenue], Data[Region], Region, Data[Month], Previous_Month, Data[Year], PM_Year, Data[Product Name], AA14)</f>
        <v>10117.470000000001</v>
      </c>
      <c r="AD14" s="2">
        <f t="shared" si="3"/>
        <v>-799.80000000000109</v>
      </c>
      <c r="AE14">
        <f t="shared" si="4"/>
        <v>33</v>
      </c>
      <c r="AF14">
        <f t="shared" si="5"/>
        <v>2</v>
      </c>
      <c r="AH14">
        <v>4</v>
      </c>
      <c r="AI14" t="str">
        <f t="shared" si="8"/>
        <v>Etch A Sketch</v>
      </c>
      <c r="AJ14" s="2">
        <f t="shared" si="7"/>
        <v>881.57999999999993</v>
      </c>
      <c r="AK14" s="2">
        <f t="shared" si="7"/>
        <v>-524.75</v>
      </c>
    </row>
    <row r="15" spans="1:37" x14ac:dyDescent="0.35">
      <c r="AA15" t="s">
        <v>71</v>
      </c>
      <c r="AB15" s="2">
        <f>SUMIFS(Data[Revenue], Data[Region], Region, Data[Month], Current_Month, Data[Year], Current_Year, Data[Product Name], AA15)</f>
        <v>0</v>
      </c>
      <c r="AC15" s="2">
        <f>SUMIFS(Data[Revenue], Data[Region], Region, Data[Month], Previous_Month, Data[Year], PM_Year, Data[Product Name], AA15)</f>
        <v>0</v>
      </c>
      <c r="AD15" s="2">
        <f t="shared" si="3"/>
        <v>0</v>
      </c>
      <c r="AE15">
        <f t="shared" si="4"/>
        <v>15.5</v>
      </c>
      <c r="AF15">
        <f t="shared" si="5"/>
        <v>19.5</v>
      </c>
      <c r="AH15">
        <v>5</v>
      </c>
      <c r="AI15" t="str">
        <f t="shared" si="8"/>
        <v>Glass Marbles</v>
      </c>
      <c r="AJ15" s="2">
        <f t="shared" si="7"/>
        <v>989.1</v>
      </c>
      <c r="AK15" s="2">
        <f t="shared" si="7"/>
        <v>-516.53000000000009</v>
      </c>
    </row>
    <row r="16" spans="1:37" x14ac:dyDescent="0.35">
      <c r="A16" s="7" t="s">
        <v>112</v>
      </c>
      <c r="B16" s="7" t="s">
        <v>49</v>
      </c>
      <c r="AA16" t="s">
        <v>19</v>
      </c>
      <c r="AB16" s="2">
        <f>SUMIFS(Data[Revenue], Data[Region], Region, Data[Month], Current_Month, Data[Year], Current_Year, Data[Product Name], AA16)</f>
        <v>899.55</v>
      </c>
      <c r="AC16" s="2">
        <f>SUMIFS(Data[Revenue], Data[Region], Region, Data[Month], Previous_Month, Data[Year], PM_Year, Data[Product Name], AA16)</f>
        <v>159.91999999999999</v>
      </c>
      <c r="AD16" s="2">
        <f t="shared" si="3"/>
        <v>739.63</v>
      </c>
      <c r="AE16">
        <f t="shared" si="4"/>
        <v>2</v>
      </c>
      <c r="AF16">
        <f t="shared" si="5"/>
        <v>33</v>
      </c>
    </row>
    <row r="17" spans="1:32" x14ac:dyDescent="0.35">
      <c r="A17">
        <v>1</v>
      </c>
      <c r="B17" t="s">
        <v>113</v>
      </c>
      <c r="AA17" t="s">
        <v>27</v>
      </c>
      <c r="AB17" s="2">
        <f>SUMIFS(Data[Revenue], Data[Region], Region, Data[Month], Current_Month, Data[Year], Current_Year, Data[Product Name], AA17)</f>
        <v>1219.92</v>
      </c>
      <c r="AC17" s="2">
        <f>SUMIFS(Data[Revenue], Data[Region], Region, Data[Month], Previous_Month, Data[Year], PM_Year, Data[Product Name], AA17)</f>
        <v>1267.7600000000002</v>
      </c>
      <c r="AD17" s="2">
        <f t="shared" si="3"/>
        <v>-47.840000000000146</v>
      </c>
      <c r="AE17">
        <f t="shared" si="4"/>
        <v>19</v>
      </c>
      <c r="AF17">
        <f t="shared" si="5"/>
        <v>16</v>
      </c>
    </row>
    <row r="18" spans="1:32" x14ac:dyDescent="0.35">
      <c r="A18">
        <v>2</v>
      </c>
      <c r="B18" t="s">
        <v>114</v>
      </c>
      <c r="AA18" t="s">
        <v>11</v>
      </c>
      <c r="AB18" s="2">
        <f>SUMIFS(Data[Revenue], Data[Region], Region, Data[Month], Current_Month, Data[Year], Current_Year, Data[Product Name], AA18)</f>
        <v>374.25</v>
      </c>
      <c r="AC18" s="2">
        <f>SUMIFS(Data[Revenue], Data[Region], Region, Data[Month], Previous_Month, Data[Year], PM_Year, Data[Product Name], AA18)</f>
        <v>449.1</v>
      </c>
      <c r="AD18" s="2">
        <f t="shared" si="3"/>
        <v>-74.850000000000023</v>
      </c>
      <c r="AE18">
        <f t="shared" si="4"/>
        <v>20</v>
      </c>
      <c r="AF18">
        <f t="shared" si="5"/>
        <v>15</v>
      </c>
    </row>
    <row r="19" spans="1:32" x14ac:dyDescent="0.35">
      <c r="A19">
        <v>3</v>
      </c>
      <c r="B19" t="s">
        <v>115</v>
      </c>
      <c r="AA19" t="s">
        <v>26</v>
      </c>
      <c r="AB19" s="2">
        <f>SUMIFS(Data[Revenue], Data[Region], Region, Data[Month], Current_Month, Data[Year], Current_Year, Data[Product Name], AA19)</f>
        <v>639.67999999999984</v>
      </c>
      <c r="AC19" s="2">
        <f>SUMIFS(Data[Revenue], Data[Region], Region, Data[Month], Previous_Month, Data[Year], PM_Year, Data[Product Name], AA19)</f>
        <v>1999</v>
      </c>
      <c r="AD19" s="2">
        <f t="shared" si="3"/>
        <v>-1359.3200000000002</v>
      </c>
      <c r="AE19">
        <f t="shared" si="4"/>
        <v>34</v>
      </c>
      <c r="AF19">
        <f t="shared" si="5"/>
        <v>1</v>
      </c>
    </row>
    <row r="20" spans="1:32" x14ac:dyDescent="0.35">
      <c r="A20">
        <v>4</v>
      </c>
      <c r="B20" t="s">
        <v>116</v>
      </c>
      <c r="AA20" t="s">
        <v>6</v>
      </c>
      <c r="AB20" s="2">
        <f>SUMIFS(Data[Revenue], Data[Region], Region, Data[Month], Current_Month, Data[Year], Current_Year, Data[Product Name], AA20)</f>
        <v>2247.5</v>
      </c>
      <c r="AC20" s="2">
        <f>SUMIFS(Data[Revenue], Data[Region], Region, Data[Month], Previous_Month, Data[Year], PM_Year, Data[Product Name], AA20)</f>
        <v>2481.2400000000002</v>
      </c>
      <c r="AD20" s="2">
        <f t="shared" si="3"/>
        <v>-233.74000000000024</v>
      </c>
      <c r="AE20">
        <f t="shared" si="4"/>
        <v>24</v>
      </c>
      <c r="AF20">
        <f t="shared" si="5"/>
        <v>11</v>
      </c>
    </row>
    <row r="21" spans="1:32" x14ac:dyDescent="0.35">
      <c r="A21">
        <v>5</v>
      </c>
      <c r="B21" t="s">
        <v>117</v>
      </c>
      <c r="AA21" t="s">
        <v>16</v>
      </c>
      <c r="AB21" s="2">
        <f>SUMIFS(Data[Revenue], Data[Region], Region, Data[Month], Current_Month, Data[Year], Current_Year, Data[Product Name], AA21)</f>
        <v>0</v>
      </c>
      <c r="AC21" s="2">
        <f>SUMIFS(Data[Revenue], Data[Region], Region, Data[Month], Previous_Month, Data[Year], PM_Year, Data[Product Name], AA21)</f>
        <v>363.72</v>
      </c>
      <c r="AD21" s="2">
        <f t="shared" si="3"/>
        <v>-363.72</v>
      </c>
      <c r="AE21">
        <f t="shared" si="4"/>
        <v>27</v>
      </c>
      <c r="AF21">
        <f t="shared" si="5"/>
        <v>8</v>
      </c>
    </row>
    <row r="22" spans="1:32" x14ac:dyDescent="0.35">
      <c r="A22">
        <v>6</v>
      </c>
      <c r="B22" t="s">
        <v>118</v>
      </c>
      <c r="AA22" t="s">
        <v>23</v>
      </c>
      <c r="AB22" s="2">
        <f>SUMIFS(Data[Revenue], Data[Region], Region, Data[Month], Current_Month, Data[Year], Current_Year, Data[Product Name], AA22)</f>
        <v>675.74</v>
      </c>
      <c r="AC22" s="2">
        <f>SUMIFS(Data[Revenue], Data[Region], Region, Data[Month], Previous_Month, Data[Year], PM_Year, Data[Product Name], AA22)</f>
        <v>987.61999999999989</v>
      </c>
      <c r="AD22" s="2">
        <f t="shared" si="3"/>
        <v>-311.87999999999988</v>
      </c>
      <c r="AE22">
        <f t="shared" si="4"/>
        <v>26</v>
      </c>
      <c r="AF22">
        <f t="shared" si="5"/>
        <v>9</v>
      </c>
    </row>
    <row r="23" spans="1:32" x14ac:dyDescent="0.35">
      <c r="A23">
        <v>7</v>
      </c>
      <c r="B23" t="s">
        <v>119</v>
      </c>
      <c r="AA23" t="s">
        <v>10</v>
      </c>
      <c r="AB23" s="2">
        <f>SUMIFS(Data[Revenue], Data[Region], Region, Data[Month], Current_Month, Data[Year], Current_Year, Data[Product Name], AA23)</f>
        <v>2278.8599999999997</v>
      </c>
      <c r="AC23" s="2">
        <f>SUMIFS(Data[Revenue], Data[Region], Region, Data[Month], Previous_Month, Data[Year], PM_Year, Data[Product Name], AA23)</f>
        <v>1859.07</v>
      </c>
      <c r="AD23" s="2">
        <f t="shared" si="3"/>
        <v>419.78999999999974</v>
      </c>
      <c r="AE23">
        <f t="shared" si="4"/>
        <v>6</v>
      </c>
      <c r="AF23">
        <f t="shared" si="5"/>
        <v>29</v>
      </c>
    </row>
    <row r="24" spans="1:32" x14ac:dyDescent="0.35">
      <c r="A24">
        <v>8</v>
      </c>
      <c r="B24" t="s">
        <v>120</v>
      </c>
      <c r="AA24" t="s">
        <v>66</v>
      </c>
      <c r="AB24" s="2">
        <f>SUMIFS(Data[Revenue], Data[Region], Region, Data[Month], Current_Month, Data[Year], Current_Year, Data[Product Name], AA24)</f>
        <v>0</v>
      </c>
      <c r="AC24" s="2">
        <f>SUMIFS(Data[Revenue], Data[Region], Region, Data[Month], Previous_Month, Data[Year], PM_Year, Data[Product Name], AA24)</f>
        <v>0</v>
      </c>
      <c r="AD24" s="2">
        <f t="shared" si="3"/>
        <v>0</v>
      </c>
      <c r="AE24">
        <f t="shared" si="4"/>
        <v>15.5</v>
      </c>
      <c r="AF24">
        <f t="shared" si="5"/>
        <v>19.5</v>
      </c>
    </row>
    <row r="25" spans="1:32" x14ac:dyDescent="0.35">
      <c r="A25">
        <v>9</v>
      </c>
      <c r="B25" t="s">
        <v>121</v>
      </c>
      <c r="AA25" t="s">
        <v>29</v>
      </c>
      <c r="AB25" s="2">
        <f>SUMIFS(Data[Revenue], Data[Region], Region, Data[Month], Current_Month, Data[Year], Current_Year, Data[Product Name], AA25)</f>
        <v>63.92</v>
      </c>
      <c r="AC25" s="2">
        <f>SUMIFS(Data[Revenue], Data[Region], Region, Data[Month], Previous_Month, Data[Year], PM_Year, Data[Product Name], AA25)</f>
        <v>0</v>
      </c>
      <c r="AD25" s="2">
        <f t="shared" si="3"/>
        <v>63.92</v>
      </c>
      <c r="AE25">
        <f t="shared" si="4"/>
        <v>11</v>
      </c>
      <c r="AF25">
        <f t="shared" si="5"/>
        <v>24</v>
      </c>
    </row>
    <row r="26" spans="1:32" x14ac:dyDescent="0.35">
      <c r="A26">
        <v>10</v>
      </c>
      <c r="B26" t="s">
        <v>122</v>
      </c>
      <c r="AA26" t="s">
        <v>34</v>
      </c>
      <c r="AB26" s="2">
        <f>SUMIFS(Data[Revenue], Data[Region], Region, Data[Month], Current_Month, Data[Year], Current_Year, Data[Product Name], AA26)</f>
        <v>1356.6</v>
      </c>
      <c r="AC26" s="2">
        <f>SUMIFS(Data[Revenue], Data[Region], Region, Data[Month], Previous_Month, Data[Year], PM_Year, Data[Product Name], AA26)</f>
        <v>805.98</v>
      </c>
      <c r="AD26" s="2">
        <f t="shared" si="3"/>
        <v>550.61999999999989</v>
      </c>
      <c r="AE26">
        <f t="shared" si="4"/>
        <v>4</v>
      </c>
      <c r="AF26">
        <f t="shared" si="5"/>
        <v>31</v>
      </c>
    </row>
    <row r="27" spans="1:32" x14ac:dyDescent="0.35">
      <c r="A27">
        <v>11</v>
      </c>
      <c r="B27" t="s">
        <v>123</v>
      </c>
      <c r="AA27" t="s">
        <v>70</v>
      </c>
      <c r="AB27" s="2">
        <f>SUMIFS(Data[Revenue], Data[Region], Region, Data[Month], Current_Month, Data[Year], Current_Year, Data[Product Name], AA27)</f>
        <v>0</v>
      </c>
      <c r="AC27" s="2">
        <f>SUMIFS(Data[Revenue], Data[Region], Region, Data[Month], Previous_Month, Data[Year], PM_Year, Data[Product Name], AA27)</f>
        <v>0</v>
      </c>
      <c r="AD27" s="2">
        <f t="shared" si="3"/>
        <v>0</v>
      </c>
      <c r="AE27">
        <f t="shared" si="4"/>
        <v>15.5</v>
      </c>
      <c r="AF27">
        <f t="shared" si="5"/>
        <v>19.5</v>
      </c>
    </row>
    <row r="28" spans="1:32" x14ac:dyDescent="0.35">
      <c r="A28">
        <v>12</v>
      </c>
      <c r="B28" t="s">
        <v>124</v>
      </c>
      <c r="AA28" t="s">
        <v>67</v>
      </c>
      <c r="AB28" s="2">
        <f>SUMIFS(Data[Revenue], Data[Region], Region, Data[Month], Current_Month, Data[Year], Current_Year, Data[Product Name], AA28)</f>
        <v>0</v>
      </c>
      <c r="AC28" s="2">
        <f>SUMIFS(Data[Revenue], Data[Region], Region, Data[Month], Previous_Month, Data[Year], PM_Year, Data[Product Name], AA28)</f>
        <v>0</v>
      </c>
      <c r="AD28" s="2">
        <f t="shared" si="3"/>
        <v>0</v>
      </c>
      <c r="AE28">
        <f t="shared" si="4"/>
        <v>15.5</v>
      </c>
      <c r="AF28">
        <f t="shared" si="5"/>
        <v>19.5</v>
      </c>
    </row>
    <row r="29" spans="1:32" x14ac:dyDescent="0.35">
      <c r="AA29" t="s">
        <v>37</v>
      </c>
      <c r="AB29" s="2">
        <f>SUMIFS(Data[Revenue], Data[Region], Region, Data[Month], Current_Month, Data[Year], Current_Year, Data[Product Name], AA29)</f>
        <v>949.61999999999989</v>
      </c>
      <c r="AC29" s="2">
        <f>SUMIFS(Data[Revenue], Data[Region], Region, Data[Month], Previous_Month, Data[Year], PM_Year, Data[Product Name], AA29)</f>
        <v>874.64999999999986</v>
      </c>
      <c r="AD29" s="2">
        <f t="shared" si="3"/>
        <v>74.970000000000027</v>
      </c>
      <c r="AE29">
        <f t="shared" si="4"/>
        <v>10</v>
      </c>
      <c r="AF29">
        <f t="shared" si="5"/>
        <v>25</v>
      </c>
    </row>
    <row r="30" spans="1:32" x14ac:dyDescent="0.35">
      <c r="AA30" t="s">
        <v>38</v>
      </c>
      <c r="AB30" s="2">
        <f>SUMIFS(Data[Revenue], Data[Region], Region, Data[Month], Current_Month, Data[Year], Current_Year, Data[Product Name], AA30)</f>
        <v>0</v>
      </c>
      <c r="AC30" s="2">
        <f>SUMIFS(Data[Revenue], Data[Region], Region, Data[Month], Previous_Month, Data[Year], PM_Year, Data[Product Name], AA30)</f>
        <v>119.88</v>
      </c>
      <c r="AD30" s="2">
        <f t="shared" si="3"/>
        <v>-119.88</v>
      </c>
      <c r="AE30">
        <f t="shared" si="4"/>
        <v>22</v>
      </c>
      <c r="AF30">
        <f t="shared" si="5"/>
        <v>13</v>
      </c>
    </row>
    <row r="31" spans="1:32" x14ac:dyDescent="0.35">
      <c r="AA31" t="s">
        <v>39</v>
      </c>
      <c r="AB31" s="2">
        <f>SUMIFS(Data[Revenue], Data[Region], Region, Data[Month], Current_Month, Data[Year], Current_Year, Data[Product Name], AA31)</f>
        <v>279.85999999999996</v>
      </c>
      <c r="AC31" s="2">
        <f>SUMIFS(Data[Revenue], Data[Region], Region, Data[Month], Previous_Month, Data[Year], PM_Year, Data[Product Name], AA31)</f>
        <v>39.979999999999997</v>
      </c>
      <c r="AD31" s="2">
        <f t="shared" si="3"/>
        <v>239.87999999999997</v>
      </c>
      <c r="AE31">
        <f t="shared" si="4"/>
        <v>8</v>
      </c>
      <c r="AF31">
        <f t="shared" si="5"/>
        <v>27</v>
      </c>
    </row>
    <row r="32" spans="1:32" x14ac:dyDescent="0.35">
      <c r="AA32" t="s">
        <v>68</v>
      </c>
      <c r="AB32" s="2">
        <f>SUMIFS(Data[Revenue], Data[Region], Region, Data[Month], Current_Month, Data[Year], Current_Year, Data[Product Name], AA32)</f>
        <v>0</v>
      </c>
      <c r="AC32" s="2">
        <f>SUMIFS(Data[Revenue], Data[Region], Region, Data[Month], Previous_Month, Data[Year], PM_Year, Data[Product Name], AA32)</f>
        <v>0</v>
      </c>
      <c r="AD32" s="2">
        <f t="shared" si="3"/>
        <v>0</v>
      </c>
      <c r="AE32">
        <f t="shared" si="4"/>
        <v>15.5</v>
      </c>
      <c r="AF32">
        <f t="shared" si="5"/>
        <v>19.5</v>
      </c>
    </row>
    <row r="33" spans="27:32" x14ac:dyDescent="0.35">
      <c r="AA33" t="s">
        <v>42</v>
      </c>
      <c r="AB33" s="2">
        <f>SUMIFS(Data[Revenue], Data[Region], Region, Data[Month], Current_Month, Data[Year], Current_Year, Data[Product Name], AA33)</f>
        <v>4589.13</v>
      </c>
      <c r="AC33" s="2">
        <f>SUMIFS(Data[Revenue], Data[Region], Region, Data[Month], Previous_Month, Data[Year], PM_Year, Data[Product Name], AA33)</f>
        <v>3901.56</v>
      </c>
      <c r="AD33" s="2">
        <f t="shared" si="3"/>
        <v>687.57000000000016</v>
      </c>
      <c r="AE33">
        <f t="shared" si="4"/>
        <v>3</v>
      </c>
      <c r="AF33">
        <f t="shared" si="5"/>
        <v>32</v>
      </c>
    </row>
    <row r="34" spans="27:32" x14ac:dyDescent="0.35">
      <c r="AA34" t="s">
        <v>41</v>
      </c>
      <c r="AB34" s="2">
        <f>SUMIFS(Data[Revenue], Data[Region], Region, Data[Month], Current_Month, Data[Year], Current_Year, Data[Product Name], AA34)</f>
        <v>459.53999999999996</v>
      </c>
      <c r="AC34" s="2">
        <f>SUMIFS(Data[Revenue], Data[Region], Region, Data[Month], Previous_Month, Data[Year], PM_Year, Data[Product Name], AA34)</f>
        <v>1178.82</v>
      </c>
      <c r="AD34" s="2">
        <f t="shared" si="3"/>
        <v>-719.28</v>
      </c>
      <c r="AE34">
        <f t="shared" si="4"/>
        <v>32</v>
      </c>
      <c r="AF34">
        <f t="shared" si="5"/>
        <v>3</v>
      </c>
    </row>
    <row r="35" spans="27:32" x14ac:dyDescent="0.35">
      <c r="AA35" t="s">
        <v>43</v>
      </c>
      <c r="AB35" s="2">
        <f>SUMIFS(Data[Revenue], Data[Region], Region, Data[Month], Current_Month, Data[Year], Current_Year, Data[Product Name], AA35)</f>
        <v>881.57999999999993</v>
      </c>
      <c r="AC35" s="2">
        <f>SUMIFS(Data[Revenue], Data[Region], Region, Data[Month], Previous_Month, Data[Year], PM_Year, Data[Product Name], AA35)</f>
        <v>1406.33</v>
      </c>
      <c r="AD35" s="2">
        <f t="shared" si="3"/>
        <v>-524.75</v>
      </c>
      <c r="AE35">
        <f t="shared" si="4"/>
        <v>31</v>
      </c>
      <c r="AF35">
        <f t="shared" si="5"/>
        <v>4</v>
      </c>
    </row>
    <row r="36" spans="27:32" x14ac:dyDescent="0.35">
      <c r="AA36" t="s">
        <v>69</v>
      </c>
      <c r="AB36" s="2">
        <f>SUMIFS(Data[Revenue], Data[Region], Region, Data[Month], Current_Month, Data[Year], Current_Year, Data[Product Name], AA36)</f>
        <v>0</v>
      </c>
      <c r="AC36" s="2">
        <f>SUMIFS(Data[Revenue], Data[Region], Region, Data[Month], Previous_Month, Data[Year], PM_Year, Data[Product Name], AA36)</f>
        <v>0</v>
      </c>
      <c r="AD36" s="2">
        <f t="shared" si="3"/>
        <v>0</v>
      </c>
      <c r="AE36">
        <f t="shared" si="4"/>
        <v>15.5</v>
      </c>
      <c r="AF36">
        <f t="shared" si="5"/>
        <v>19.5</v>
      </c>
    </row>
  </sheetData>
  <sortState xmlns:xlrd2="http://schemas.microsoft.com/office/spreadsheetml/2017/richdata2" ref="M3:Q12">
    <sortCondition ref="M2:M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U3:U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44D5-FF00-4E6A-9893-CB7094F8A0F7}">
  <dimension ref="B7:X32"/>
  <sheetViews>
    <sheetView showGridLines="0" tabSelected="1" zoomScale="70" zoomScaleNormal="70" workbookViewId="0">
      <selection activeCell="C7" sqref="C7"/>
    </sheetView>
  </sheetViews>
  <sheetFormatPr defaultRowHeight="14.5" x14ac:dyDescent="0.35"/>
  <cols>
    <col min="1" max="1" width="2.90625" customWidth="1"/>
    <col min="2" max="2" width="14.453125" customWidth="1"/>
    <col min="3" max="3" width="17.90625" customWidth="1"/>
    <col min="4" max="4" width="15.7265625" customWidth="1"/>
    <col min="5" max="5" width="18.36328125" customWidth="1"/>
    <col min="17" max="17" width="7.81640625" customWidth="1"/>
    <col min="18" max="18" width="4" customWidth="1"/>
    <col min="19" max="19" width="3" customWidth="1"/>
    <col min="21" max="21" width="5.6328125" customWidth="1"/>
    <col min="22" max="22" width="25.81640625" customWidth="1"/>
    <col min="23" max="23" width="19.6328125" customWidth="1"/>
    <col min="24" max="24" width="16.81640625" customWidth="1"/>
  </cols>
  <sheetData>
    <row r="7" spans="2:24" s="27" customFormat="1" ht="23.5" x14ac:dyDescent="0.55000000000000004">
      <c r="B7" s="26" t="s">
        <v>110</v>
      </c>
      <c r="C7" s="29" t="s">
        <v>5</v>
      </c>
      <c r="D7" s="26" t="s">
        <v>125</v>
      </c>
      <c r="E7" s="28" t="str">
        <f>'Data Prep'!$B$13&amp;"?"</f>
        <v>September 2021?</v>
      </c>
      <c r="F7" s="26"/>
    </row>
    <row r="14" spans="2:24" ht="26.5" customHeight="1" x14ac:dyDescent="0.55000000000000004">
      <c r="V14" s="21" t="s">
        <v>103</v>
      </c>
      <c r="W14" s="21" t="s">
        <v>46</v>
      </c>
      <c r="X14" s="21" t="s">
        <v>105</v>
      </c>
    </row>
    <row r="15" spans="2:24" ht="25.5" customHeight="1" x14ac:dyDescent="0.45">
      <c r="V15" s="19" t="str">
        <f>'Data Prep'!AI3</f>
        <v>Dinosaur Figures</v>
      </c>
      <c r="W15" s="20">
        <f>'Data Prep'!AJ3</f>
        <v>2893.07</v>
      </c>
      <c r="X15" s="20">
        <f>'Data Prep'!AK3</f>
        <v>989.34000000000015</v>
      </c>
    </row>
    <row r="16" spans="2:24" ht="25.5" customHeight="1" x14ac:dyDescent="0.45">
      <c r="V16" s="19" t="str">
        <f>'Data Prep'!AI4</f>
        <v>Monopoly</v>
      </c>
      <c r="W16" s="20">
        <f>'Data Prep'!AJ4</f>
        <v>899.55</v>
      </c>
      <c r="X16" s="20">
        <f>'Data Prep'!AK4</f>
        <v>739.63</v>
      </c>
    </row>
    <row r="17" spans="2:24" ht="25.5" customHeight="1" x14ac:dyDescent="0.45">
      <c r="V17" s="19" t="str">
        <f>'Data Prep'!AI5</f>
        <v>Magic Sand</v>
      </c>
      <c r="W17" s="20">
        <f>'Data Prep'!AJ5</f>
        <v>4589.13</v>
      </c>
      <c r="X17" s="20">
        <f>'Data Prep'!AK5</f>
        <v>687.57000000000016</v>
      </c>
    </row>
    <row r="18" spans="2:24" ht="25.5" customHeight="1" x14ac:dyDescent="0.45">
      <c r="B18" s="30" t="str">
        <f>IF('Data Prep'!E6&gt;0, " ↑", " ↓")</f>
        <v xml:space="preserve"> ↑</v>
      </c>
      <c r="D18" s="30" t="str">
        <f>IF('Data Prep'!E5&gt;0, " ↑", " ↓")</f>
        <v xml:space="preserve"> ↑</v>
      </c>
      <c r="V18" s="19" t="str">
        <f>'Data Prep'!AI6</f>
        <v>Barrel O' Slime</v>
      </c>
      <c r="W18" s="20">
        <f>'Data Prep'!AJ6</f>
        <v>1356.6</v>
      </c>
      <c r="X18" s="20">
        <f>'Data Prep'!AK6</f>
        <v>550.61999999999989</v>
      </c>
    </row>
    <row r="19" spans="2:24" ht="25.5" customHeight="1" x14ac:dyDescent="0.45">
      <c r="B19" s="30"/>
      <c r="D19" s="30"/>
      <c r="V19" s="22" t="str">
        <f>'Data Prep'!AI7</f>
        <v>Deck Of Cards</v>
      </c>
      <c r="W19" s="23">
        <f>'Data Prep'!AJ7</f>
        <v>1901.28</v>
      </c>
      <c r="X19" s="23">
        <f>'Data Prep'!AK7</f>
        <v>426.38999999999987</v>
      </c>
    </row>
    <row r="20" spans="2:24" s="19" customFormat="1" ht="24.5" customHeight="1" x14ac:dyDescent="0.45">
      <c r="X20" s="24">
        <f>SUM(X15:X19)</f>
        <v>3393.55</v>
      </c>
    </row>
    <row r="24" spans="2:24" ht="53" customHeight="1" x14ac:dyDescent="0.35"/>
    <row r="26" spans="2:24" ht="19" customHeight="1" x14ac:dyDescent="0.55000000000000004">
      <c r="V26" s="21" t="s">
        <v>103</v>
      </c>
      <c r="W26" s="21" t="s">
        <v>46</v>
      </c>
      <c r="X26" s="21" t="s">
        <v>105</v>
      </c>
    </row>
    <row r="27" spans="2:24" ht="25.5" customHeight="1" x14ac:dyDescent="0.45">
      <c r="V27" s="19" t="str">
        <f>'Data Prep'!AI11</f>
        <v>Rubik's Cube</v>
      </c>
      <c r="W27" s="20">
        <f>'Data Prep'!AJ11</f>
        <v>639.67999999999984</v>
      </c>
      <c r="X27" s="20">
        <f>'Data Prep'!AK11</f>
        <v>-1359.3200000000002</v>
      </c>
    </row>
    <row r="28" spans="2:24" ht="25.5" customHeight="1" x14ac:dyDescent="0.45">
      <c r="V28" s="19" t="str">
        <f>'Data Prep'!AI12</f>
        <v>Lego Bricks</v>
      </c>
      <c r="W28" s="20">
        <f>'Data Prep'!AJ12</f>
        <v>9317.67</v>
      </c>
      <c r="X28" s="20">
        <f>'Data Prep'!AK12</f>
        <v>-799.80000000000109</v>
      </c>
    </row>
    <row r="29" spans="2:24" ht="25.5" customHeight="1" x14ac:dyDescent="0.45">
      <c r="V29" s="19" t="str">
        <f>'Data Prep'!AI13</f>
        <v>Mr. Potatohead</v>
      </c>
      <c r="W29" s="20">
        <f>'Data Prep'!AJ13</f>
        <v>459.53999999999996</v>
      </c>
      <c r="X29" s="20">
        <f>'Data Prep'!AK13</f>
        <v>-719.28</v>
      </c>
    </row>
    <row r="30" spans="2:24" ht="25.5" customHeight="1" x14ac:dyDescent="0.45">
      <c r="V30" s="19" t="str">
        <f>'Data Prep'!AI14</f>
        <v>Etch A Sketch</v>
      </c>
      <c r="W30" s="20">
        <f>'Data Prep'!AJ14</f>
        <v>881.57999999999993</v>
      </c>
      <c r="X30" s="20">
        <f>'Data Prep'!AK14</f>
        <v>-524.75</v>
      </c>
    </row>
    <row r="31" spans="2:24" ht="25.5" customHeight="1" x14ac:dyDescent="0.45">
      <c r="V31" s="22" t="str">
        <f>'Data Prep'!AI15</f>
        <v>Glass Marbles</v>
      </c>
      <c r="W31" s="23">
        <f>'Data Prep'!AJ15</f>
        <v>989.1</v>
      </c>
      <c r="X31" s="23">
        <f>'Data Prep'!AK15</f>
        <v>-516.53000000000009</v>
      </c>
    </row>
    <row r="32" spans="2:24" s="19" customFormat="1" ht="24.5" customHeight="1" x14ac:dyDescent="0.45">
      <c r="X32" s="25">
        <f>SUM(X27:X31)</f>
        <v>-3919.6800000000017</v>
      </c>
    </row>
  </sheetData>
  <sheetProtection sheet="1" objects="1" scenarios="1" selectLockedCells="1"/>
  <mergeCells count="2">
    <mergeCell ref="B18:B19"/>
    <mergeCell ref="D18:D19"/>
  </mergeCells>
  <conditionalFormatting sqref="X15:X19">
    <cfRule type="colorScale" priority="6">
      <colorScale>
        <cfvo type="min"/>
        <cfvo type="max"/>
        <color theme="0"/>
        <color theme="9"/>
      </colorScale>
    </cfRule>
  </conditionalFormatting>
  <conditionalFormatting sqref="X27:X31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FB4ABB2-8708-4B63-B028-A476D38326FE}">
            <xm:f>'Data Prep'!$E$6&lt;0</xm:f>
            <x14:dxf>
              <font>
                <color rgb="FFC00000"/>
              </font>
            </x14:dxf>
          </x14:cfRule>
          <x14:cfRule type="expression" priority="4" id="{423C8AAB-5AC8-4434-87BE-60899E989D40}">
            <xm:f>'Data Prep'!$E$6&gt;0</xm:f>
            <x14:dxf>
              <font>
                <color theme="9" tint="-0.24994659260841701"/>
              </font>
            </x14:dxf>
          </x14:cfRule>
          <xm:sqref>B18:B19</xm:sqref>
        </x14:conditionalFormatting>
        <x14:conditionalFormatting xmlns:xm="http://schemas.microsoft.com/office/excel/2006/main">
          <x14:cfRule type="expression" priority="1" id="{250FB585-EE66-4D04-AB2E-22DB6C17898D}">
            <xm:f>'Data Prep'!$E$5&lt;0</xm:f>
            <x14:dxf>
              <font>
                <color rgb="FFC00000"/>
              </font>
            </x14:dxf>
          </x14:cfRule>
          <x14:cfRule type="expression" priority="3" id="{137DE0F3-53BF-4FBF-B947-26906D8E3F41}">
            <xm:f>'Data Prep'!$E$5&gt;0</xm:f>
            <x14:dxf>
              <font>
                <color theme="9" tint="-0.24994659260841701"/>
              </font>
            </x14:dxf>
          </x14:cfRule>
          <xm:sqref>D18:D19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78A57-A48B-483A-95F0-31B4DE7B6F49}">
          <x14:formula1>
            <xm:f>'Data Prep'!$A$3:$A$5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"/>
  <sheetViews>
    <sheetView showGridLines="0" workbookViewId="0">
      <selection sqref="A1:J269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>
      <selection sqref="A1:J269"/>
    </sheetView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Current_Month</vt:lpstr>
      <vt:lpstr>Current_Year</vt:lpstr>
      <vt:lpstr>PM_Year</vt:lpstr>
      <vt:lpstr>Previous_Month</vt:lpstr>
      <vt:lpstr>Previous_Year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Sarah E. Stegall</cp:lastModifiedBy>
  <dcterms:created xsi:type="dcterms:W3CDTF">2021-07-16T18:17:37Z</dcterms:created>
  <dcterms:modified xsi:type="dcterms:W3CDTF">2023-03-06T22:00:08Z</dcterms:modified>
</cp:coreProperties>
</file>