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166925"/>
  <mc:AlternateContent xmlns:mc="http://schemas.openxmlformats.org/markup-compatibility/2006">
    <mc:Choice Requires="x15">
      <x15ac:absPath xmlns:x15ac="http://schemas.microsoft.com/office/spreadsheetml/2010/11/ac" url="C:\Users\leovo\Documents\"/>
    </mc:Choice>
  </mc:AlternateContent>
  <xr:revisionPtr revIDLastSave="0" documentId="13_ncr:1_{005D2E21-EAAD-4069-91C7-EB84E17D2A98}" xr6:coauthVersionLast="47" xr6:coauthVersionMax="47" xr10:uidLastSave="{00000000-0000-0000-0000-000000000000}"/>
  <bookViews>
    <workbookView xWindow="-120" yWindow="-120" windowWidth="29040" windowHeight="15840" activeTab="4" xr2:uid="{DB272C37-AF04-4A48-A984-FF41B8B740A2}"/>
  </bookViews>
  <sheets>
    <sheet name="Data Sheet" sheetId="3" r:id="rId1"/>
    <sheet name="Cash Flow Data" sheetId="4" r:id="rId2"/>
    <sheet name="HistoricalFS" sheetId="2" r:id="rId3"/>
    <sheet name="Ratio Analysis" sheetId="6" state="veryHidden" r:id="rId4"/>
    <sheet name="DuPont Analysis" sheetId="8" r:id="rId5"/>
    <sheet name="Common Size Statement" sheetId="7" state="veryHidden" r:id="rId6"/>
  </sheets>
  <externalReferences>
    <externalReference r:id="rId7"/>
  </externalReference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"01/26/2023 09:21:20"</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UPDATE" localSheetId="0">'Data Sheet'!$E$1</definedName>
    <definedName name="UPDATE">#REF!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5" i="2" l="1"/>
  <c r="B81" i="8" l="1"/>
  <c r="H64" i="8"/>
  <c r="G64" i="8"/>
  <c r="G67" i="8" s="1"/>
  <c r="F64" i="8"/>
  <c r="F67" i="8" s="1"/>
  <c r="E64" i="8"/>
  <c r="E67" i="8" s="1"/>
  <c r="E86" i="8" s="1"/>
  <c r="I64" i="8"/>
  <c r="I67" i="8" s="1"/>
  <c r="I76" i="8" s="1"/>
  <c r="E60" i="8"/>
  <c r="E63" i="8" s="1"/>
  <c r="F60" i="8"/>
  <c r="F82" i="8" s="1"/>
  <c r="F85" i="8" s="1"/>
  <c r="G60" i="8"/>
  <c r="G63" i="8" s="1"/>
  <c r="H60" i="8"/>
  <c r="H63" i="8" s="1"/>
  <c r="I60" i="8"/>
  <c r="I82" i="8" s="1"/>
  <c r="I85" i="8" s="1"/>
  <c r="B59" i="8"/>
  <c r="H54" i="8"/>
  <c r="H68" i="8" s="1"/>
  <c r="G54" i="8"/>
  <c r="G68" i="8" s="1"/>
  <c r="F54" i="8"/>
  <c r="F68" i="8" s="1"/>
  <c r="E54" i="8"/>
  <c r="E68" i="8" s="1"/>
  <c r="I54" i="8"/>
  <c r="I68" i="8" s="1"/>
  <c r="G82" i="8" l="1"/>
  <c r="G85" i="8" s="1"/>
  <c r="I69" i="8"/>
  <c r="I63" i="8"/>
  <c r="I65" i="8" s="1"/>
  <c r="F86" i="8"/>
  <c r="F87" i="8" s="1"/>
  <c r="F69" i="8"/>
  <c r="F76" i="8"/>
  <c r="G76" i="8"/>
  <c r="G86" i="8"/>
  <c r="G69" i="8"/>
  <c r="F63" i="8"/>
  <c r="F65" i="8" s="1"/>
  <c r="I86" i="8"/>
  <c r="I87" i="8" s="1"/>
  <c r="E76" i="8"/>
  <c r="E82" i="8"/>
  <c r="H65" i="8"/>
  <c r="H67" i="8"/>
  <c r="H82" i="8"/>
  <c r="H85" i="8" s="1"/>
  <c r="E69" i="8"/>
  <c r="E65" i="8"/>
  <c r="G65" i="8"/>
  <c r="G87" i="8" l="1"/>
  <c r="E85" i="8"/>
  <c r="E87" i="8" s="1"/>
  <c r="H76" i="8"/>
  <c r="H69" i="8"/>
  <c r="H86" i="8"/>
  <c r="H87" i="8" s="1"/>
  <c r="H53" i="8" l="1"/>
  <c r="G53" i="8"/>
  <c r="F53" i="8"/>
  <c r="E53" i="8"/>
  <c r="I53" i="8"/>
  <c r="B4" i="8"/>
  <c r="B2" i="8"/>
  <c r="D33" i="7"/>
  <c r="E33" i="7"/>
  <c r="F33" i="7"/>
  <c r="G33" i="7"/>
  <c r="D34" i="7"/>
  <c r="E34" i="7"/>
  <c r="F34" i="7"/>
  <c r="G34" i="7"/>
  <c r="D35" i="7"/>
  <c r="E35" i="7"/>
  <c r="F35" i="7"/>
  <c r="G35" i="7"/>
  <c r="D36" i="7"/>
  <c r="E36" i="7"/>
  <c r="F36" i="7"/>
  <c r="G36" i="7"/>
  <c r="D37" i="7"/>
  <c r="E37" i="7"/>
  <c r="F37" i="7"/>
  <c r="G37" i="7"/>
  <c r="D38" i="7"/>
  <c r="E38" i="7"/>
  <c r="F38" i="7"/>
  <c r="G38" i="7"/>
  <c r="D39" i="7"/>
  <c r="E39" i="7"/>
  <c r="F39" i="7"/>
  <c r="G39" i="7"/>
  <c r="D40" i="7"/>
  <c r="E40" i="7"/>
  <c r="F40" i="7"/>
  <c r="G40" i="7"/>
  <c r="C36" i="7"/>
  <c r="C35" i="7"/>
  <c r="C34" i="7"/>
  <c r="C37" i="7"/>
  <c r="C39" i="7"/>
  <c r="C40" i="7"/>
  <c r="C38" i="7"/>
  <c r="C74" i="3"/>
  <c r="D74" i="3"/>
  <c r="E74" i="3"/>
  <c r="F74" i="3"/>
  <c r="G74" i="3"/>
  <c r="H74" i="3"/>
  <c r="I74" i="3"/>
  <c r="J74" i="3"/>
  <c r="K74" i="3"/>
  <c r="B74" i="3"/>
  <c r="C33" i="7"/>
  <c r="K76" i="3"/>
  <c r="J76" i="3"/>
  <c r="I76" i="3"/>
  <c r="H76" i="3"/>
  <c r="G76" i="3"/>
  <c r="F76" i="3"/>
  <c r="E76" i="3"/>
  <c r="D76" i="3"/>
  <c r="C76" i="3"/>
  <c r="B76" i="3"/>
  <c r="C31" i="7"/>
  <c r="D31" i="7"/>
  <c r="E31" i="7"/>
  <c r="F31" i="7"/>
  <c r="G31" i="7"/>
  <c r="C29" i="7"/>
  <c r="D29" i="7"/>
  <c r="E29" i="7"/>
  <c r="F29" i="7"/>
  <c r="G29" i="7"/>
  <c r="C30" i="7"/>
  <c r="D30" i="7"/>
  <c r="E30" i="7"/>
  <c r="F30" i="7"/>
  <c r="G30" i="7"/>
  <c r="D28" i="7"/>
  <c r="E28" i="7"/>
  <c r="F28" i="7"/>
  <c r="G28" i="7"/>
  <c r="C28" i="7"/>
  <c r="D27" i="7"/>
  <c r="E27" i="7"/>
  <c r="F27" i="7"/>
  <c r="G27" i="7"/>
  <c r="C27" i="7"/>
  <c r="D25" i="7"/>
  <c r="E25" i="7"/>
  <c r="F25" i="7"/>
  <c r="G25" i="7"/>
  <c r="C25" i="7"/>
  <c r="B29" i="7"/>
  <c r="B30" i="7"/>
  <c r="B31" i="7"/>
  <c r="B34" i="7"/>
  <c r="B35" i="7"/>
  <c r="B36" i="7"/>
  <c r="B37" i="7"/>
  <c r="B38" i="7"/>
  <c r="B39" i="7"/>
  <c r="B40" i="7"/>
  <c r="B28" i="7"/>
  <c r="B23" i="7"/>
  <c r="C7" i="7"/>
  <c r="D7" i="7"/>
  <c r="E7" i="7"/>
  <c r="F7" i="7"/>
  <c r="G7" i="7"/>
  <c r="C8" i="7"/>
  <c r="D8" i="7"/>
  <c r="E8" i="7"/>
  <c r="F8" i="7"/>
  <c r="G8" i="7"/>
  <c r="C9" i="7"/>
  <c r="D9" i="7"/>
  <c r="E9" i="7"/>
  <c r="F9" i="7"/>
  <c r="G9" i="7"/>
  <c r="C10" i="7"/>
  <c r="D10" i="7"/>
  <c r="E10" i="7"/>
  <c r="F10" i="7"/>
  <c r="G10" i="7"/>
  <c r="C11" i="7"/>
  <c r="D11" i="7"/>
  <c r="E11" i="7"/>
  <c r="F11" i="7"/>
  <c r="G11" i="7"/>
  <c r="C12" i="7"/>
  <c r="D12" i="7"/>
  <c r="E12" i="7"/>
  <c r="F12" i="7"/>
  <c r="G12" i="7"/>
  <c r="C13" i="7"/>
  <c r="D13" i="7"/>
  <c r="E13" i="7"/>
  <c r="F13" i="7"/>
  <c r="G13" i="7"/>
  <c r="C14" i="7"/>
  <c r="D14" i="7"/>
  <c r="E14" i="7"/>
  <c r="F14" i="7"/>
  <c r="G14" i="7"/>
  <c r="C15" i="7"/>
  <c r="D15" i="7"/>
  <c r="E15" i="7"/>
  <c r="F15" i="7"/>
  <c r="G15" i="7"/>
  <c r="C16" i="7"/>
  <c r="D16" i="7"/>
  <c r="E16" i="7"/>
  <c r="F16" i="7"/>
  <c r="G16" i="7"/>
  <c r="C17" i="7"/>
  <c r="D17" i="7"/>
  <c r="E17" i="7"/>
  <c r="F17" i="7"/>
  <c r="G17" i="7"/>
  <c r="C18" i="7"/>
  <c r="D18" i="7"/>
  <c r="E18" i="7"/>
  <c r="F18" i="7"/>
  <c r="G18" i="7"/>
  <c r="C19" i="7"/>
  <c r="D19" i="7"/>
  <c r="E19" i="7"/>
  <c r="F19" i="7"/>
  <c r="G19" i="7"/>
  <c r="C20" i="7"/>
  <c r="D20" i="7"/>
  <c r="E20" i="7"/>
  <c r="F20" i="7"/>
  <c r="G20" i="7"/>
  <c r="C21" i="7"/>
  <c r="D21" i="7"/>
  <c r="E21" i="7"/>
  <c r="F21" i="7"/>
  <c r="G21" i="7"/>
  <c r="D6" i="7"/>
  <c r="E6" i="7"/>
  <c r="F6" i="7"/>
  <c r="G6" i="7"/>
  <c r="C6" i="7"/>
  <c r="C32" i="3"/>
  <c r="D32" i="3"/>
  <c r="E32" i="3"/>
  <c r="F32" i="3"/>
  <c r="G32" i="3"/>
  <c r="H32" i="3"/>
  <c r="I32" i="3"/>
  <c r="J32" i="3"/>
  <c r="K32" i="3"/>
  <c r="B32" i="3"/>
  <c r="C37" i="3"/>
  <c r="D37" i="3"/>
  <c r="E37" i="3"/>
  <c r="F37" i="3"/>
  <c r="G37" i="3"/>
  <c r="H37" i="3"/>
  <c r="I37" i="3"/>
  <c r="J37" i="3"/>
  <c r="K37" i="3"/>
  <c r="B37" i="3"/>
  <c r="C36" i="3"/>
  <c r="D36" i="3"/>
  <c r="E36" i="3"/>
  <c r="F36" i="3"/>
  <c r="G36" i="3"/>
  <c r="H36" i="3"/>
  <c r="I36" i="3"/>
  <c r="J36" i="3"/>
  <c r="K36" i="3"/>
  <c r="B36" i="3"/>
  <c r="K34" i="3"/>
  <c r="J34" i="3"/>
  <c r="I34" i="3"/>
  <c r="H34" i="3"/>
  <c r="G34" i="3"/>
  <c r="F34" i="3"/>
  <c r="E34" i="3"/>
  <c r="D34" i="3"/>
  <c r="C34" i="3"/>
  <c r="B34" i="3"/>
  <c r="B7" i="7"/>
  <c r="B8" i="7"/>
  <c r="B9" i="7"/>
  <c r="B10" i="7"/>
  <c r="B11" i="7"/>
  <c r="B12" i="7"/>
  <c r="B13" i="7"/>
  <c r="B14" i="7"/>
  <c r="B15" i="7"/>
  <c r="B16" i="7"/>
  <c r="B17" i="7"/>
  <c r="B18" i="7"/>
  <c r="B19" i="7"/>
  <c r="B20" i="7"/>
  <c r="B6" i="7"/>
  <c r="D4" i="7"/>
  <c r="E4" i="7"/>
  <c r="F4" i="7"/>
  <c r="G4" i="7"/>
  <c r="C4" i="7"/>
  <c r="B2" i="7"/>
  <c r="I55" i="8" l="1"/>
  <c r="I59" i="8"/>
  <c r="E55" i="8"/>
  <c r="E59" i="8"/>
  <c r="F59" i="8"/>
  <c r="F55" i="8"/>
  <c r="G59" i="8"/>
  <c r="G55" i="8"/>
  <c r="H55" i="8"/>
  <c r="H59" i="8"/>
  <c r="K7" i="6"/>
  <c r="J7" i="6"/>
  <c r="G75" i="8" l="1"/>
  <c r="G61" i="8"/>
  <c r="G71" i="8" s="1"/>
  <c r="F75" i="8"/>
  <c r="F61" i="8"/>
  <c r="F71" i="8" s="1"/>
  <c r="I61" i="8"/>
  <c r="I71" i="8" s="1"/>
  <c r="I75" i="8"/>
  <c r="E75" i="8"/>
  <c r="E61" i="8"/>
  <c r="E71" i="8" s="1"/>
  <c r="H61" i="8"/>
  <c r="H71" i="8" s="1"/>
  <c r="H75" i="8"/>
  <c r="B2" i="2"/>
  <c r="B2" i="6"/>
  <c r="H3" i="6"/>
  <c r="G3" i="6"/>
  <c r="F3" i="6"/>
  <c r="E3" i="6"/>
  <c r="D3" i="6"/>
  <c r="E81" i="8" l="1"/>
  <c r="E83" i="8" s="1"/>
  <c r="E89" i="8" s="1"/>
  <c r="E77" i="8"/>
  <c r="H81" i="8"/>
  <c r="H83" i="8" s="1"/>
  <c r="H89" i="8" s="1"/>
  <c r="H77" i="8"/>
  <c r="G81" i="8"/>
  <c r="G83" i="8" s="1"/>
  <c r="G89" i="8" s="1"/>
  <c r="G77" i="8"/>
  <c r="I81" i="8"/>
  <c r="I83" i="8" s="1"/>
  <c r="I89" i="8" s="1"/>
  <c r="I77" i="8"/>
  <c r="F81" i="8"/>
  <c r="F83" i="8" s="1"/>
  <c r="F89" i="8" s="1"/>
  <c r="F77" i="8"/>
  <c r="C78" i="2"/>
  <c r="D70" i="2"/>
  <c r="E70" i="2"/>
  <c r="F70" i="2"/>
  <c r="G70" i="2"/>
  <c r="H70" i="2"/>
  <c r="I70" i="2"/>
  <c r="J70" i="2"/>
  <c r="K70" i="2"/>
  <c r="L70" i="2"/>
  <c r="D71" i="2"/>
  <c r="E71" i="2"/>
  <c r="F71" i="2"/>
  <c r="G71" i="2"/>
  <c r="H71" i="2"/>
  <c r="I71" i="2"/>
  <c r="J71" i="2"/>
  <c r="K71" i="2"/>
  <c r="L71" i="2"/>
  <c r="D72" i="2"/>
  <c r="E72" i="2"/>
  <c r="F72" i="2"/>
  <c r="G72" i="2"/>
  <c r="H72" i="2"/>
  <c r="I72" i="2"/>
  <c r="J72" i="2"/>
  <c r="K72" i="2"/>
  <c r="L72" i="2"/>
  <c r="D73" i="2"/>
  <c r="E73" i="2"/>
  <c r="F73" i="2"/>
  <c r="G73" i="2"/>
  <c r="H73" i="2"/>
  <c r="I73" i="2"/>
  <c r="J73" i="2"/>
  <c r="K73" i="2"/>
  <c r="L73" i="2"/>
  <c r="D74" i="2"/>
  <c r="E74" i="2"/>
  <c r="F74" i="2"/>
  <c r="G74" i="2"/>
  <c r="H74" i="2"/>
  <c r="I74" i="2"/>
  <c r="J74" i="2"/>
  <c r="K74" i="2"/>
  <c r="L74" i="2"/>
  <c r="D75" i="2"/>
  <c r="E75" i="2"/>
  <c r="F75" i="2"/>
  <c r="G75" i="2"/>
  <c r="H75" i="2"/>
  <c r="I75" i="2"/>
  <c r="J75" i="2"/>
  <c r="K75" i="2"/>
  <c r="L75" i="2"/>
  <c r="D76" i="2"/>
  <c r="E76" i="2"/>
  <c r="F76" i="2"/>
  <c r="G76" i="2"/>
  <c r="H76" i="2"/>
  <c r="I76" i="2"/>
  <c r="J76" i="2"/>
  <c r="K76" i="2"/>
  <c r="L76" i="2"/>
  <c r="D77" i="2"/>
  <c r="E77" i="2"/>
  <c r="F77" i="2"/>
  <c r="G77" i="2"/>
  <c r="H77" i="2"/>
  <c r="I77" i="2"/>
  <c r="J77" i="2"/>
  <c r="K77" i="2"/>
  <c r="L77" i="2"/>
  <c r="C71" i="2"/>
  <c r="C72" i="2"/>
  <c r="C73" i="2"/>
  <c r="C74" i="2"/>
  <c r="C75" i="2"/>
  <c r="C76" i="2"/>
  <c r="C77" i="2"/>
  <c r="C70" i="2"/>
  <c r="D91" i="2"/>
  <c r="D98" i="2" s="1"/>
  <c r="E91" i="2"/>
  <c r="E98" i="2" s="1"/>
  <c r="F91" i="2"/>
  <c r="F98" i="2" s="1"/>
  <c r="G91" i="2"/>
  <c r="H91" i="2"/>
  <c r="I91" i="2"/>
  <c r="I98" i="2" s="1"/>
  <c r="J91" i="2"/>
  <c r="K91" i="2"/>
  <c r="K98" i="2" s="1"/>
  <c r="L91" i="2"/>
  <c r="L98" i="2" s="1"/>
  <c r="D92" i="2"/>
  <c r="E92" i="2"/>
  <c r="F92" i="2"/>
  <c r="G92" i="2"/>
  <c r="H92" i="2"/>
  <c r="H98" i="2" s="1"/>
  <c r="I92" i="2"/>
  <c r="J92" i="2"/>
  <c r="K92" i="2"/>
  <c r="L92" i="2"/>
  <c r="D93" i="2"/>
  <c r="E93" i="2"/>
  <c r="F93" i="2"/>
  <c r="G93" i="2"/>
  <c r="H93" i="2"/>
  <c r="I93" i="2"/>
  <c r="J93" i="2"/>
  <c r="J98" i="2" s="1"/>
  <c r="K93" i="2"/>
  <c r="L93" i="2"/>
  <c r="D94" i="2"/>
  <c r="E94" i="2"/>
  <c r="F94" i="2"/>
  <c r="G94" i="2"/>
  <c r="H94" i="2"/>
  <c r="I94" i="2"/>
  <c r="J94" i="2"/>
  <c r="K94" i="2"/>
  <c r="L94" i="2"/>
  <c r="D95" i="2"/>
  <c r="E95" i="2"/>
  <c r="F95" i="2"/>
  <c r="G95" i="2"/>
  <c r="H95" i="2"/>
  <c r="I95" i="2"/>
  <c r="J95" i="2"/>
  <c r="K95" i="2"/>
  <c r="L95" i="2"/>
  <c r="D96" i="2"/>
  <c r="E96" i="2"/>
  <c r="F96" i="2"/>
  <c r="G96" i="2"/>
  <c r="H96" i="2"/>
  <c r="I96" i="2"/>
  <c r="J96" i="2"/>
  <c r="K96" i="2"/>
  <c r="L96" i="2"/>
  <c r="D97" i="2"/>
  <c r="E97" i="2"/>
  <c r="F97" i="2"/>
  <c r="G97" i="2"/>
  <c r="H97" i="2"/>
  <c r="I97" i="2"/>
  <c r="J97" i="2"/>
  <c r="K97" i="2"/>
  <c r="L97" i="2"/>
  <c r="G98" i="2"/>
  <c r="C98" i="2"/>
  <c r="C92" i="2"/>
  <c r="C93" i="2"/>
  <c r="C94" i="2"/>
  <c r="C95" i="2"/>
  <c r="C96" i="2"/>
  <c r="C97" i="2"/>
  <c r="C91" i="2"/>
  <c r="D81" i="2"/>
  <c r="E81" i="2"/>
  <c r="F81" i="2"/>
  <c r="G81" i="2"/>
  <c r="H81" i="2"/>
  <c r="I81" i="2"/>
  <c r="J81" i="2"/>
  <c r="K81" i="2"/>
  <c r="L81" i="2"/>
  <c r="D82" i="2"/>
  <c r="E82" i="2"/>
  <c r="F82" i="2"/>
  <c r="G82" i="2"/>
  <c r="H82" i="2"/>
  <c r="I82" i="2"/>
  <c r="J82" i="2"/>
  <c r="K82" i="2"/>
  <c r="L82" i="2"/>
  <c r="D83" i="2"/>
  <c r="E83" i="2"/>
  <c r="F83" i="2"/>
  <c r="G83" i="2"/>
  <c r="H83" i="2"/>
  <c r="I83" i="2"/>
  <c r="J83" i="2"/>
  <c r="K83" i="2"/>
  <c r="L83" i="2"/>
  <c r="D84" i="2"/>
  <c r="E84" i="2"/>
  <c r="F84" i="2"/>
  <c r="G84" i="2"/>
  <c r="H84" i="2"/>
  <c r="I84" i="2"/>
  <c r="J84" i="2"/>
  <c r="K84" i="2"/>
  <c r="L84" i="2"/>
  <c r="D85" i="2"/>
  <c r="E85" i="2"/>
  <c r="F85" i="2"/>
  <c r="G85" i="2"/>
  <c r="H85" i="2"/>
  <c r="I85" i="2"/>
  <c r="J85" i="2"/>
  <c r="K85" i="2"/>
  <c r="L85" i="2"/>
  <c r="D86" i="2"/>
  <c r="E86" i="2"/>
  <c r="F86" i="2"/>
  <c r="G86" i="2"/>
  <c r="H86" i="2"/>
  <c r="I86" i="2"/>
  <c r="J86" i="2"/>
  <c r="K86" i="2"/>
  <c r="L86" i="2"/>
  <c r="D87" i="2"/>
  <c r="E87" i="2"/>
  <c r="F87" i="2"/>
  <c r="G87" i="2"/>
  <c r="H87" i="2"/>
  <c r="I87" i="2"/>
  <c r="J87" i="2"/>
  <c r="K87" i="2"/>
  <c r="L87" i="2"/>
  <c r="C82" i="2"/>
  <c r="C83" i="2"/>
  <c r="C84" i="2"/>
  <c r="C85" i="2"/>
  <c r="C86" i="2"/>
  <c r="C87" i="2"/>
  <c r="C81" i="2"/>
  <c r="D61" i="2" l="1"/>
  <c r="E61" i="2"/>
  <c r="F61" i="2"/>
  <c r="G61" i="2"/>
  <c r="H61" i="2"/>
  <c r="I61" i="2"/>
  <c r="J61" i="2"/>
  <c r="K61" i="2"/>
  <c r="L61" i="2"/>
  <c r="C61" i="2"/>
  <c r="D60" i="2"/>
  <c r="E60" i="2"/>
  <c r="F60" i="2"/>
  <c r="G60" i="2"/>
  <c r="H60" i="2"/>
  <c r="I60" i="2"/>
  <c r="J60" i="2"/>
  <c r="K60" i="2"/>
  <c r="L60" i="2"/>
  <c r="C60" i="2"/>
  <c r="D59" i="2"/>
  <c r="E59" i="2"/>
  <c r="F59" i="2"/>
  <c r="G59" i="2"/>
  <c r="H59" i="2"/>
  <c r="I59" i="2"/>
  <c r="J59" i="2"/>
  <c r="K59" i="2"/>
  <c r="L59" i="2"/>
  <c r="C59" i="2"/>
  <c r="D56" i="2"/>
  <c r="E56" i="2"/>
  <c r="F56" i="2"/>
  <c r="G56" i="2"/>
  <c r="H56" i="2"/>
  <c r="I56" i="2"/>
  <c r="J56" i="2"/>
  <c r="K56" i="2"/>
  <c r="L56" i="2"/>
  <c r="C56" i="2"/>
  <c r="D55" i="2"/>
  <c r="E55" i="2"/>
  <c r="F55" i="2"/>
  <c r="G55" i="2"/>
  <c r="H55" i="2"/>
  <c r="I55" i="2"/>
  <c r="J55" i="2"/>
  <c r="K55" i="2"/>
  <c r="L55" i="2"/>
  <c r="C55" i="2"/>
  <c r="D54" i="2"/>
  <c r="E54" i="2"/>
  <c r="F54" i="2"/>
  <c r="G54" i="2"/>
  <c r="H54" i="2"/>
  <c r="I54" i="2"/>
  <c r="J54" i="2"/>
  <c r="K54" i="2"/>
  <c r="L54" i="2"/>
  <c r="C54" i="2"/>
  <c r="D53" i="2"/>
  <c r="E53" i="2"/>
  <c r="F53" i="2"/>
  <c r="G53" i="2"/>
  <c r="H53" i="2"/>
  <c r="I53" i="2"/>
  <c r="J53" i="2"/>
  <c r="K53" i="2"/>
  <c r="L53" i="2"/>
  <c r="C53" i="2"/>
  <c r="D51" i="2"/>
  <c r="E51" i="2"/>
  <c r="F51" i="2"/>
  <c r="G51" i="2"/>
  <c r="H51" i="2"/>
  <c r="I51" i="2"/>
  <c r="J51" i="2"/>
  <c r="K51" i="2"/>
  <c r="L51" i="2"/>
  <c r="C51" i="2"/>
  <c r="D50" i="2"/>
  <c r="E50" i="2"/>
  <c r="F50" i="2"/>
  <c r="G50" i="2"/>
  <c r="H50" i="2"/>
  <c r="I50" i="2"/>
  <c r="J50" i="2"/>
  <c r="K50" i="2"/>
  <c r="L50" i="2"/>
  <c r="C50" i="2"/>
  <c r="D49" i="2"/>
  <c r="E49" i="2"/>
  <c r="F49" i="2"/>
  <c r="G49" i="2"/>
  <c r="H49" i="2"/>
  <c r="D51" i="6" s="1"/>
  <c r="I49" i="2"/>
  <c r="E51" i="6" s="1"/>
  <c r="J49" i="2"/>
  <c r="F51" i="6" s="1"/>
  <c r="K49" i="2"/>
  <c r="G51" i="6" s="1"/>
  <c r="L49" i="2"/>
  <c r="H51" i="6" s="1"/>
  <c r="C49" i="2"/>
  <c r="D48" i="2"/>
  <c r="E48" i="2"/>
  <c r="F48" i="2"/>
  <c r="G48" i="2"/>
  <c r="H48" i="2"/>
  <c r="I48" i="2"/>
  <c r="J48" i="2"/>
  <c r="K48" i="2"/>
  <c r="L48" i="2"/>
  <c r="C48" i="2"/>
  <c r="D47" i="2"/>
  <c r="E47" i="2"/>
  <c r="F47" i="2"/>
  <c r="G47" i="2"/>
  <c r="H47" i="2"/>
  <c r="I47" i="2"/>
  <c r="J47" i="2"/>
  <c r="K47" i="2"/>
  <c r="L47" i="2"/>
  <c r="C47" i="2"/>
  <c r="M18" i="2"/>
  <c r="C51" i="3"/>
  <c r="D51" i="3"/>
  <c r="E51" i="3"/>
  <c r="F51" i="3"/>
  <c r="G51" i="3"/>
  <c r="H51" i="3"/>
  <c r="I51" i="3"/>
  <c r="J51" i="3"/>
  <c r="K51" i="3"/>
  <c r="B51" i="3"/>
  <c r="J51" i="6" l="1"/>
  <c r="K51" i="6"/>
  <c r="D36" i="2"/>
  <c r="D41" i="2" s="1"/>
  <c r="E36" i="2"/>
  <c r="E41" i="2" s="1"/>
  <c r="F36" i="2"/>
  <c r="F41" i="2" s="1"/>
  <c r="G36" i="2"/>
  <c r="G41" i="2" s="1"/>
  <c r="H36" i="2"/>
  <c r="H41" i="2" s="1"/>
  <c r="D9" i="6" s="1"/>
  <c r="I36" i="2"/>
  <c r="I41" i="2" s="1"/>
  <c r="E9" i="6" s="1"/>
  <c r="J36" i="2"/>
  <c r="J41" i="2" s="1"/>
  <c r="K36" i="2"/>
  <c r="K41" i="2" s="1"/>
  <c r="G9" i="6" s="1"/>
  <c r="L36" i="2"/>
  <c r="L41" i="2" s="1"/>
  <c r="C36" i="2"/>
  <c r="C41" i="2" s="1"/>
  <c r="H9" i="6" l="1"/>
  <c r="F9" i="6"/>
  <c r="M30" i="2"/>
  <c r="D30" i="2"/>
  <c r="E30" i="2"/>
  <c r="F30" i="2"/>
  <c r="G30" i="2"/>
  <c r="H30" i="2"/>
  <c r="I30" i="2"/>
  <c r="J30" i="2"/>
  <c r="K30" i="2"/>
  <c r="L30" i="2"/>
  <c r="C30" i="2"/>
  <c r="M24" i="2"/>
  <c r="D24" i="2"/>
  <c r="E24" i="2"/>
  <c r="F24" i="2"/>
  <c r="G24" i="2"/>
  <c r="H24" i="2"/>
  <c r="I24" i="2"/>
  <c r="J24" i="2"/>
  <c r="K24" i="2"/>
  <c r="L24" i="2"/>
  <c r="C24" i="2"/>
  <c r="M21" i="2"/>
  <c r="D21" i="2"/>
  <c r="E21" i="2"/>
  <c r="F21" i="2"/>
  <c r="G21" i="2"/>
  <c r="H21" i="2"/>
  <c r="I21" i="2"/>
  <c r="J21" i="2"/>
  <c r="K21" i="2"/>
  <c r="L21" i="2"/>
  <c r="C21" i="2"/>
  <c r="D15" i="2"/>
  <c r="E15" i="2"/>
  <c r="F15" i="2"/>
  <c r="G15" i="2"/>
  <c r="H15" i="2"/>
  <c r="I15" i="2"/>
  <c r="J15" i="2"/>
  <c r="K15" i="2"/>
  <c r="L15" i="2"/>
  <c r="C15" i="2"/>
  <c r="M9" i="2"/>
  <c r="D9" i="2"/>
  <c r="E9" i="2"/>
  <c r="F9" i="2"/>
  <c r="G9" i="2"/>
  <c r="H9" i="2"/>
  <c r="I9" i="2"/>
  <c r="J9" i="2"/>
  <c r="K9" i="2"/>
  <c r="L9" i="2"/>
  <c r="M6" i="2"/>
  <c r="C9" i="2"/>
  <c r="D6" i="2"/>
  <c r="E6" i="2"/>
  <c r="F6" i="2"/>
  <c r="G6" i="2"/>
  <c r="H6" i="2"/>
  <c r="I6" i="2"/>
  <c r="J6" i="2"/>
  <c r="K6" i="2"/>
  <c r="L6" i="2"/>
  <c r="C6" i="2"/>
  <c r="K9" i="6" l="1"/>
  <c r="D32" i="6"/>
  <c r="G31" i="6"/>
  <c r="F31" i="6"/>
  <c r="E37" i="6"/>
  <c r="E44" i="6" s="1"/>
  <c r="E38" i="6"/>
  <c r="E45" i="6" s="1"/>
  <c r="H29" i="6"/>
  <c r="E31" i="6"/>
  <c r="G38" i="6"/>
  <c r="G45" i="6" s="1"/>
  <c r="G37" i="6"/>
  <c r="G44" i="6" s="1"/>
  <c r="D38" i="6"/>
  <c r="D37" i="6"/>
  <c r="G29" i="6"/>
  <c r="D31" i="6"/>
  <c r="D5" i="6"/>
  <c r="D49" i="6"/>
  <c r="D39" i="6"/>
  <c r="D36" i="6"/>
  <c r="F29" i="6"/>
  <c r="H32" i="6"/>
  <c r="E29" i="6"/>
  <c r="G32" i="6"/>
  <c r="F5" i="6"/>
  <c r="F49" i="6"/>
  <c r="F39" i="6"/>
  <c r="F36" i="6"/>
  <c r="F43" i="6" s="1"/>
  <c r="D29" i="6"/>
  <c r="F32" i="6"/>
  <c r="J9" i="6"/>
  <c r="F37" i="6"/>
  <c r="F44" i="6" s="1"/>
  <c r="F38" i="6"/>
  <c r="F45" i="6" s="1"/>
  <c r="H5" i="6"/>
  <c r="H49" i="6"/>
  <c r="H36" i="6"/>
  <c r="H43" i="6" s="1"/>
  <c r="H39" i="6"/>
  <c r="K12" i="2"/>
  <c r="G21" i="6" s="1"/>
  <c r="G5" i="6"/>
  <c r="G49" i="6"/>
  <c r="G39" i="6"/>
  <c r="G36" i="6"/>
  <c r="G43" i="6" s="1"/>
  <c r="G46" i="6" s="1"/>
  <c r="E5" i="6"/>
  <c r="E49" i="6"/>
  <c r="E39" i="6"/>
  <c r="E36" i="6"/>
  <c r="E43" i="6" s="1"/>
  <c r="H37" i="6"/>
  <c r="H44" i="6" s="1"/>
  <c r="H38" i="6"/>
  <c r="H45" i="6" s="1"/>
  <c r="E32" i="6"/>
  <c r="H31" i="6"/>
  <c r="M12" i="2"/>
  <c r="G12" i="2"/>
  <c r="J12" i="2"/>
  <c r="F21" i="6" s="1"/>
  <c r="I12" i="2"/>
  <c r="E21" i="6" s="1"/>
  <c r="E12" i="2"/>
  <c r="H12" i="2"/>
  <c r="D21" i="6" s="1"/>
  <c r="L12" i="2"/>
  <c r="H21" i="6" s="1"/>
  <c r="D12" i="2"/>
  <c r="F12" i="2"/>
  <c r="E46" i="6" l="1"/>
  <c r="H46" i="6"/>
  <c r="K5" i="6"/>
  <c r="J5" i="6"/>
  <c r="K29" i="6"/>
  <c r="J29" i="6"/>
  <c r="J31" i="6"/>
  <c r="K31" i="6"/>
  <c r="F46" i="6"/>
  <c r="J37" i="6"/>
  <c r="D44" i="6"/>
  <c r="K37" i="6"/>
  <c r="K36" i="6"/>
  <c r="D43" i="6"/>
  <c r="J36" i="6"/>
  <c r="J38" i="6"/>
  <c r="D45" i="6"/>
  <c r="K38" i="6"/>
  <c r="K21" i="6"/>
  <c r="J21" i="6"/>
  <c r="K39" i="6"/>
  <c r="J39" i="6"/>
  <c r="J49" i="6"/>
  <c r="K49" i="6"/>
  <c r="J32" i="6"/>
  <c r="K32" i="6"/>
  <c r="C10" i="2"/>
  <c r="B6" i="3"/>
  <c r="E1" i="3"/>
  <c r="C3" i="2"/>
  <c r="D3" i="2"/>
  <c r="E3" i="2"/>
  <c r="F3" i="2"/>
  <c r="G3" i="2"/>
  <c r="H3" i="2"/>
  <c r="E52" i="8" s="1"/>
  <c r="I3" i="2"/>
  <c r="F52" i="8" s="1"/>
  <c r="J3" i="2"/>
  <c r="G52" i="8" s="1"/>
  <c r="K3" i="2"/>
  <c r="H52" i="8" s="1"/>
  <c r="L3" i="2"/>
  <c r="I52" i="8" s="1"/>
  <c r="E7" i="2"/>
  <c r="F7" i="2"/>
  <c r="H16" i="2"/>
  <c r="J25" i="2"/>
  <c r="L7" i="2"/>
  <c r="M7" i="2"/>
  <c r="H7" i="2"/>
  <c r="I7" i="2"/>
  <c r="F10" i="2"/>
  <c r="I10" i="2"/>
  <c r="L10" i="2"/>
  <c r="M13" i="2"/>
  <c r="D10" i="2"/>
  <c r="G10" i="2"/>
  <c r="H10" i="2"/>
  <c r="J10" i="2"/>
  <c r="K10" i="2"/>
  <c r="D13" i="2"/>
  <c r="G13" i="2"/>
  <c r="H13" i="2"/>
  <c r="L13" i="2"/>
  <c r="E16" i="2"/>
  <c r="I16" i="2"/>
  <c r="J16" i="2"/>
  <c r="M16" i="2"/>
  <c r="D16" i="2"/>
  <c r="F16" i="2"/>
  <c r="G16" i="2"/>
  <c r="L16" i="2"/>
  <c r="E22" i="2"/>
  <c r="F22" i="2"/>
  <c r="G22" i="2"/>
  <c r="I22" i="2"/>
  <c r="M22" i="2"/>
  <c r="D22" i="2"/>
  <c r="H22" i="2"/>
  <c r="J22" i="2"/>
  <c r="K22" i="2"/>
  <c r="L22" i="2"/>
  <c r="G25" i="2"/>
  <c r="H25" i="2"/>
  <c r="I25" i="2"/>
  <c r="K25" i="2"/>
  <c r="D25" i="2"/>
  <c r="E25" i="2"/>
  <c r="L25" i="2"/>
  <c r="M25" i="2"/>
  <c r="M36" i="2"/>
  <c r="M41" i="2" s="1"/>
  <c r="H62" i="2"/>
  <c r="I74" i="8" l="1"/>
  <c r="I80" i="8" s="1"/>
  <c r="I58" i="8"/>
  <c r="G74" i="8"/>
  <c r="G80" i="8" s="1"/>
  <c r="G58" i="8"/>
  <c r="H74" i="8"/>
  <c r="H80" i="8" s="1"/>
  <c r="H58" i="8"/>
  <c r="F74" i="8"/>
  <c r="F80" i="8" s="1"/>
  <c r="F58" i="8"/>
  <c r="E58" i="8"/>
  <c r="E74" i="8"/>
  <c r="E80" i="8" s="1"/>
  <c r="K45" i="6"/>
  <c r="J45" i="6"/>
  <c r="K43" i="6"/>
  <c r="J43" i="6"/>
  <c r="D46" i="6"/>
  <c r="K44" i="6"/>
  <c r="J44" i="6"/>
  <c r="L78" i="2"/>
  <c r="L100" i="2" s="1"/>
  <c r="I78" i="2"/>
  <c r="I100" i="2" s="1"/>
  <c r="F88" i="2"/>
  <c r="E57" i="2"/>
  <c r="G88" i="2"/>
  <c r="D78" i="2"/>
  <c r="D100" i="2" s="1"/>
  <c r="L62" i="2"/>
  <c r="J88" i="2"/>
  <c r="E62" i="2"/>
  <c r="I62" i="2"/>
  <c r="C62" i="2"/>
  <c r="H88" i="2"/>
  <c r="H57" i="2"/>
  <c r="H64" i="2" s="1"/>
  <c r="L88" i="2"/>
  <c r="G78" i="2"/>
  <c r="G100" i="2" s="1"/>
  <c r="D62" i="2"/>
  <c r="F62" i="2"/>
  <c r="L57" i="2"/>
  <c r="D57" i="2"/>
  <c r="F57" i="2"/>
  <c r="K78" i="2"/>
  <c r="K100" i="2" s="1"/>
  <c r="F78" i="2"/>
  <c r="F100" i="2" s="1"/>
  <c r="G57" i="2"/>
  <c r="I57" i="2"/>
  <c r="K57" i="2"/>
  <c r="C57" i="2"/>
  <c r="M19" i="2"/>
  <c r="M27" i="2"/>
  <c r="J62" i="2"/>
  <c r="J57" i="2"/>
  <c r="H78" i="2"/>
  <c r="H100" i="2" s="1"/>
  <c r="J78" i="2"/>
  <c r="J100" i="2" s="1"/>
  <c r="G62" i="2"/>
  <c r="K62" i="2"/>
  <c r="I88" i="2"/>
  <c r="K88" i="2"/>
  <c r="C88" i="2"/>
  <c r="E88" i="2"/>
  <c r="C100" i="2"/>
  <c r="D88" i="2"/>
  <c r="E78" i="2"/>
  <c r="E100" i="2" s="1"/>
  <c r="G18" i="2"/>
  <c r="L18" i="2"/>
  <c r="D18" i="2"/>
  <c r="C25" i="2"/>
  <c r="E18" i="2"/>
  <c r="E27" i="2" s="1"/>
  <c r="E13" i="2"/>
  <c r="H18" i="2"/>
  <c r="K16" i="2"/>
  <c r="C16" i="2"/>
  <c r="C12" i="2"/>
  <c r="D7" i="2"/>
  <c r="M10" i="2"/>
  <c r="E10" i="2"/>
  <c r="K7" i="2"/>
  <c r="F25" i="2"/>
  <c r="J7" i="2"/>
  <c r="C22" i="2"/>
  <c r="G7" i="2"/>
  <c r="K46" i="6" l="1"/>
  <c r="J46" i="6"/>
  <c r="H66" i="2"/>
  <c r="D50" i="6"/>
  <c r="H27" i="2"/>
  <c r="D22" i="6"/>
  <c r="D16" i="6"/>
  <c r="D23" i="6"/>
  <c r="D30" i="6"/>
  <c r="D12" i="6"/>
  <c r="D6" i="6"/>
  <c r="H22" i="6"/>
  <c r="H12" i="6"/>
  <c r="H23" i="6"/>
  <c r="H16" i="6"/>
  <c r="H30" i="6"/>
  <c r="I64" i="2"/>
  <c r="E64" i="2"/>
  <c r="E66" i="2" s="1"/>
  <c r="F64" i="2"/>
  <c r="F66" i="2" s="1"/>
  <c r="J64" i="2"/>
  <c r="G64" i="2"/>
  <c r="G66" i="2" s="1"/>
  <c r="K64" i="2"/>
  <c r="C64" i="2"/>
  <c r="C66" i="2" s="1"/>
  <c r="D64" i="2"/>
  <c r="D66" i="2" s="1"/>
  <c r="L64" i="2"/>
  <c r="G27" i="2"/>
  <c r="G28" i="2" s="1"/>
  <c r="M33" i="2"/>
  <c r="M28" i="2"/>
  <c r="M31" i="2"/>
  <c r="D19" i="2"/>
  <c r="D27" i="2"/>
  <c r="D31" i="2" s="1"/>
  <c r="L27" i="2"/>
  <c r="G19" i="2"/>
  <c r="L19" i="2"/>
  <c r="J13" i="2"/>
  <c r="J18" i="2"/>
  <c r="H19" i="2"/>
  <c r="F13" i="2"/>
  <c r="F18" i="2"/>
  <c r="F27" i="2" s="1"/>
  <c r="C13" i="2"/>
  <c r="C18" i="2"/>
  <c r="C27" i="2" s="1"/>
  <c r="E19" i="2"/>
  <c r="I18" i="2"/>
  <c r="I13" i="2"/>
  <c r="K18" i="2"/>
  <c r="K13" i="2"/>
  <c r="J27" i="2" l="1"/>
  <c r="F30" i="6"/>
  <c r="F23" i="6"/>
  <c r="F16" i="6"/>
  <c r="F22" i="6"/>
  <c r="F12" i="6"/>
  <c r="J12" i="6" s="1"/>
  <c r="F6" i="6"/>
  <c r="J66" i="2"/>
  <c r="F50" i="6"/>
  <c r="D24" i="6"/>
  <c r="D33" i="6"/>
  <c r="K66" i="2"/>
  <c r="G50" i="6"/>
  <c r="I27" i="2"/>
  <c r="E6" i="6"/>
  <c r="E22" i="6"/>
  <c r="K22" i="6" s="1"/>
  <c r="E16" i="6"/>
  <c r="E12" i="6"/>
  <c r="E30" i="6"/>
  <c r="E23" i="6"/>
  <c r="J23" i="6" s="1"/>
  <c r="K27" i="2"/>
  <c r="G16" i="6"/>
  <c r="G6" i="6"/>
  <c r="J6" i="6" s="1"/>
  <c r="G22" i="6"/>
  <c r="G30" i="6"/>
  <c r="G12" i="6"/>
  <c r="G23" i="6"/>
  <c r="L66" i="2"/>
  <c r="H50" i="6"/>
  <c r="I66" i="2"/>
  <c r="E50" i="6"/>
  <c r="K50" i="6" s="1"/>
  <c r="L31" i="2"/>
  <c r="H24" i="6"/>
  <c r="H33" i="6"/>
  <c r="H6" i="6"/>
  <c r="K30" i="6"/>
  <c r="L33" i="2"/>
  <c r="G31" i="2"/>
  <c r="L28" i="2"/>
  <c r="G33" i="2"/>
  <c r="G38" i="2" s="1"/>
  <c r="G42" i="2" s="1"/>
  <c r="G44" i="2" s="1"/>
  <c r="H13" i="6" s="1"/>
  <c r="M34" i="2"/>
  <c r="M38" i="2"/>
  <c r="D28" i="2"/>
  <c r="D33" i="2"/>
  <c r="D38" i="2" s="1"/>
  <c r="H31" i="2"/>
  <c r="H28" i="2"/>
  <c r="H33" i="2"/>
  <c r="J19" i="2"/>
  <c r="F19" i="2"/>
  <c r="K19" i="2"/>
  <c r="I19" i="2"/>
  <c r="E28" i="2"/>
  <c r="E33" i="2"/>
  <c r="E31" i="2"/>
  <c r="C19" i="2"/>
  <c r="K12" i="6" l="1"/>
  <c r="J30" i="6"/>
  <c r="J16" i="6"/>
  <c r="J50" i="6"/>
  <c r="F24" i="6"/>
  <c r="F33" i="6"/>
  <c r="J22" i="6"/>
  <c r="K6" i="6"/>
  <c r="G24" i="6"/>
  <c r="G33" i="6"/>
  <c r="D8" i="6"/>
  <c r="D14" i="6"/>
  <c r="D25" i="6"/>
  <c r="D40" i="6"/>
  <c r="D26" i="6"/>
  <c r="D20" i="6"/>
  <c r="D17" i="6"/>
  <c r="E24" i="6"/>
  <c r="E33" i="6"/>
  <c r="K16" i="6"/>
  <c r="K23" i="6"/>
  <c r="L34" i="2"/>
  <c r="H8" i="6"/>
  <c r="H25" i="6"/>
  <c r="H14" i="6"/>
  <c r="H15" i="6" s="1"/>
  <c r="H40" i="6"/>
  <c r="H20" i="6"/>
  <c r="H26" i="6"/>
  <c r="H17" i="6"/>
  <c r="J33" i="6"/>
  <c r="K33" i="6"/>
  <c r="G34" i="2"/>
  <c r="L38" i="2"/>
  <c r="L42" i="2" s="1"/>
  <c r="M42" i="2"/>
  <c r="M44" i="2" s="1"/>
  <c r="D34" i="2"/>
  <c r="K33" i="2"/>
  <c r="K28" i="2"/>
  <c r="K31" i="2"/>
  <c r="I28" i="2"/>
  <c r="I33" i="2"/>
  <c r="I31" i="2"/>
  <c r="C33" i="2"/>
  <c r="C28" i="2"/>
  <c r="C31" i="2"/>
  <c r="D42" i="2"/>
  <c r="D44" i="2" s="1"/>
  <c r="E13" i="6" s="1"/>
  <c r="J31" i="2"/>
  <c r="J28" i="2"/>
  <c r="J33" i="2"/>
  <c r="H34" i="2"/>
  <c r="H38" i="2"/>
  <c r="E38" i="2"/>
  <c r="E34" i="2"/>
  <c r="F31" i="2"/>
  <c r="F28" i="2"/>
  <c r="F33" i="2"/>
  <c r="J24" i="6" l="1"/>
  <c r="E14" i="6"/>
  <c r="E8" i="6"/>
  <c r="E25" i="6"/>
  <c r="J25" i="6" s="1"/>
  <c r="E26" i="6"/>
  <c r="E20" i="6"/>
  <c r="E40" i="6"/>
  <c r="J40" i="6" s="1"/>
  <c r="E17" i="6"/>
  <c r="K17" i="6" s="1"/>
  <c r="F25" i="6"/>
  <c r="F14" i="6"/>
  <c r="F8" i="6"/>
  <c r="F40" i="6"/>
  <c r="F26" i="6"/>
  <c r="F20" i="6"/>
  <c r="J20" i="6" s="1"/>
  <c r="F17" i="6"/>
  <c r="G14" i="6"/>
  <c r="G25" i="6"/>
  <c r="G8" i="6"/>
  <c r="G20" i="6"/>
  <c r="G40" i="6"/>
  <c r="G26" i="6"/>
  <c r="G17" i="6"/>
  <c r="K24" i="6"/>
  <c r="M39" i="2"/>
  <c r="L44" i="2"/>
  <c r="J38" i="2"/>
  <c r="J34" i="2"/>
  <c r="C38" i="2"/>
  <c r="C34" i="2"/>
  <c r="F38" i="2"/>
  <c r="F34" i="2"/>
  <c r="I34" i="2"/>
  <c r="I38" i="2"/>
  <c r="E39" i="2"/>
  <c r="E42" i="2"/>
  <c r="E44" i="2" s="1"/>
  <c r="F13" i="6" s="1"/>
  <c r="F15" i="6" s="1"/>
  <c r="H39" i="2"/>
  <c r="H42" i="2"/>
  <c r="H44" i="2" s="1"/>
  <c r="K38" i="2"/>
  <c r="K34" i="2"/>
  <c r="J8" i="6" l="1"/>
  <c r="K26" i="6"/>
  <c r="K25" i="6"/>
  <c r="K14" i="6"/>
  <c r="K20" i="6"/>
  <c r="J26" i="6"/>
  <c r="K40" i="6"/>
  <c r="E15" i="6"/>
  <c r="K8" i="6"/>
  <c r="J14" i="6"/>
  <c r="J17" i="6"/>
  <c r="I39" i="2"/>
  <c r="I42" i="2"/>
  <c r="I44" i="2" s="1"/>
  <c r="J42" i="2"/>
  <c r="J44" i="2" s="1"/>
  <c r="J39" i="2"/>
  <c r="K39" i="2"/>
  <c r="K42" i="2"/>
  <c r="K44" i="2" s="1"/>
  <c r="L39" i="2"/>
  <c r="F42" i="2"/>
  <c r="F44" i="2" s="1"/>
  <c r="G13" i="6" s="1"/>
  <c r="G15" i="6" s="1"/>
  <c r="F39" i="2"/>
  <c r="G39" i="2"/>
  <c r="C42" i="2"/>
  <c r="C44" i="2" s="1"/>
  <c r="D13" i="6" s="1"/>
  <c r="D39" i="2"/>
  <c r="K13" i="6" l="1"/>
  <c r="J13" i="6"/>
  <c r="D15" i="6"/>
  <c r="J15" i="6" l="1"/>
  <c r="K15" i="6"/>
</calcChain>
</file>

<file path=xl/sharedStrings.xml><?xml version="1.0" encoding="utf-8"?>
<sst xmlns="http://schemas.openxmlformats.org/spreadsheetml/2006/main" count="260" uniqueCount="182">
  <si>
    <t>Net Cash Flow</t>
  </si>
  <si>
    <t>Cash from Financing Activities</t>
  </si>
  <si>
    <t>Other financing items</t>
  </si>
  <si>
    <t>Dividends paid</t>
  </si>
  <si>
    <t>Repayment of borrowings</t>
  </si>
  <si>
    <t>Proceeds from borrowings</t>
  </si>
  <si>
    <t>Proceeds from shares</t>
  </si>
  <si>
    <t>Financing Activities</t>
  </si>
  <si>
    <t>Cash from Investing Activities</t>
  </si>
  <si>
    <t>Other investing items</t>
  </si>
  <si>
    <t>Dividends received</t>
  </si>
  <si>
    <t>Fixed assets sold</t>
  </si>
  <si>
    <t>Fixed assets purchased</t>
  </si>
  <si>
    <t>Investing Activities</t>
  </si>
  <si>
    <t>Cash from Operating Activities</t>
  </si>
  <si>
    <t>Direct taxes</t>
  </si>
  <si>
    <t>Working capital changes</t>
  </si>
  <si>
    <t>Other WC items</t>
  </si>
  <si>
    <t>Loans Advances</t>
  </si>
  <si>
    <t>Profit from operations</t>
  </si>
  <si>
    <t>Operating Activities</t>
  </si>
  <si>
    <t>Cash Flow Statements</t>
  </si>
  <si>
    <t>#</t>
  </si>
  <si>
    <t>Check</t>
  </si>
  <si>
    <t>Total Assets</t>
  </si>
  <si>
    <t>Total Current Assets</t>
  </si>
  <si>
    <t>Cash &amp; Bank</t>
  </si>
  <si>
    <t>Inventory</t>
  </si>
  <si>
    <t>Receivables</t>
  </si>
  <si>
    <t>Total Non Current Assets</t>
  </si>
  <si>
    <t>Other Assets</t>
  </si>
  <si>
    <t>Investments</t>
  </si>
  <si>
    <t>Capital Work in Progress</t>
  </si>
  <si>
    <t>Fixed Assets Net Block</t>
  </si>
  <si>
    <t>Total Liabilities</t>
  </si>
  <si>
    <t>Other Liabilities</t>
  </si>
  <si>
    <t>Borrowings</t>
  </si>
  <si>
    <t>Reserves</t>
  </si>
  <si>
    <t>Equity Share Capital</t>
  </si>
  <si>
    <t>Balance Sheet</t>
  </si>
  <si>
    <t>Retained Earnings</t>
  </si>
  <si>
    <t>Dividend Payout Ratio</t>
  </si>
  <si>
    <t>Dividend Per Share</t>
  </si>
  <si>
    <t>EPS Growth %</t>
  </si>
  <si>
    <t>EPS</t>
  </si>
  <si>
    <t>No. of Equity Shares</t>
  </si>
  <si>
    <t>Net Margins</t>
  </si>
  <si>
    <t>Net Profit</t>
  </si>
  <si>
    <t>Effective Tax Rate</t>
  </si>
  <si>
    <t>Tax</t>
  </si>
  <si>
    <t>EBT % Sale</t>
  </si>
  <si>
    <t>Earnings Before Tax</t>
  </si>
  <si>
    <t>Depreciation % Sales</t>
  </si>
  <si>
    <t>Depreciation</t>
  </si>
  <si>
    <t>Interest % Sales</t>
  </si>
  <si>
    <t>Interest</t>
  </si>
  <si>
    <t>EBITDA Margins</t>
  </si>
  <si>
    <t>EBITDA</t>
  </si>
  <si>
    <t>S&amp;G Exp % Sales</t>
  </si>
  <si>
    <t>Selling &amp; General Expenses</t>
  </si>
  <si>
    <t>Gross Profit % Sales</t>
  </si>
  <si>
    <t>Gross Profit</t>
  </si>
  <si>
    <t>COGS % Sales</t>
  </si>
  <si>
    <t>COGS</t>
  </si>
  <si>
    <t>-</t>
  </si>
  <si>
    <t>Sales Growth</t>
  </si>
  <si>
    <t>Sales</t>
  </si>
  <si>
    <t>Income Statement</t>
  </si>
  <si>
    <t>LTM</t>
  </si>
  <si>
    <t>Years</t>
  </si>
  <si>
    <t>COMPANY NAME</t>
  </si>
  <si>
    <t>JUBILANT FOODWORKS LTD</t>
  </si>
  <si>
    <t>LATEST VERSION</t>
  </si>
  <si>
    <t>PLEASE DO NOT MAKE ANY CHANGES TO THIS SHEET</t>
  </si>
  <si>
    <t>CURRENT VERSION</t>
  </si>
  <si>
    <t>META</t>
  </si>
  <si>
    <t>Number of shares</t>
  </si>
  <si>
    <t>Face Value</t>
  </si>
  <si>
    <t>Current Price</t>
  </si>
  <si>
    <t>Market Capitalization</t>
  </si>
  <si>
    <t>PROFIT &amp; LOSS</t>
  </si>
  <si>
    <t>Report Date</t>
  </si>
  <si>
    <t>Raw Material Cost</t>
  </si>
  <si>
    <t>Change in Inventory</t>
  </si>
  <si>
    <t>Power and Fuel</t>
  </si>
  <si>
    <t>Other Mfr. Exp</t>
  </si>
  <si>
    <t>Employee Cost</t>
  </si>
  <si>
    <t>Selling and admin</t>
  </si>
  <si>
    <t>Other Expenses</t>
  </si>
  <si>
    <t>Other Income</t>
  </si>
  <si>
    <t>Profit before tax</t>
  </si>
  <si>
    <t>Net profit</t>
  </si>
  <si>
    <t>Dividend Amount</t>
  </si>
  <si>
    <t>Quarters</t>
  </si>
  <si>
    <t>Expenses</t>
  </si>
  <si>
    <t>Operating Profit</t>
  </si>
  <si>
    <t>BALANCE SHEET</t>
  </si>
  <si>
    <t>Total</t>
  </si>
  <si>
    <t>Net Block</t>
  </si>
  <si>
    <t>New Bonus Shares</t>
  </si>
  <si>
    <t>Face value</t>
  </si>
  <si>
    <t>CASH FLOW:</t>
  </si>
  <si>
    <t>Cash from Operating Activity</t>
  </si>
  <si>
    <t>Cash from Investing Activity</t>
  </si>
  <si>
    <t>Cash from Financing Activity</t>
  </si>
  <si>
    <t>PRICE:</t>
  </si>
  <si>
    <t>DERIVED:</t>
  </si>
  <si>
    <t>Adjusted Equity Shares in Cr</t>
  </si>
  <si>
    <t>Payables</t>
  </si>
  <si>
    <t>Investments purchased</t>
  </si>
  <si>
    <t>Investments sold</t>
  </si>
  <si>
    <t>Interest received</t>
  </si>
  <si>
    <t>Financial liabilities</t>
  </si>
  <si>
    <t>Cash from Operating Activity -</t>
  </si>
  <si>
    <t>Cash from Investing Activity -</t>
  </si>
  <si>
    <t>Cash from Financing Activity -</t>
  </si>
  <si>
    <t>EBITDA Growth</t>
  </si>
  <si>
    <t>EBIT Growth</t>
  </si>
  <si>
    <t>Net Profit Growth</t>
  </si>
  <si>
    <t>Dividend Growth</t>
  </si>
  <si>
    <t>EBITDA Margin</t>
  </si>
  <si>
    <t>EBIT Margin</t>
  </si>
  <si>
    <t>EBT Margin</t>
  </si>
  <si>
    <t>Net Profit Margin</t>
  </si>
  <si>
    <t>Return on Capital Employed</t>
  </si>
  <si>
    <t>Self Sustained Growth Rate</t>
  </si>
  <si>
    <t>Interest Coverage Ratio</t>
  </si>
  <si>
    <t>Inventory Turnover</t>
  </si>
  <si>
    <t>Fixed Asset Turnover</t>
  </si>
  <si>
    <t>CFO/Sales</t>
  </si>
  <si>
    <t>CFO/Total Assets</t>
  </si>
  <si>
    <t>CFO/Total Debt</t>
  </si>
  <si>
    <t>Return on Equity</t>
  </si>
  <si>
    <t>Ratio Analysis</t>
  </si>
  <si>
    <t>Return on Assets</t>
  </si>
  <si>
    <t>Return on Sales</t>
  </si>
  <si>
    <t xml:space="preserve">Asset turnover </t>
  </si>
  <si>
    <t>Profitability</t>
  </si>
  <si>
    <t>Gross margin</t>
  </si>
  <si>
    <t>SG&amp;A % Sales</t>
  </si>
  <si>
    <t>Interest Expense % Sales</t>
  </si>
  <si>
    <t>Accounts Receivable Turnover</t>
  </si>
  <si>
    <t>Accounts Payable Turnover</t>
  </si>
  <si>
    <t>Days Receivables</t>
  </si>
  <si>
    <t>Days Inventory</t>
  </si>
  <si>
    <t>Days Payables</t>
  </si>
  <si>
    <t>Net Trade Cycle</t>
  </si>
  <si>
    <t>Operating Income % Sales</t>
  </si>
  <si>
    <t>Efficiency</t>
  </si>
  <si>
    <t>Retained Earnings %</t>
  </si>
  <si>
    <t>Return on Equity %</t>
  </si>
  <si>
    <t>Health</t>
  </si>
  <si>
    <t>Growth</t>
  </si>
  <si>
    <t>Working Capital/Days Turnover Ratios (in days)</t>
  </si>
  <si>
    <t>Cash Flow Ratios</t>
  </si>
  <si>
    <t>Percentage</t>
  </si>
  <si>
    <t>Mean</t>
  </si>
  <si>
    <t>Median</t>
  </si>
  <si>
    <t>Trend</t>
  </si>
  <si>
    <t>Particulars</t>
  </si>
  <si>
    <t>G/P</t>
  </si>
  <si>
    <t xml:space="preserve">Interest paid </t>
  </si>
  <si>
    <t>( JUBLFOOD | BSE Code: 533155 )</t>
  </si>
  <si>
    <t>About the company</t>
  </si>
  <si>
    <t>Jubilant FoodWorks Limited is an Indian food service company based in Noida, which holds the master franchise for Domino's Pizza in India, Nepal, Sri Lanka and Bangladesh, for Popeyes in India, Bangladesh, Nepal, and Bhutan, and also for Dunkin' Donuts in India.The company also operates two homegrown restaurant brands called Ekdum! and Hong's Kitchen. Jubilant FoodWorks is a part of the Jubilant Bhartia Group, owned by Shyam Sunder Bhartia (husband of Shobhana Bhartia) and Hari Bhartia.</t>
  </si>
  <si>
    <t>Return on Equity (ROE)</t>
  </si>
  <si>
    <t>Average Shareholder Equity</t>
  </si>
  <si>
    <t xml:space="preserve">Return on Equity </t>
  </si>
  <si>
    <t>ROE - Dupont Equation</t>
  </si>
  <si>
    <t>Revenue</t>
  </si>
  <si>
    <t>Net Profit Margin (A)</t>
  </si>
  <si>
    <t>Average Total Asset</t>
  </si>
  <si>
    <t>Asset Turnover Ratio (B)</t>
  </si>
  <si>
    <t>Equity Multiplier (C)</t>
  </si>
  <si>
    <t>Return on Equity (A*B*C)</t>
  </si>
  <si>
    <t xml:space="preserve">Return on Asset </t>
  </si>
  <si>
    <t>Return on Asset</t>
  </si>
  <si>
    <t>ROA - Dupont Equation</t>
  </si>
  <si>
    <t>Return on Equity (A*B)</t>
  </si>
  <si>
    <t>Financial Summary</t>
  </si>
  <si>
    <t xml:space="preserve">                                                                                                                                                                                                                                                                                                                                                                                                                                                                                                                                                                                                                                                                                                                                                                                                                                                                                                                                                                                                                                                                                                                                                                                                                                                                                                                                                                                      </t>
  </si>
  <si>
    <t>Dupont Analysis - Return on Equity &amp; Return on Asset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</si>
</sst>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4009]\ #,##0.00;[$₹-4009]\ \(#,##0.00\);\-"/>
    <numFmt numFmtId="165" formatCode="_ * #,##0.00_ ;_ * \-#,##0.00_ ;_ * &quot;-&quot;??_ ;_ @_ "/>
    <numFmt numFmtId="166" formatCode="[$₹-4009]\ #,##0.00;[$₹-4009]\ \-#,##0.00"/>
    <numFmt numFmtId="167" formatCode="[$₹-4009]\ #,##0.0;[$₹-4009]\ \(#,##0.0\);\-"/>
    <numFmt numFmtId="168" formatCode="[$-409]mmm\-yy;@"/>
    <numFmt numFmtId="169" formatCode="[$-409]mmm/yy;@"/>
    <numFmt numFmtId="170" formatCode="0.0"/>
    <numFmt numFmtId="171" formatCode="0.00&quot;x&quot;"/>
    <numFmt numFmtId="172" formatCode="#,##0.0"/>
    <numFmt numFmtId="173" formatCode="0.0\x"/>
    <numFmt numFmtId="174" formatCode="0.00\x"/>
  </numFmts>
  <fonts count="19" x14ac:knownFonts="1">
    <font>
      <sz val="11"/>
      <color theme="1"/>
      <name val="Calibri"/>
      <family val="2"/>
    </font>
    <font>
      <sz val="11"/>
      <color theme="1"/>
      <name val="Calibri"/>
      <family val="2"/>
    </font>
    <font>
      <b/>
      <sz val="11"/>
      <color theme="0"/>
      <name val="Calibri"/>
      <family val="2"/>
    </font>
    <font>
      <b/>
      <sz val="11"/>
      <color theme="1"/>
      <name val="Calibri"/>
      <family val="2"/>
    </font>
    <font>
      <sz val="11"/>
      <color theme="0"/>
      <name val="Calibri"/>
      <family val="2"/>
    </font>
    <font>
      <i/>
      <sz val="11"/>
      <color theme="1"/>
      <name val="Calibri"/>
      <family val="2"/>
    </font>
    <font>
      <sz val="11"/>
      <color theme="1"/>
      <name val="Calibri"/>
      <family val="2"/>
      <scheme val="minor"/>
    </font>
    <font>
      <b/>
      <sz val="10"/>
      <color theme="1"/>
      <name val="Arial"/>
      <family val="2"/>
    </font>
    <font>
      <sz val="10"/>
      <color theme="1"/>
      <name val="Arial"/>
      <family val="2"/>
    </font>
    <font>
      <i/>
      <sz val="11"/>
      <color theme="0" tint="-0.499984740745262"/>
      <name val="Calibri"/>
      <family val="2"/>
    </font>
    <font>
      <u/>
      <sz val="11"/>
      <color theme="10"/>
      <name val="Calibri"/>
      <family val="2"/>
    </font>
    <font>
      <b/>
      <sz val="11"/>
      <color theme="1"/>
      <name val="Calibri"/>
      <family val="2"/>
      <scheme val="minor"/>
    </font>
    <font>
      <sz val="11"/>
      <color theme="0"/>
      <name val="Calibri"/>
      <family val="2"/>
      <scheme val="minor"/>
    </font>
    <font>
      <b/>
      <sz val="11"/>
      <color theme="0"/>
      <name val="Calibri"/>
      <family val="2"/>
      <scheme val="minor"/>
    </font>
    <font>
      <sz val="11"/>
      <name val="Calibri"/>
      <family val="2"/>
      <scheme val="minor"/>
    </font>
    <font>
      <sz val="11"/>
      <color rgb="FF002060"/>
      <name val="Calibri"/>
      <family val="2"/>
    </font>
    <font>
      <b/>
      <sz val="22"/>
      <color rgb="FF1C5F8C"/>
      <name val="Calibri"/>
      <family val="2"/>
    </font>
    <font>
      <sz val="11"/>
      <color rgb="FF202122"/>
      <name val="Arial"/>
      <family val="2"/>
    </font>
    <font>
      <b/>
      <sz val="14"/>
      <color rgb="FF1C5F8C"/>
      <name val="Calibri"/>
      <family val="2"/>
    </font>
  </fonts>
  <fills count="9">
    <fill>
      <patternFill patternType="none"/>
    </fill>
    <fill>
      <patternFill patternType="gray125"/>
    </fill>
    <fill>
      <patternFill patternType="solid">
        <fgColor theme="9"/>
      </patternFill>
    </fill>
    <fill>
      <patternFill patternType="solid">
        <fgColor theme="8"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rgb="FF0275D8"/>
        <bgColor indexed="64"/>
      </patternFill>
    </fill>
    <fill>
      <patternFill patternType="solid">
        <fgColor rgb="FF1C5F8C"/>
        <bgColor indexed="64"/>
      </patternFill>
    </fill>
    <fill>
      <patternFill patternType="solid">
        <fgColor rgb="FFCBE4F5"/>
        <bgColor indexed="64"/>
      </patternFill>
    </fill>
  </fills>
  <borders count="5">
    <border>
      <left/>
      <right/>
      <top/>
      <bottom/>
      <diagonal/>
    </border>
    <border>
      <left/>
      <right/>
      <top style="dashed">
        <color rgb="FF002060"/>
      </top>
      <bottom style="dashed">
        <color rgb="FF002060"/>
      </bottom>
      <diagonal/>
    </border>
    <border>
      <left/>
      <right/>
      <top style="dotted">
        <color rgb="FF002060"/>
      </top>
      <bottom/>
      <diagonal/>
    </border>
    <border>
      <left/>
      <right/>
      <top/>
      <bottom style="thin">
        <color auto="1"/>
      </bottom>
      <diagonal/>
    </border>
    <border>
      <left/>
      <right/>
      <top/>
      <bottom style="thick">
        <color rgb="FF1C5F8C"/>
      </bottom>
      <diagonal/>
    </border>
  </borders>
  <cellStyleXfs count="6">
    <xf numFmtId="0" fontId="0" fillId="0" borderId="0"/>
    <xf numFmtId="9" fontId="1" fillId="0" borderId="0" applyFont="0" applyFill="0" applyBorder="0" applyAlignment="0" applyProtection="0"/>
    <xf numFmtId="165" fontId="6" fillId="0" borderId="0" applyFont="0" applyFill="0" applyBorder="0" applyAlignment="0" applyProtection="0"/>
    <xf numFmtId="0" fontId="10" fillId="0" borderId="0" applyNumberFormat="0" applyFill="0" applyBorder="0" applyAlignment="0" applyProtection="0">
      <alignment vertical="top"/>
      <protection locked="0"/>
    </xf>
    <xf numFmtId="0" fontId="12" fillId="2" borderId="0" applyNumberFormat="0" applyBorder="0" applyAlignment="0" applyProtection="0"/>
    <xf numFmtId="0" fontId="6" fillId="0" borderId="0"/>
  </cellStyleXfs>
  <cellXfs count="70">
    <xf numFmtId="0" fontId="0" fillId="0" borderId="0" xfId="0"/>
    <xf numFmtId="164" fontId="3" fillId="0" borderId="0" xfId="0" applyNumberFormat="1" applyFont="1"/>
    <xf numFmtId="0" fontId="3" fillId="0" borderId="0" xfId="0" applyFont="1"/>
    <xf numFmtId="164" fontId="0" fillId="0" borderId="0" xfId="0" applyNumberFormat="1"/>
    <xf numFmtId="0" fontId="0" fillId="3" borderId="0" xfId="0" applyFill="1"/>
    <xf numFmtId="0" fontId="3" fillId="3" borderId="0" xfId="0" applyFont="1" applyFill="1"/>
    <xf numFmtId="0" fontId="5" fillId="0" borderId="0" xfId="0" applyFont="1"/>
    <xf numFmtId="165" fontId="7" fillId="0" borderId="0" xfId="2" applyFont="1" applyFill="1" applyBorder="1"/>
    <xf numFmtId="165" fontId="8" fillId="0" borderId="0" xfId="2" applyFont="1" applyBorder="1"/>
    <xf numFmtId="165" fontId="7" fillId="0" borderId="0" xfId="2" applyFont="1" applyBorder="1"/>
    <xf numFmtId="10" fontId="9" fillId="0" borderId="0" xfId="1" applyNumberFormat="1" applyFont="1"/>
    <xf numFmtId="166" fontId="0" fillId="0" borderId="0" xfId="0" applyNumberFormat="1"/>
    <xf numFmtId="0" fontId="9" fillId="0" borderId="0" xfId="0" applyFont="1"/>
    <xf numFmtId="167" fontId="0" fillId="0" borderId="0" xfId="0" applyNumberFormat="1"/>
    <xf numFmtId="0" fontId="9" fillId="0" borderId="0" xfId="0" applyFont="1" applyAlignment="1">
      <alignment horizontal="right"/>
    </xf>
    <xf numFmtId="17" fontId="0" fillId="0" borderId="0" xfId="0" applyNumberFormat="1"/>
    <xf numFmtId="17" fontId="4" fillId="4" borderId="0" xfId="0" applyNumberFormat="1" applyFont="1" applyFill="1" applyAlignment="1">
      <alignment horizontal="right"/>
    </xf>
    <xf numFmtId="17" fontId="4" fillId="4" borderId="0" xfId="0" applyNumberFormat="1" applyFont="1" applyFill="1"/>
    <xf numFmtId="0" fontId="4" fillId="4" borderId="0" xfId="0" applyFont="1" applyFill="1"/>
    <xf numFmtId="17" fontId="4" fillId="5" borderId="0" xfId="0" applyNumberFormat="1" applyFont="1" applyFill="1" applyAlignment="1">
      <alignment horizontal="right"/>
    </xf>
    <xf numFmtId="17" fontId="4" fillId="5" borderId="0" xfId="0" applyNumberFormat="1" applyFont="1" applyFill="1"/>
    <xf numFmtId="0" fontId="4" fillId="5" borderId="0" xfId="0" applyFont="1" applyFill="1"/>
    <xf numFmtId="165" fontId="11" fillId="0" borderId="0" xfId="2" applyFont="1" applyBorder="1"/>
    <xf numFmtId="165" fontId="0" fillId="0" borderId="0" xfId="2" applyFont="1" applyBorder="1"/>
    <xf numFmtId="0" fontId="6" fillId="0" borderId="0" xfId="5"/>
    <xf numFmtId="168" fontId="13" fillId="6" borderId="0" xfId="2" applyNumberFormat="1" applyFont="1" applyFill="1" applyBorder="1"/>
    <xf numFmtId="168" fontId="13" fillId="6" borderId="0" xfId="5" applyNumberFormat="1" applyFont="1" applyFill="1" applyAlignment="1">
      <alignment horizontal="center"/>
    </xf>
    <xf numFmtId="168" fontId="14" fillId="0" borderId="0" xfId="2" applyNumberFormat="1" applyFont="1" applyFill="1" applyBorder="1"/>
    <xf numFmtId="165" fontId="6" fillId="0" borderId="0" xfId="2" applyFont="1" applyBorder="1"/>
    <xf numFmtId="43" fontId="0" fillId="0" borderId="0" xfId="2" applyNumberFormat="1" applyFont="1" applyBorder="1"/>
    <xf numFmtId="3" fontId="0" fillId="0" borderId="0" xfId="0" applyNumberFormat="1"/>
    <xf numFmtId="0" fontId="2" fillId="5" borderId="0" xfId="0" applyFont="1" applyFill="1" applyAlignment="1">
      <alignment horizontal="center"/>
    </xf>
    <xf numFmtId="169" fontId="2" fillId="5" borderId="0" xfId="0" applyNumberFormat="1" applyFont="1" applyFill="1" applyAlignment="1">
      <alignment horizontal="center"/>
    </xf>
    <xf numFmtId="10" fontId="0" fillId="0" borderId="0" xfId="1" applyNumberFormat="1" applyFont="1"/>
    <xf numFmtId="10" fontId="3" fillId="0" borderId="0" xfId="1" applyNumberFormat="1" applyFont="1"/>
    <xf numFmtId="2" fontId="0" fillId="0" borderId="0" xfId="0" applyNumberFormat="1"/>
    <xf numFmtId="2" fontId="0" fillId="0" borderId="0" xfId="0" applyNumberFormat="1" applyAlignment="1">
      <alignment horizontal="right"/>
    </xf>
    <xf numFmtId="10" fontId="3" fillId="0" borderId="0" xfId="1" applyNumberFormat="1" applyFont="1" applyAlignment="1">
      <alignment horizontal="right"/>
    </xf>
    <xf numFmtId="2" fontId="3" fillId="0" borderId="0" xfId="0" applyNumberFormat="1" applyFont="1" applyAlignment="1">
      <alignment horizontal="right"/>
    </xf>
    <xf numFmtId="1" fontId="0" fillId="0" borderId="0" xfId="0" applyNumberFormat="1"/>
    <xf numFmtId="170" fontId="0" fillId="0" borderId="0" xfId="0" applyNumberFormat="1"/>
    <xf numFmtId="10" fontId="3" fillId="0" borderId="0" xfId="0" applyNumberFormat="1" applyFont="1"/>
    <xf numFmtId="1" fontId="3" fillId="0" borderId="0" xfId="0" applyNumberFormat="1" applyFont="1"/>
    <xf numFmtId="171" fontId="0" fillId="0" borderId="0" xfId="1" applyNumberFormat="1" applyFont="1"/>
    <xf numFmtId="171" fontId="3" fillId="0" borderId="0" xfId="0" applyNumberFormat="1" applyFont="1"/>
    <xf numFmtId="0" fontId="0" fillId="0" borderId="1" xfId="0" applyBorder="1"/>
    <xf numFmtId="0" fontId="0" fillId="0" borderId="2" xfId="0" applyBorder="1"/>
    <xf numFmtId="0" fontId="15" fillId="0" borderId="0" xfId="0" applyFont="1"/>
    <xf numFmtId="169" fontId="0" fillId="0" borderId="0" xfId="0" applyNumberFormat="1"/>
    <xf numFmtId="0" fontId="3" fillId="0" borderId="3" xfId="0" applyFont="1" applyBorder="1"/>
    <xf numFmtId="169" fontId="3" fillId="0" borderId="3" xfId="0" applyNumberFormat="1" applyFont="1" applyBorder="1"/>
    <xf numFmtId="169" fontId="0" fillId="0" borderId="3" xfId="0" applyNumberFormat="1" applyBorder="1"/>
    <xf numFmtId="2" fontId="6" fillId="0" borderId="0" xfId="5" applyNumberFormat="1"/>
    <xf numFmtId="169" fontId="3" fillId="0" borderId="0" xfId="0" applyNumberFormat="1" applyFont="1"/>
    <xf numFmtId="0" fontId="16" fillId="0" borderId="0" xfId="0" applyFont="1"/>
    <xf numFmtId="0" fontId="0" fillId="0" borderId="4" xfId="0" applyBorder="1"/>
    <xf numFmtId="0" fontId="17" fillId="0" borderId="0" xfId="0" applyFont="1" applyAlignment="1">
      <alignment wrapText="1"/>
    </xf>
    <xf numFmtId="17" fontId="3" fillId="0" borderId="0" xfId="0" applyNumberFormat="1" applyFont="1"/>
    <xf numFmtId="0" fontId="3" fillId="8" borderId="0" xfId="0" applyFont="1" applyFill="1"/>
    <xf numFmtId="0" fontId="0" fillId="8" borderId="0" xfId="0" applyFill="1"/>
    <xf numFmtId="10" fontId="3" fillId="8" borderId="0" xfId="1" applyNumberFormat="1" applyFont="1" applyFill="1"/>
    <xf numFmtId="172" fontId="0" fillId="0" borderId="0" xfId="0" applyNumberFormat="1"/>
    <xf numFmtId="173" fontId="3" fillId="8" borderId="0" xfId="1" applyNumberFormat="1" applyFont="1" applyFill="1"/>
    <xf numFmtId="0" fontId="18" fillId="0" borderId="0" xfId="0" applyFont="1"/>
    <xf numFmtId="165" fontId="10" fillId="0" borderId="0" xfId="3" applyNumberFormat="1" applyBorder="1" applyAlignment="1" applyProtection="1">
      <alignment horizontal="center"/>
    </xf>
    <xf numFmtId="165" fontId="13" fillId="2" borderId="0" xfId="4" applyNumberFormat="1" applyFont="1" applyBorder="1" applyAlignment="1">
      <alignment horizontal="center"/>
    </xf>
    <xf numFmtId="0" fontId="2" fillId="5" borderId="0" xfId="0" applyFont="1" applyFill="1" applyAlignment="1">
      <alignment horizontal="center"/>
    </xf>
    <xf numFmtId="0" fontId="2" fillId="7" borderId="0" xfId="0" applyFont="1" applyFill="1" applyAlignment="1">
      <alignment horizontal="center"/>
    </xf>
    <xf numFmtId="0" fontId="17" fillId="0" borderId="0" xfId="0" applyFont="1" applyAlignment="1">
      <alignment horizontal="left" wrapText="1"/>
    </xf>
    <xf numFmtId="174" fontId="3" fillId="8" borderId="0" xfId="1" applyNumberFormat="1" applyFont="1" applyFill="1"/>
  </cellXfs>
  <cellStyles count="6">
    <cellStyle name="Accent6 2" xfId="4" xr:uid="{3D47AD79-0DBC-4274-933B-6559781638D0}"/>
    <cellStyle name="Comma 2" xfId="2" xr:uid="{5CCC7453-A826-4505-8A8F-05E5BB3C0229}"/>
    <cellStyle name="Hyperlink 2" xfId="3" xr:uid="{61C4F95C-C663-43A8-BAEB-8A3CCA4FBF3C}"/>
    <cellStyle name="Normal" xfId="0" builtinId="0"/>
    <cellStyle name="Normal 2" xfId="5" xr:uid="{C321A862-3103-493C-B67D-0DF77581AE3D}"/>
    <cellStyle name="Percent" xfId="1" builtinId="5"/>
  </cellStyles>
  <dxfs count="1">
    <dxf>
      <font>
        <b/>
        <i val="0"/>
        <color theme="0"/>
      </font>
      <fill>
        <patternFill>
          <bgColor theme="5"/>
        </patternFill>
      </fill>
    </dxf>
  </dxfs>
  <tableStyles count="0" defaultTableStyle="TableStyleMedium2" defaultPivotStyle="PivotStyleLight16"/>
  <colors>
    <mruColors>
      <color rgb="FF1C5F8C"/>
      <color rgb="FF93C6E9"/>
      <color rgb="FFC3E0F3"/>
      <color rgb="FF73B6E3"/>
      <color rgb="FF49A0DB"/>
      <color rgb="FF2596BE"/>
      <color rgb="FF439CD9"/>
      <color rgb="FF2A8FD4"/>
      <color rgb="FFCBE4F5"/>
      <color rgb="FFB2D7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1C5F8C"/>
            </a:solidFill>
            <a:ln>
              <a:noFill/>
            </a:ln>
            <a:effectLst/>
          </c:spPr>
          <c:invertIfNegative val="0"/>
          <c:dPt>
            <c:idx val="0"/>
            <c:invertIfNegative val="0"/>
            <c:bubble3D val="0"/>
            <c:spPr>
              <a:solidFill>
                <a:srgbClr val="C3E0F3"/>
              </a:solidFill>
              <a:ln>
                <a:noFill/>
              </a:ln>
              <a:effectLst/>
            </c:spPr>
            <c:extLst>
              <c:ext xmlns:c16="http://schemas.microsoft.com/office/drawing/2014/chart" uri="{C3380CC4-5D6E-409C-BE32-E72D297353CC}">
                <c16:uniqueId val="{00000007-475C-40C6-87C8-77EDFF933A37}"/>
              </c:ext>
            </c:extLst>
          </c:dPt>
          <c:dPt>
            <c:idx val="1"/>
            <c:invertIfNegative val="0"/>
            <c:bubble3D val="0"/>
            <c:spPr>
              <a:solidFill>
                <a:srgbClr val="93C6E9"/>
              </a:solidFill>
              <a:ln>
                <a:noFill/>
              </a:ln>
              <a:effectLst/>
            </c:spPr>
            <c:extLst>
              <c:ext xmlns:c16="http://schemas.microsoft.com/office/drawing/2014/chart" uri="{C3380CC4-5D6E-409C-BE32-E72D297353CC}">
                <c16:uniqueId val="{00000006-475C-40C6-87C8-77EDFF933A37}"/>
              </c:ext>
            </c:extLst>
          </c:dPt>
          <c:dPt>
            <c:idx val="2"/>
            <c:invertIfNegative val="0"/>
            <c:bubble3D val="0"/>
            <c:spPr>
              <a:solidFill>
                <a:srgbClr val="73B6E3"/>
              </a:solidFill>
              <a:ln>
                <a:noFill/>
              </a:ln>
              <a:effectLst/>
            </c:spPr>
            <c:extLst>
              <c:ext xmlns:c16="http://schemas.microsoft.com/office/drawing/2014/chart" uri="{C3380CC4-5D6E-409C-BE32-E72D297353CC}">
                <c16:uniqueId val="{00000005-475C-40C6-87C8-77EDFF933A37}"/>
              </c:ext>
            </c:extLst>
          </c:dPt>
          <c:dPt>
            <c:idx val="3"/>
            <c:invertIfNegative val="0"/>
            <c:bubble3D val="0"/>
            <c:spPr>
              <a:solidFill>
                <a:srgbClr val="49A0DB"/>
              </a:solidFill>
              <a:ln>
                <a:noFill/>
              </a:ln>
              <a:effectLst/>
            </c:spPr>
            <c:extLst>
              <c:ext xmlns:c16="http://schemas.microsoft.com/office/drawing/2014/chart" uri="{C3380CC4-5D6E-409C-BE32-E72D297353CC}">
                <c16:uniqueId val="{00000003-475C-40C6-87C8-77EDFF933A37}"/>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Analysis'!$E$58:$I$58</c:f>
              <c:numCache>
                <c:formatCode>mmm\-yy</c:formatCode>
                <c:ptCount val="5"/>
                <c:pt idx="0">
                  <c:v>43921</c:v>
                </c:pt>
                <c:pt idx="1">
                  <c:v>44286</c:v>
                </c:pt>
                <c:pt idx="2">
                  <c:v>44651</c:v>
                </c:pt>
                <c:pt idx="3">
                  <c:v>45016</c:v>
                </c:pt>
                <c:pt idx="4">
                  <c:v>45382</c:v>
                </c:pt>
              </c:numCache>
            </c:numRef>
          </c:cat>
          <c:val>
            <c:numRef>
              <c:f>'DuPont Analysis'!$E$60:$I$60</c:f>
              <c:numCache>
                <c:formatCode>#,##0.0</c:formatCode>
                <c:ptCount val="5"/>
                <c:pt idx="0">
                  <c:v>3927.27</c:v>
                </c:pt>
                <c:pt idx="1">
                  <c:v>3311.87</c:v>
                </c:pt>
                <c:pt idx="2">
                  <c:v>4396.12</c:v>
                </c:pt>
                <c:pt idx="3">
                  <c:v>5158.25</c:v>
                </c:pt>
                <c:pt idx="4">
                  <c:v>5654.09</c:v>
                </c:pt>
              </c:numCache>
            </c:numRef>
          </c:val>
          <c:extLst>
            <c:ext xmlns:c16="http://schemas.microsoft.com/office/drawing/2014/chart" uri="{C3380CC4-5D6E-409C-BE32-E72D297353CC}">
              <c16:uniqueId val="{00000000-475C-40C6-87C8-77EDFF933A37}"/>
            </c:ext>
          </c:extLst>
        </c:ser>
        <c:dLbls>
          <c:showLegendKey val="0"/>
          <c:showVal val="0"/>
          <c:showCatName val="0"/>
          <c:showSerName val="0"/>
          <c:showPercent val="0"/>
          <c:showBubbleSize val="0"/>
        </c:dLbls>
        <c:gapWidth val="219"/>
        <c:overlap val="-27"/>
        <c:axId val="547478488"/>
        <c:axId val="547475968"/>
      </c:barChart>
      <c:catAx>
        <c:axId val="54747848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47475968"/>
        <c:crosses val="autoZero"/>
        <c:auto val="0"/>
        <c:lblAlgn val="ctr"/>
        <c:lblOffset val="100"/>
        <c:noMultiLvlLbl val="0"/>
      </c:catAx>
      <c:valAx>
        <c:axId val="547475968"/>
        <c:scaling>
          <c:orientation val="minMax"/>
        </c:scaling>
        <c:delete val="1"/>
        <c:axPos val="l"/>
        <c:numFmt formatCode="#,##0.0" sourceLinked="1"/>
        <c:majorTickMark val="none"/>
        <c:minorTickMark val="none"/>
        <c:tickLblPos val="nextTo"/>
        <c:crossAx val="547478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C3E0F3"/>
              </a:solidFill>
              <a:ln>
                <a:noFill/>
              </a:ln>
              <a:effectLst/>
            </c:spPr>
            <c:extLst>
              <c:ext xmlns:c16="http://schemas.microsoft.com/office/drawing/2014/chart" uri="{C3380CC4-5D6E-409C-BE32-E72D297353CC}">
                <c16:uniqueId val="{00000001-886B-4382-8D64-7D06C7EB69B3}"/>
              </c:ext>
            </c:extLst>
          </c:dPt>
          <c:dPt>
            <c:idx val="1"/>
            <c:invertIfNegative val="0"/>
            <c:bubble3D val="0"/>
            <c:spPr>
              <a:solidFill>
                <a:srgbClr val="93C6E9"/>
              </a:solidFill>
              <a:ln>
                <a:noFill/>
              </a:ln>
              <a:effectLst/>
            </c:spPr>
            <c:extLst>
              <c:ext xmlns:c16="http://schemas.microsoft.com/office/drawing/2014/chart" uri="{C3380CC4-5D6E-409C-BE32-E72D297353CC}">
                <c16:uniqueId val="{00000003-886B-4382-8D64-7D06C7EB69B3}"/>
              </c:ext>
            </c:extLst>
          </c:dPt>
          <c:dPt>
            <c:idx val="2"/>
            <c:invertIfNegative val="0"/>
            <c:bubble3D val="0"/>
            <c:spPr>
              <a:solidFill>
                <a:srgbClr val="73B6E3"/>
              </a:solidFill>
              <a:ln>
                <a:noFill/>
              </a:ln>
              <a:effectLst/>
            </c:spPr>
            <c:extLst>
              <c:ext xmlns:c16="http://schemas.microsoft.com/office/drawing/2014/chart" uri="{C3380CC4-5D6E-409C-BE32-E72D297353CC}">
                <c16:uniqueId val="{00000005-886B-4382-8D64-7D06C7EB69B3}"/>
              </c:ext>
            </c:extLst>
          </c:dPt>
          <c:dPt>
            <c:idx val="3"/>
            <c:invertIfNegative val="0"/>
            <c:bubble3D val="0"/>
            <c:spPr>
              <a:solidFill>
                <a:srgbClr val="49A0DB"/>
              </a:solidFill>
              <a:ln>
                <a:noFill/>
              </a:ln>
              <a:effectLst/>
            </c:spPr>
            <c:extLst>
              <c:ext xmlns:c16="http://schemas.microsoft.com/office/drawing/2014/chart" uri="{C3380CC4-5D6E-409C-BE32-E72D297353CC}">
                <c16:uniqueId val="{00000007-886B-4382-8D64-7D06C7EB69B3}"/>
              </c:ext>
            </c:extLst>
          </c:dPt>
          <c:dPt>
            <c:idx val="4"/>
            <c:invertIfNegative val="0"/>
            <c:bubble3D val="0"/>
            <c:spPr>
              <a:solidFill>
                <a:srgbClr val="1C5F8C"/>
              </a:solidFill>
              <a:ln>
                <a:noFill/>
              </a:ln>
              <a:effectLst/>
            </c:spPr>
            <c:extLst>
              <c:ext xmlns:c16="http://schemas.microsoft.com/office/drawing/2014/chart" uri="{C3380CC4-5D6E-409C-BE32-E72D297353CC}">
                <c16:uniqueId val="{0000000A-886B-4382-8D64-7D06C7EB69B3}"/>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Analysis'!$E$58:$I$58</c:f>
              <c:numCache>
                <c:formatCode>mmm\-yy</c:formatCode>
                <c:ptCount val="5"/>
                <c:pt idx="0">
                  <c:v>43921</c:v>
                </c:pt>
                <c:pt idx="1">
                  <c:v>44286</c:v>
                </c:pt>
                <c:pt idx="2">
                  <c:v>44651</c:v>
                </c:pt>
                <c:pt idx="3">
                  <c:v>45016</c:v>
                </c:pt>
                <c:pt idx="4">
                  <c:v>45382</c:v>
                </c:pt>
              </c:numCache>
            </c:numRef>
          </c:cat>
          <c:val>
            <c:numRef>
              <c:f>'DuPont Analysis'!$E$59:$I$59</c:f>
              <c:numCache>
                <c:formatCode>#,##0.0</c:formatCode>
                <c:ptCount val="5"/>
                <c:pt idx="0">
                  <c:v>279.98</c:v>
                </c:pt>
                <c:pt idx="1">
                  <c:v>231.67</c:v>
                </c:pt>
                <c:pt idx="2">
                  <c:v>420.39</c:v>
                </c:pt>
                <c:pt idx="3">
                  <c:v>353.2</c:v>
                </c:pt>
                <c:pt idx="4">
                  <c:v>399.34</c:v>
                </c:pt>
              </c:numCache>
            </c:numRef>
          </c:val>
          <c:extLst>
            <c:ext xmlns:c16="http://schemas.microsoft.com/office/drawing/2014/chart" uri="{C3380CC4-5D6E-409C-BE32-E72D297353CC}">
              <c16:uniqueId val="{00000008-886B-4382-8D64-7D06C7EB69B3}"/>
            </c:ext>
          </c:extLst>
        </c:ser>
        <c:dLbls>
          <c:showLegendKey val="0"/>
          <c:showVal val="0"/>
          <c:showCatName val="0"/>
          <c:showSerName val="0"/>
          <c:showPercent val="0"/>
          <c:showBubbleSize val="0"/>
        </c:dLbls>
        <c:gapWidth val="219"/>
        <c:overlap val="-27"/>
        <c:axId val="547478488"/>
        <c:axId val="547475968"/>
      </c:barChart>
      <c:catAx>
        <c:axId val="54747848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47475968"/>
        <c:crosses val="autoZero"/>
        <c:auto val="0"/>
        <c:lblAlgn val="ctr"/>
        <c:lblOffset val="100"/>
        <c:noMultiLvlLbl val="0"/>
      </c:catAx>
      <c:valAx>
        <c:axId val="547475968"/>
        <c:scaling>
          <c:orientation val="minMax"/>
        </c:scaling>
        <c:delete val="1"/>
        <c:axPos val="l"/>
        <c:numFmt formatCode="#,##0.0" sourceLinked="1"/>
        <c:majorTickMark val="none"/>
        <c:minorTickMark val="none"/>
        <c:tickLblPos val="nextTo"/>
        <c:crossAx val="547478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C3E0F3"/>
              </a:solidFill>
              <a:ln>
                <a:noFill/>
              </a:ln>
              <a:effectLst/>
            </c:spPr>
            <c:extLst>
              <c:ext xmlns:c16="http://schemas.microsoft.com/office/drawing/2014/chart" uri="{C3380CC4-5D6E-409C-BE32-E72D297353CC}">
                <c16:uniqueId val="{00000001-684F-4EB7-B4E6-2B020DB20D02}"/>
              </c:ext>
            </c:extLst>
          </c:dPt>
          <c:dPt>
            <c:idx val="1"/>
            <c:invertIfNegative val="0"/>
            <c:bubble3D val="0"/>
            <c:spPr>
              <a:solidFill>
                <a:srgbClr val="93C6E9"/>
              </a:solidFill>
              <a:ln>
                <a:noFill/>
              </a:ln>
              <a:effectLst/>
            </c:spPr>
            <c:extLst>
              <c:ext xmlns:c16="http://schemas.microsoft.com/office/drawing/2014/chart" uri="{C3380CC4-5D6E-409C-BE32-E72D297353CC}">
                <c16:uniqueId val="{00000003-684F-4EB7-B4E6-2B020DB20D02}"/>
              </c:ext>
            </c:extLst>
          </c:dPt>
          <c:dPt>
            <c:idx val="2"/>
            <c:invertIfNegative val="0"/>
            <c:bubble3D val="0"/>
            <c:spPr>
              <a:solidFill>
                <a:srgbClr val="73B6E3"/>
              </a:solidFill>
              <a:ln>
                <a:noFill/>
              </a:ln>
              <a:effectLst/>
            </c:spPr>
            <c:extLst>
              <c:ext xmlns:c16="http://schemas.microsoft.com/office/drawing/2014/chart" uri="{C3380CC4-5D6E-409C-BE32-E72D297353CC}">
                <c16:uniqueId val="{00000005-684F-4EB7-B4E6-2B020DB20D02}"/>
              </c:ext>
            </c:extLst>
          </c:dPt>
          <c:dPt>
            <c:idx val="3"/>
            <c:invertIfNegative val="0"/>
            <c:bubble3D val="0"/>
            <c:spPr>
              <a:solidFill>
                <a:srgbClr val="49A0DB"/>
              </a:solidFill>
              <a:ln>
                <a:noFill/>
              </a:ln>
              <a:effectLst/>
            </c:spPr>
            <c:extLst>
              <c:ext xmlns:c16="http://schemas.microsoft.com/office/drawing/2014/chart" uri="{C3380CC4-5D6E-409C-BE32-E72D297353CC}">
                <c16:uniqueId val="{00000007-684F-4EB7-B4E6-2B020DB20D02}"/>
              </c:ext>
            </c:extLst>
          </c:dPt>
          <c:dPt>
            <c:idx val="4"/>
            <c:invertIfNegative val="0"/>
            <c:bubble3D val="0"/>
            <c:spPr>
              <a:solidFill>
                <a:srgbClr val="1C5F8C"/>
              </a:solidFill>
              <a:ln>
                <a:noFill/>
              </a:ln>
              <a:effectLst/>
            </c:spPr>
            <c:extLst>
              <c:ext xmlns:c16="http://schemas.microsoft.com/office/drawing/2014/chart" uri="{C3380CC4-5D6E-409C-BE32-E72D297353CC}">
                <c16:uniqueId val="{00000009-684F-4EB7-B4E6-2B020DB20D02}"/>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Analysis'!$E$58:$I$58</c:f>
              <c:numCache>
                <c:formatCode>mmm\-yy</c:formatCode>
                <c:ptCount val="5"/>
                <c:pt idx="0">
                  <c:v>43921</c:v>
                </c:pt>
                <c:pt idx="1">
                  <c:v>44286</c:v>
                </c:pt>
                <c:pt idx="2">
                  <c:v>44651</c:v>
                </c:pt>
                <c:pt idx="3">
                  <c:v>45016</c:v>
                </c:pt>
                <c:pt idx="4">
                  <c:v>45382</c:v>
                </c:pt>
              </c:numCache>
            </c:numRef>
          </c:cat>
          <c:val>
            <c:numRef>
              <c:f>'DuPont Analysis'!$E$64:$I$64</c:f>
              <c:numCache>
                <c:formatCode>#,##0.0</c:formatCode>
                <c:ptCount val="5"/>
                <c:pt idx="0">
                  <c:v>2612.81</c:v>
                </c:pt>
                <c:pt idx="1">
                  <c:v>3568.3249999999998</c:v>
                </c:pt>
                <c:pt idx="2">
                  <c:v>4274.22</c:v>
                </c:pt>
                <c:pt idx="3">
                  <c:v>5081.8999999999996</c:v>
                </c:pt>
                <c:pt idx="4">
                  <c:v>6709.835</c:v>
                </c:pt>
              </c:numCache>
            </c:numRef>
          </c:val>
          <c:extLst>
            <c:ext xmlns:c16="http://schemas.microsoft.com/office/drawing/2014/chart" uri="{C3380CC4-5D6E-409C-BE32-E72D297353CC}">
              <c16:uniqueId val="{00000008-684F-4EB7-B4E6-2B020DB20D02}"/>
            </c:ext>
          </c:extLst>
        </c:ser>
        <c:dLbls>
          <c:showLegendKey val="0"/>
          <c:showVal val="0"/>
          <c:showCatName val="0"/>
          <c:showSerName val="0"/>
          <c:showPercent val="0"/>
          <c:showBubbleSize val="0"/>
        </c:dLbls>
        <c:gapWidth val="219"/>
        <c:overlap val="-27"/>
        <c:axId val="547478488"/>
        <c:axId val="547475968"/>
      </c:barChart>
      <c:catAx>
        <c:axId val="54747848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47475968"/>
        <c:crosses val="autoZero"/>
        <c:auto val="0"/>
        <c:lblAlgn val="ctr"/>
        <c:lblOffset val="100"/>
        <c:noMultiLvlLbl val="0"/>
      </c:catAx>
      <c:valAx>
        <c:axId val="547475968"/>
        <c:scaling>
          <c:orientation val="minMax"/>
        </c:scaling>
        <c:delete val="1"/>
        <c:axPos val="l"/>
        <c:numFmt formatCode="#,##0.0" sourceLinked="1"/>
        <c:majorTickMark val="none"/>
        <c:minorTickMark val="none"/>
        <c:tickLblPos val="nextTo"/>
        <c:crossAx val="547478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C3E0F3"/>
              </a:solidFill>
              <a:ln>
                <a:noFill/>
              </a:ln>
              <a:effectLst/>
            </c:spPr>
            <c:extLst>
              <c:ext xmlns:c16="http://schemas.microsoft.com/office/drawing/2014/chart" uri="{C3380CC4-5D6E-409C-BE32-E72D297353CC}">
                <c16:uniqueId val="{00000001-DF8B-4AB2-984B-946FF821257C}"/>
              </c:ext>
            </c:extLst>
          </c:dPt>
          <c:dPt>
            <c:idx val="1"/>
            <c:invertIfNegative val="0"/>
            <c:bubble3D val="0"/>
            <c:spPr>
              <a:solidFill>
                <a:srgbClr val="93C6E9"/>
              </a:solidFill>
              <a:ln>
                <a:noFill/>
              </a:ln>
              <a:effectLst/>
            </c:spPr>
            <c:extLst>
              <c:ext xmlns:c16="http://schemas.microsoft.com/office/drawing/2014/chart" uri="{C3380CC4-5D6E-409C-BE32-E72D297353CC}">
                <c16:uniqueId val="{00000003-DF8B-4AB2-984B-946FF821257C}"/>
              </c:ext>
            </c:extLst>
          </c:dPt>
          <c:dPt>
            <c:idx val="2"/>
            <c:invertIfNegative val="0"/>
            <c:bubble3D val="0"/>
            <c:spPr>
              <a:solidFill>
                <a:srgbClr val="73B6E3"/>
              </a:solidFill>
              <a:ln>
                <a:noFill/>
              </a:ln>
              <a:effectLst/>
            </c:spPr>
            <c:extLst>
              <c:ext xmlns:c16="http://schemas.microsoft.com/office/drawing/2014/chart" uri="{C3380CC4-5D6E-409C-BE32-E72D297353CC}">
                <c16:uniqueId val="{00000005-DF8B-4AB2-984B-946FF821257C}"/>
              </c:ext>
            </c:extLst>
          </c:dPt>
          <c:dPt>
            <c:idx val="3"/>
            <c:invertIfNegative val="0"/>
            <c:bubble3D val="0"/>
            <c:spPr>
              <a:solidFill>
                <a:srgbClr val="49A0DB"/>
              </a:solidFill>
              <a:ln>
                <a:noFill/>
              </a:ln>
              <a:effectLst/>
            </c:spPr>
            <c:extLst>
              <c:ext xmlns:c16="http://schemas.microsoft.com/office/drawing/2014/chart" uri="{C3380CC4-5D6E-409C-BE32-E72D297353CC}">
                <c16:uniqueId val="{00000007-DF8B-4AB2-984B-946FF821257C}"/>
              </c:ext>
            </c:extLst>
          </c:dPt>
          <c:dPt>
            <c:idx val="4"/>
            <c:invertIfNegative val="0"/>
            <c:bubble3D val="0"/>
            <c:spPr>
              <a:solidFill>
                <a:srgbClr val="1C5F8C"/>
              </a:solidFill>
              <a:ln>
                <a:noFill/>
              </a:ln>
              <a:effectLst/>
            </c:spPr>
            <c:extLst>
              <c:ext xmlns:c16="http://schemas.microsoft.com/office/drawing/2014/chart" uri="{C3380CC4-5D6E-409C-BE32-E72D297353CC}">
                <c16:uniqueId val="{00000009-DF8B-4AB2-984B-946FF821257C}"/>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Analysis'!$E$58:$I$58</c:f>
              <c:numCache>
                <c:formatCode>mmm\-yy</c:formatCode>
                <c:ptCount val="5"/>
                <c:pt idx="0">
                  <c:v>43921</c:v>
                </c:pt>
                <c:pt idx="1">
                  <c:v>44286</c:v>
                </c:pt>
                <c:pt idx="2">
                  <c:v>44651</c:v>
                </c:pt>
                <c:pt idx="3">
                  <c:v>45016</c:v>
                </c:pt>
                <c:pt idx="4">
                  <c:v>45382</c:v>
                </c:pt>
              </c:numCache>
            </c:numRef>
          </c:cat>
          <c:val>
            <c:numRef>
              <c:f>'DuPont Analysis'!$E$71:$I$71</c:f>
              <c:numCache>
                <c:formatCode>0.00%</c:formatCode>
                <c:ptCount val="5"/>
                <c:pt idx="0">
                  <c:v>0.11745753397072582</c:v>
                </c:pt>
                <c:pt idx="1">
                  <c:v>9.0820350783657286E-2</c:v>
                </c:pt>
                <c:pt idx="2">
                  <c:v>0.1246043037524453</c:v>
                </c:pt>
                <c:pt idx="3">
                  <c:v>8.8637709673857396E-2</c:v>
                </c:pt>
                <c:pt idx="4">
                  <c:v>9.4845419588973079E-2</c:v>
                </c:pt>
              </c:numCache>
            </c:numRef>
          </c:val>
          <c:extLst>
            <c:ext xmlns:c16="http://schemas.microsoft.com/office/drawing/2014/chart" uri="{C3380CC4-5D6E-409C-BE32-E72D297353CC}">
              <c16:uniqueId val="{00000008-DF8B-4AB2-984B-946FF821257C}"/>
            </c:ext>
          </c:extLst>
        </c:ser>
        <c:dLbls>
          <c:showLegendKey val="0"/>
          <c:showVal val="0"/>
          <c:showCatName val="0"/>
          <c:showSerName val="0"/>
          <c:showPercent val="0"/>
          <c:showBubbleSize val="0"/>
        </c:dLbls>
        <c:gapWidth val="219"/>
        <c:overlap val="-27"/>
        <c:axId val="547478488"/>
        <c:axId val="547475968"/>
      </c:barChart>
      <c:catAx>
        <c:axId val="54747848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47475968"/>
        <c:crosses val="autoZero"/>
        <c:auto val="0"/>
        <c:lblAlgn val="ctr"/>
        <c:lblOffset val="100"/>
        <c:noMultiLvlLbl val="0"/>
      </c:catAx>
      <c:valAx>
        <c:axId val="547475968"/>
        <c:scaling>
          <c:orientation val="minMax"/>
        </c:scaling>
        <c:delete val="1"/>
        <c:axPos val="l"/>
        <c:numFmt formatCode="0.00%" sourceLinked="1"/>
        <c:majorTickMark val="none"/>
        <c:minorTickMark val="none"/>
        <c:tickLblPos val="nextTo"/>
        <c:crossAx val="547478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C3E0F3"/>
              </a:solidFill>
              <a:ln>
                <a:noFill/>
              </a:ln>
              <a:effectLst/>
            </c:spPr>
            <c:extLst>
              <c:ext xmlns:c16="http://schemas.microsoft.com/office/drawing/2014/chart" uri="{C3380CC4-5D6E-409C-BE32-E72D297353CC}">
                <c16:uniqueId val="{00000001-320A-4875-BB96-1604D00E7904}"/>
              </c:ext>
            </c:extLst>
          </c:dPt>
          <c:dPt>
            <c:idx val="1"/>
            <c:invertIfNegative val="0"/>
            <c:bubble3D val="0"/>
            <c:spPr>
              <a:solidFill>
                <a:srgbClr val="93C6E9"/>
              </a:solidFill>
              <a:ln>
                <a:noFill/>
              </a:ln>
              <a:effectLst/>
            </c:spPr>
            <c:extLst>
              <c:ext xmlns:c16="http://schemas.microsoft.com/office/drawing/2014/chart" uri="{C3380CC4-5D6E-409C-BE32-E72D297353CC}">
                <c16:uniqueId val="{00000003-320A-4875-BB96-1604D00E7904}"/>
              </c:ext>
            </c:extLst>
          </c:dPt>
          <c:dPt>
            <c:idx val="2"/>
            <c:invertIfNegative val="0"/>
            <c:bubble3D val="0"/>
            <c:spPr>
              <a:solidFill>
                <a:srgbClr val="73B6E3"/>
              </a:solidFill>
              <a:ln>
                <a:noFill/>
              </a:ln>
              <a:effectLst/>
            </c:spPr>
            <c:extLst>
              <c:ext xmlns:c16="http://schemas.microsoft.com/office/drawing/2014/chart" uri="{C3380CC4-5D6E-409C-BE32-E72D297353CC}">
                <c16:uniqueId val="{00000005-320A-4875-BB96-1604D00E7904}"/>
              </c:ext>
            </c:extLst>
          </c:dPt>
          <c:dPt>
            <c:idx val="3"/>
            <c:invertIfNegative val="0"/>
            <c:bubble3D val="0"/>
            <c:spPr>
              <a:solidFill>
                <a:srgbClr val="49A0DB"/>
              </a:solidFill>
              <a:ln>
                <a:noFill/>
              </a:ln>
              <a:effectLst/>
            </c:spPr>
            <c:extLst>
              <c:ext xmlns:c16="http://schemas.microsoft.com/office/drawing/2014/chart" uri="{C3380CC4-5D6E-409C-BE32-E72D297353CC}">
                <c16:uniqueId val="{00000007-320A-4875-BB96-1604D00E7904}"/>
              </c:ext>
            </c:extLst>
          </c:dPt>
          <c:dPt>
            <c:idx val="4"/>
            <c:invertIfNegative val="0"/>
            <c:bubble3D val="0"/>
            <c:spPr>
              <a:solidFill>
                <a:srgbClr val="1C5F8C"/>
              </a:solidFill>
              <a:ln>
                <a:noFill/>
              </a:ln>
              <a:effectLst/>
            </c:spPr>
            <c:extLst>
              <c:ext xmlns:c16="http://schemas.microsoft.com/office/drawing/2014/chart" uri="{C3380CC4-5D6E-409C-BE32-E72D297353CC}">
                <c16:uniqueId val="{00000009-320A-4875-BB96-1604D00E7904}"/>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Analysis'!$E$74:$I$74</c:f>
              <c:numCache>
                <c:formatCode>mmm\-yy</c:formatCode>
                <c:ptCount val="5"/>
                <c:pt idx="0">
                  <c:v>43921</c:v>
                </c:pt>
                <c:pt idx="1">
                  <c:v>44286</c:v>
                </c:pt>
                <c:pt idx="2">
                  <c:v>44651</c:v>
                </c:pt>
                <c:pt idx="3">
                  <c:v>45016</c:v>
                </c:pt>
                <c:pt idx="4">
                  <c:v>45382</c:v>
                </c:pt>
              </c:numCache>
            </c:numRef>
          </c:cat>
          <c:val>
            <c:numRef>
              <c:f>'DuPont Analysis'!$E$77:$I$77</c:f>
              <c:numCache>
                <c:formatCode>0.00%</c:formatCode>
                <c:ptCount val="5"/>
                <c:pt idx="0">
                  <c:v>0.10715666275006604</c:v>
                </c:pt>
                <c:pt idx="1">
                  <c:v>6.4924018972487091E-2</c:v>
                </c:pt>
                <c:pt idx="2">
                  <c:v>9.8354787540182759E-2</c:v>
                </c:pt>
                <c:pt idx="3">
                  <c:v>6.9501564375528846E-2</c:v>
                </c:pt>
                <c:pt idx="4">
                  <c:v>5.9515621472063018E-2</c:v>
                </c:pt>
              </c:numCache>
            </c:numRef>
          </c:val>
          <c:extLst>
            <c:ext xmlns:c16="http://schemas.microsoft.com/office/drawing/2014/chart" uri="{C3380CC4-5D6E-409C-BE32-E72D297353CC}">
              <c16:uniqueId val="{0000000A-320A-4875-BB96-1604D00E7904}"/>
            </c:ext>
          </c:extLst>
        </c:ser>
        <c:dLbls>
          <c:showLegendKey val="0"/>
          <c:showVal val="0"/>
          <c:showCatName val="0"/>
          <c:showSerName val="0"/>
          <c:showPercent val="0"/>
          <c:showBubbleSize val="0"/>
        </c:dLbls>
        <c:gapWidth val="219"/>
        <c:overlap val="-27"/>
        <c:axId val="547478488"/>
        <c:axId val="547475968"/>
      </c:barChart>
      <c:catAx>
        <c:axId val="54747848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47475968"/>
        <c:crosses val="autoZero"/>
        <c:auto val="0"/>
        <c:lblAlgn val="ctr"/>
        <c:lblOffset val="100"/>
        <c:noMultiLvlLbl val="0"/>
      </c:catAx>
      <c:valAx>
        <c:axId val="547475968"/>
        <c:scaling>
          <c:orientation val="minMax"/>
        </c:scaling>
        <c:delete val="1"/>
        <c:axPos val="l"/>
        <c:numFmt formatCode="0.00%" sourceLinked="1"/>
        <c:majorTickMark val="none"/>
        <c:minorTickMark val="none"/>
        <c:tickLblPos val="nextTo"/>
        <c:crossAx val="547478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C3E0F3"/>
              </a:solidFill>
              <a:ln>
                <a:noFill/>
              </a:ln>
              <a:effectLst/>
            </c:spPr>
            <c:extLst>
              <c:ext xmlns:c16="http://schemas.microsoft.com/office/drawing/2014/chart" uri="{C3380CC4-5D6E-409C-BE32-E72D297353CC}">
                <c16:uniqueId val="{00000001-0E10-4FC7-A99E-72EEC96D8375}"/>
              </c:ext>
            </c:extLst>
          </c:dPt>
          <c:dPt>
            <c:idx val="1"/>
            <c:invertIfNegative val="0"/>
            <c:bubble3D val="0"/>
            <c:spPr>
              <a:solidFill>
                <a:srgbClr val="93C6E9"/>
              </a:solidFill>
              <a:ln>
                <a:noFill/>
              </a:ln>
              <a:effectLst/>
            </c:spPr>
            <c:extLst>
              <c:ext xmlns:c16="http://schemas.microsoft.com/office/drawing/2014/chart" uri="{C3380CC4-5D6E-409C-BE32-E72D297353CC}">
                <c16:uniqueId val="{00000003-0E10-4FC7-A99E-72EEC96D8375}"/>
              </c:ext>
            </c:extLst>
          </c:dPt>
          <c:dPt>
            <c:idx val="2"/>
            <c:invertIfNegative val="0"/>
            <c:bubble3D val="0"/>
            <c:spPr>
              <a:solidFill>
                <a:srgbClr val="73B6E3"/>
              </a:solidFill>
              <a:ln>
                <a:noFill/>
              </a:ln>
              <a:effectLst/>
            </c:spPr>
            <c:extLst>
              <c:ext xmlns:c16="http://schemas.microsoft.com/office/drawing/2014/chart" uri="{C3380CC4-5D6E-409C-BE32-E72D297353CC}">
                <c16:uniqueId val="{00000005-0E10-4FC7-A99E-72EEC96D8375}"/>
              </c:ext>
            </c:extLst>
          </c:dPt>
          <c:dPt>
            <c:idx val="3"/>
            <c:invertIfNegative val="0"/>
            <c:bubble3D val="0"/>
            <c:spPr>
              <a:solidFill>
                <a:srgbClr val="49A0DB"/>
              </a:solidFill>
              <a:ln>
                <a:noFill/>
              </a:ln>
              <a:effectLst/>
            </c:spPr>
            <c:extLst>
              <c:ext xmlns:c16="http://schemas.microsoft.com/office/drawing/2014/chart" uri="{C3380CC4-5D6E-409C-BE32-E72D297353CC}">
                <c16:uniqueId val="{00000007-0E10-4FC7-A99E-72EEC96D8375}"/>
              </c:ext>
            </c:extLst>
          </c:dPt>
          <c:dPt>
            <c:idx val="4"/>
            <c:invertIfNegative val="0"/>
            <c:bubble3D val="0"/>
            <c:spPr>
              <a:solidFill>
                <a:srgbClr val="1C5F8C"/>
              </a:solidFill>
              <a:ln>
                <a:noFill/>
              </a:ln>
              <a:effectLst/>
            </c:spPr>
            <c:extLst>
              <c:ext xmlns:c16="http://schemas.microsoft.com/office/drawing/2014/chart" uri="{C3380CC4-5D6E-409C-BE32-E72D297353CC}">
                <c16:uniqueId val="{00000009-0E10-4FC7-A99E-72EEC96D8375}"/>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Analysis'!$E$58:$I$58</c:f>
              <c:numCache>
                <c:formatCode>mmm\-yy</c:formatCode>
                <c:ptCount val="5"/>
                <c:pt idx="0">
                  <c:v>43921</c:v>
                </c:pt>
                <c:pt idx="1">
                  <c:v>44286</c:v>
                </c:pt>
                <c:pt idx="2">
                  <c:v>44651</c:v>
                </c:pt>
                <c:pt idx="3">
                  <c:v>45016</c:v>
                </c:pt>
                <c:pt idx="4">
                  <c:v>45382</c:v>
                </c:pt>
              </c:numCache>
            </c:numRef>
          </c:cat>
          <c:val>
            <c:numRef>
              <c:f>'DuPont Analysis'!$E$69:$I$69</c:f>
              <c:numCache>
                <c:formatCode>0.00\x</c:formatCode>
                <c:ptCount val="5"/>
                <c:pt idx="0">
                  <c:v>1.0961290782700626</c:v>
                </c:pt>
                <c:pt idx="1">
                  <c:v>1.3988713610311818</c:v>
                </c:pt>
                <c:pt idx="2">
                  <c:v>1.2668860039125023</c:v>
                </c:pt>
                <c:pt idx="3">
                  <c:v>1.2753340226262058</c:v>
                </c:pt>
                <c:pt idx="4">
                  <c:v>1.5936222666093487</c:v>
                </c:pt>
              </c:numCache>
            </c:numRef>
          </c:val>
          <c:extLst>
            <c:ext xmlns:c16="http://schemas.microsoft.com/office/drawing/2014/chart" uri="{C3380CC4-5D6E-409C-BE32-E72D297353CC}">
              <c16:uniqueId val="{0000000A-0E10-4FC7-A99E-72EEC96D8375}"/>
            </c:ext>
          </c:extLst>
        </c:ser>
        <c:dLbls>
          <c:showLegendKey val="0"/>
          <c:showVal val="0"/>
          <c:showCatName val="0"/>
          <c:showSerName val="0"/>
          <c:showPercent val="0"/>
          <c:showBubbleSize val="0"/>
        </c:dLbls>
        <c:gapWidth val="219"/>
        <c:overlap val="-27"/>
        <c:axId val="547478488"/>
        <c:axId val="547475968"/>
      </c:barChart>
      <c:catAx>
        <c:axId val="54747848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47475968"/>
        <c:crosses val="autoZero"/>
        <c:auto val="0"/>
        <c:lblAlgn val="ctr"/>
        <c:lblOffset val="100"/>
        <c:noMultiLvlLbl val="0"/>
      </c:catAx>
      <c:valAx>
        <c:axId val="547475968"/>
        <c:scaling>
          <c:orientation val="minMax"/>
        </c:scaling>
        <c:delete val="1"/>
        <c:axPos val="l"/>
        <c:numFmt formatCode="0.00\x" sourceLinked="1"/>
        <c:majorTickMark val="none"/>
        <c:minorTickMark val="none"/>
        <c:tickLblPos val="nextTo"/>
        <c:crossAx val="547478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5</xdr:col>
      <xdr:colOff>584792</xdr:colOff>
      <xdr:row>0</xdr:row>
      <xdr:rowOff>10466</xdr:rowOff>
    </xdr:from>
    <xdr:to>
      <xdr:col>9</xdr:col>
      <xdr:colOff>484832</xdr:colOff>
      <xdr:row>4</xdr:row>
      <xdr:rowOff>162866</xdr:rowOff>
    </xdr:to>
    <xdr:pic>
      <xdr:nvPicPr>
        <xdr:cNvPr id="5" name="Picture 4">
          <a:extLst>
            <a:ext uri="{FF2B5EF4-FFF2-40B4-BE49-F238E27FC236}">
              <a16:creationId xmlns:a16="http://schemas.microsoft.com/office/drawing/2014/main" id="{ABF7394C-D9D1-C727-242E-50419D40460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6286" b="25143"/>
        <a:stretch/>
      </xdr:blipFill>
      <xdr:spPr>
        <a:xfrm>
          <a:off x="5943913" y="10466"/>
          <a:ext cx="2328392" cy="1136301"/>
        </a:xfrm>
        <a:prstGeom prst="rect">
          <a:avLst/>
        </a:prstGeom>
      </xdr:spPr>
    </xdr:pic>
    <xdr:clientData/>
  </xdr:twoCellAnchor>
  <xdr:twoCellAnchor>
    <xdr:from>
      <xdr:col>0</xdr:col>
      <xdr:colOff>0</xdr:colOff>
      <xdr:row>15</xdr:row>
      <xdr:rowOff>0</xdr:rowOff>
    </xdr:from>
    <xdr:to>
      <xdr:col>1</xdr:col>
      <xdr:colOff>2228850</xdr:colOff>
      <xdr:row>28</xdr:row>
      <xdr:rowOff>123825</xdr:rowOff>
    </xdr:to>
    <xdr:grpSp>
      <xdr:nvGrpSpPr>
        <xdr:cNvPr id="10" name="Group 9">
          <a:extLst>
            <a:ext uri="{FF2B5EF4-FFF2-40B4-BE49-F238E27FC236}">
              <a16:creationId xmlns:a16="http://schemas.microsoft.com/office/drawing/2014/main" id="{BBF87D98-81ED-508A-0F39-9DDD5C855C7F}"/>
            </a:ext>
          </a:extLst>
        </xdr:cNvPr>
        <xdr:cNvGrpSpPr/>
      </xdr:nvGrpSpPr>
      <xdr:grpSpPr>
        <a:xfrm>
          <a:off x="0" y="2914650"/>
          <a:ext cx="2352675" cy="2600325"/>
          <a:chOff x="9525" y="2886075"/>
          <a:chExt cx="2352675" cy="2600325"/>
        </a:xfrm>
      </xdr:grpSpPr>
      <xdr:graphicFrame macro="">
        <xdr:nvGraphicFramePr>
          <xdr:cNvPr id="2" name="Chart 1">
            <a:extLst>
              <a:ext uri="{FF2B5EF4-FFF2-40B4-BE49-F238E27FC236}">
                <a16:creationId xmlns:a16="http://schemas.microsoft.com/office/drawing/2014/main" id="{9AAFF53D-14D1-6FFD-F67D-38161081E856}"/>
              </a:ext>
            </a:extLst>
          </xdr:cNvPr>
          <xdr:cNvGraphicFramePr/>
        </xdr:nvGraphicFramePr>
        <xdr:xfrm>
          <a:off x="9525" y="3300412"/>
          <a:ext cx="2352675" cy="2185988"/>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6" name="TextBox 5">
            <a:extLst>
              <a:ext uri="{FF2B5EF4-FFF2-40B4-BE49-F238E27FC236}">
                <a16:creationId xmlns:a16="http://schemas.microsoft.com/office/drawing/2014/main" id="{334034CF-C417-DAA9-EAC8-C14386F51ECA}"/>
              </a:ext>
            </a:extLst>
          </xdr:cNvPr>
          <xdr:cNvSpPr txBox="1"/>
        </xdr:nvSpPr>
        <xdr:spPr>
          <a:xfrm>
            <a:off x="481012" y="3071811"/>
            <a:ext cx="1300163" cy="271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rgbClr val="1C5F8C"/>
                </a:solidFill>
                <a:latin typeface="Calibri" panose="020F0502020204030204" pitchFamily="34" charset="0"/>
                <a:cs typeface="Calibri" panose="020F0502020204030204" pitchFamily="34" charset="0"/>
              </a:rPr>
              <a:t>Revenues (INR Crs.)</a:t>
            </a:r>
          </a:p>
          <a:p>
            <a:endParaRPr lang="en-US" sz="1100" b="1"/>
          </a:p>
        </xdr:txBody>
      </xdr:sp>
      <xdr:cxnSp macro="">
        <xdr:nvCxnSpPr>
          <xdr:cNvPr id="8" name="Straight Connector 7">
            <a:extLst>
              <a:ext uri="{FF2B5EF4-FFF2-40B4-BE49-F238E27FC236}">
                <a16:creationId xmlns:a16="http://schemas.microsoft.com/office/drawing/2014/main" id="{A6A36190-FD2B-2A56-3379-9BCB1923A1C3}"/>
              </a:ext>
            </a:extLst>
          </xdr:cNvPr>
          <xdr:cNvCxnSpPr/>
        </xdr:nvCxnSpPr>
        <xdr:spPr>
          <a:xfrm>
            <a:off x="152400" y="2886075"/>
            <a:ext cx="193357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2714625</xdr:colOff>
      <xdr:row>15</xdr:row>
      <xdr:rowOff>0</xdr:rowOff>
    </xdr:from>
    <xdr:to>
      <xdr:col>4</xdr:col>
      <xdr:colOff>438150</xdr:colOff>
      <xdr:row>28</xdr:row>
      <xdr:rowOff>123825</xdr:rowOff>
    </xdr:to>
    <xdr:grpSp>
      <xdr:nvGrpSpPr>
        <xdr:cNvPr id="11" name="Group 10">
          <a:extLst>
            <a:ext uri="{FF2B5EF4-FFF2-40B4-BE49-F238E27FC236}">
              <a16:creationId xmlns:a16="http://schemas.microsoft.com/office/drawing/2014/main" id="{077822B7-E9D7-43C6-B8DF-81918472E406}"/>
            </a:ext>
          </a:extLst>
        </xdr:cNvPr>
        <xdr:cNvGrpSpPr/>
      </xdr:nvGrpSpPr>
      <xdr:grpSpPr>
        <a:xfrm>
          <a:off x="2838450" y="2914650"/>
          <a:ext cx="2352675" cy="2600325"/>
          <a:chOff x="9525" y="2886075"/>
          <a:chExt cx="2352675" cy="2600325"/>
        </a:xfrm>
      </xdr:grpSpPr>
      <xdr:graphicFrame macro="">
        <xdr:nvGraphicFramePr>
          <xdr:cNvPr id="12" name="Chart 11">
            <a:extLst>
              <a:ext uri="{FF2B5EF4-FFF2-40B4-BE49-F238E27FC236}">
                <a16:creationId xmlns:a16="http://schemas.microsoft.com/office/drawing/2014/main" id="{108DCA6A-DBD7-AF0A-6777-687CC3D25255}"/>
              </a:ext>
            </a:extLst>
          </xdr:cNvPr>
          <xdr:cNvGraphicFramePr/>
        </xdr:nvGraphicFramePr>
        <xdr:xfrm>
          <a:off x="9525" y="3300412"/>
          <a:ext cx="2352675" cy="2185988"/>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3" name="TextBox 12">
            <a:extLst>
              <a:ext uri="{FF2B5EF4-FFF2-40B4-BE49-F238E27FC236}">
                <a16:creationId xmlns:a16="http://schemas.microsoft.com/office/drawing/2014/main" id="{DA083CE6-82FE-3E81-997A-1E22230D99DB}"/>
              </a:ext>
            </a:extLst>
          </xdr:cNvPr>
          <xdr:cNvSpPr txBox="1"/>
        </xdr:nvSpPr>
        <xdr:spPr>
          <a:xfrm>
            <a:off x="481012" y="3071811"/>
            <a:ext cx="1300163" cy="271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rgbClr val="1C5F8C"/>
                </a:solidFill>
                <a:latin typeface="Calibri" panose="020F0502020204030204" pitchFamily="34" charset="0"/>
                <a:cs typeface="Calibri" panose="020F0502020204030204" pitchFamily="34" charset="0"/>
              </a:rPr>
              <a:t>Net</a:t>
            </a:r>
            <a:r>
              <a:rPr lang="en-US" sz="1050" b="1" baseline="0">
                <a:solidFill>
                  <a:srgbClr val="1C5F8C"/>
                </a:solidFill>
                <a:latin typeface="Calibri" panose="020F0502020204030204" pitchFamily="34" charset="0"/>
                <a:cs typeface="Calibri" panose="020F0502020204030204" pitchFamily="34" charset="0"/>
              </a:rPr>
              <a:t> Profit</a:t>
            </a:r>
            <a:r>
              <a:rPr lang="en-US" sz="1050" b="1">
                <a:solidFill>
                  <a:srgbClr val="1C5F8C"/>
                </a:solidFill>
                <a:latin typeface="Calibri" panose="020F0502020204030204" pitchFamily="34" charset="0"/>
                <a:cs typeface="Calibri" panose="020F0502020204030204" pitchFamily="34" charset="0"/>
              </a:rPr>
              <a:t> (INR Crs.)</a:t>
            </a:r>
          </a:p>
          <a:p>
            <a:endParaRPr lang="en-US" sz="1100" b="1"/>
          </a:p>
        </xdr:txBody>
      </xdr:sp>
      <xdr:cxnSp macro="">
        <xdr:nvCxnSpPr>
          <xdr:cNvPr id="14" name="Straight Connector 13">
            <a:extLst>
              <a:ext uri="{FF2B5EF4-FFF2-40B4-BE49-F238E27FC236}">
                <a16:creationId xmlns:a16="http://schemas.microsoft.com/office/drawing/2014/main" id="{0861CF59-7038-B37E-F767-45CD59A231F3}"/>
              </a:ext>
            </a:extLst>
          </xdr:cNvPr>
          <xdr:cNvCxnSpPr/>
        </xdr:nvCxnSpPr>
        <xdr:spPr>
          <a:xfrm>
            <a:off x="152400" y="2886075"/>
            <a:ext cx="193357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371475</xdr:colOff>
      <xdr:row>15</xdr:row>
      <xdr:rowOff>0</xdr:rowOff>
    </xdr:from>
    <xdr:to>
      <xdr:col>9</xdr:col>
      <xdr:colOff>285750</xdr:colOff>
      <xdr:row>28</xdr:row>
      <xdr:rowOff>123825</xdr:rowOff>
    </xdr:to>
    <xdr:grpSp>
      <xdr:nvGrpSpPr>
        <xdr:cNvPr id="15" name="Group 14">
          <a:extLst>
            <a:ext uri="{FF2B5EF4-FFF2-40B4-BE49-F238E27FC236}">
              <a16:creationId xmlns:a16="http://schemas.microsoft.com/office/drawing/2014/main" id="{E6068A96-F467-4D3D-B7E5-C6AA6FC39A82}"/>
            </a:ext>
          </a:extLst>
        </xdr:cNvPr>
        <xdr:cNvGrpSpPr/>
      </xdr:nvGrpSpPr>
      <xdr:grpSpPr>
        <a:xfrm>
          <a:off x="5734050" y="2914650"/>
          <a:ext cx="2352675" cy="2600325"/>
          <a:chOff x="9525" y="2886075"/>
          <a:chExt cx="2352675" cy="2600325"/>
        </a:xfrm>
      </xdr:grpSpPr>
      <xdr:graphicFrame macro="">
        <xdr:nvGraphicFramePr>
          <xdr:cNvPr id="16" name="Chart 15">
            <a:extLst>
              <a:ext uri="{FF2B5EF4-FFF2-40B4-BE49-F238E27FC236}">
                <a16:creationId xmlns:a16="http://schemas.microsoft.com/office/drawing/2014/main" id="{C00A21F8-BC51-6DF6-4517-2B337114B99B}"/>
              </a:ext>
            </a:extLst>
          </xdr:cNvPr>
          <xdr:cNvGraphicFramePr/>
        </xdr:nvGraphicFramePr>
        <xdr:xfrm>
          <a:off x="9525" y="3300412"/>
          <a:ext cx="2352675" cy="2185988"/>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7" name="TextBox 16">
            <a:extLst>
              <a:ext uri="{FF2B5EF4-FFF2-40B4-BE49-F238E27FC236}">
                <a16:creationId xmlns:a16="http://schemas.microsoft.com/office/drawing/2014/main" id="{A6D140CB-36B4-E72C-193F-D77DCE0FC0FC}"/>
              </a:ext>
            </a:extLst>
          </xdr:cNvPr>
          <xdr:cNvSpPr txBox="1"/>
        </xdr:nvSpPr>
        <xdr:spPr>
          <a:xfrm>
            <a:off x="200026" y="3062286"/>
            <a:ext cx="1895474" cy="271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rgbClr val="1C5F8C"/>
                </a:solidFill>
                <a:latin typeface="Calibri" panose="020F0502020204030204" pitchFamily="34" charset="0"/>
                <a:cs typeface="Calibri" panose="020F0502020204030204" pitchFamily="34" charset="0"/>
              </a:rPr>
              <a:t>Average</a:t>
            </a:r>
            <a:r>
              <a:rPr lang="en-US" sz="1050" b="1" baseline="0">
                <a:solidFill>
                  <a:srgbClr val="1C5F8C"/>
                </a:solidFill>
                <a:latin typeface="Calibri" panose="020F0502020204030204" pitchFamily="34" charset="0"/>
                <a:cs typeface="Calibri" panose="020F0502020204030204" pitchFamily="34" charset="0"/>
              </a:rPr>
              <a:t> </a:t>
            </a:r>
            <a:r>
              <a:rPr lang="en-US" sz="1050" b="1">
                <a:solidFill>
                  <a:srgbClr val="1C5F8C"/>
                </a:solidFill>
                <a:latin typeface="Calibri" panose="020F0502020204030204" pitchFamily="34" charset="0"/>
                <a:cs typeface="Calibri" panose="020F0502020204030204" pitchFamily="34" charset="0"/>
              </a:rPr>
              <a:t>Total Assets (INR Crs.)</a:t>
            </a:r>
          </a:p>
          <a:p>
            <a:endParaRPr lang="en-US" sz="1100" b="1"/>
          </a:p>
        </xdr:txBody>
      </xdr:sp>
      <xdr:cxnSp macro="">
        <xdr:nvCxnSpPr>
          <xdr:cNvPr id="18" name="Straight Connector 17">
            <a:extLst>
              <a:ext uri="{FF2B5EF4-FFF2-40B4-BE49-F238E27FC236}">
                <a16:creationId xmlns:a16="http://schemas.microsoft.com/office/drawing/2014/main" id="{0DF6787C-3BA8-8615-882F-89FB35BAEBA7}"/>
              </a:ext>
            </a:extLst>
          </xdr:cNvPr>
          <xdr:cNvCxnSpPr/>
        </xdr:nvCxnSpPr>
        <xdr:spPr>
          <a:xfrm>
            <a:off x="152400" y="2886075"/>
            <a:ext cx="193357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0</xdr:colOff>
      <xdr:row>31</xdr:row>
      <xdr:rowOff>0</xdr:rowOff>
    </xdr:from>
    <xdr:to>
      <xdr:col>1</xdr:col>
      <xdr:colOff>2352675</xdr:colOff>
      <xdr:row>44</xdr:row>
      <xdr:rowOff>123825</xdr:rowOff>
    </xdr:to>
    <xdr:grpSp>
      <xdr:nvGrpSpPr>
        <xdr:cNvPr id="19" name="Group 18">
          <a:extLst>
            <a:ext uri="{FF2B5EF4-FFF2-40B4-BE49-F238E27FC236}">
              <a16:creationId xmlns:a16="http://schemas.microsoft.com/office/drawing/2014/main" id="{FAD06DC0-0AA7-475F-BF26-1AB0C49A515F}"/>
            </a:ext>
          </a:extLst>
        </xdr:cNvPr>
        <xdr:cNvGrpSpPr/>
      </xdr:nvGrpSpPr>
      <xdr:grpSpPr>
        <a:xfrm>
          <a:off x="123825" y="5962650"/>
          <a:ext cx="2352675" cy="2600325"/>
          <a:chOff x="9525" y="2886075"/>
          <a:chExt cx="2352675" cy="2600325"/>
        </a:xfrm>
      </xdr:grpSpPr>
      <xdr:graphicFrame macro="">
        <xdr:nvGraphicFramePr>
          <xdr:cNvPr id="20" name="Chart 19">
            <a:extLst>
              <a:ext uri="{FF2B5EF4-FFF2-40B4-BE49-F238E27FC236}">
                <a16:creationId xmlns:a16="http://schemas.microsoft.com/office/drawing/2014/main" id="{76B708F4-1E71-10EB-A1AB-53058504CF96}"/>
              </a:ext>
            </a:extLst>
          </xdr:cNvPr>
          <xdr:cNvGraphicFramePr/>
        </xdr:nvGraphicFramePr>
        <xdr:xfrm>
          <a:off x="9525" y="3300412"/>
          <a:ext cx="2352675" cy="2185988"/>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1" name="TextBox 20">
            <a:extLst>
              <a:ext uri="{FF2B5EF4-FFF2-40B4-BE49-F238E27FC236}">
                <a16:creationId xmlns:a16="http://schemas.microsoft.com/office/drawing/2014/main" id="{1E063A33-2FEB-E996-D945-B45CAC2E6446}"/>
              </a:ext>
            </a:extLst>
          </xdr:cNvPr>
          <xdr:cNvSpPr txBox="1"/>
        </xdr:nvSpPr>
        <xdr:spPr>
          <a:xfrm>
            <a:off x="501947" y="3071811"/>
            <a:ext cx="1328842" cy="271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rgbClr val="1C5F8C"/>
                </a:solidFill>
                <a:latin typeface="Calibri" panose="020F0502020204030204" pitchFamily="34" charset="0"/>
                <a:cs typeface="Calibri" panose="020F0502020204030204" pitchFamily="34" charset="0"/>
              </a:rPr>
              <a:t>Return</a:t>
            </a:r>
            <a:r>
              <a:rPr lang="en-US" sz="1050" b="1" baseline="0">
                <a:solidFill>
                  <a:srgbClr val="1C5F8C"/>
                </a:solidFill>
                <a:latin typeface="Calibri" panose="020F0502020204030204" pitchFamily="34" charset="0"/>
                <a:cs typeface="Calibri" panose="020F0502020204030204" pitchFamily="34" charset="0"/>
              </a:rPr>
              <a:t> on Equity</a:t>
            </a:r>
            <a:r>
              <a:rPr lang="en-US" sz="1050" b="1">
                <a:solidFill>
                  <a:srgbClr val="1C5F8C"/>
                </a:solidFill>
                <a:latin typeface="Calibri" panose="020F0502020204030204" pitchFamily="34" charset="0"/>
                <a:cs typeface="Calibri" panose="020F0502020204030204" pitchFamily="34" charset="0"/>
              </a:rPr>
              <a:t> (%)</a:t>
            </a:r>
          </a:p>
          <a:p>
            <a:endParaRPr lang="en-US" sz="1100" b="1"/>
          </a:p>
        </xdr:txBody>
      </xdr:sp>
      <xdr:cxnSp macro="">
        <xdr:nvCxnSpPr>
          <xdr:cNvPr id="22" name="Straight Connector 21">
            <a:extLst>
              <a:ext uri="{FF2B5EF4-FFF2-40B4-BE49-F238E27FC236}">
                <a16:creationId xmlns:a16="http://schemas.microsoft.com/office/drawing/2014/main" id="{6B822CB6-E9EB-0BC9-1DDD-8810FB9F66A5}"/>
              </a:ext>
            </a:extLst>
          </xdr:cNvPr>
          <xdr:cNvCxnSpPr/>
        </xdr:nvCxnSpPr>
        <xdr:spPr>
          <a:xfrm>
            <a:off x="152400" y="2886075"/>
            <a:ext cx="193357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2784231</xdr:colOff>
      <xdr:row>31</xdr:row>
      <xdr:rowOff>0</xdr:rowOff>
    </xdr:from>
    <xdr:to>
      <xdr:col>4</xdr:col>
      <xdr:colOff>507756</xdr:colOff>
      <xdr:row>44</xdr:row>
      <xdr:rowOff>123825</xdr:rowOff>
    </xdr:to>
    <xdr:grpSp>
      <xdr:nvGrpSpPr>
        <xdr:cNvPr id="31" name="Group 30">
          <a:extLst>
            <a:ext uri="{FF2B5EF4-FFF2-40B4-BE49-F238E27FC236}">
              <a16:creationId xmlns:a16="http://schemas.microsoft.com/office/drawing/2014/main" id="{C3CB27A6-8F2E-4731-BE11-27167A353362}"/>
            </a:ext>
          </a:extLst>
        </xdr:cNvPr>
        <xdr:cNvGrpSpPr/>
      </xdr:nvGrpSpPr>
      <xdr:grpSpPr>
        <a:xfrm>
          <a:off x="2908056" y="5962650"/>
          <a:ext cx="2352675" cy="2600325"/>
          <a:chOff x="9525" y="2886075"/>
          <a:chExt cx="2352675" cy="2600325"/>
        </a:xfrm>
      </xdr:grpSpPr>
      <xdr:graphicFrame macro="">
        <xdr:nvGraphicFramePr>
          <xdr:cNvPr id="32" name="Chart 31">
            <a:extLst>
              <a:ext uri="{FF2B5EF4-FFF2-40B4-BE49-F238E27FC236}">
                <a16:creationId xmlns:a16="http://schemas.microsoft.com/office/drawing/2014/main" id="{D65BCFAA-B63A-431C-67F1-E73230F68624}"/>
              </a:ext>
            </a:extLst>
          </xdr:cNvPr>
          <xdr:cNvGraphicFramePr/>
        </xdr:nvGraphicFramePr>
        <xdr:xfrm>
          <a:off x="9525" y="3300412"/>
          <a:ext cx="2352675" cy="2185988"/>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33" name="TextBox 32">
            <a:extLst>
              <a:ext uri="{FF2B5EF4-FFF2-40B4-BE49-F238E27FC236}">
                <a16:creationId xmlns:a16="http://schemas.microsoft.com/office/drawing/2014/main" id="{4BD0021F-5BDA-743D-7FDC-6B5174DE4F79}"/>
              </a:ext>
            </a:extLst>
          </xdr:cNvPr>
          <xdr:cNvSpPr txBox="1"/>
        </xdr:nvSpPr>
        <xdr:spPr>
          <a:xfrm>
            <a:off x="481012" y="3071811"/>
            <a:ext cx="1383323" cy="271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rgbClr val="1C5F8C"/>
                </a:solidFill>
                <a:latin typeface="Calibri" panose="020F0502020204030204" pitchFamily="34" charset="0"/>
                <a:cs typeface="Calibri" panose="020F0502020204030204" pitchFamily="34" charset="0"/>
              </a:rPr>
              <a:t>Return</a:t>
            </a:r>
            <a:r>
              <a:rPr lang="en-US" sz="1050" b="1" baseline="0">
                <a:solidFill>
                  <a:srgbClr val="1C5F8C"/>
                </a:solidFill>
                <a:latin typeface="Calibri" panose="020F0502020204030204" pitchFamily="34" charset="0"/>
                <a:cs typeface="Calibri" panose="020F0502020204030204" pitchFamily="34" charset="0"/>
              </a:rPr>
              <a:t> on Assets</a:t>
            </a:r>
            <a:r>
              <a:rPr lang="en-US" sz="1050" b="1">
                <a:solidFill>
                  <a:srgbClr val="1C5F8C"/>
                </a:solidFill>
                <a:latin typeface="Calibri" panose="020F0502020204030204" pitchFamily="34" charset="0"/>
                <a:cs typeface="Calibri" panose="020F0502020204030204" pitchFamily="34" charset="0"/>
              </a:rPr>
              <a:t> (%)</a:t>
            </a:r>
          </a:p>
          <a:p>
            <a:endParaRPr lang="en-US" sz="1100" b="1"/>
          </a:p>
        </xdr:txBody>
      </xdr:sp>
      <xdr:cxnSp macro="">
        <xdr:nvCxnSpPr>
          <xdr:cNvPr id="34" name="Straight Connector 33">
            <a:extLst>
              <a:ext uri="{FF2B5EF4-FFF2-40B4-BE49-F238E27FC236}">
                <a16:creationId xmlns:a16="http://schemas.microsoft.com/office/drawing/2014/main" id="{8B4E13D0-7A43-8DE4-865D-6691A932A2E7}"/>
              </a:ext>
            </a:extLst>
          </xdr:cNvPr>
          <xdr:cNvCxnSpPr/>
        </xdr:nvCxnSpPr>
        <xdr:spPr>
          <a:xfrm>
            <a:off x="152400" y="2886075"/>
            <a:ext cx="193357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355880</xdr:colOff>
      <xdr:row>31</xdr:row>
      <xdr:rowOff>0</xdr:rowOff>
    </xdr:from>
    <xdr:to>
      <xdr:col>9</xdr:col>
      <xdr:colOff>277482</xdr:colOff>
      <xdr:row>44</xdr:row>
      <xdr:rowOff>123825</xdr:rowOff>
    </xdr:to>
    <xdr:grpSp>
      <xdr:nvGrpSpPr>
        <xdr:cNvPr id="35" name="Group 34">
          <a:extLst>
            <a:ext uri="{FF2B5EF4-FFF2-40B4-BE49-F238E27FC236}">
              <a16:creationId xmlns:a16="http://schemas.microsoft.com/office/drawing/2014/main" id="{2C9965FA-9B9A-45A8-B707-89594473EC82}"/>
            </a:ext>
          </a:extLst>
        </xdr:cNvPr>
        <xdr:cNvGrpSpPr/>
      </xdr:nvGrpSpPr>
      <xdr:grpSpPr>
        <a:xfrm>
          <a:off x="5718455" y="5962650"/>
          <a:ext cx="2360002" cy="2600325"/>
          <a:chOff x="9525" y="2886075"/>
          <a:chExt cx="2352675" cy="2600325"/>
        </a:xfrm>
      </xdr:grpSpPr>
      <xdr:graphicFrame macro="">
        <xdr:nvGraphicFramePr>
          <xdr:cNvPr id="36" name="Chart 35">
            <a:extLst>
              <a:ext uri="{FF2B5EF4-FFF2-40B4-BE49-F238E27FC236}">
                <a16:creationId xmlns:a16="http://schemas.microsoft.com/office/drawing/2014/main" id="{005EA9BF-D768-1381-DDC0-9033F0AE7B9D}"/>
              </a:ext>
            </a:extLst>
          </xdr:cNvPr>
          <xdr:cNvGraphicFramePr/>
        </xdr:nvGraphicFramePr>
        <xdr:xfrm>
          <a:off x="9525" y="3300412"/>
          <a:ext cx="2352675" cy="2185988"/>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37" name="TextBox 36">
            <a:extLst>
              <a:ext uri="{FF2B5EF4-FFF2-40B4-BE49-F238E27FC236}">
                <a16:creationId xmlns:a16="http://schemas.microsoft.com/office/drawing/2014/main" id="{B18B3B47-3373-A9E8-0413-F3B8720B7AC2}"/>
              </a:ext>
            </a:extLst>
          </xdr:cNvPr>
          <xdr:cNvSpPr txBox="1"/>
        </xdr:nvSpPr>
        <xdr:spPr>
          <a:xfrm>
            <a:off x="564847" y="3071811"/>
            <a:ext cx="1247092" cy="271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rgbClr val="1C5F8C"/>
                </a:solidFill>
                <a:latin typeface="Calibri" panose="020F0502020204030204" pitchFamily="34" charset="0"/>
                <a:cs typeface="Calibri" panose="020F0502020204030204" pitchFamily="34" charset="0"/>
              </a:rPr>
              <a:t>Financial</a:t>
            </a:r>
            <a:r>
              <a:rPr lang="en-US" sz="1050" b="1" baseline="0">
                <a:solidFill>
                  <a:srgbClr val="1C5F8C"/>
                </a:solidFill>
                <a:latin typeface="Calibri" panose="020F0502020204030204" pitchFamily="34" charset="0"/>
                <a:cs typeface="Calibri" panose="020F0502020204030204" pitchFamily="34" charset="0"/>
              </a:rPr>
              <a:t> Leverage</a:t>
            </a:r>
            <a:endParaRPr lang="en-US" sz="1050" b="1">
              <a:solidFill>
                <a:srgbClr val="1C5F8C"/>
              </a:solidFill>
              <a:latin typeface="Calibri" panose="020F0502020204030204" pitchFamily="34" charset="0"/>
              <a:cs typeface="Calibri" panose="020F0502020204030204" pitchFamily="34" charset="0"/>
            </a:endParaRPr>
          </a:p>
          <a:p>
            <a:endParaRPr lang="en-US" sz="1100" b="1"/>
          </a:p>
        </xdr:txBody>
      </xdr:sp>
      <xdr:cxnSp macro="">
        <xdr:nvCxnSpPr>
          <xdr:cNvPr id="38" name="Straight Connector 37">
            <a:extLst>
              <a:ext uri="{FF2B5EF4-FFF2-40B4-BE49-F238E27FC236}">
                <a16:creationId xmlns:a16="http://schemas.microsoft.com/office/drawing/2014/main" id="{9FEE4143-1837-C071-4BC5-AB16F6221E66}"/>
              </a:ext>
            </a:extLst>
          </xdr:cNvPr>
          <xdr:cNvCxnSpPr/>
        </xdr:nvCxnSpPr>
        <xdr:spPr>
          <a:xfrm>
            <a:off x="152400" y="2886075"/>
            <a:ext cx="193357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xdr:col>
      <xdr:colOff>1</xdr:colOff>
      <xdr:row>89</xdr:row>
      <xdr:rowOff>190499</xdr:rowOff>
    </xdr:from>
    <xdr:ext cx="7677150" cy="2314575"/>
    <xdr:sp macro="" textlink="">
      <xdr:nvSpPr>
        <xdr:cNvPr id="3" name="TextBox 2">
          <a:extLst>
            <a:ext uri="{FF2B5EF4-FFF2-40B4-BE49-F238E27FC236}">
              <a16:creationId xmlns:a16="http://schemas.microsoft.com/office/drawing/2014/main" id="{12E9CD66-6F2A-0506-95C6-BA6D97059BFC}"/>
            </a:ext>
          </a:extLst>
        </xdr:cNvPr>
        <xdr:cNvSpPr txBox="1"/>
      </xdr:nvSpPr>
      <xdr:spPr>
        <a:xfrm>
          <a:off x="123826" y="17373599"/>
          <a:ext cx="7677150" cy="2314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rgbClr val="1C5F8C"/>
              </a:solidFill>
            </a:rPr>
            <a:t>Dupont Summary</a:t>
          </a:r>
        </a:p>
        <a:p>
          <a:endParaRPr lang="en-US" sz="1100" b="1"/>
        </a:p>
        <a:p>
          <a:r>
            <a:rPr lang="en-US" sz="1100" b="1"/>
            <a:t>&gt;</a:t>
          </a:r>
          <a:r>
            <a:rPr lang="en-US" sz="1100" b="1" baseline="0"/>
            <a:t> </a:t>
          </a:r>
          <a:r>
            <a:rPr lang="en-US" sz="1100" b="0"/>
            <a:t>During</a:t>
          </a:r>
          <a:r>
            <a:rPr lang="en-US" sz="1100" b="0" baseline="0"/>
            <a:t> COVID, ROE of Jubilant Foodworks was 11.75% and made to a low of 9.08% in FY21, only to rise again up to 12.46% in FY22, and once again falling down to 8.86% in FY23, only to rise up again upto 9.48% in FY24. </a:t>
          </a:r>
        </a:p>
        <a:p>
          <a:endParaRPr lang="en-US" sz="1100" b="0" baseline="0"/>
        </a:p>
        <a:p>
          <a:r>
            <a:rPr lang="en-US" sz="1100" b="1" baseline="0"/>
            <a:t>&gt; </a:t>
          </a:r>
          <a:r>
            <a:rPr lang="en-US" sz="1100" b="0" baseline="0"/>
            <a:t>ROE has been decreased significantly in past 4 years from 11.75% to 9.48%. There has been a decline in net margin from 7.13% in FY20 to 7.06% in FY2024. Asset efficiency has been affected as well. Equity multiplier has been increased from 1.10x in FY20 to 1.59x in FY24. The fall in ROE can be explained by reduction in Asset Turnover Ratio, 1.5x in FY20 to 0.8x in FY24.</a:t>
          </a:r>
        </a:p>
        <a:p>
          <a:endParaRPr lang="en-US" sz="1100" b="0" baseline="0"/>
        </a:p>
        <a:p>
          <a:r>
            <a:rPr lang="en-US" sz="1100" b="1" baseline="0"/>
            <a:t>&gt; </a:t>
          </a:r>
          <a:r>
            <a:rPr lang="en-US" sz="1100" b="0" baseline="0"/>
            <a:t>ROA has been decreased since COVID, asset efficiency has played a huge role in the decline.</a:t>
          </a:r>
          <a:endParaRPr lang="en-US" sz="1100" b="1"/>
        </a:p>
      </xdr:txBody>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leovo\Documents\Book1(AutoRecovered).xlsx" TargetMode="External"/><Relationship Id="rId1" Type="http://schemas.openxmlformats.org/officeDocument/2006/relationships/externalLinkPath" Target="Book1(AutoRecover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istoricalFS"/>
      <sheetName val="Financials&gt;"/>
      <sheetName val="Data&gt;"/>
      <sheetName val="Data Sheet"/>
      <sheetName val="Cash Flow Data"/>
    </sheetNames>
    <sheetDataSet>
      <sheetData sheetId="0"/>
      <sheetData sheetId="1"/>
      <sheetData sheetId="2"/>
      <sheetData sheetId="3">
        <row r="16">
          <cell r="B16">
            <v>42094</v>
          </cell>
          <cell r="C16">
            <v>42460</v>
          </cell>
          <cell r="D16">
            <v>42825</v>
          </cell>
          <cell r="E16">
            <v>43190</v>
          </cell>
          <cell r="F16">
            <v>43555</v>
          </cell>
          <cell r="G16">
            <v>43921</v>
          </cell>
          <cell r="H16">
            <v>44286</v>
          </cell>
          <cell r="I16">
            <v>44651</v>
          </cell>
          <cell r="J16">
            <v>45016</v>
          </cell>
          <cell r="K16">
            <v>45382</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creener.in/exce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F80D1-69B9-466B-8E0A-CC0140C87625}">
  <sheetPr codeName="Sheet1"/>
  <dimension ref="A1:K93"/>
  <sheetViews>
    <sheetView zoomScale="120" zoomScaleNormal="120" zoomScalePageLayoutView="120" workbookViewId="0">
      <pane xSplit="1" ySplit="1" topLeftCell="B11" activePane="bottomRight" state="frozen"/>
      <selection activeCell="C4" sqref="C4"/>
      <selection pane="topRight" activeCell="C4" sqref="C4"/>
      <selection pane="bottomLeft" activeCell="C4" sqref="C4"/>
      <selection pane="bottomRight" activeCell="G30" sqref="G30"/>
    </sheetView>
  </sheetViews>
  <sheetFormatPr defaultColWidth="8.85546875" defaultRowHeight="15" x14ac:dyDescent="0.25"/>
  <cols>
    <col min="1" max="1" width="27.7109375" style="23" bestFit="1" customWidth="1"/>
    <col min="2" max="11" width="14.7109375" style="23" bestFit="1" customWidth="1"/>
    <col min="12" max="16384" width="8.85546875" style="23"/>
  </cols>
  <sheetData>
    <row r="1" spans="1:11" s="22" customFormat="1" x14ac:dyDescent="0.25">
      <c r="A1" s="22" t="s">
        <v>70</v>
      </c>
      <c r="B1" s="22" t="s">
        <v>71</v>
      </c>
      <c r="E1" s="64" t="str">
        <f>IF(B2&lt;&gt;B3, "A NEW VERSION OF THE WORKSHEET IS AVAILABLE", "")</f>
        <v/>
      </c>
      <c r="F1" s="64"/>
      <c r="G1" s="64"/>
      <c r="H1" s="64"/>
      <c r="I1" s="64"/>
      <c r="J1" s="64"/>
      <c r="K1" s="64"/>
    </row>
    <row r="2" spans="1:11" x14ac:dyDescent="0.25">
      <c r="A2" s="22" t="s">
        <v>72</v>
      </c>
      <c r="B2" s="23">
        <v>2.1</v>
      </c>
      <c r="E2" s="65" t="s">
        <v>73</v>
      </c>
      <c r="F2" s="65"/>
      <c r="G2" s="65"/>
      <c r="H2" s="65"/>
      <c r="I2" s="65"/>
      <c r="J2" s="65"/>
      <c r="K2" s="65"/>
    </row>
    <row r="3" spans="1:11" x14ac:dyDescent="0.25">
      <c r="A3" s="22" t="s">
        <v>74</v>
      </c>
      <c r="B3" s="23">
        <v>2.1</v>
      </c>
    </row>
    <row r="4" spans="1:11" x14ac:dyDescent="0.25">
      <c r="A4" s="22"/>
    </row>
    <row r="5" spans="1:11" x14ac:dyDescent="0.25">
      <c r="A5" s="22" t="s">
        <v>75</v>
      </c>
    </row>
    <row r="6" spans="1:11" x14ac:dyDescent="0.25">
      <c r="A6" s="23" t="s">
        <v>76</v>
      </c>
      <c r="B6" s="23">
        <f>IF(B9&gt;0, B9/B8, 0)</f>
        <v>65.984516779490136</v>
      </c>
    </row>
    <row r="7" spans="1:11" x14ac:dyDescent="0.25">
      <c r="A7" s="23" t="s">
        <v>77</v>
      </c>
      <c r="B7" s="24">
        <v>2</v>
      </c>
    </row>
    <row r="8" spans="1:11" x14ac:dyDescent="0.25">
      <c r="A8" s="23" t="s">
        <v>78</v>
      </c>
      <c r="B8" s="24">
        <v>694.3</v>
      </c>
    </row>
    <row r="9" spans="1:11" x14ac:dyDescent="0.25">
      <c r="A9" s="23" t="s">
        <v>79</v>
      </c>
      <c r="B9" s="24">
        <v>45813.05</v>
      </c>
    </row>
    <row r="15" spans="1:11" x14ac:dyDescent="0.25">
      <c r="A15" s="22" t="s">
        <v>80</v>
      </c>
    </row>
    <row r="16" spans="1:11" s="27" customFormat="1" x14ac:dyDescent="0.25">
      <c r="A16" s="25" t="s">
        <v>81</v>
      </c>
      <c r="B16" s="26">
        <v>42094</v>
      </c>
      <c r="C16" s="26">
        <v>42460</v>
      </c>
      <c r="D16" s="26">
        <v>42825</v>
      </c>
      <c r="E16" s="26">
        <v>43190</v>
      </c>
      <c r="F16" s="26">
        <v>43555</v>
      </c>
      <c r="G16" s="26">
        <v>43921</v>
      </c>
      <c r="H16" s="26">
        <v>44286</v>
      </c>
      <c r="I16" s="26">
        <v>44651</v>
      </c>
      <c r="J16" s="26">
        <v>45016</v>
      </c>
      <c r="K16" s="26">
        <v>45382</v>
      </c>
    </row>
    <row r="17" spans="1:11" s="28" customFormat="1" x14ac:dyDescent="0.25">
      <c r="A17" s="28" t="s">
        <v>66</v>
      </c>
      <c r="B17" s="24">
        <v>2092.7600000000002</v>
      </c>
      <c r="C17" s="24">
        <v>2437.98</v>
      </c>
      <c r="D17" s="24">
        <v>2583.39</v>
      </c>
      <c r="E17" s="24">
        <v>3018.4</v>
      </c>
      <c r="F17" s="24">
        <v>3563.14</v>
      </c>
      <c r="G17" s="24">
        <v>3927.27</v>
      </c>
      <c r="H17" s="24">
        <v>3311.87</v>
      </c>
      <c r="I17" s="24">
        <v>4396.12</v>
      </c>
      <c r="J17" s="24">
        <v>5158.25</v>
      </c>
      <c r="K17" s="24">
        <v>5654.09</v>
      </c>
    </row>
    <row r="18" spans="1:11" s="28" customFormat="1" x14ac:dyDescent="0.25">
      <c r="A18" s="23" t="s">
        <v>82</v>
      </c>
      <c r="B18" s="24">
        <v>528.71</v>
      </c>
      <c r="C18" s="24">
        <v>580.25</v>
      </c>
      <c r="D18" s="24">
        <v>631.29999999999995</v>
      </c>
      <c r="E18" s="24">
        <v>767.43</v>
      </c>
      <c r="F18" s="24">
        <v>885.31</v>
      </c>
      <c r="G18" s="24">
        <v>984.5</v>
      </c>
      <c r="H18" s="24">
        <v>727.58</v>
      </c>
      <c r="I18" s="24">
        <v>993.65</v>
      </c>
      <c r="J18" s="24">
        <v>1253.47</v>
      </c>
      <c r="K18" s="24">
        <v>1346.85</v>
      </c>
    </row>
    <row r="19" spans="1:11" s="28" customFormat="1" x14ac:dyDescent="0.25">
      <c r="A19" s="23" t="s">
        <v>83</v>
      </c>
      <c r="B19" s="24">
        <v>0.82</v>
      </c>
      <c r="C19" s="24">
        <v>0.19</v>
      </c>
      <c r="D19" s="24">
        <v>0.53</v>
      </c>
      <c r="E19" s="24">
        <v>1.47</v>
      </c>
      <c r="F19" s="24">
        <v>-0.8</v>
      </c>
      <c r="G19" s="24">
        <v>1.03</v>
      </c>
      <c r="H19" s="24">
        <v>1.34</v>
      </c>
      <c r="I19" s="24">
        <v>3.75</v>
      </c>
      <c r="J19" s="24">
        <v>5.66</v>
      </c>
      <c r="K19" s="24">
        <v>5.76</v>
      </c>
    </row>
    <row r="20" spans="1:11" s="28" customFormat="1" x14ac:dyDescent="0.25">
      <c r="A20" s="23" t="s">
        <v>84</v>
      </c>
      <c r="B20" s="24">
        <v>123.64</v>
      </c>
      <c r="C20" s="24">
        <v>139.94999999999999</v>
      </c>
      <c r="D20" s="24">
        <v>145.86000000000001</v>
      </c>
      <c r="E20" s="24">
        <v>160.31</v>
      </c>
      <c r="F20" s="24">
        <v>168.99</v>
      </c>
      <c r="G20" s="24">
        <v>172.62</v>
      </c>
      <c r="H20" s="24">
        <v>147.6</v>
      </c>
      <c r="I20" s="24">
        <v>200.66</v>
      </c>
      <c r="J20" s="24">
        <v>267.25</v>
      </c>
      <c r="K20" s="24">
        <v>309.61</v>
      </c>
    </row>
    <row r="21" spans="1:11" s="28" customFormat="1" x14ac:dyDescent="0.25">
      <c r="A21" s="23" t="s">
        <v>85</v>
      </c>
      <c r="B21" s="24">
        <v>136.12</v>
      </c>
      <c r="C21" s="24">
        <v>156.5</v>
      </c>
      <c r="D21" s="24">
        <v>174.48</v>
      </c>
      <c r="E21" s="24">
        <v>188.89</v>
      </c>
      <c r="F21" s="24">
        <v>233.07</v>
      </c>
      <c r="G21" s="24">
        <v>246.25</v>
      </c>
      <c r="H21" s="24">
        <v>261.89999999999998</v>
      </c>
      <c r="I21" s="24">
        <v>304.49</v>
      </c>
      <c r="J21" s="24">
        <v>365.27</v>
      </c>
      <c r="K21" s="24">
        <v>618.92999999999995</v>
      </c>
    </row>
    <row r="22" spans="1:11" s="28" customFormat="1" x14ac:dyDescent="0.25">
      <c r="A22" s="23" t="s">
        <v>86</v>
      </c>
      <c r="B22" s="24">
        <v>444.47</v>
      </c>
      <c r="C22" s="24">
        <v>576.77</v>
      </c>
      <c r="D22" s="24">
        <v>595.63</v>
      </c>
      <c r="E22" s="24">
        <v>615.21</v>
      </c>
      <c r="F22" s="24">
        <v>683.54</v>
      </c>
      <c r="G22" s="24">
        <v>797.84</v>
      </c>
      <c r="H22" s="24">
        <v>748.46</v>
      </c>
      <c r="I22" s="24">
        <v>770.3</v>
      </c>
      <c r="J22" s="24">
        <v>908.19</v>
      </c>
      <c r="K22" s="24">
        <v>1061.04</v>
      </c>
    </row>
    <row r="23" spans="1:11" s="28" customFormat="1" x14ac:dyDescent="0.25">
      <c r="A23" s="23" t="s">
        <v>87</v>
      </c>
      <c r="B23" s="24">
        <v>521.63</v>
      </c>
      <c r="C23" s="24">
        <v>620.24</v>
      </c>
      <c r="D23" s="24">
        <v>726.91</v>
      </c>
      <c r="E23" s="24">
        <v>769.62</v>
      </c>
      <c r="F23" s="24">
        <v>893.84</v>
      </c>
      <c r="G23" s="24">
        <v>745.31</v>
      </c>
      <c r="H23" s="24">
        <v>570.78</v>
      </c>
      <c r="I23" s="24">
        <v>914.89</v>
      </c>
      <c r="J23" s="24">
        <v>1082.6300000000001</v>
      </c>
      <c r="K23" s="24">
        <v>1063.21</v>
      </c>
    </row>
    <row r="24" spans="1:11" s="28" customFormat="1" x14ac:dyDescent="0.25">
      <c r="A24" s="23" t="s">
        <v>88</v>
      </c>
      <c r="B24" s="24">
        <v>82.53</v>
      </c>
      <c r="C24" s="24">
        <v>99.04</v>
      </c>
      <c r="D24" s="24">
        <v>65.17</v>
      </c>
      <c r="E24" s="24">
        <v>76.41</v>
      </c>
      <c r="F24" s="24">
        <v>94.97</v>
      </c>
      <c r="G24" s="24">
        <v>99.06</v>
      </c>
      <c r="H24" s="24">
        <v>76.849999999999994</v>
      </c>
      <c r="I24" s="24">
        <v>109.52</v>
      </c>
      <c r="J24" s="24">
        <v>151.15</v>
      </c>
      <c r="K24" s="24">
        <v>101.86</v>
      </c>
    </row>
    <row r="25" spans="1:11" s="28" customFormat="1" x14ac:dyDescent="0.25">
      <c r="A25" s="28" t="s">
        <v>89</v>
      </c>
      <c r="B25" s="24">
        <v>6.12</v>
      </c>
      <c r="C25" s="24">
        <v>9.84</v>
      </c>
      <c r="D25" s="24">
        <v>-0.87</v>
      </c>
      <c r="E25" s="24">
        <v>21.17</v>
      </c>
      <c r="F25" s="24">
        <v>44.5</v>
      </c>
      <c r="G25" s="24">
        <v>37.58</v>
      </c>
      <c r="H25" s="24">
        <v>64.23</v>
      </c>
      <c r="I25" s="24">
        <v>26.04</v>
      </c>
      <c r="J25" s="24">
        <v>39.9</v>
      </c>
      <c r="K25" s="24">
        <v>212.41</v>
      </c>
    </row>
    <row r="26" spans="1:11" s="28" customFormat="1" x14ac:dyDescent="0.25">
      <c r="A26" s="28" t="s">
        <v>53</v>
      </c>
      <c r="B26" s="24">
        <v>101.12</v>
      </c>
      <c r="C26" s="24">
        <v>128.24</v>
      </c>
      <c r="D26" s="24">
        <v>155.43</v>
      </c>
      <c r="E26" s="24">
        <v>160.11000000000001</v>
      </c>
      <c r="F26" s="24">
        <v>157.44999999999999</v>
      </c>
      <c r="G26" s="24">
        <v>352.28</v>
      </c>
      <c r="H26" s="24">
        <v>375.4</v>
      </c>
      <c r="I26" s="24">
        <v>393.05</v>
      </c>
      <c r="J26" s="24">
        <v>485.89</v>
      </c>
      <c r="K26" s="24">
        <v>597.96</v>
      </c>
    </row>
    <row r="27" spans="1:11" s="28" customFormat="1" x14ac:dyDescent="0.25">
      <c r="A27" s="28" t="s">
        <v>55</v>
      </c>
      <c r="G27" s="24">
        <v>165.24</v>
      </c>
      <c r="H27" s="24">
        <v>162.69999999999999</v>
      </c>
      <c r="I27" s="24">
        <v>176.09</v>
      </c>
      <c r="J27" s="24">
        <v>201.23</v>
      </c>
      <c r="K27" s="24">
        <v>287.77</v>
      </c>
    </row>
    <row r="28" spans="1:11" s="28" customFormat="1" x14ac:dyDescent="0.25">
      <c r="A28" s="28" t="s">
        <v>90</v>
      </c>
      <c r="B28" s="24">
        <v>161.47999999999999</v>
      </c>
      <c r="C28" s="24">
        <v>147.02000000000001</v>
      </c>
      <c r="D28" s="24">
        <v>88.27</v>
      </c>
      <c r="E28" s="24">
        <v>303.06</v>
      </c>
      <c r="F28" s="24">
        <v>489.67</v>
      </c>
      <c r="G28" s="24">
        <v>402.78</v>
      </c>
      <c r="H28" s="24">
        <v>306.17</v>
      </c>
      <c r="I28" s="24">
        <v>563.26</v>
      </c>
      <c r="J28" s="24">
        <v>488.73</v>
      </c>
      <c r="K28" s="24">
        <v>485.03</v>
      </c>
    </row>
    <row r="29" spans="1:11" s="28" customFormat="1" x14ac:dyDescent="0.25">
      <c r="A29" s="28" t="s">
        <v>49</v>
      </c>
      <c r="B29" s="24">
        <v>50.4</v>
      </c>
      <c r="C29" s="24">
        <v>50.13</v>
      </c>
      <c r="D29" s="24">
        <v>30.5</v>
      </c>
      <c r="E29" s="24">
        <v>106.83</v>
      </c>
      <c r="F29" s="24">
        <v>171.7</v>
      </c>
      <c r="G29" s="24">
        <v>123.99</v>
      </c>
      <c r="H29" s="24">
        <v>75.650000000000006</v>
      </c>
      <c r="I29" s="24">
        <v>145.18</v>
      </c>
      <c r="J29" s="24">
        <v>135.69999999999999</v>
      </c>
      <c r="K29" s="24">
        <v>84.97</v>
      </c>
    </row>
    <row r="30" spans="1:11" s="28" customFormat="1" x14ac:dyDescent="0.25">
      <c r="A30" s="28" t="s">
        <v>91</v>
      </c>
      <c r="B30" s="24">
        <v>111.08</v>
      </c>
      <c r="C30" s="24">
        <v>96.89</v>
      </c>
      <c r="D30" s="24">
        <v>57.77</v>
      </c>
      <c r="E30" s="24">
        <v>196.23</v>
      </c>
      <c r="F30" s="24">
        <v>319.79000000000002</v>
      </c>
      <c r="G30" s="24">
        <v>279.98</v>
      </c>
      <c r="H30" s="24">
        <v>231.67</v>
      </c>
      <c r="I30" s="24">
        <v>420.39</v>
      </c>
      <c r="J30" s="24">
        <v>353.2</v>
      </c>
      <c r="K30" s="24">
        <v>399.34</v>
      </c>
    </row>
    <row r="31" spans="1:11" s="28" customFormat="1" x14ac:dyDescent="0.25">
      <c r="A31" s="28" t="s">
        <v>92</v>
      </c>
      <c r="B31" s="24">
        <v>16.39</v>
      </c>
      <c r="C31" s="24">
        <v>16.45</v>
      </c>
      <c r="D31" s="24">
        <v>16.489999999999998</v>
      </c>
      <c r="E31" s="24">
        <v>32.99</v>
      </c>
      <c r="F31" s="24">
        <v>65.98</v>
      </c>
      <c r="G31" s="24">
        <v>79.180000000000007</v>
      </c>
      <c r="H31" s="24">
        <v>79.180000000000007</v>
      </c>
      <c r="I31" s="24">
        <v>79.180000000000007</v>
      </c>
      <c r="J31" s="24">
        <v>79.180000000000007</v>
      </c>
      <c r="K31" s="24">
        <v>79.180000000000007</v>
      </c>
    </row>
    <row r="32" spans="1:11" s="28" customFormat="1" x14ac:dyDescent="0.25">
      <c r="A32" s="28" t="s">
        <v>57</v>
      </c>
      <c r="B32" s="23">
        <f t="shared" ref="B32:K32" si="0">B37-SUM(B23:B24)</f>
        <v>256.48000000000013</v>
      </c>
      <c r="C32" s="23">
        <f t="shared" si="0"/>
        <v>265.42000000000007</v>
      </c>
      <c r="D32" s="23">
        <f t="shared" si="0"/>
        <v>244.56999999999994</v>
      </c>
      <c r="E32" s="23">
        <f t="shared" si="0"/>
        <v>442</v>
      </c>
      <c r="F32" s="23">
        <f t="shared" si="0"/>
        <v>602.62</v>
      </c>
      <c r="G32" s="23">
        <f t="shared" si="0"/>
        <v>882.72000000000025</v>
      </c>
      <c r="H32" s="23">
        <f t="shared" si="0"/>
        <v>780.03999999999985</v>
      </c>
      <c r="I32" s="23">
        <f t="shared" si="0"/>
        <v>1106.3599999999999</v>
      </c>
      <c r="J32" s="23">
        <f t="shared" si="0"/>
        <v>1135.9499999999994</v>
      </c>
      <c r="K32" s="23">
        <f t="shared" si="0"/>
        <v>1158.3500000000006</v>
      </c>
    </row>
    <row r="34" spans="1:11" x14ac:dyDescent="0.25">
      <c r="A34" s="28" t="s">
        <v>48</v>
      </c>
      <c r="B34" s="52">
        <f t="shared" ref="B34:K34" si="1">B29/B28</f>
        <v>0.31211295516472631</v>
      </c>
      <c r="C34" s="52">
        <f t="shared" si="1"/>
        <v>0.34097401714052511</v>
      </c>
      <c r="D34" s="52">
        <f t="shared" si="1"/>
        <v>0.34553075790189192</v>
      </c>
      <c r="E34" s="52">
        <f t="shared" si="1"/>
        <v>0.35250445456345275</v>
      </c>
      <c r="F34" s="52">
        <f t="shared" si="1"/>
        <v>0.35064431147507502</v>
      </c>
      <c r="G34" s="52">
        <f t="shared" si="1"/>
        <v>0.3078355429763146</v>
      </c>
      <c r="H34" s="52">
        <f t="shared" si="1"/>
        <v>0.24708495280399778</v>
      </c>
      <c r="I34" s="52">
        <f t="shared" si="1"/>
        <v>0.25774952952455349</v>
      </c>
      <c r="J34" s="52">
        <f t="shared" si="1"/>
        <v>0.27765842080494341</v>
      </c>
      <c r="K34" s="52">
        <f t="shared" si="1"/>
        <v>0.17518504010061234</v>
      </c>
    </row>
    <row r="35" spans="1:11" x14ac:dyDescent="0.25">
      <c r="A35" s="28"/>
    </row>
    <row r="36" spans="1:11" x14ac:dyDescent="0.25">
      <c r="A36" s="28" t="s">
        <v>63</v>
      </c>
      <c r="B36" s="23">
        <f>(SUM('Data Sheet'!B18,'Data Sheet'!B20:B22)-1*'Data Sheet'!B19)</f>
        <v>1232.1200000000001</v>
      </c>
      <c r="C36" s="23">
        <f>(SUM('Data Sheet'!C18,'Data Sheet'!C20:C22)-1*'Data Sheet'!C19)</f>
        <v>1453.28</v>
      </c>
      <c r="D36" s="23">
        <f>(SUM('Data Sheet'!D18,'Data Sheet'!D20:D22)-1*'Data Sheet'!D19)</f>
        <v>1546.74</v>
      </c>
      <c r="E36" s="23">
        <f>(SUM('Data Sheet'!E18,'Data Sheet'!E20:E22)-1*'Data Sheet'!E19)</f>
        <v>1730.3700000000001</v>
      </c>
      <c r="F36" s="23">
        <f>(SUM('Data Sheet'!F18,'Data Sheet'!F20:F22)-1*'Data Sheet'!F19)</f>
        <v>1971.7099999999998</v>
      </c>
      <c r="G36" s="23">
        <f>(SUM('Data Sheet'!G18,'Data Sheet'!G20:G22)-1*'Data Sheet'!G19)</f>
        <v>2200.1799999999998</v>
      </c>
      <c r="H36" s="23">
        <f>(SUM('Data Sheet'!H18,'Data Sheet'!H20:H22)-1*'Data Sheet'!H19)</f>
        <v>1884.2</v>
      </c>
      <c r="I36" s="23">
        <f>(SUM('Data Sheet'!I18,'Data Sheet'!I20:I22)-1*'Data Sheet'!I19)</f>
        <v>2265.35</v>
      </c>
      <c r="J36" s="23">
        <f>(SUM('Data Sheet'!J18,'Data Sheet'!J20:J22)-1*'Data Sheet'!J19)</f>
        <v>2788.5200000000004</v>
      </c>
      <c r="K36" s="23">
        <f>(SUM('Data Sheet'!K18,'Data Sheet'!K20:K22)-1*'Data Sheet'!K19)</f>
        <v>3330.6699999999996</v>
      </c>
    </row>
    <row r="37" spans="1:11" x14ac:dyDescent="0.25">
      <c r="A37" s="28" t="s">
        <v>160</v>
      </c>
      <c r="B37" s="23">
        <f>B17-B36</f>
        <v>860.6400000000001</v>
      </c>
      <c r="C37" s="23">
        <f t="shared" ref="C37:K37" si="2">C17-C36</f>
        <v>984.7</v>
      </c>
      <c r="D37" s="23">
        <f t="shared" si="2"/>
        <v>1036.6499999999999</v>
      </c>
      <c r="E37" s="23">
        <f t="shared" si="2"/>
        <v>1288.03</v>
      </c>
      <c r="F37" s="23">
        <f t="shared" si="2"/>
        <v>1591.43</v>
      </c>
      <c r="G37" s="23">
        <f t="shared" si="2"/>
        <v>1727.0900000000001</v>
      </c>
      <c r="H37" s="23">
        <f t="shared" si="2"/>
        <v>1427.6699999999998</v>
      </c>
      <c r="I37" s="23">
        <f t="shared" si="2"/>
        <v>2130.77</v>
      </c>
      <c r="J37" s="23">
        <f t="shared" si="2"/>
        <v>2369.7299999999996</v>
      </c>
      <c r="K37" s="23">
        <f t="shared" si="2"/>
        <v>2323.4200000000005</v>
      </c>
    </row>
    <row r="38" spans="1:11" x14ac:dyDescent="0.25">
      <c r="A38" s="28"/>
    </row>
    <row r="39" spans="1:11" x14ac:dyDescent="0.25">
      <c r="A39" s="28"/>
    </row>
    <row r="40" spans="1:11" x14ac:dyDescent="0.25">
      <c r="A40" s="22" t="s">
        <v>93</v>
      </c>
    </row>
    <row r="41" spans="1:11" s="27" customFormat="1" x14ac:dyDescent="0.25">
      <c r="A41" s="25" t="s">
        <v>81</v>
      </c>
      <c r="B41" s="26">
        <v>44834</v>
      </c>
      <c r="C41" s="26">
        <v>44926</v>
      </c>
      <c r="D41" s="26">
        <v>45016</v>
      </c>
      <c r="E41" s="26">
        <v>45107</v>
      </c>
      <c r="F41" s="26">
        <v>45199</v>
      </c>
      <c r="G41" s="26">
        <v>45291</v>
      </c>
      <c r="H41" s="26">
        <v>45382</v>
      </c>
      <c r="I41" s="26">
        <v>45473</v>
      </c>
      <c r="J41" s="26">
        <v>45565</v>
      </c>
      <c r="K41" s="26">
        <v>45657</v>
      </c>
    </row>
    <row r="42" spans="1:11" s="28" customFormat="1" x14ac:dyDescent="0.25">
      <c r="A42" s="28" t="s">
        <v>66</v>
      </c>
      <c r="B42" s="24">
        <v>1301.49</v>
      </c>
      <c r="C42" s="24">
        <v>1331.82</v>
      </c>
      <c r="D42" s="24">
        <v>1269.8499999999999</v>
      </c>
      <c r="E42" s="24">
        <v>1334.54</v>
      </c>
      <c r="F42" s="24">
        <v>1368.63</v>
      </c>
      <c r="G42" s="24">
        <v>1378.12</v>
      </c>
      <c r="H42" s="24">
        <v>1572.8</v>
      </c>
      <c r="I42" s="24">
        <v>1933.06</v>
      </c>
      <c r="J42" s="24">
        <v>1954.72</v>
      </c>
      <c r="K42" s="24">
        <v>2150.7600000000002</v>
      </c>
    </row>
    <row r="43" spans="1:11" s="28" customFormat="1" x14ac:dyDescent="0.25">
      <c r="A43" s="28" t="s">
        <v>94</v>
      </c>
      <c r="B43" s="24">
        <v>989.63</v>
      </c>
      <c r="C43" s="24">
        <v>1045.5</v>
      </c>
      <c r="D43" s="24">
        <v>1051.78</v>
      </c>
      <c r="E43" s="24">
        <v>1099.53</v>
      </c>
      <c r="F43" s="24">
        <v>1091.45</v>
      </c>
      <c r="G43" s="24">
        <v>1098.01</v>
      </c>
      <c r="H43" s="24">
        <v>1262.44</v>
      </c>
      <c r="I43" s="24">
        <v>1552.63</v>
      </c>
      <c r="J43" s="24">
        <v>1558.39</v>
      </c>
      <c r="K43" s="24">
        <v>1749.02</v>
      </c>
    </row>
    <row r="44" spans="1:11" s="28" customFormat="1" x14ac:dyDescent="0.25">
      <c r="A44" s="28" t="s">
        <v>89</v>
      </c>
      <c r="B44" s="24">
        <v>26.93</v>
      </c>
      <c r="C44" s="24">
        <v>9.57</v>
      </c>
      <c r="D44" s="24">
        <v>19.75</v>
      </c>
      <c r="E44" s="24">
        <v>9.34</v>
      </c>
      <c r="F44" s="24">
        <v>42.07</v>
      </c>
      <c r="G44" s="24">
        <v>19.670000000000002</v>
      </c>
      <c r="H44" s="24">
        <v>197.02</v>
      </c>
      <c r="I44" s="24">
        <v>14.35</v>
      </c>
      <c r="J44" s="24">
        <v>25.22</v>
      </c>
      <c r="K44" s="24">
        <v>6.44</v>
      </c>
    </row>
    <row r="45" spans="1:11" s="28" customFormat="1" x14ac:dyDescent="0.25">
      <c r="A45" s="28" t="s">
        <v>53</v>
      </c>
      <c r="B45" s="24">
        <v>114.64</v>
      </c>
      <c r="C45" s="24">
        <v>132.59</v>
      </c>
      <c r="D45" s="24">
        <v>131.55000000000001</v>
      </c>
      <c r="E45" s="24">
        <v>135.72</v>
      </c>
      <c r="F45" s="24">
        <v>141.88</v>
      </c>
      <c r="G45" s="24">
        <v>151.51</v>
      </c>
      <c r="H45" s="24">
        <v>168.85</v>
      </c>
      <c r="I45" s="24">
        <v>183.54</v>
      </c>
      <c r="J45" s="24">
        <v>201.43</v>
      </c>
      <c r="K45" s="24">
        <v>207.83</v>
      </c>
    </row>
    <row r="46" spans="1:11" s="28" customFormat="1" x14ac:dyDescent="0.25">
      <c r="A46" s="28" t="s">
        <v>55</v>
      </c>
      <c r="B46" s="24">
        <v>49.65</v>
      </c>
      <c r="C46" s="24">
        <v>51.84</v>
      </c>
      <c r="D46" s="24">
        <v>52.87</v>
      </c>
      <c r="E46" s="24">
        <v>54.31</v>
      </c>
      <c r="F46" s="24">
        <v>56.84</v>
      </c>
      <c r="G46" s="24">
        <v>62.43</v>
      </c>
      <c r="H46" s="24">
        <v>114.18</v>
      </c>
      <c r="I46" s="24">
        <v>134.38999999999999</v>
      </c>
      <c r="J46" s="24">
        <v>138.11000000000001</v>
      </c>
      <c r="K46" s="24">
        <v>133.44</v>
      </c>
    </row>
    <row r="47" spans="1:11" s="28" customFormat="1" x14ac:dyDescent="0.25">
      <c r="A47" s="28" t="s">
        <v>90</v>
      </c>
      <c r="B47" s="24">
        <v>174.5</v>
      </c>
      <c r="C47" s="24">
        <v>111.46</v>
      </c>
      <c r="D47" s="24">
        <v>53.4</v>
      </c>
      <c r="E47" s="24">
        <v>54.32</v>
      </c>
      <c r="F47" s="24">
        <v>120.53</v>
      </c>
      <c r="G47" s="24">
        <v>85.84</v>
      </c>
      <c r="H47" s="24">
        <v>224.35</v>
      </c>
      <c r="I47" s="24">
        <v>76.849999999999994</v>
      </c>
      <c r="J47" s="24">
        <v>82.01</v>
      </c>
      <c r="K47" s="24">
        <v>66.91</v>
      </c>
    </row>
    <row r="48" spans="1:11" s="28" customFormat="1" x14ac:dyDescent="0.25">
      <c r="A48" s="28" t="s">
        <v>49</v>
      </c>
      <c r="B48" s="24">
        <v>42.97</v>
      </c>
      <c r="C48" s="24">
        <v>31.1</v>
      </c>
      <c r="D48" s="24">
        <v>24.86</v>
      </c>
      <c r="E48" s="24">
        <v>25.4</v>
      </c>
      <c r="F48" s="24">
        <v>23.33</v>
      </c>
      <c r="G48" s="24">
        <v>20.13</v>
      </c>
      <c r="H48" s="24">
        <v>16.11</v>
      </c>
      <c r="I48" s="24">
        <v>18.82</v>
      </c>
      <c r="J48" s="24">
        <v>15.47</v>
      </c>
      <c r="K48" s="24">
        <v>23.67</v>
      </c>
    </row>
    <row r="49" spans="1:11" s="28" customFormat="1" x14ac:dyDescent="0.25">
      <c r="A49" s="28" t="s">
        <v>91</v>
      </c>
      <c r="B49" s="24">
        <v>131.53</v>
      </c>
      <c r="C49" s="24">
        <v>80.36</v>
      </c>
      <c r="D49" s="24">
        <v>28.54</v>
      </c>
      <c r="E49" s="24">
        <v>28.92</v>
      </c>
      <c r="F49" s="24">
        <v>97.2</v>
      </c>
      <c r="G49" s="24">
        <v>65.709999999999994</v>
      </c>
      <c r="H49" s="24">
        <v>207.52</v>
      </c>
      <c r="I49" s="24">
        <v>55.8</v>
      </c>
      <c r="J49" s="24">
        <v>64.05</v>
      </c>
      <c r="K49" s="24">
        <v>42.91</v>
      </c>
    </row>
    <row r="50" spans="1:11" x14ac:dyDescent="0.25">
      <c r="A50" s="28" t="s">
        <v>95</v>
      </c>
      <c r="B50" s="24">
        <v>311.86</v>
      </c>
      <c r="C50" s="24">
        <v>286.32</v>
      </c>
      <c r="D50" s="24">
        <v>218.07</v>
      </c>
      <c r="E50" s="24">
        <v>235.01</v>
      </c>
      <c r="F50" s="24">
        <v>277.18</v>
      </c>
      <c r="G50" s="24">
        <v>280.11</v>
      </c>
      <c r="H50" s="24">
        <v>310.36</v>
      </c>
      <c r="I50" s="24">
        <v>380.43</v>
      </c>
      <c r="J50" s="24">
        <v>396.33</v>
      </c>
      <c r="K50" s="24">
        <v>401.74</v>
      </c>
    </row>
    <row r="51" spans="1:11" x14ac:dyDescent="0.25">
      <c r="A51" s="28" t="s">
        <v>57</v>
      </c>
      <c r="B51" s="23">
        <f>SUM(B49,B46,B48,B45)</f>
        <v>338.79</v>
      </c>
      <c r="C51" s="23">
        <f t="shared" ref="C51:K51" si="3">SUM(C49,C46,C48,C45)</f>
        <v>295.89</v>
      </c>
      <c r="D51" s="23">
        <f t="shared" si="3"/>
        <v>237.82</v>
      </c>
      <c r="E51" s="23">
        <f t="shared" si="3"/>
        <v>244.35</v>
      </c>
      <c r="F51" s="23">
        <f t="shared" si="3"/>
        <v>319.25</v>
      </c>
      <c r="G51" s="23">
        <f t="shared" si="3"/>
        <v>299.77999999999997</v>
      </c>
      <c r="H51" s="23">
        <f t="shared" si="3"/>
        <v>506.66000000000008</v>
      </c>
      <c r="I51" s="23">
        <f t="shared" si="3"/>
        <v>392.54999999999995</v>
      </c>
      <c r="J51" s="23">
        <f t="shared" si="3"/>
        <v>419.06000000000006</v>
      </c>
      <c r="K51" s="23">
        <f t="shared" si="3"/>
        <v>407.85</v>
      </c>
    </row>
    <row r="52" spans="1:11" x14ac:dyDescent="0.25">
      <c r="A52" s="28"/>
    </row>
    <row r="53" spans="1:11" x14ac:dyDescent="0.25">
      <c r="A53" s="28"/>
    </row>
    <row r="54" spans="1:11" x14ac:dyDescent="0.25">
      <c r="A54" s="28"/>
    </row>
    <row r="55" spans="1:11" x14ac:dyDescent="0.25">
      <c r="A55" s="22" t="s">
        <v>96</v>
      </c>
    </row>
    <row r="56" spans="1:11" s="27" customFormat="1" x14ac:dyDescent="0.25">
      <c r="A56" s="25" t="s">
        <v>81</v>
      </c>
      <c r="B56" s="26">
        <v>42094</v>
      </c>
      <c r="C56" s="26">
        <v>42460</v>
      </c>
      <c r="D56" s="26">
        <v>42825</v>
      </c>
      <c r="E56" s="26">
        <v>43190</v>
      </c>
      <c r="F56" s="26">
        <v>43555</v>
      </c>
      <c r="G56" s="26">
        <v>43921</v>
      </c>
      <c r="H56" s="26">
        <v>44286</v>
      </c>
      <c r="I56" s="26">
        <v>44651</v>
      </c>
      <c r="J56" s="26">
        <v>45016</v>
      </c>
      <c r="K56" s="26">
        <v>45382</v>
      </c>
    </row>
    <row r="57" spans="1:11" x14ac:dyDescent="0.25">
      <c r="A57" s="28" t="s">
        <v>38</v>
      </c>
      <c r="B57" s="24">
        <v>65.569999999999993</v>
      </c>
      <c r="C57" s="24">
        <v>65.8</v>
      </c>
      <c r="D57" s="24">
        <v>65.95</v>
      </c>
      <c r="E57" s="24">
        <v>65.98</v>
      </c>
      <c r="F57" s="24">
        <v>131.97</v>
      </c>
      <c r="G57" s="24">
        <v>131.97</v>
      </c>
      <c r="H57" s="24">
        <v>131.97</v>
      </c>
      <c r="I57" s="24">
        <v>131.97</v>
      </c>
      <c r="J57" s="24">
        <v>131.97</v>
      </c>
      <c r="K57" s="24">
        <v>131.97</v>
      </c>
    </row>
    <row r="58" spans="1:11" x14ac:dyDescent="0.25">
      <c r="A58" s="28" t="s">
        <v>37</v>
      </c>
      <c r="B58" s="24">
        <v>580.62</v>
      </c>
      <c r="C58" s="24">
        <v>696.23</v>
      </c>
      <c r="D58" s="24">
        <v>739.35</v>
      </c>
      <c r="E58" s="24">
        <v>901.75</v>
      </c>
      <c r="F58" s="24">
        <v>1127.67</v>
      </c>
      <c r="G58" s="24">
        <v>990.06</v>
      </c>
      <c r="H58" s="24">
        <v>1294.8599999999999</v>
      </c>
      <c r="I58" s="24">
        <v>1813</v>
      </c>
      <c r="J58" s="24">
        <v>1905.82</v>
      </c>
      <c r="K58" s="24">
        <v>2038.67</v>
      </c>
    </row>
    <row r="59" spans="1:11" x14ac:dyDescent="0.25">
      <c r="A59" s="28" t="s">
        <v>36</v>
      </c>
      <c r="G59" s="24">
        <v>1670.06</v>
      </c>
      <c r="H59" s="24">
        <v>1619.98</v>
      </c>
      <c r="I59" s="24">
        <v>2106.1</v>
      </c>
      <c r="J59" s="24">
        <v>2553.7399999999998</v>
      </c>
      <c r="K59" s="24">
        <v>4206.8599999999997</v>
      </c>
    </row>
    <row r="60" spans="1:11" x14ac:dyDescent="0.25">
      <c r="A60" s="28" t="s">
        <v>35</v>
      </c>
      <c r="B60" s="24">
        <v>428.51</v>
      </c>
      <c r="C60" s="24">
        <v>460</v>
      </c>
      <c r="D60" s="24">
        <v>485.34</v>
      </c>
      <c r="E60" s="24">
        <v>529.01</v>
      </c>
      <c r="F60" s="24">
        <v>596.1</v>
      </c>
      <c r="G60" s="24">
        <v>577.79</v>
      </c>
      <c r="H60" s="24">
        <v>719.96</v>
      </c>
      <c r="I60" s="24">
        <v>730.6</v>
      </c>
      <c r="J60" s="24">
        <v>790.6</v>
      </c>
      <c r="K60" s="24">
        <v>1660.04</v>
      </c>
    </row>
    <row r="61" spans="1:11" s="22" customFormat="1" x14ac:dyDescent="0.25">
      <c r="A61" s="22" t="s">
        <v>97</v>
      </c>
      <c r="B61" s="24">
        <v>1074.7</v>
      </c>
      <c r="C61" s="24">
        <v>1222.03</v>
      </c>
      <c r="D61" s="24">
        <v>1290.6400000000001</v>
      </c>
      <c r="E61" s="24">
        <v>1496.74</v>
      </c>
      <c r="F61" s="24">
        <v>1855.74</v>
      </c>
      <c r="G61" s="24">
        <v>3369.88</v>
      </c>
      <c r="H61" s="24">
        <v>3766.77</v>
      </c>
      <c r="I61" s="24">
        <v>4781.67</v>
      </c>
      <c r="J61" s="24">
        <v>5382.13</v>
      </c>
      <c r="K61" s="24">
        <v>8037.54</v>
      </c>
    </row>
    <row r="62" spans="1:11" x14ac:dyDescent="0.25">
      <c r="A62" s="28" t="s">
        <v>98</v>
      </c>
      <c r="B62" s="24">
        <v>737.28</v>
      </c>
      <c r="C62" s="24">
        <v>828.45</v>
      </c>
      <c r="D62" s="24">
        <v>800.15</v>
      </c>
      <c r="E62" s="24">
        <v>789.22</v>
      </c>
      <c r="F62" s="24">
        <v>809.46</v>
      </c>
      <c r="G62" s="24">
        <v>2188.7199999999998</v>
      </c>
      <c r="H62" s="24">
        <v>2145.5</v>
      </c>
      <c r="I62" s="24">
        <v>2736.6</v>
      </c>
      <c r="J62" s="24">
        <v>3488.23</v>
      </c>
      <c r="K62" s="24">
        <v>6183.85</v>
      </c>
    </row>
    <row r="63" spans="1:11" x14ac:dyDescent="0.25">
      <c r="A63" s="28" t="s">
        <v>32</v>
      </c>
      <c r="B63" s="24">
        <v>19.88</v>
      </c>
      <c r="C63" s="24">
        <v>26.1</v>
      </c>
      <c r="D63" s="24">
        <v>60.77</v>
      </c>
      <c r="E63" s="24">
        <v>14.22</v>
      </c>
      <c r="F63" s="24">
        <v>15.72</v>
      </c>
      <c r="G63" s="24">
        <v>41.17</v>
      </c>
      <c r="H63" s="24">
        <v>28.55</v>
      </c>
      <c r="I63" s="24">
        <v>46.55</v>
      </c>
      <c r="J63" s="24">
        <v>183.79</v>
      </c>
      <c r="K63" s="24">
        <v>117.76</v>
      </c>
    </row>
    <row r="64" spans="1:11" x14ac:dyDescent="0.25">
      <c r="A64" s="28" t="s">
        <v>31</v>
      </c>
      <c r="B64" s="24">
        <v>74.61</v>
      </c>
      <c r="C64" s="24">
        <v>90.81</v>
      </c>
      <c r="D64" s="24">
        <v>93.57</v>
      </c>
      <c r="E64" s="24">
        <v>263.10000000000002</v>
      </c>
      <c r="F64" s="24">
        <v>180.8</v>
      </c>
      <c r="G64" s="24">
        <v>51.18</v>
      </c>
      <c r="H64" s="24">
        <v>516.74</v>
      </c>
      <c r="I64" s="24">
        <v>926.78</v>
      </c>
      <c r="J64" s="24">
        <v>821.81</v>
      </c>
      <c r="K64" s="24">
        <v>308.02999999999997</v>
      </c>
    </row>
    <row r="65" spans="1:11" x14ac:dyDescent="0.25">
      <c r="A65" s="28" t="s">
        <v>30</v>
      </c>
      <c r="B65" s="24">
        <v>242.93</v>
      </c>
      <c r="C65" s="24">
        <v>276.67</v>
      </c>
      <c r="D65" s="24">
        <v>336.15</v>
      </c>
      <c r="E65" s="24">
        <v>430.2</v>
      </c>
      <c r="F65" s="24">
        <v>849.76</v>
      </c>
      <c r="G65" s="24">
        <v>1088.81</v>
      </c>
      <c r="H65" s="24">
        <v>1075.98</v>
      </c>
      <c r="I65" s="24">
        <v>1071.74</v>
      </c>
      <c r="J65" s="24">
        <v>888.3</v>
      </c>
      <c r="K65" s="24">
        <v>1427.9</v>
      </c>
    </row>
    <row r="66" spans="1:11" s="22" customFormat="1" x14ac:dyDescent="0.25">
      <c r="A66" s="22" t="s">
        <v>97</v>
      </c>
      <c r="B66" s="24">
        <v>1074.7</v>
      </c>
      <c r="C66" s="24">
        <v>1222.03</v>
      </c>
      <c r="D66" s="24">
        <v>1290.6400000000001</v>
      </c>
      <c r="E66" s="24">
        <v>1496.74</v>
      </c>
      <c r="F66" s="24">
        <v>1855.74</v>
      </c>
      <c r="G66" s="24">
        <v>3369.88</v>
      </c>
      <c r="H66" s="24">
        <v>3766.77</v>
      </c>
      <c r="I66" s="24">
        <v>4781.67</v>
      </c>
      <c r="J66" s="24">
        <v>5382.13</v>
      </c>
      <c r="K66" s="24">
        <v>8037.54</v>
      </c>
    </row>
    <row r="67" spans="1:11" s="28" customFormat="1" x14ac:dyDescent="0.25">
      <c r="A67" s="28" t="s">
        <v>28</v>
      </c>
      <c r="B67" s="24">
        <v>11.87</v>
      </c>
      <c r="C67" s="24">
        <v>12.48</v>
      </c>
      <c r="D67" s="24">
        <v>16.100000000000001</v>
      </c>
      <c r="E67" s="24">
        <v>15.65</v>
      </c>
      <c r="F67" s="24">
        <v>27.44</v>
      </c>
      <c r="G67" s="24">
        <v>16.64</v>
      </c>
      <c r="H67" s="24">
        <v>16.8</v>
      </c>
      <c r="I67" s="24">
        <v>22.05</v>
      </c>
      <c r="J67" s="24">
        <v>28.73</v>
      </c>
      <c r="K67" s="24">
        <v>265.07</v>
      </c>
    </row>
    <row r="68" spans="1:11" x14ac:dyDescent="0.25">
      <c r="A68" s="28" t="s">
        <v>27</v>
      </c>
      <c r="B68" s="24">
        <v>43.34</v>
      </c>
      <c r="C68" s="24">
        <v>55.17</v>
      </c>
      <c r="D68" s="24">
        <v>60.72</v>
      </c>
      <c r="E68" s="24">
        <v>64.209999999999994</v>
      </c>
      <c r="F68" s="24">
        <v>77.08</v>
      </c>
      <c r="G68" s="24">
        <v>94.72</v>
      </c>
      <c r="H68" s="24">
        <v>133.13</v>
      </c>
      <c r="I68" s="24">
        <v>161.18</v>
      </c>
      <c r="J68" s="24">
        <v>177</v>
      </c>
      <c r="K68" s="24">
        <v>409.89</v>
      </c>
    </row>
    <row r="69" spans="1:11" x14ac:dyDescent="0.25">
      <c r="A69" s="23" t="s">
        <v>26</v>
      </c>
      <c r="B69" s="24">
        <v>38.909999999999997</v>
      </c>
      <c r="C69" s="24">
        <v>33.17</v>
      </c>
      <c r="D69" s="24">
        <v>35.39</v>
      </c>
      <c r="E69" s="24">
        <v>129.03</v>
      </c>
      <c r="F69" s="24">
        <v>494.27</v>
      </c>
      <c r="G69" s="24">
        <v>655.88</v>
      </c>
      <c r="H69" s="24">
        <v>539.17999999999995</v>
      </c>
      <c r="I69" s="24">
        <v>563.36</v>
      </c>
      <c r="J69" s="24">
        <v>256.91000000000003</v>
      </c>
      <c r="K69" s="24">
        <v>156.94999999999999</v>
      </c>
    </row>
    <row r="70" spans="1:11" x14ac:dyDescent="0.25">
      <c r="A70" s="23" t="s">
        <v>45</v>
      </c>
      <c r="B70" s="24">
        <v>65569790</v>
      </c>
      <c r="C70" s="24">
        <v>65795106</v>
      </c>
      <c r="D70" s="24">
        <v>65949070</v>
      </c>
      <c r="E70" s="24">
        <v>65984520</v>
      </c>
      <c r="F70" s="24">
        <v>131969040</v>
      </c>
      <c r="G70" s="24">
        <v>131969040</v>
      </c>
      <c r="H70" s="24">
        <v>131969040</v>
      </c>
      <c r="I70" s="24">
        <v>131969040</v>
      </c>
      <c r="J70" s="24">
        <v>659845200</v>
      </c>
      <c r="K70" s="24">
        <v>659845200</v>
      </c>
    </row>
    <row r="71" spans="1:11" x14ac:dyDescent="0.25">
      <c r="A71" s="23" t="s">
        <v>99</v>
      </c>
      <c r="F71" s="24">
        <v>65984520</v>
      </c>
      <c r="G71" s="24">
        <v>65984520</v>
      </c>
      <c r="H71" s="24">
        <v>65984520</v>
      </c>
      <c r="I71" s="24">
        <v>65984520</v>
      </c>
      <c r="J71" s="24">
        <v>65984520</v>
      </c>
    </row>
    <row r="72" spans="1:11" x14ac:dyDescent="0.25">
      <c r="A72" s="23" t="s">
        <v>100</v>
      </c>
      <c r="B72" s="24">
        <v>10</v>
      </c>
      <c r="C72" s="24">
        <v>10</v>
      </c>
      <c r="D72" s="24">
        <v>10</v>
      </c>
      <c r="E72" s="24">
        <v>10</v>
      </c>
      <c r="F72" s="24">
        <v>10</v>
      </c>
      <c r="G72" s="24">
        <v>10</v>
      </c>
      <c r="H72" s="24">
        <v>10</v>
      </c>
      <c r="I72" s="24">
        <v>10</v>
      </c>
      <c r="J72" s="24">
        <v>2</v>
      </c>
      <c r="K72" s="24">
        <v>2</v>
      </c>
    </row>
    <row r="74" spans="1:11" x14ac:dyDescent="0.25">
      <c r="A74" s="28" t="s">
        <v>30</v>
      </c>
      <c r="B74" s="23">
        <f>B65-SUM(B67:B69)</f>
        <v>148.81</v>
      </c>
      <c r="C74" s="23">
        <f t="shared" ref="C74:K74" si="4">C65-SUM(C67:C69)</f>
        <v>175.85000000000002</v>
      </c>
      <c r="D74" s="23">
        <f t="shared" si="4"/>
        <v>223.94</v>
      </c>
      <c r="E74" s="23">
        <f t="shared" si="4"/>
        <v>221.31</v>
      </c>
      <c r="F74" s="23">
        <f t="shared" si="4"/>
        <v>250.97000000000003</v>
      </c>
      <c r="G74" s="23">
        <f t="shared" si="4"/>
        <v>321.56999999999994</v>
      </c>
      <c r="H74" s="23">
        <f t="shared" si="4"/>
        <v>386.87000000000012</v>
      </c>
      <c r="I74" s="23">
        <f t="shared" si="4"/>
        <v>325.14999999999998</v>
      </c>
      <c r="J74" s="23">
        <f t="shared" si="4"/>
        <v>425.65999999999997</v>
      </c>
      <c r="K74" s="23">
        <f t="shared" si="4"/>
        <v>595.99</v>
      </c>
    </row>
    <row r="75" spans="1:11" x14ac:dyDescent="0.25">
      <c r="A75" s="28"/>
    </row>
    <row r="76" spans="1:11" x14ac:dyDescent="0.25">
      <c r="A76" s="28" t="s">
        <v>24</v>
      </c>
      <c r="B76" s="23">
        <f>B61</f>
        <v>1074.7</v>
      </c>
      <c r="C76" s="23">
        <f t="shared" ref="C76:K76" si="5">C61</f>
        <v>1222.03</v>
      </c>
      <c r="D76" s="23">
        <f t="shared" si="5"/>
        <v>1290.6400000000001</v>
      </c>
      <c r="E76" s="23">
        <f t="shared" si="5"/>
        <v>1496.74</v>
      </c>
      <c r="F76" s="23">
        <f t="shared" si="5"/>
        <v>1855.74</v>
      </c>
      <c r="G76" s="23">
        <f t="shared" si="5"/>
        <v>3369.88</v>
      </c>
      <c r="H76" s="23">
        <f t="shared" si="5"/>
        <v>3766.77</v>
      </c>
      <c r="I76" s="23">
        <f t="shared" si="5"/>
        <v>4781.67</v>
      </c>
      <c r="J76" s="23">
        <f t="shared" si="5"/>
        <v>5382.13</v>
      </c>
      <c r="K76" s="23">
        <f t="shared" si="5"/>
        <v>8037.54</v>
      </c>
    </row>
    <row r="77" spans="1:11" x14ac:dyDescent="0.25">
      <c r="A77" s="28"/>
    </row>
    <row r="78" spans="1:11" x14ac:dyDescent="0.25">
      <c r="A78" s="28"/>
    </row>
    <row r="79" spans="1:11" x14ac:dyDescent="0.25">
      <c r="A79" s="28"/>
    </row>
    <row r="80" spans="1:11" x14ac:dyDescent="0.25">
      <c r="A80" s="22" t="s">
        <v>101</v>
      </c>
    </row>
    <row r="81" spans="1:11" s="27" customFormat="1" x14ac:dyDescent="0.25">
      <c r="A81" s="25" t="s">
        <v>81</v>
      </c>
      <c r="B81" s="26">
        <v>42094</v>
      </c>
      <c r="C81" s="26">
        <v>42460</v>
      </c>
      <c r="D81" s="26">
        <v>42825</v>
      </c>
      <c r="E81" s="26">
        <v>43190</v>
      </c>
      <c r="F81" s="26">
        <v>43555</v>
      </c>
      <c r="G81" s="26">
        <v>43921</v>
      </c>
      <c r="H81" s="26">
        <v>44286</v>
      </c>
      <c r="I81" s="26">
        <v>44651</v>
      </c>
      <c r="J81" s="26">
        <v>45016</v>
      </c>
      <c r="K81" s="26">
        <v>45382</v>
      </c>
    </row>
    <row r="82" spans="1:11" s="22" customFormat="1" x14ac:dyDescent="0.25">
      <c r="A82" s="28" t="s">
        <v>102</v>
      </c>
      <c r="B82" s="24">
        <v>276.11</v>
      </c>
      <c r="C82" s="24">
        <v>211.68</v>
      </c>
      <c r="D82" s="24">
        <v>203.59</v>
      </c>
      <c r="E82" s="24">
        <v>409.01</v>
      </c>
      <c r="F82" s="24">
        <v>423.52</v>
      </c>
      <c r="G82" s="24">
        <v>727.79</v>
      </c>
      <c r="H82" s="24">
        <v>750.64</v>
      </c>
      <c r="I82" s="24">
        <v>930.03</v>
      </c>
      <c r="J82" s="24">
        <v>1026.1600000000001</v>
      </c>
      <c r="K82" s="24">
        <v>1009.64</v>
      </c>
    </row>
    <row r="83" spans="1:11" s="28" customFormat="1" x14ac:dyDescent="0.25">
      <c r="A83" s="28" t="s">
        <v>103</v>
      </c>
      <c r="B83" s="24">
        <v>-262.29000000000002</v>
      </c>
      <c r="C83" s="24">
        <v>-199.75</v>
      </c>
      <c r="D83" s="24">
        <v>-188.3</v>
      </c>
      <c r="E83" s="24">
        <v>-331.94</v>
      </c>
      <c r="F83" s="24">
        <v>-457.49</v>
      </c>
      <c r="G83" s="24">
        <v>-98.71</v>
      </c>
      <c r="H83" s="24">
        <v>-602.14</v>
      </c>
      <c r="I83" s="24">
        <v>-654.16999999999996</v>
      </c>
      <c r="J83" s="24">
        <v>-594.86</v>
      </c>
      <c r="K83" s="24">
        <v>-1285.3699999999999</v>
      </c>
    </row>
    <row r="84" spans="1:11" s="28" customFormat="1" x14ac:dyDescent="0.25">
      <c r="A84" s="28" t="s">
        <v>104</v>
      </c>
      <c r="B84" s="24">
        <v>0.87</v>
      </c>
      <c r="C84" s="24">
        <v>-17.670000000000002</v>
      </c>
      <c r="D84" s="24">
        <v>-14.82</v>
      </c>
      <c r="E84" s="24">
        <v>-34.72</v>
      </c>
      <c r="F84" s="24">
        <v>-16.7</v>
      </c>
      <c r="G84" s="24">
        <v>-461.43</v>
      </c>
      <c r="H84" s="24">
        <v>-288.74</v>
      </c>
      <c r="I84" s="24">
        <v>-306.62</v>
      </c>
      <c r="J84" s="24">
        <v>-426.43</v>
      </c>
      <c r="K84" s="24">
        <v>377.24</v>
      </c>
    </row>
    <row r="85" spans="1:11" s="22" customFormat="1" x14ac:dyDescent="0.25">
      <c r="A85" s="28" t="s">
        <v>0</v>
      </c>
      <c r="B85" s="24">
        <v>14.68</v>
      </c>
      <c r="C85" s="24">
        <v>-5.74</v>
      </c>
      <c r="D85" s="24">
        <v>0.47</v>
      </c>
      <c r="E85" s="24">
        <v>42.35</v>
      </c>
      <c r="F85" s="24">
        <v>-50.68</v>
      </c>
      <c r="G85" s="24">
        <v>167.65</v>
      </c>
      <c r="H85" s="24">
        <v>-140.24</v>
      </c>
      <c r="I85" s="24">
        <v>-30.76</v>
      </c>
      <c r="J85" s="24">
        <v>4.88</v>
      </c>
      <c r="K85" s="24">
        <v>101.51</v>
      </c>
    </row>
    <row r="86" spans="1:11" x14ac:dyDescent="0.25">
      <c r="A86" s="28"/>
    </row>
    <row r="87" spans="1:11" x14ac:dyDescent="0.25">
      <c r="A87" s="28"/>
    </row>
    <row r="88" spans="1:11" x14ac:dyDescent="0.25">
      <c r="A88" s="28"/>
    </row>
    <row r="89" spans="1:11" x14ac:dyDescent="0.25">
      <c r="A89" s="28"/>
    </row>
    <row r="90" spans="1:11" s="22" customFormat="1" x14ac:dyDescent="0.25">
      <c r="A90" s="22" t="s">
        <v>105</v>
      </c>
      <c r="B90" s="24">
        <v>147.84</v>
      </c>
      <c r="C90" s="24">
        <v>127.69</v>
      </c>
      <c r="D90" s="24">
        <v>110.74</v>
      </c>
      <c r="E90" s="24">
        <v>232.59</v>
      </c>
      <c r="F90" s="24">
        <v>288.8</v>
      </c>
      <c r="G90" s="24">
        <v>294.29000000000002</v>
      </c>
      <c r="H90" s="24">
        <v>582.19000000000005</v>
      </c>
      <c r="I90" s="24">
        <v>527.29999999999995</v>
      </c>
      <c r="J90" s="24">
        <v>440.1</v>
      </c>
      <c r="K90" s="24">
        <v>448.85</v>
      </c>
    </row>
    <row r="92" spans="1:11" s="22" customFormat="1" x14ac:dyDescent="0.25">
      <c r="A92" s="22" t="s">
        <v>106</v>
      </c>
    </row>
    <row r="93" spans="1:11" x14ac:dyDescent="0.25">
      <c r="A93" s="23" t="s">
        <v>107</v>
      </c>
      <c r="B93" s="29">
        <v>65.56</v>
      </c>
      <c r="C93" s="29">
        <v>65.8</v>
      </c>
      <c r="D93" s="29">
        <v>65.94</v>
      </c>
      <c r="E93" s="29">
        <v>65.98</v>
      </c>
      <c r="F93" s="29">
        <v>65.98</v>
      </c>
      <c r="G93" s="29">
        <v>65.98</v>
      </c>
      <c r="H93" s="29">
        <v>65.98</v>
      </c>
      <c r="I93" s="29">
        <v>65.98</v>
      </c>
      <c r="J93" s="29">
        <v>65.98</v>
      </c>
      <c r="K93" s="29">
        <v>65.98</v>
      </c>
    </row>
  </sheetData>
  <mergeCells count="2">
    <mergeCell ref="E1:K1"/>
    <mergeCell ref="E2:K2"/>
  </mergeCells>
  <conditionalFormatting sqref="E1:K1">
    <cfRule type="cellIs" dxfId="0" priority="1" operator="notEqual">
      <formula>""</formula>
    </cfRule>
  </conditionalFormatting>
  <hyperlinks>
    <hyperlink ref="E1:K1" r:id="rId1" display="https://www.screener.in/excel/" xr:uid="{D45CCF52-E073-4155-B804-5A7575A8BCB2}"/>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F1598-D37F-49C5-A8B0-C76E2932319E}">
  <sheetPr codeName="Sheet2"/>
  <dimension ref="B2:N28"/>
  <sheetViews>
    <sheetView zoomScale="115" workbookViewId="0">
      <selection activeCell="F11" sqref="F11"/>
    </sheetView>
  </sheetViews>
  <sheetFormatPr defaultRowHeight="15" x14ac:dyDescent="0.25"/>
  <cols>
    <col min="2" max="2" width="28" bestFit="1" customWidth="1"/>
  </cols>
  <sheetData>
    <row r="2" spans="2:14" x14ac:dyDescent="0.25">
      <c r="C2" s="15">
        <v>41334</v>
      </c>
      <c r="D2" s="15">
        <v>41699</v>
      </c>
      <c r="E2" s="15">
        <v>42064</v>
      </c>
      <c r="F2" s="15">
        <v>42430</v>
      </c>
      <c r="G2" s="15">
        <v>42795</v>
      </c>
      <c r="H2" s="15">
        <v>43160</v>
      </c>
      <c r="I2" s="15">
        <v>43525</v>
      </c>
      <c r="J2" s="15">
        <v>43891</v>
      </c>
      <c r="K2" s="15">
        <v>44256</v>
      </c>
      <c r="L2" s="15">
        <v>44621</v>
      </c>
      <c r="M2" s="15">
        <v>44986</v>
      </c>
      <c r="N2" s="15">
        <v>45352</v>
      </c>
    </row>
    <row r="3" spans="2:14" x14ac:dyDescent="0.25">
      <c r="B3" t="s">
        <v>113</v>
      </c>
      <c r="C3">
        <v>209</v>
      </c>
      <c r="D3">
        <v>225</v>
      </c>
      <c r="E3">
        <v>276</v>
      </c>
      <c r="F3">
        <v>212</v>
      </c>
      <c r="G3">
        <v>204</v>
      </c>
      <c r="H3">
        <v>409</v>
      </c>
      <c r="I3">
        <v>424</v>
      </c>
      <c r="J3">
        <v>728</v>
      </c>
      <c r="K3">
        <v>751</v>
      </c>
      <c r="L3">
        <v>930</v>
      </c>
      <c r="M3" s="30">
        <v>1026</v>
      </c>
      <c r="N3" s="30">
        <v>1010</v>
      </c>
    </row>
    <row r="4" spans="2:14" x14ac:dyDescent="0.25">
      <c r="B4" t="s">
        <v>19</v>
      </c>
      <c r="C4">
        <v>246</v>
      </c>
      <c r="D4">
        <v>255</v>
      </c>
      <c r="E4">
        <v>262</v>
      </c>
      <c r="F4">
        <v>281</v>
      </c>
      <c r="G4">
        <v>234</v>
      </c>
      <c r="H4">
        <v>444</v>
      </c>
      <c r="I4">
        <v>605</v>
      </c>
      <c r="J4">
        <v>876</v>
      </c>
      <c r="K4">
        <v>787</v>
      </c>
      <c r="L4" s="30">
        <v>1112</v>
      </c>
      <c r="M4" s="30">
        <v>1161</v>
      </c>
      <c r="N4" s="30">
        <v>1195</v>
      </c>
    </row>
    <row r="5" spans="2:14" x14ac:dyDescent="0.25">
      <c r="B5" t="s">
        <v>28</v>
      </c>
      <c r="C5">
        <v>0</v>
      </c>
      <c r="D5">
        <v>-1</v>
      </c>
      <c r="E5">
        <v>-3</v>
      </c>
      <c r="F5">
        <v>-1</v>
      </c>
      <c r="G5">
        <v>-4</v>
      </c>
      <c r="H5">
        <v>0</v>
      </c>
      <c r="I5">
        <v>-13</v>
      </c>
      <c r="J5">
        <v>11</v>
      </c>
      <c r="K5">
        <v>-2</v>
      </c>
      <c r="L5">
        <v>-6</v>
      </c>
      <c r="M5">
        <v>-7</v>
      </c>
      <c r="N5">
        <v>-62</v>
      </c>
    </row>
    <row r="6" spans="2:14" x14ac:dyDescent="0.25">
      <c r="B6" t="s">
        <v>27</v>
      </c>
      <c r="C6">
        <v>-5</v>
      </c>
      <c r="D6">
        <v>-9</v>
      </c>
      <c r="E6">
        <v>-10</v>
      </c>
      <c r="F6">
        <v>-12</v>
      </c>
      <c r="G6">
        <v>-6</v>
      </c>
      <c r="H6">
        <v>-3</v>
      </c>
      <c r="I6">
        <v>-13</v>
      </c>
      <c r="J6">
        <v>-18</v>
      </c>
      <c r="K6">
        <v>-38</v>
      </c>
      <c r="L6">
        <v>-27</v>
      </c>
      <c r="M6">
        <v>-16</v>
      </c>
      <c r="N6">
        <v>-114</v>
      </c>
    </row>
    <row r="7" spans="2:14" x14ac:dyDescent="0.25">
      <c r="B7" t="s">
        <v>108</v>
      </c>
      <c r="C7">
        <v>0</v>
      </c>
      <c r="D7">
        <v>0</v>
      </c>
      <c r="E7">
        <v>0</v>
      </c>
      <c r="F7">
        <v>0</v>
      </c>
      <c r="G7">
        <v>18</v>
      </c>
      <c r="H7">
        <v>80</v>
      </c>
      <c r="I7">
        <v>32</v>
      </c>
      <c r="J7">
        <v>18</v>
      </c>
      <c r="K7">
        <v>86</v>
      </c>
      <c r="L7">
        <v>4</v>
      </c>
      <c r="M7">
        <v>24</v>
      </c>
      <c r="N7">
        <v>97</v>
      </c>
    </row>
    <row r="8" spans="2:14" x14ac:dyDescent="0.25">
      <c r="B8" t="s">
        <v>18</v>
      </c>
      <c r="C8">
        <v>-15</v>
      </c>
      <c r="D8">
        <v>-44</v>
      </c>
      <c r="E8">
        <v>-13</v>
      </c>
      <c r="F8">
        <v>-27</v>
      </c>
      <c r="G8">
        <v>0</v>
      </c>
      <c r="H8">
        <v>0</v>
      </c>
      <c r="I8">
        <v>0</v>
      </c>
      <c r="J8">
        <v>0</v>
      </c>
      <c r="K8">
        <v>0</v>
      </c>
      <c r="L8">
        <v>0</v>
      </c>
      <c r="M8">
        <v>0</v>
      </c>
      <c r="N8">
        <v>0</v>
      </c>
    </row>
    <row r="9" spans="2:14" x14ac:dyDescent="0.25">
      <c r="B9" t="s">
        <v>17</v>
      </c>
      <c r="C9">
        <v>35</v>
      </c>
      <c r="D9">
        <v>67</v>
      </c>
      <c r="E9">
        <v>75</v>
      </c>
      <c r="F9">
        <v>8</v>
      </c>
      <c r="G9">
        <v>-3</v>
      </c>
      <c r="H9">
        <v>14</v>
      </c>
      <c r="I9">
        <v>-10</v>
      </c>
      <c r="J9">
        <v>-20</v>
      </c>
      <c r="K9">
        <v>5</v>
      </c>
      <c r="L9">
        <v>-12</v>
      </c>
      <c r="M9">
        <v>-10</v>
      </c>
      <c r="N9">
        <v>-17</v>
      </c>
    </row>
    <row r="10" spans="2:14" x14ac:dyDescent="0.25">
      <c r="B10" t="s">
        <v>16</v>
      </c>
      <c r="C10">
        <v>14</v>
      </c>
      <c r="D10">
        <v>13</v>
      </c>
      <c r="E10">
        <v>49</v>
      </c>
      <c r="F10">
        <v>-31</v>
      </c>
      <c r="G10">
        <v>6</v>
      </c>
      <c r="H10">
        <v>91</v>
      </c>
      <c r="I10">
        <v>-4</v>
      </c>
      <c r="J10">
        <v>-8</v>
      </c>
      <c r="K10">
        <v>51</v>
      </c>
      <c r="L10">
        <v>-41</v>
      </c>
      <c r="M10">
        <v>-8</v>
      </c>
      <c r="N10">
        <v>-96</v>
      </c>
    </row>
    <row r="11" spans="2:14" x14ac:dyDescent="0.25">
      <c r="B11" t="s">
        <v>15</v>
      </c>
      <c r="C11">
        <v>-52</v>
      </c>
      <c r="D11">
        <v>-43</v>
      </c>
      <c r="E11">
        <v>-35</v>
      </c>
      <c r="F11">
        <v>-39</v>
      </c>
      <c r="G11">
        <v>-37</v>
      </c>
      <c r="H11">
        <v>-126</v>
      </c>
      <c r="I11">
        <v>-178</v>
      </c>
      <c r="J11">
        <v>-140</v>
      </c>
      <c r="K11">
        <v>-87</v>
      </c>
      <c r="L11">
        <v>-141</v>
      </c>
      <c r="M11">
        <v>-126</v>
      </c>
      <c r="N11">
        <v>-89</v>
      </c>
    </row>
    <row r="12" spans="2:14" x14ac:dyDescent="0.25">
      <c r="B12" t="s">
        <v>114</v>
      </c>
      <c r="C12">
        <v>-191</v>
      </c>
      <c r="D12">
        <v>-233</v>
      </c>
      <c r="E12">
        <v>-262</v>
      </c>
      <c r="F12">
        <v>-200</v>
      </c>
      <c r="G12">
        <v>-188</v>
      </c>
      <c r="H12">
        <v>-332</v>
      </c>
      <c r="I12">
        <v>-457</v>
      </c>
      <c r="J12">
        <v>-99</v>
      </c>
      <c r="K12">
        <v>-602</v>
      </c>
      <c r="L12">
        <v>-654</v>
      </c>
      <c r="M12">
        <v>-595</v>
      </c>
      <c r="N12" s="30">
        <v>-1285</v>
      </c>
    </row>
    <row r="13" spans="2:14" x14ac:dyDescent="0.25">
      <c r="B13" t="s">
        <v>12</v>
      </c>
      <c r="C13">
        <v>-192</v>
      </c>
      <c r="D13">
        <v>-249</v>
      </c>
      <c r="E13">
        <v>-287</v>
      </c>
      <c r="F13">
        <v>-227</v>
      </c>
      <c r="G13">
        <v>-201</v>
      </c>
      <c r="H13">
        <v>-119</v>
      </c>
      <c r="I13">
        <v>-167</v>
      </c>
      <c r="J13">
        <v>-284</v>
      </c>
      <c r="K13">
        <v>-219</v>
      </c>
      <c r="L13">
        <v>-458</v>
      </c>
      <c r="M13">
        <v>-842</v>
      </c>
      <c r="N13">
        <v>-853</v>
      </c>
    </row>
    <row r="14" spans="2:14" x14ac:dyDescent="0.25">
      <c r="B14" t="s">
        <v>11</v>
      </c>
      <c r="C14">
        <v>0</v>
      </c>
      <c r="D14">
        <v>1</v>
      </c>
      <c r="E14">
        <v>1</v>
      </c>
      <c r="F14">
        <v>1</v>
      </c>
      <c r="G14">
        <v>1</v>
      </c>
      <c r="H14">
        <v>3</v>
      </c>
      <c r="I14">
        <v>1</v>
      </c>
      <c r="J14">
        <v>1</v>
      </c>
      <c r="K14">
        <v>1</v>
      </c>
      <c r="L14">
        <v>2</v>
      </c>
      <c r="M14">
        <v>4</v>
      </c>
      <c r="N14">
        <v>5</v>
      </c>
    </row>
    <row r="15" spans="2:14" x14ac:dyDescent="0.25">
      <c r="B15" t="s">
        <v>109</v>
      </c>
      <c r="C15">
        <v>-879</v>
      </c>
      <c r="D15">
        <v>-952</v>
      </c>
      <c r="E15" s="30">
        <v>-1094</v>
      </c>
      <c r="F15" s="30">
        <v>-1229</v>
      </c>
      <c r="G15" s="30">
        <v>-1706</v>
      </c>
      <c r="H15" s="30">
        <v>-1872</v>
      </c>
      <c r="I15">
        <v>0</v>
      </c>
      <c r="J15">
        <v>0</v>
      </c>
      <c r="K15">
        <v>-278</v>
      </c>
      <c r="L15">
        <v>-160</v>
      </c>
      <c r="M15">
        <v>-89</v>
      </c>
      <c r="N15">
        <v>-738</v>
      </c>
    </row>
    <row r="16" spans="2:14" x14ac:dyDescent="0.25">
      <c r="B16" t="s">
        <v>110</v>
      </c>
      <c r="C16">
        <v>857</v>
      </c>
      <c r="D16">
        <v>917</v>
      </c>
      <c r="E16" s="30">
        <v>1114</v>
      </c>
      <c r="F16" s="30">
        <v>1249</v>
      </c>
      <c r="G16" s="30">
        <v>1709</v>
      </c>
      <c r="H16" s="30">
        <v>1702</v>
      </c>
      <c r="I16">
        <v>96</v>
      </c>
      <c r="J16">
        <v>144</v>
      </c>
      <c r="K16">
        <v>0</v>
      </c>
      <c r="L16">
        <v>0</v>
      </c>
      <c r="M16">
        <v>0</v>
      </c>
      <c r="N16">
        <v>0</v>
      </c>
    </row>
    <row r="17" spans="2:14" x14ac:dyDescent="0.25">
      <c r="B17" t="s">
        <v>111</v>
      </c>
      <c r="C17">
        <v>1</v>
      </c>
      <c r="D17">
        <v>1</v>
      </c>
      <c r="E17">
        <v>0</v>
      </c>
      <c r="F17">
        <v>0</v>
      </c>
      <c r="G17">
        <v>0</v>
      </c>
      <c r="H17">
        <v>0</v>
      </c>
      <c r="I17">
        <v>16</v>
      </c>
      <c r="J17">
        <v>39</v>
      </c>
      <c r="K17">
        <v>37</v>
      </c>
      <c r="L17">
        <v>23</v>
      </c>
      <c r="M17">
        <v>21</v>
      </c>
      <c r="N17">
        <v>13</v>
      </c>
    </row>
    <row r="18" spans="2:14" x14ac:dyDescent="0.25">
      <c r="B18" t="s">
        <v>10</v>
      </c>
      <c r="C18">
        <v>7</v>
      </c>
      <c r="D18">
        <v>8</v>
      </c>
      <c r="E18">
        <v>6</v>
      </c>
      <c r="F18">
        <v>6</v>
      </c>
      <c r="G18">
        <v>8</v>
      </c>
      <c r="H18">
        <v>10</v>
      </c>
      <c r="I18">
        <v>6</v>
      </c>
      <c r="J18">
        <v>0</v>
      </c>
      <c r="K18">
        <v>0</v>
      </c>
      <c r="L18">
        <v>0</v>
      </c>
      <c r="M18">
        <v>0</v>
      </c>
      <c r="N18">
        <v>0</v>
      </c>
    </row>
    <row r="19" spans="2:14" x14ac:dyDescent="0.25">
      <c r="B19" t="s">
        <v>9</v>
      </c>
      <c r="C19">
        <v>14</v>
      </c>
      <c r="D19">
        <v>42</v>
      </c>
      <c r="E19">
        <v>-2</v>
      </c>
      <c r="F19">
        <v>1</v>
      </c>
      <c r="G19">
        <v>0</v>
      </c>
      <c r="H19">
        <v>-56</v>
      </c>
      <c r="I19">
        <v>-409</v>
      </c>
      <c r="J19">
        <v>1</v>
      </c>
      <c r="K19">
        <v>-143</v>
      </c>
      <c r="L19">
        <v>-62</v>
      </c>
      <c r="M19">
        <v>311</v>
      </c>
      <c r="N19">
        <v>287</v>
      </c>
    </row>
    <row r="20" spans="2:14" x14ac:dyDescent="0.25">
      <c r="B20" t="s">
        <v>115</v>
      </c>
      <c r="C20">
        <v>1</v>
      </c>
      <c r="D20">
        <v>1</v>
      </c>
      <c r="E20">
        <v>1</v>
      </c>
      <c r="F20">
        <v>-18</v>
      </c>
      <c r="G20">
        <v>-15</v>
      </c>
      <c r="H20">
        <v>-35</v>
      </c>
      <c r="I20">
        <v>-17</v>
      </c>
      <c r="J20">
        <v>-461</v>
      </c>
      <c r="K20">
        <v>-289</v>
      </c>
      <c r="L20">
        <v>-307</v>
      </c>
      <c r="M20">
        <v>-426</v>
      </c>
      <c r="N20">
        <v>377</v>
      </c>
    </row>
    <row r="21" spans="2:14" x14ac:dyDescent="0.25">
      <c r="B21" t="s">
        <v>6</v>
      </c>
      <c r="C21">
        <v>2</v>
      </c>
      <c r="D21">
        <v>1</v>
      </c>
      <c r="E21">
        <v>1</v>
      </c>
      <c r="F21">
        <v>2</v>
      </c>
      <c r="G21">
        <v>5</v>
      </c>
      <c r="H21">
        <v>21</v>
      </c>
      <c r="I21">
        <v>23</v>
      </c>
      <c r="J21">
        <v>11</v>
      </c>
      <c r="K21">
        <v>3</v>
      </c>
      <c r="L21">
        <v>6</v>
      </c>
      <c r="M21">
        <v>8</v>
      </c>
      <c r="N21">
        <v>0</v>
      </c>
    </row>
    <row r="22" spans="2:14" x14ac:dyDescent="0.25">
      <c r="B22" t="s">
        <v>5</v>
      </c>
      <c r="C22">
        <v>0</v>
      </c>
      <c r="D22">
        <v>0</v>
      </c>
      <c r="E22">
        <v>0</v>
      </c>
      <c r="F22">
        <v>0</v>
      </c>
      <c r="G22">
        <v>0</v>
      </c>
      <c r="H22">
        <v>0</v>
      </c>
      <c r="I22">
        <v>0</v>
      </c>
      <c r="J22">
        <v>0</v>
      </c>
      <c r="K22">
        <v>0</v>
      </c>
      <c r="L22">
        <v>120</v>
      </c>
      <c r="M22">
        <v>63</v>
      </c>
      <c r="N22" s="30">
        <v>1101</v>
      </c>
    </row>
    <row r="23" spans="2:14" x14ac:dyDescent="0.25">
      <c r="B23" t="s">
        <v>4</v>
      </c>
      <c r="C23">
        <v>0</v>
      </c>
      <c r="D23">
        <v>0</v>
      </c>
      <c r="E23">
        <v>0</v>
      </c>
      <c r="F23">
        <v>0</v>
      </c>
      <c r="G23">
        <v>0</v>
      </c>
      <c r="H23">
        <v>0</v>
      </c>
      <c r="I23">
        <v>0</v>
      </c>
      <c r="J23">
        <v>0</v>
      </c>
      <c r="K23">
        <v>0</v>
      </c>
      <c r="L23">
        <v>0</v>
      </c>
      <c r="M23">
        <v>0</v>
      </c>
      <c r="N23">
        <v>-92</v>
      </c>
    </row>
    <row r="24" spans="2:14" x14ac:dyDescent="0.25">
      <c r="B24" t="s">
        <v>161</v>
      </c>
      <c r="C24">
        <v>0</v>
      </c>
      <c r="D24">
        <v>0</v>
      </c>
      <c r="E24">
        <v>0</v>
      </c>
      <c r="F24">
        <v>0</v>
      </c>
      <c r="G24">
        <v>0</v>
      </c>
      <c r="H24">
        <v>0</v>
      </c>
      <c r="I24">
        <v>0</v>
      </c>
      <c r="J24">
        <v>0</v>
      </c>
      <c r="K24">
        <v>0</v>
      </c>
      <c r="L24">
        <v>0</v>
      </c>
      <c r="M24">
        <v>-3</v>
      </c>
      <c r="N24">
        <v>-44</v>
      </c>
    </row>
    <row r="25" spans="2:14" x14ac:dyDescent="0.25">
      <c r="B25" t="s">
        <v>3</v>
      </c>
      <c r="C25">
        <v>0</v>
      </c>
      <c r="D25">
        <v>0</v>
      </c>
      <c r="E25">
        <v>0</v>
      </c>
      <c r="F25">
        <v>-16</v>
      </c>
      <c r="G25">
        <v>-16</v>
      </c>
      <c r="H25">
        <v>-16</v>
      </c>
      <c r="I25">
        <v>-33</v>
      </c>
      <c r="J25">
        <v>-145</v>
      </c>
      <c r="K25">
        <v>0</v>
      </c>
      <c r="L25">
        <v>-79</v>
      </c>
      <c r="M25">
        <v>-79</v>
      </c>
      <c r="N25">
        <v>-79</v>
      </c>
    </row>
    <row r="26" spans="2:14" x14ac:dyDescent="0.25">
      <c r="B26" t="s">
        <v>112</v>
      </c>
      <c r="C26">
        <v>0</v>
      </c>
      <c r="D26">
        <v>0</v>
      </c>
      <c r="E26">
        <v>0</v>
      </c>
      <c r="F26">
        <v>0</v>
      </c>
      <c r="G26">
        <v>0</v>
      </c>
      <c r="H26">
        <v>0</v>
      </c>
      <c r="I26">
        <v>0</v>
      </c>
      <c r="J26">
        <v>-297</v>
      </c>
      <c r="K26">
        <v>-284</v>
      </c>
      <c r="L26">
        <v>-310</v>
      </c>
      <c r="M26">
        <v>-373</v>
      </c>
      <c r="N26">
        <v>-450</v>
      </c>
    </row>
    <row r="27" spans="2:14" x14ac:dyDescent="0.25">
      <c r="B27" t="s">
        <v>2</v>
      </c>
      <c r="C27">
        <v>0</v>
      </c>
      <c r="D27">
        <v>0</v>
      </c>
      <c r="E27">
        <v>0</v>
      </c>
      <c r="F27">
        <v>-3</v>
      </c>
      <c r="G27">
        <v>-3</v>
      </c>
      <c r="H27">
        <v>-39</v>
      </c>
      <c r="I27">
        <v>-7</v>
      </c>
      <c r="J27">
        <v>-30</v>
      </c>
      <c r="K27">
        <v>-7</v>
      </c>
      <c r="L27">
        <v>-43</v>
      </c>
      <c r="M27">
        <v>-42</v>
      </c>
      <c r="N27">
        <v>-59</v>
      </c>
    </row>
    <row r="28" spans="2:14" x14ac:dyDescent="0.25">
      <c r="B28" t="s">
        <v>0</v>
      </c>
      <c r="C28">
        <v>20</v>
      </c>
      <c r="D28">
        <v>-6</v>
      </c>
      <c r="E28">
        <v>15</v>
      </c>
      <c r="F28">
        <v>-6</v>
      </c>
      <c r="G28">
        <v>0</v>
      </c>
      <c r="H28">
        <v>42</v>
      </c>
      <c r="I28">
        <v>-51</v>
      </c>
      <c r="J28">
        <v>168</v>
      </c>
      <c r="K28">
        <v>-140</v>
      </c>
      <c r="L28">
        <v>-31</v>
      </c>
      <c r="M28">
        <v>5</v>
      </c>
      <c r="N28">
        <v>102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114E6-9BA8-47FA-8BD2-1128620EED16}">
  <sheetPr codeName="Sheet3"/>
  <dimension ref="A2:N101"/>
  <sheetViews>
    <sheetView showGridLines="0" zoomScaleNormal="100" workbookViewId="0">
      <pane ySplit="3" topLeftCell="A4" activePane="bottomLeft" state="frozen"/>
      <selection pane="bottomLeft" activeCell="O76" sqref="O76"/>
    </sheetView>
  </sheetViews>
  <sheetFormatPr defaultRowHeight="15" x14ac:dyDescent="0.25"/>
  <cols>
    <col min="1" max="1" width="1.85546875" customWidth="1"/>
    <col min="2" max="2" width="28.42578125" bestFit="1" customWidth="1"/>
    <col min="3" max="12" width="12.140625" bestFit="1" customWidth="1"/>
    <col min="13" max="13" width="10.85546875" bestFit="1" customWidth="1"/>
  </cols>
  <sheetData>
    <row r="2" spans="1:14" x14ac:dyDescent="0.25">
      <c r="B2" s="66" t="str">
        <f>"Historical Financial Statement - "&amp;'Data Sheet'!B1</f>
        <v>Historical Financial Statement - JUBILANT FOODWORKS LTD</v>
      </c>
      <c r="C2" s="66"/>
      <c r="D2" s="66"/>
      <c r="E2" s="66"/>
      <c r="F2" s="66"/>
      <c r="G2" s="66"/>
      <c r="H2" s="66"/>
      <c r="I2" s="66"/>
      <c r="J2" s="66"/>
      <c r="K2" s="66"/>
      <c r="L2" s="66"/>
      <c r="M2" s="66"/>
    </row>
    <row r="3" spans="1:14" x14ac:dyDescent="0.25">
      <c r="B3" s="21" t="s">
        <v>69</v>
      </c>
      <c r="C3" s="20">
        <f>'[1]Data Sheet'!B16</f>
        <v>42094</v>
      </c>
      <c r="D3" s="20">
        <f>'[1]Data Sheet'!C16</f>
        <v>42460</v>
      </c>
      <c r="E3" s="20">
        <f>'[1]Data Sheet'!D16</f>
        <v>42825</v>
      </c>
      <c r="F3" s="20">
        <f>'[1]Data Sheet'!E16</f>
        <v>43190</v>
      </c>
      <c r="G3" s="20">
        <f>'[1]Data Sheet'!F16</f>
        <v>43555</v>
      </c>
      <c r="H3" s="20">
        <f>'[1]Data Sheet'!G16</f>
        <v>43921</v>
      </c>
      <c r="I3" s="20">
        <f>'[1]Data Sheet'!H16</f>
        <v>44286</v>
      </c>
      <c r="J3" s="20">
        <f>'[1]Data Sheet'!I16</f>
        <v>44651</v>
      </c>
      <c r="K3" s="20">
        <f>'[1]Data Sheet'!J16</f>
        <v>45016</v>
      </c>
      <c r="L3" s="20">
        <f>'[1]Data Sheet'!K16</f>
        <v>45382</v>
      </c>
      <c r="M3" s="19" t="s">
        <v>68</v>
      </c>
      <c r="N3" s="15"/>
    </row>
    <row r="4" spans="1:14" x14ac:dyDescent="0.25">
      <c r="B4" s="18"/>
      <c r="C4" s="17"/>
      <c r="D4" s="17"/>
      <c r="E4" s="17"/>
      <c r="F4" s="17"/>
      <c r="G4" s="17"/>
      <c r="H4" s="17"/>
      <c r="I4" s="17"/>
      <c r="J4" s="17"/>
      <c r="K4" s="17"/>
      <c r="L4" s="17"/>
      <c r="M4" s="16"/>
      <c r="N4" s="15"/>
    </row>
    <row r="5" spans="1:14" x14ac:dyDescent="0.25">
      <c r="A5" s="2" t="s">
        <v>22</v>
      </c>
      <c r="B5" s="5" t="s">
        <v>67</v>
      </c>
      <c r="C5" s="4"/>
      <c r="D5" s="4"/>
      <c r="E5" s="4"/>
      <c r="F5" s="4"/>
      <c r="G5" s="4"/>
      <c r="H5" s="4"/>
      <c r="I5" s="4"/>
      <c r="J5" s="4"/>
      <c r="K5" s="4"/>
      <c r="L5" s="4"/>
      <c r="M5" s="4"/>
    </row>
    <row r="6" spans="1:14" x14ac:dyDescent="0.25">
      <c r="B6" t="s">
        <v>66</v>
      </c>
      <c r="C6" s="13">
        <f>IFERROR('Data Sheet'!B17,0)</f>
        <v>2092.7600000000002</v>
      </c>
      <c r="D6" s="13">
        <f>IFERROR('Data Sheet'!C17,0)</f>
        <v>2437.98</v>
      </c>
      <c r="E6" s="13">
        <f>IFERROR('Data Sheet'!D17,0)</f>
        <v>2583.39</v>
      </c>
      <c r="F6" s="13">
        <f>IFERROR('Data Sheet'!E17,0)</f>
        <v>3018.4</v>
      </c>
      <c r="G6" s="13">
        <f>IFERROR('Data Sheet'!F17,0)</f>
        <v>3563.14</v>
      </c>
      <c r="H6" s="13">
        <f>IFERROR('Data Sheet'!G17,0)</f>
        <v>3927.27</v>
      </c>
      <c r="I6" s="13">
        <f>IFERROR('Data Sheet'!H17,0)</f>
        <v>3311.87</v>
      </c>
      <c r="J6" s="13">
        <f>IFERROR('Data Sheet'!I17,0)</f>
        <v>4396.12</v>
      </c>
      <c r="K6" s="13">
        <f>IFERROR('Data Sheet'!J17,0)</f>
        <v>5158.25</v>
      </c>
      <c r="L6" s="13">
        <f>IFERROR('Data Sheet'!K17,0)</f>
        <v>5654.09</v>
      </c>
      <c r="M6" s="13">
        <f>IFERROR(SUM('Data Sheet'!H42:K42),0)</f>
        <v>7611.34</v>
      </c>
    </row>
    <row r="7" spans="1:14" x14ac:dyDescent="0.25">
      <c r="B7" s="12" t="s">
        <v>65</v>
      </c>
      <c r="C7" s="14" t="s">
        <v>64</v>
      </c>
      <c r="D7" s="10">
        <f t="shared" ref="D7:M7" si="0">D6/C6-1</f>
        <v>0.16495919264511927</v>
      </c>
      <c r="E7" s="10">
        <f t="shared" si="0"/>
        <v>5.9643639406393723E-2</v>
      </c>
      <c r="F7" s="10">
        <f t="shared" si="0"/>
        <v>0.16838727408560072</v>
      </c>
      <c r="G7" s="10">
        <f t="shared" si="0"/>
        <v>0.18047309833024117</v>
      </c>
      <c r="H7" s="10">
        <f t="shared" si="0"/>
        <v>0.10219357083920366</v>
      </c>
      <c r="I7" s="10">
        <f t="shared" si="0"/>
        <v>-0.15669918289295115</v>
      </c>
      <c r="J7" s="10">
        <f t="shared" si="0"/>
        <v>0.32738301926102165</v>
      </c>
      <c r="K7" s="10">
        <f t="shared" si="0"/>
        <v>0.17336423937472145</v>
      </c>
      <c r="L7" s="10">
        <f t="shared" si="0"/>
        <v>9.6125624000387822E-2</v>
      </c>
      <c r="M7" s="10">
        <f t="shared" si="0"/>
        <v>0.34616534225666729</v>
      </c>
    </row>
    <row r="9" spans="1:14" x14ac:dyDescent="0.25">
      <c r="B9" t="s">
        <v>63</v>
      </c>
      <c r="C9" s="13">
        <f>IFERROR(SUM('Data Sheet'!B18,'Data Sheet'!B20:B22)-1*'Data Sheet'!B19,0)</f>
        <v>1232.1200000000001</v>
      </c>
      <c r="D9" s="13">
        <f>IFERROR(SUM('Data Sheet'!C18,'Data Sheet'!C20:C22)-1*'Data Sheet'!C19,0)</f>
        <v>1453.28</v>
      </c>
      <c r="E9" s="13">
        <f>IFERROR(SUM('Data Sheet'!D18,'Data Sheet'!D20:D22)-1*'Data Sheet'!D19,0)</f>
        <v>1546.74</v>
      </c>
      <c r="F9" s="13">
        <f>IFERROR(SUM('Data Sheet'!E18,'Data Sheet'!E20:E22)-1*'Data Sheet'!E19,0)</f>
        <v>1730.3700000000001</v>
      </c>
      <c r="G9" s="13">
        <f>IFERROR(SUM('Data Sheet'!F18,'Data Sheet'!F20:F22)-1*'Data Sheet'!F19,0)</f>
        <v>1971.7099999999998</v>
      </c>
      <c r="H9" s="13">
        <f>IFERROR(SUM('Data Sheet'!G18,'Data Sheet'!G20:G22)-1*'Data Sheet'!G19,0)</f>
        <v>2200.1799999999998</v>
      </c>
      <c r="I9" s="13">
        <f>IFERROR(SUM('Data Sheet'!H18,'Data Sheet'!H20:H22)-1*'Data Sheet'!H19,0)</f>
        <v>1884.2</v>
      </c>
      <c r="J9" s="13">
        <f>IFERROR(SUM('Data Sheet'!I18,'Data Sheet'!I20:I22)-1*'Data Sheet'!I19,0)</f>
        <v>2265.35</v>
      </c>
      <c r="K9" s="13">
        <f>IFERROR(SUM('Data Sheet'!J18,'Data Sheet'!J20:J22)-1*'Data Sheet'!J19,0)</f>
        <v>2788.5200000000004</v>
      </c>
      <c r="L9" s="13">
        <f>IFERROR(SUM('Data Sheet'!K18,'Data Sheet'!K20:K22)-1*'Data Sheet'!K19,0)</f>
        <v>3330.6699999999996</v>
      </c>
      <c r="M9" s="13">
        <f>IFERROR(SUM('Data Sheet'!H43:K43),0)</f>
        <v>6122.48</v>
      </c>
    </row>
    <row r="10" spans="1:14" x14ac:dyDescent="0.25">
      <c r="B10" s="12" t="s">
        <v>62</v>
      </c>
      <c r="C10" s="10">
        <f t="shared" ref="C10:M10" si="1">C9/C6</f>
        <v>0.58875360767598772</v>
      </c>
      <c r="D10" s="10">
        <f t="shared" si="1"/>
        <v>0.59610005004142774</v>
      </c>
      <c r="E10" s="10">
        <f t="shared" si="1"/>
        <v>0.59872493119505765</v>
      </c>
      <c r="F10" s="10">
        <f t="shared" si="1"/>
        <v>0.57327391995759347</v>
      </c>
      <c r="G10" s="10">
        <f t="shared" si="1"/>
        <v>0.55336304495473088</v>
      </c>
      <c r="H10" s="10">
        <f t="shared" si="1"/>
        <v>0.56023140756810708</v>
      </c>
      <c r="I10" s="10">
        <f t="shared" si="1"/>
        <v>0.56892329711009193</v>
      </c>
      <c r="J10" s="10">
        <f t="shared" si="1"/>
        <v>0.51530667952649156</v>
      </c>
      <c r="K10" s="10">
        <f t="shared" si="1"/>
        <v>0.54059419376726614</v>
      </c>
      <c r="L10" s="10">
        <f t="shared" si="1"/>
        <v>0.58907268897382237</v>
      </c>
      <c r="M10" s="10">
        <f t="shared" si="1"/>
        <v>0.80438924026518321</v>
      </c>
    </row>
    <row r="12" spans="1:14" x14ac:dyDescent="0.25">
      <c r="B12" t="s">
        <v>61</v>
      </c>
      <c r="C12" s="11">
        <f>C6-C9</f>
        <v>860.6400000000001</v>
      </c>
      <c r="D12" s="11">
        <f t="shared" ref="D12:M12" si="2">D6-D9</f>
        <v>984.7</v>
      </c>
      <c r="E12" s="11">
        <f t="shared" si="2"/>
        <v>1036.6499999999999</v>
      </c>
      <c r="F12" s="11">
        <f t="shared" si="2"/>
        <v>1288.03</v>
      </c>
      <c r="G12" s="11">
        <f t="shared" si="2"/>
        <v>1591.43</v>
      </c>
      <c r="H12" s="11">
        <f t="shared" si="2"/>
        <v>1727.0900000000001</v>
      </c>
      <c r="I12" s="11">
        <f t="shared" si="2"/>
        <v>1427.6699999999998</v>
      </c>
      <c r="J12" s="11">
        <f t="shared" si="2"/>
        <v>2130.77</v>
      </c>
      <c r="K12" s="11">
        <f t="shared" si="2"/>
        <v>2369.7299999999996</v>
      </c>
      <c r="L12" s="11">
        <f t="shared" si="2"/>
        <v>2323.4200000000005</v>
      </c>
      <c r="M12" s="11">
        <f t="shared" si="2"/>
        <v>1488.8600000000006</v>
      </c>
    </row>
    <row r="13" spans="1:14" x14ac:dyDescent="0.25">
      <c r="B13" s="10" t="s">
        <v>60</v>
      </c>
      <c r="C13" s="10">
        <f t="shared" ref="C13:M13" si="3">C12/C6</f>
        <v>0.41124639232401233</v>
      </c>
      <c r="D13" s="10">
        <f t="shared" si="3"/>
        <v>0.40389994995857226</v>
      </c>
      <c r="E13" s="10">
        <f t="shared" si="3"/>
        <v>0.40127506880494229</v>
      </c>
      <c r="F13" s="10">
        <f t="shared" si="3"/>
        <v>0.42672608004240653</v>
      </c>
      <c r="G13" s="10">
        <f t="shared" si="3"/>
        <v>0.44663695504526907</v>
      </c>
      <c r="H13" s="10">
        <f t="shared" si="3"/>
        <v>0.43976859243189292</v>
      </c>
      <c r="I13" s="10">
        <f t="shared" si="3"/>
        <v>0.43107670288990807</v>
      </c>
      <c r="J13" s="10">
        <f t="shared" si="3"/>
        <v>0.48469332047350844</v>
      </c>
      <c r="K13" s="10">
        <f t="shared" si="3"/>
        <v>0.45940580623273386</v>
      </c>
      <c r="L13" s="10">
        <f t="shared" si="3"/>
        <v>0.41092731102617758</v>
      </c>
      <c r="M13" s="10">
        <f t="shared" si="3"/>
        <v>0.19561075973481681</v>
      </c>
    </row>
    <row r="15" spans="1:14" x14ac:dyDescent="0.25">
      <c r="B15" t="s">
        <v>59</v>
      </c>
      <c r="C15" s="11">
        <f>IFERROR(SUM('Data Sheet'!B23:B24),0)</f>
        <v>604.16</v>
      </c>
      <c r="D15" s="11">
        <f>IFERROR(SUM('Data Sheet'!C23:C24),0)</f>
        <v>719.28</v>
      </c>
      <c r="E15" s="11">
        <f>IFERROR(SUM('Data Sheet'!D23:D24),0)</f>
        <v>792.07999999999993</v>
      </c>
      <c r="F15" s="11">
        <f>IFERROR(SUM('Data Sheet'!E23:E24),0)</f>
        <v>846.03</v>
      </c>
      <c r="G15" s="11">
        <f>IFERROR(SUM('Data Sheet'!F23:F24),0)</f>
        <v>988.81000000000006</v>
      </c>
      <c r="H15" s="11">
        <f>IFERROR(SUM('Data Sheet'!G23:G24),0)</f>
        <v>844.36999999999989</v>
      </c>
      <c r="I15" s="11">
        <f>IFERROR(SUM('Data Sheet'!H23:H24),0)</f>
        <v>647.63</v>
      </c>
      <c r="J15" s="11">
        <f>IFERROR(SUM('Data Sheet'!I23:I24),0)</f>
        <v>1024.4100000000001</v>
      </c>
      <c r="K15" s="11">
        <f>IFERROR(SUM('Data Sheet'!J23:J24),0)</f>
        <v>1233.7800000000002</v>
      </c>
      <c r="L15" s="11">
        <f>IFERROR(SUM('Data Sheet'!K23:K24),0)</f>
        <v>1165.07</v>
      </c>
      <c r="M15" s="3">
        <f>IFERROR(SUM('Data Sheet'!L23:L24),0)</f>
        <v>0</v>
      </c>
    </row>
    <row r="16" spans="1:14" x14ac:dyDescent="0.25">
      <c r="B16" s="10" t="s">
        <v>58</v>
      </c>
      <c r="C16" s="10">
        <f t="shared" ref="C16:M16" si="4">C15/C6</f>
        <v>0.28869053307593795</v>
      </c>
      <c r="D16" s="10">
        <f t="shared" si="4"/>
        <v>0.29503113233086409</v>
      </c>
      <c r="E16" s="10">
        <f t="shared" si="4"/>
        <v>0.30660488737666397</v>
      </c>
      <c r="F16" s="10">
        <f t="shared" si="4"/>
        <v>0.28029088258680096</v>
      </c>
      <c r="G16" s="10">
        <f t="shared" si="4"/>
        <v>0.27751084717412172</v>
      </c>
      <c r="H16" s="10">
        <f t="shared" si="4"/>
        <v>0.21500176967715484</v>
      </c>
      <c r="I16" s="10">
        <f t="shared" si="4"/>
        <v>0.19554813443764399</v>
      </c>
      <c r="J16" s="10">
        <f t="shared" si="4"/>
        <v>0.23302594105711402</v>
      </c>
      <c r="K16" s="10">
        <f t="shared" si="4"/>
        <v>0.23918577036785735</v>
      </c>
      <c r="L16" s="10">
        <f t="shared" si="4"/>
        <v>0.20605791559738171</v>
      </c>
      <c r="M16" s="10">
        <f t="shared" si="4"/>
        <v>0</v>
      </c>
    </row>
    <row r="18" spans="2:13" x14ac:dyDescent="0.25">
      <c r="B18" t="s">
        <v>57</v>
      </c>
      <c r="C18" s="11">
        <f t="shared" ref="C18:L18" si="5">C12-C15</f>
        <v>256.48000000000013</v>
      </c>
      <c r="D18" s="11">
        <f t="shared" si="5"/>
        <v>265.42000000000007</v>
      </c>
      <c r="E18" s="11">
        <f t="shared" si="5"/>
        <v>244.56999999999994</v>
      </c>
      <c r="F18" s="11">
        <f t="shared" si="5"/>
        <v>442</v>
      </c>
      <c r="G18" s="11">
        <f t="shared" si="5"/>
        <v>602.62</v>
      </c>
      <c r="H18" s="11">
        <f t="shared" si="5"/>
        <v>882.72000000000025</v>
      </c>
      <c r="I18" s="11">
        <f t="shared" si="5"/>
        <v>780.03999999999985</v>
      </c>
      <c r="J18" s="11">
        <f t="shared" si="5"/>
        <v>1106.3599999999999</v>
      </c>
      <c r="K18" s="11">
        <f t="shared" si="5"/>
        <v>1135.9499999999994</v>
      </c>
      <c r="L18" s="11">
        <f t="shared" si="5"/>
        <v>1158.3500000000006</v>
      </c>
      <c r="M18" s="11">
        <f>IFERROR(SUM('Data Sheet'!H51:K51),0)</f>
        <v>1726.12</v>
      </c>
    </row>
    <row r="19" spans="2:13" x14ac:dyDescent="0.25">
      <c r="B19" s="10" t="s">
        <v>56</v>
      </c>
      <c r="C19" s="10">
        <f t="shared" ref="C19:M19" si="6">C18/C6</f>
        <v>0.12255585924807437</v>
      </c>
      <c r="D19" s="10">
        <f t="shared" si="6"/>
        <v>0.10886881762770821</v>
      </c>
      <c r="E19" s="10">
        <f t="shared" si="6"/>
        <v>9.4670181428278322E-2</v>
      </c>
      <c r="F19" s="10">
        <f t="shared" si="6"/>
        <v>0.14643519745560563</v>
      </c>
      <c r="G19" s="10">
        <f t="shared" si="6"/>
        <v>0.16912610787114737</v>
      </c>
      <c r="H19" s="10">
        <f t="shared" si="6"/>
        <v>0.22476682275473808</v>
      </c>
      <c r="I19" s="10">
        <f t="shared" si="6"/>
        <v>0.23552856845226408</v>
      </c>
      <c r="J19" s="10">
        <f t="shared" si="6"/>
        <v>0.25166737941639444</v>
      </c>
      <c r="K19" s="10">
        <f t="shared" si="6"/>
        <v>0.22022003586487654</v>
      </c>
      <c r="L19" s="10">
        <f t="shared" si="6"/>
        <v>0.2048693954287959</v>
      </c>
      <c r="M19" s="10">
        <f t="shared" si="6"/>
        <v>0.22678266901754485</v>
      </c>
    </row>
    <row r="21" spans="2:13" x14ac:dyDescent="0.25">
      <c r="B21" t="s">
        <v>55</v>
      </c>
      <c r="C21" s="11">
        <f>IFERROR('Data Sheet'!B27,0)</f>
        <v>0</v>
      </c>
      <c r="D21" s="11">
        <f>IFERROR('Data Sheet'!C27,0)</f>
        <v>0</v>
      </c>
      <c r="E21" s="11">
        <f>IFERROR('Data Sheet'!D27,0)</f>
        <v>0</v>
      </c>
      <c r="F21" s="11">
        <f>IFERROR('Data Sheet'!E27,0)</f>
        <v>0</v>
      </c>
      <c r="G21" s="11">
        <f>IFERROR('Data Sheet'!F27,0)</f>
        <v>0</v>
      </c>
      <c r="H21" s="11">
        <f>IFERROR('Data Sheet'!G27,0)</f>
        <v>165.24</v>
      </c>
      <c r="I21" s="11">
        <f>IFERROR('Data Sheet'!H27,0)</f>
        <v>162.69999999999999</v>
      </c>
      <c r="J21" s="11">
        <f>IFERROR('Data Sheet'!I27,0)</f>
        <v>176.09</v>
      </c>
      <c r="K21" s="11">
        <f>IFERROR('Data Sheet'!J27,0)</f>
        <v>201.23</v>
      </c>
      <c r="L21" s="11">
        <f>IFERROR('Data Sheet'!K27,0)</f>
        <v>287.77</v>
      </c>
      <c r="M21" s="11">
        <f>IFERROR(SUM('Data Sheet'!H46:K46),0)</f>
        <v>520.12</v>
      </c>
    </row>
    <row r="22" spans="2:13" x14ac:dyDescent="0.25">
      <c r="B22" s="10" t="s">
        <v>54</v>
      </c>
      <c r="C22" s="10">
        <f t="shared" ref="C22:M22" si="7">C21/C6</f>
        <v>0</v>
      </c>
      <c r="D22" s="10">
        <f t="shared" si="7"/>
        <v>0</v>
      </c>
      <c r="E22" s="10">
        <f t="shared" si="7"/>
        <v>0</v>
      </c>
      <c r="F22" s="10">
        <f t="shared" si="7"/>
        <v>0</v>
      </c>
      <c r="G22" s="10">
        <f t="shared" si="7"/>
        <v>0</v>
      </c>
      <c r="H22" s="10">
        <f t="shared" si="7"/>
        <v>4.2075029218770293E-2</v>
      </c>
      <c r="I22" s="10">
        <f t="shared" si="7"/>
        <v>4.9126324402829817E-2</v>
      </c>
      <c r="J22" s="10">
        <f t="shared" si="7"/>
        <v>4.0055776457421546E-2</v>
      </c>
      <c r="K22" s="10">
        <f t="shared" si="7"/>
        <v>3.9011292589541023E-2</v>
      </c>
      <c r="L22" s="10">
        <f t="shared" si="7"/>
        <v>5.0895900136007734E-2</v>
      </c>
      <c r="M22" s="10">
        <f t="shared" si="7"/>
        <v>6.8334879272243784E-2</v>
      </c>
    </row>
    <row r="24" spans="2:13" x14ac:dyDescent="0.25">
      <c r="B24" t="s">
        <v>53</v>
      </c>
      <c r="C24" s="11">
        <f>IFERROR('Data Sheet'!B26,0)</f>
        <v>101.12</v>
      </c>
      <c r="D24" s="11">
        <f>IFERROR('Data Sheet'!C26,0)</f>
        <v>128.24</v>
      </c>
      <c r="E24" s="11">
        <f>IFERROR('Data Sheet'!D26,0)</f>
        <v>155.43</v>
      </c>
      <c r="F24" s="11">
        <f>IFERROR('Data Sheet'!E26,0)</f>
        <v>160.11000000000001</v>
      </c>
      <c r="G24" s="11">
        <f>IFERROR('Data Sheet'!F26,0)</f>
        <v>157.44999999999999</v>
      </c>
      <c r="H24" s="11">
        <f>IFERROR('Data Sheet'!G26,0)</f>
        <v>352.28</v>
      </c>
      <c r="I24" s="11">
        <f>IFERROR('Data Sheet'!H26,0)</f>
        <v>375.4</v>
      </c>
      <c r="J24" s="11">
        <f>IFERROR('Data Sheet'!I26,0)</f>
        <v>393.05</v>
      </c>
      <c r="K24" s="11">
        <f>IFERROR('Data Sheet'!J26,0)</f>
        <v>485.89</v>
      </c>
      <c r="L24" s="11">
        <f>IFERROR('Data Sheet'!K26,0)</f>
        <v>597.96</v>
      </c>
      <c r="M24" s="11">
        <f>IFERROR(SUM('Data Sheet'!H45:K45),0)</f>
        <v>761.65</v>
      </c>
    </row>
    <row r="25" spans="2:13" x14ac:dyDescent="0.25">
      <c r="B25" s="10" t="s">
        <v>52</v>
      </c>
      <c r="C25" s="10">
        <f t="shared" ref="C25:M25" si="8">C24/C6</f>
        <v>4.8318966341099792E-2</v>
      </c>
      <c r="D25" s="10">
        <f t="shared" si="8"/>
        <v>5.2600923715534993E-2</v>
      </c>
      <c r="E25" s="10">
        <f t="shared" si="8"/>
        <v>6.0165131861623686E-2</v>
      </c>
      <c r="F25" s="10">
        <f t="shared" si="8"/>
        <v>5.3044659422210448E-2</v>
      </c>
      <c r="G25" s="10">
        <f t="shared" si="8"/>
        <v>4.418855279332274E-2</v>
      </c>
      <c r="H25" s="10">
        <f t="shared" si="8"/>
        <v>8.9700988218278849E-2</v>
      </c>
      <c r="I25" s="10">
        <f t="shared" si="8"/>
        <v>0.11334985974691035</v>
      </c>
      <c r="J25" s="10">
        <f t="shared" si="8"/>
        <v>8.9408387396158431E-2</v>
      </c>
      <c r="K25" s="10">
        <f t="shared" si="8"/>
        <v>9.4196675229002075E-2</v>
      </c>
      <c r="L25" s="10">
        <f t="shared" si="8"/>
        <v>0.10575707142970842</v>
      </c>
      <c r="M25" s="10">
        <f t="shared" si="8"/>
        <v>0.10006779358168207</v>
      </c>
    </row>
    <row r="27" spans="2:13" x14ac:dyDescent="0.25">
      <c r="B27" t="s">
        <v>51</v>
      </c>
      <c r="C27" s="3">
        <f>IFERROR(C18-SUM(C21,C24),0)</f>
        <v>155.36000000000013</v>
      </c>
      <c r="D27" s="3">
        <f t="shared" ref="D27:M27" si="9">IFERROR(D18-SUM(D21,D24),0)</f>
        <v>137.18000000000006</v>
      </c>
      <c r="E27" s="3">
        <f t="shared" si="9"/>
        <v>89.13999999999993</v>
      </c>
      <c r="F27" s="3">
        <f t="shared" si="9"/>
        <v>281.89</v>
      </c>
      <c r="G27" s="3">
        <f t="shared" si="9"/>
        <v>445.17</v>
      </c>
      <c r="H27" s="3">
        <f t="shared" si="9"/>
        <v>365.20000000000027</v>
      </c>
      <c r="I27" s="3">
        <f t="shared" si="9"/>
        <v>241.93999999999994</v>
      </c>
      <c r="J27" s="3">
        <f t="shared" si="9"/>
        <v>537.21999999999991</v>
      </c>
      <c r="K27" s="3">
        <f t="shared" si="9"/>
        <v>448.82999999999936</v>
      </c>
      <c r="L27" s="3">
        <f t="shared" si="9"/>
        <v>272.62000000000057</v>
      </c>
      <c r="M27" s="3">
        <f t="shared" si="9"/>
        <v>444.34999999999991</v>
      </c>
    </row>
    <row r="28" spans="2:13" x14ac:dyDescent="0.25">
      <c r="B28" s="10" t="s">
        <v>50</v>
      </c>
      <c r="C28" s="10">
        <f t="shared" ref="C28:M28" si="10">C27/C6</f>
        <v>7.4236892906974578E-2</v>
      </c>
      <c r="D28" s="10">
        <f t="shared" si="10"/>
        <v>5.6267893912173218E-2</v>
      </c>
      <c r="E28" s="10">
        <f t="shared" si="10"/>
        <v>3.4505049566654643E-2</v>
      </c>
      <c r="F28" s="10">
        <f t="shared" si="10"/>
        <v>9.3390538033395171E-2</v>
      </c>
      <c r="G28" s="10">
        <f t="shared" si="10"/>
        <v>0.12493755507782463</v>
      </c>
      <c r="H28" s="10">
        <f t="shared" si="10"/>
        <v>9.2990805317688954E-2</v>
      </c>
      <c r="I28" s="10">
        <f t="shared" si="10"/>
        <v>7.3052384302523934E-2</v>
      </c>
      <c r="J28" s="10">
        <f t="shared" si="10"/>
        <v>0.12220321556281447</v>
      </c>
      <c r="K28" s="10">
        <f t="shared" si="10"/>
        <v>8.7012068046333421E-2</v>
      </c>
      <c r="L28" s="10">
        <f t="shared" si="10"/>
        <v>4.8216423863079748E-2</v>
      </c>
      <c r="M28" s="10">
        <f t="shared" si="10"/>
        <v>5.8379996163619011E-2</v>
      </c>
    </row>
    <row r="30" spans="2:13" x14ac:dyDescent="0.25">
      <c r="B30" t="s">
        <v>49</v>
      </c>
      <c r="C30" s="3">
        <f>IFERROR('Data Sheet'!B29,0)</f>
        <v>50.4</v>
      </c>
      <c r="D30" s="3">
        <f>IFERROR('Data Sheet'!C29,0)</f>
        <v>50.13</v>
      </c>
      <c r="E30" s="3">
        <f>IFERROR('Data Sheet'!D29,0)</f>
        <v>30.5</v>
      </c>
      <c r="F30" s="3">
        <f>IFERROR('Data Sheet'!E29,0)</f>
        <v>106.83</v>
      </c>
      <c r="G30" s="3">
        <f>IFERROR('Data Sheet'!F29,0)</f>
        <v>171.7</v>
      </c>
      <c r="H30" s="3">
        <f>IFERROR('Data Sheet'!G29,0)</f>
        <v>123.99</v>
      </c>
      <c r="I30" s="3">
        <f>IFERROR('Data Sheet'!H29,0)</f>
        <v>75.650000000000006</v>
      </c>
      <c r="J30" s="3">
        <f>IFERROR('Data Sheet'!I29,0)</f>
        <v>145.18</v>
      </c>
      <c r="K30" s="3">
        <f>IFERROR('Data Sheet'!J29,0)</f>
        <v>135.69999999999999</v>
      </c>
      <c r="L30" s="3">
        <f>IFERROR('Data Sheet'!K29,0)</f>
        <v>84.97</v>
      </c>
      <c r="M30" s="3">
        <f>IFERROR(SUM('Data Sheet'!H48:K48),0)</f>
        <v>74.069999999999993</v>
      </c>
    </row>
    <row r="31" spans="2:13" x14ac:dyDescent="0.25">
      <c r="B31" s="10" t="s">
        <v>48</v>
      </c>
      <c r="C31" s="10">
        <f t="shared" ref="C31:M31" si="11">C30/C27</f>
        <v>0.32440782698249199</v>
      </c>
      <c r="D31" s="10">
        <f t="shared" si="11"/>
        <v>0.36543227875783629</v>
      </c>
      <c r="E31" s="10">
        <f t="shared" si="11"/>
        <v>0.34215840251290131</v>
      </c>
      <c r="F31" s="10">
        <f t="shared" si="11"/>
        <v>0.37897761538188657</v>
      </c>
      <c r="G31" s="10">
        <f t="shared" si="11"/>
        <v>0.38569535233730928</v>
      </c>
      <c r="H31" s="10">
        <f t="shared" si="11"/>
        <v>0.33951259583789678</v>
      </c>
      <c r="I31" s="10">
        <f t="shared" si="11"/>
        <v>0.31268082995784091</v>
      </c>
      <c r="J31" s="10">
        <f t="shared" si="11"/>
        <v>0.27024310338408852</v>
      </c>
      <c r="K31" s="10">
        <f t="shared" si="11"/>
        <v>0.30234164382951267</v>
      </c>
      <c r="L31" s="10">
        <f t="shared" si="11"/>
        <v>0.31167926050913292</v>
      </c>
      <c r="M31" s="10">
        <f t="shared" si="11"/>
        <v>0.16669292224597729</v>
      </c>
    </row>
    <row r="33" spans="1:13" x14ac:dyDescent="0.25">
      <c r="B33" t="s">
        <v>47</v>
      </c>
      <c r="C33" s="3">
        <f t="shared" ref="C33:M33" si="12">C27-C30</f>
        <v>104.96000000000012</v>
      </c>
      <c r="D33" s="3">
        <f t="shared" si="12"/>
        <v>87.050000000000068</v>
      </c>
      <c r="E33" s="3">
        <f t="shared" si="12"/>
        <v>58.63999999999993</v>
      </c>
      <c r="F33" s="3">
        <f t="shared" si="12"/>
        <v>175.06</v>
      </c>
      <c r="G33" s="3">
        <f t="shared" si="12"/>
        <v>273.47000000000003</v>
      </c>
      <c r="H33" s="3">
        <f t="shared" si="12"/>
        <v>241.21000000000026</v>
      </c>
      <c r="I33" s="3">
        <f t="shared" si="12"/>
        <v>166.28999999999994</v>
      </c>
      <c r="J33" s="3">
        <f t="shared" si="12"/>
        <v>392.03999999999991</v>
      </c>
      <c r="K33" s="3">
        <f t="shared" si="12"/>
        <v>313.12999999999937</v>
      </c>
      <c r="L33" s="3">
        <f t="shared" si="12"/>
        <v>187.65000000000057</v>
      </c>
      <c r="M33" s="3">
        <f t="shared" si="12"/>
        <v>370.27999999999992</v>
      </c>
    </row>
    <row r="34" spans="1:13" x14ac:dyDescent="0.25">
      <c r="B34" s="10" t="s">
        <v>46</v>
      </c>
      <c r="C34" s="10">
        <f t="shared" ref="C34:M34" si="13">C33/C6</f>
        <v>5.0153863797090976E-2</v>
      </c>
      <c r="D34" s="10">
        <f t="shared" si="13"/>
        <v>3.570578921894358E-2</v>
      </c>
      <c r="E34" s="10">
        <f t="shared" si="13"/>
        <v>2.2698856928299611E-2</v>
      </c>
      <c r="F34" s="10">
        <f t="shared" si="13"/>
        <v>5.7997614630267688E-2</v>
      </c>
      <c r="G34" s="10">
        <f t="shared" si="13"/>
        <v>7.6749720751921074E-2</v>
      </c>
      <c r="H34" s="10">
        <f t="shared" si="13"/>
        <v>6.1419255615223878E-2</v>
      </c>
      <c r="I34" s="10">
        <f t="shared" si="13"/>
        <v>5.0210304148411607E-2</v>
      </c>
      <c r="J34" s="10">
        <f t="shared" si="13"/>
        <v>8.9178639345604743E-2</v>
      </c>
      <c r="K34" s="10">
        <f t="shared" si="13"/>
        <v>6.070469636019956E-2</v>
      </c>
      <c r="L34" s="10">
        <f t="shared" si="13"/>
        <v>3.3188364529040143E-2</v>
      </c>
      <c r="M34" s="10">
        <f t="shared" si="13"/>
        <v>4.8648464002396412E-2</v>
      </c>
    </row>
    <row r="36" spans="1:13" x14ac:dyDescent="0.25">
      <c r="B36" t="s">
        <v>45</v>
      </c>
      <c r="C36">
        <f>IFERROR('Data Sheet'!B93,0)</f>
        <v>65.56</v>
      </c>
      <c r="D36">
        <f>IFERROR('Data Sheet'!C93,0)</f>
        <v>65.8</v>
      </c>
      <c r="E36">
        <f>IFERROR('Data Sheet'!D93,0)</f>
        <v>65.94</v>
      </c>
      <c r="F36">
        <f>IFERROR('Data Sheet'!E93,0)</f>
        <v>65.98</v>
      </c>
      <c r="G36">
        <f>IFERROR('Data Sheet'!F93,0)</f>
        <v>65.98</v>
      </c>
      <c r="H36">
        <f>IFERROR('Data Sheet'!G93,0)</f>
        <v>65.98</v>
      </c>
      <c r="I36">
        <f>IFERROR('Data Sheet'!H93,0)</f>
        <v>65.98</v>
      </c>
      <c r="J36">
        <f>IFERROR('Data Sheet'!I93,0)</f>
        <v>65.98</v>
      </c>
      <c r="K36">
        <f>IFERROR('Data Sheet'!J93,0)</f>
        <v>65.98</v>
      </c>
      <c r="L36">
        <f>IFERROR('Data Sheet'!K93,0)</f>
        <v>65.98</v>
      </c>
      <c r="M36">
        <f>L36</f>
        <v>65.98</v>
      </c>
    </row>
    <row r="38" spans="1:13" x14ac:dyDescent="0.25">
      <c r="B38" t="s">
        <v>44</v>
      </c>
      <c r="C38" s="3">
        <f t="shared" ref="C38:M38" si="14">IFERROR(C33/C36,0)</f>
        <v>1.6009762050030525</v>
      </c>
      <c r="D38" s="3">
        <f t="shared" si="14"/>
        <v>1.3229483282674783</v>
      </c>
      <c r="E38" s="3">
        <f t="shared" si="14"/>
        <v>0.88929329693660797</v>
      </c>
      <c r="F38" s="3">
        <f t="shared" si="14"/>
        <v>2.6532282509851468</v>
      </c>
      <c r="G38" s="3">
        <f t="shared" si="14"/>
        <v>4.1447408305547135</v>
      </c>
      <c r="H38" s="3">
        <f t="shared" si="14"/>
        <v>3.6558047893301038</v>
      </c>
      <c r="I38" s="3">
        <f t="shared" si="14"/>
        <v>2.5203091846013934</v>
      </c>
      <c r="J38" s="3">
        <f t="shared" si="14"/>
        <v>5.9418005456198832</v>
      </c>
      <c r="K38" s="3">
        <f t="shared" si="14"/>
        <v>4.7458320703243313</v>
      </c>
      <c r="L38" s="3">
        <f t="shared" si="14"/>
        <v>2.8440436495907937</v>
      </c>
      <c r="M38" s="3">
        <f t="shared" si="14"/>
        <v>5.6120036374658975</v>
      </c>
    </row>
    <row r="39" spans="1:13" x14ac:dyDescent="0.25">
      <c r="B39" s="10" t="s">
        <v>43</v>
      </c>
      <c r="C39" s="10"/>
      <c r="D39" s="10">
        <f t="shared" ref="D39:M39" si="15">IFERROR(D38/C38-1,0)</f>
        <v>-0.17366146721402653</v>
      </c>
      <c r="E39" s="10">
        <f t="shared" si="15"/>
        <v>-0.32779438324607979</v>
      </c>
      <c r="F39" s="10">
        <f t="shared" si="15"/>
        <v>1.9835244009202047</v>
      </c>
      <c r="G39" s="10">
        <f t="shared" si="15"/>
        <v>0.56215011995887143</v>
      </c>
      <c r="H39" s="10">
        <f t="shared" si="15"/>
        <v>-0.11796540754013152</v>
      </c>
      <c r="I39" s="10">
        <f t="shared" si="15"/>
        <v>-0.31060072136312855</v>
      </c>
      <c r="J39" s="10">
        <f t="shared" si="15"/>
        <v>1.3575681039148479</v>
      </c>
      <c r="K39" s="10">
        <f t="shared" si="15"/>
        <v>-0.2012804815835133</v>
      </c>
      <c r="L39" s="10">
        <f t="shared" si="15"/>
        <v>-0.40072813208571223</v>
      </c>
      <c r="M39" s="10">
        <f t="shared" si="15"/>
        <v>0.97324806821209053</v>
      </c>
    </row>
    <row r="41" spans="1:13" x14ac:dyDescent="0.25">
      <c r="B41" t="s">
        <v>42</v>
      </c>
      <c r="C41" s="3">
        <f>IFERROR('Data Sheet'!B31/HistoricalFS!C36,0)</f>
        <v>0.25</v>
      </c>
      <c r="D41" s="3">
        <f>IFERROR('Data Sheet'!C31/HistoricalFS!D36,0)</f>
        <v>0.25</v>
      </c>
      <c r="E41" s="3">
        <f>IFERROR('Data Sheet'!D31/HistoricalFS!E36,0)</f>
        <v>0.2500758265089475</v>
      </c>
      <c r="F41" s="3">
        <f>IFERROR('Data Sheet'!E31/HistoricalFS!F36,0)</f>
        <v>0.5</v>
      </c>
      <c r="G41" s="3">
        <f>IFERROR('Data Sheet'!F31/HistoricalFS!G36,0)</f>
        <v>1</v>
      </c>
      <c r="H41" s="3">
        <f>IFERROR('Data Sheet'!G31/HistoricalFS!H36,0)</f>
        <v>1.2000606244316461</v>
      </c>
      <c r="I41" s="3">
        <f>IFERROR('Data Sheet'!H31/HistoricalFS!I36,0)</f>
        <v>1.2000606244316461</v>
      </c>
      <c r="J41" s="3">
        <f>IFERROR('Data Sheet'!I31/HistoricalFS!J36,0)</f>
        <v>1.2000606244316461</v>
      </c>
      <c r="K41" s="3">
        <f>IFERROR('Data Sheet'!J31/HistoricalFS!K36,0)</f>
        <v>1.2000606244316461</v>
      </c>
      <c r="L41" s="3">
        <f>IFERROR('Data Sheet'!K31/HistoricalFS!L36,0)</f>
        <v>1.2000606244316461</v>
      </c>
      <c r="M41" s="3">
        <f>IFERROR('Data Sheet'!L31/HistoricalFS!M36,0)</f>
        <v>0</v>
      </c>
    </row>
    <row r="42" spans="1:13" x14ac:dyDescent="0.25">
      <c r="B42" s="10" t="s">
        <v>41</v>
      </c>
      <c r="C42" s="10">
        <f t="shared" ref="C42:M42" si="16">IFERROR(C41/C38,0)</f>
        <v>0.15615472560975591</v>
      </c>
      <c r="D42" s="10">
        <f t="shared" si="16"/>
        <v>0.18897185525560006</v>
      </c>
      <c r="E42" s="10">
        <f t="shared" si="16"/>
        <v>0.28120736698499349</v>
      </c>
      <c r="F42" s="10">
        <f t="shared" si="16"/>
        <v>0.1884496743973495</v>
      </c>
      <c r="G42" s="10">
        <f t="shared" si="16"/>
        <v>0.24126960909789008</v>
      </c>
      <c r="H42" s="10">
        <f t="shared" si="16"/>
        <v>0.32826168069317163</v>
      </c>
      <c r="I42" s="10">
        <f t="shared" si="16"/>
        <v>0.47615611281496206</v>
      </c>
      <c r="J42" s="10">
        <f t="shared" si="16"/>
        <v>0.20196918681767173</v>
      </c>
      <c r="K42" s="10">
        <f t="shared" si="16"/>
        <v>0.25286622169705925</v>
      </c>
      <c r="L42" s="10">
        <f t="shared" si="16"/>
        <v>0.42195576871835744</v>
      </c>
      <c r="M42" s="10">
        <f t="shared" si="16"/>
        <v>0</v>
      </c>
    </row>
    <row r="44" spans="1:13" x14ac:dyDescent="0.25">
      <c r="B44" t="s">
        <v>40</v>
      </c>
      <c r="C44" s="10">
        <f t="shared" ref="C44:M44" si="17">IFERROR(IF(C38&gt;C41,1-C42,0),0)</f>
        <v>0.84384527439024404</v>
      </c>
      <c r="D44" s="10">
        <f t="shared" si="17"/>
        <v>0.81102814474439988</v>
      </c>
      <c r="E44" s="10">
        <f t="shared" si="17"/>
        <v>0.71879263301500651</v>
      </c>
      <c r="F44" s="10">
        <f t="shared" si="17"/>
        <v>0.8115503256026505</v>
      </c>
      <c r="G44" s="10">
        <f t="shared" si="17"/>
        <v>0.75873039090210992</v>
      </c>
      <c r="H44" s="10">
        <f t="shared" si="17"/>
        <v>0.67173831930682837</v>
      </c>
      <c r="I44" s="10">
        <f t="shared" si="17"/>
        <v>0.52384388718503794</v>
      </c>
      <c r="J44" s="10">
        <f t="shared" si="17"/>
        <v>0.79803081318232827</v>
      </c>
      <c r="K44" s="10">
        <f t="shared" si="17"/>
        <v>0.74713377830294081</v>
      </c>
      <c r="L44" s="10">
        <f t="shared" si="17"/>
        <v>0.57804423128164251</v>
      </c>
      <c r="M44" s="10">
        <f t="shared" si="17"/>
        <v>1</v>
      </c>
    </row>
    <row r="46" spans="1:13" x14ac:dyDescent="0.25">
      <c r="A46" s="2" t="s">
        <v>22</v>
      </c>
      <c r="B46" s="5" t="s">
        <v>39</v>
      </c>
      <c r="C46" s="4"/>
      <c r="D46" s="4"/>
      <c r="E46" s="4"/>
      <c r="F46" s="4"/>
      <c r="G46" s="4"/>
      <c r="H46" s="4"/>
      <c r="I46" s="4"/>
      <c r="J46" s="4"/>
      <c r="K46" s="4"/>
      <c r="L46" s="4"/>
      <c r="M46" s="4"/>
    </row>
    <row r="47" spans="1:13" x14ac:dyDescent="0.25">
      <c r="B47" s="8" t="s">
        <v>38</v>
      </c>
      <c r="C47" s="3">
        <f>IFERROR('Data Sheet'!B57,0)</f>
        <v>65.569999999999993</v>
      </c>
      <c r="D47" s="3">
        <f>IFERROR('Data Sheet'!C57,0)</f>
        <v>65.8</v>
      </c>
      <c r="E47" s="3">
        <f>IFERROR('Data Sheet'!D57,0)</f>
        <v>65.95</v>
      </c>
      <c r="F47" s="3">
        <f>IFERROR('Data Sheet'!E57,0)</f>
        <v>65.98</v>
      </c>
      <c r="G47" s="3">
        <f>IFERROR('Data Sheet'!F57,0)</f>
        <v>131.97</v>
      </c>
      <c r="H47" s="3">
        <f>IFERROR('Data Sheet'!G57,0)</f>
        <v>131.97</v>
      </c>
      <c r="I47" s="3">
        <f>IFERROR('Data Sheet'!H57,0)</f>
        <v>131.97</v>
      </c>
      <c r="J47" s="3">
        <f>IFERROR('Data Sheet'!I57,0)</f>
        <v>131.97</v>
      </c>
      <c r="K47" s="3">
        <f>IFERROR('Data Sheet'!J57,0)</f>
        <v>131.97</v>
      </c>
      <c r="L47" s="3">
        <f>IFERROR('Data Sheet'!K57,0)</f>
        <v>131.97</v>
      </c>
    </row>
    <row r="48" spans="1:13" x14ac:dyDescent="0.25">
      <c r="B48" s="8" t="s">
        <v>37</v>
      </c>
      <c r="C48" s="3">
        <f>IFERROR('Data Sheet'!B58,0)</f>
        <v>580.62</v>
      </c>
      <c r="D48" s="3">
        <f>IFERROR('Data Sheet'!C58,0)</f>
        <v>696.23</v>
      </c>
      <c r="E48" s="3">
        <f>IFERROR('Data Sheet'!D58,0)</f>
        <v>739.35</v>
      </c>
      <c r="F48" s="3">
        <f>IFERROR('Data Sheet'!E58,0)</f>
        <v>901.75</v>
      </c>
      <c r="G48" s="3">
        <f>IFERROR('Data Sheet'!F58,0)</f>
        <v>1127.67</v>
      </c>
      <c r="H48" s="3">
        <f>IFERROR('Data Sheet'!G58,0)</f>
        <v>990.06</v>
      </c>
      <c r="I48" s="3">
        <f>IFERROR('Data Sheet'!H58,0)</f>
        <v>1294.8599999999999</v>
      </c>
      <c r="J48" s="3">
        <f>IFERROR('Data Sheet'!I58,0)</f>
        <v>1813</v>
      </c>
      <c r="K48" s="3">
        <f>IFERROR('Data Sheet'!J58,0)</f>
        <v>1905.82</v>
      </c>
      <c r="L48" s="3">
        <f>IFERROR('Data Sheet'!K58,0)</f>
        <v>2038.67</v>
      </c>
    </row>
    <row r="49" spans="2:13" x14ac:dyDescent="0.25">
      <c r="B49" s="8" t="s">
        <v>36</v>
      </c>
      <c r="C49" s="3">
        <f>IFERROR('Data Sheet'!B59,0)</f>
        <v>0</v>
      </c>
      <c r="D49" s="3">
        <f>IFERROR('Data Sheet'!C59,0)</f>
        <v>0</v>
      </c>
      <c r="E49" s="3">
        <f>IFERROR('Data Sheet'!D59,0)</f>
        <v>0</v>
      </c>
      <c r="F49" s="3">
        <f>IFERROR('Data Sheet'!E59,0)</f>
        <v>0</v>
      </c>
      <c r="G49" s="3">
        <f>IFERROR('Data Sheet'!F59,0)</f>
        <v>0</v>
      </c>
      <c r="H49" s="3">
        <f>IFERROR('Data Sheet'!G59,0)</f>
        <v>1670.06</v>
      </c>
      <c r="I49" s="3">
        <f>IFERROR('Data Sheet'!H59,0)</f>
        <v>1619.98</v>
      </c>
      <c r="J49" s="3">
        <f>IFERROR('Data Sheet'!I59,0)</f>
        <v>2106.1</v>
      </c>
      <c r="K49" s="3">
        <f>IFERROR('Data Sheet'!J59,0)</f>
        <v>2553.7399999999998</v>
      </c>
      <c r="L49" s="3">
        <f>IFERROR('Data Sheet'!K59,0)</f>
        <v>4206.8599999999997</v>
      </c>
    </row>
    <row r="50" spans="2:13" x14ac:dyDescent="0.25">
      <c r="B50" s="8" t="s">
        <v>35</v>
      </c>
      <c r="C50" s="3">
        <f>IFERROR('Data Sheet'!B60,0)</f>
        <v>428.51</v>
      </c>
      <c r="D50" s="3">
        <f>IFERROR('Data Sheet'!C60,0)</f>
        <v>460</v>
      </c>
      <c r="E50" s="3">
        <f>IFERROR('Data Sheet'!D60,0)</f>
        <v>485.34</v>
      </c>
      <c r="F50" s="3">
        <f>IFERROR('Data Sheet'!E60,0)</f>
        <v>529.01</v>
      </c>
      <c r="G50" s="3">
        <f>IFERROR('Data Sheet'!F60,0)</f>
        <v>596.1</v>
      </c>
      <c r="H50" s="3">
        <f>IFERROR('Data Sheet'!G60,0)</f>
        <v>577.79</v>
      </c>
      <c r="I50" s="3">
        <f>IFERROR('Data Sheet'!H60,0)</f>
        <v>719.96</v>
      </c>
      <c r="J50" s="3">
        <f>IFERROR('Data Sheet'!I60,0)</f>
        <v>730.6</v>
      </c>
      <c r="K50" s="3">
        <f>IFERROR('Data Sheet'!J60,0)</f>
        <v>790.6</v>
      </c>
      <c r="L50" s="3">
        <f>IFERROR('Data Sheet'!K60,0)</f>
        <v>1660.04</v>
      </c>
    </row>
    <row r="51" spans="2:13" x14ac:dyDescent="0.25">
      <c r="B51" s="9" t="s">
        <v>34</v>
      </c>
      <c r="C51" s="1">
        <f>IFERROR('Data Sheet'!B61,0)</f>
        <v>1074.7</v>
      </c>
      <c r="D51" s="1">
        <f>IFERROR('Data Sheet'!C61,0)</f>
        <v>1222.03</v>
      </c>
      <c r="E51" s="1">
        <f>IFERROR('Data Sheet'!D61,0)</f>
        <v>1290.6400000000001</v>
      </c>
      <c r="F51" s="1">
        <f>IFERROR('Data Sheet'!E61,0)</f>
        <v>1496.74</v>
      </c>
      <c r="G51" s="1">
        <f>IFERROR('Data Sheet'!F61,0)</f>
        <v>1855.74</v>
      </c>
      <c r="H51" s="1">
        <f>IFERROR('Data Sheet'!G61,0)</f>
        <v>3369.88</v>
      </c>
      <c r="I51" s="1">
        <f>IFERROR('Data Sheet'!H61,0)</f>
        <v>3766.77</v>
      </c>
      <c r="J51" s="1">
        <f>IFERROR('Data Sheet'!I61,0)</f>
        <v>4781.67</v>
      </c>
      <c r="K51" s="1">
        <f>IFERROR('Data Sheet'!J61,0)</f>
        <v>5382.13</v>
      </c>
      <c r="L51" s="1">
        <f>IFERROR('Data Sheet'!K61,0)</f>
        <v>8037.54</v>
      </c>
      <c r="M51" s="2"/>
    </row>
    <row r="53" spans="2:13" x14ac:dyDescent="0.25">
      <c r="B53" s="8" t="s">
        <v>33</v>
      </c>
      <c r="C53" s="3">
        <f>IFERROR('Data Sheet'!B62,0)</f>
        <v>737.28</v>
      </c>
      <c r="D53" s="3">
        <f>IFERROR('Data Sheet'!C62,0)</f>
        <v>828.45</v>
      </c>
      <c r="E53" s="3">
        <f>IFERROR('Data Sheet'!D62,0)</f>
        <v>800.15</v>
      </c>
      <c r="F53" s="3">
        <f>IFERROR('Data Sheet'!E62,0)</f>
        <v>789.22</v>
      </c>
      <c r="G53" s="3">
        <f>IFERROR('Data Sheet'!F62,0)</f>
        <v>809.46</v>
      </c>
      <c r="H53" s="3">
        <f>IFERROR('Data Sheet'!G62,0)</f>
        <v>2188.7199999999998</v>
      </c>
      <c r="I53" s="3">
        <f>IFERROR('Data Sheet'!H62,0)</f>
        <v>2145.5</v>
      </c>
      <c r="J53" s="3">
        <f>IFERROR('Data Sheet'!I62,0)</f>
        <v>2736.6</v>
      </c>
      <c r="K53" s="3">
        <f>IFERROR('Data Sheet'!J62,0)</f>
        <v>3488.23</v>
      </c>
      <c r="L53" s="3">
        <f>IFERROR('Data Sheet'!K62,0)</f>
        <v>6183.85</v>
      </c>
    </row>
    <row r="54" spans="2:13" x14ac:dyDescent="0.25">
      <c r="B54" s="8" t="s">
        <v>32</v>
      </c>
      <c r="C54" s="3">
        <f>IFERROR('Data Sheet'!B63,0)</f>
        <v>19.88</v>
      </c>
      <c r="D54" s="3">
        <f>IFERROR('Data Sheet'!C63,0)</f>
        <v>26.1</v>
      </c>
      <c r="E54" s="3">
        <f>IFERROR('Data Sheet'!D63,0)</f>
        <v>60.77</v>
      </c>
      <c r="F54" s="3">
        <f>IFERROR('Data Sheet'!E63,0)</f>
        <v>14.22</v>
      </c>
      <c r="G54" s="3">
        <f>IFERROR('Data Sheet'!F63,0)</f>
        <v>15.72</v>
      </c>
      <c r="H54" s="3">
        <f>IFERROR('Data Sheet'!G63,0)</f>
        <v>41.17</v>
      </c>
      <c r="I54" s="3">
        <f>IFERROR('Data Sheet'!H63,0)</f>
        <v>28.55</v>
      </c>
      <c r="J54" s="3">
        <f>IFERROR('Data Sheet'!I63,0)</f>
        <v>46.55</v>
      </c>
      <c r="K54" s="3">
        <f>IFERROR('Data Sheet'!J63,0)</f>
        <v>183.79</v>
      </c>
      <c r="L54" s="3">
        <f>IFERROR('Data Sheet'!K63,0)</f>
        <v>117.76</v>
      </c>
    </row>
    <row r="55" spans="2:13" x14ac:dyDescent="0.25">
      <c r="B55" s="8" t="s">
        <v>31</v>
      </c>
      <c r="C55" s="3">
        <f>IFERROR('Data Sheet'!B64,0)</f>
        <v>74.61</v>
      </c>
      <c r="D55" s="3">
        <f>IFERROR('Data Sheet'!C64,0)</f>
        <v>90.81</v>
      </c>
      <c r="E55" s="3">
        <f>IFERROR('Data Sheet'!D64,0)</f>
        <v>93.57</v>
      </c>
      <c r="F55" s="3">
        <f>IFERROR('Data Sheet'!E64,0)</f>
        <v>263.10000000000002</v>
      </c>
      <c r="G55" s="3">
        <f>IFERROR('Data Sheet'!F64,0)</f>
        <v>180.8</v>
      </c>
      <c r="H55" s="3">
        <f>IFERROR('Data Sheet'!G64,0)</f>
        <v>51.18</v>
      </c>
      <c r="I55" s="3">
        <f>IFERROR('Data Sheet'!H64,0)</f>
        <v>516.74</v>
      </c>
      <c r="J55" s="3">
        <f>IFERROR('Data Sheet'!I64,0)</f>
        <v>926.78</v>
      </c>
      <c r="K55" s="3">
        <f>IFERROR('Data Sheet'!J64,0)</f>
        <v>821.81</v>
      </c>
      <c r="L55" s="3">
        <f>IFERROR('Data Sheet'!K64,0)</f>
        <v>308.02999999999997</v>
      </c>
    </row>
    <row r="56" spans="2:13" x14ac:dyDescent="0.25">
      <c r="B56" s="8" t="s">
        <v>30</v>
      </c>
      <c r="C56" s="3">
        <f>IFERROR('Data Sheet'!B65-SUM('Data Sheet'!B67:B69),0)</f>
        <v>148.81</v>
      </c>
      <c r="D56" s="3">
        <f>IFERROR('Data Sheet'!C65-SUM('Data Sheet'!C67:C69),0)</f>
        <v>175.85000000000002</v>
      </c>
      <c r="E56" s="3">
        <f>IFERROR('Data Sheet'!D65-SUM('Data Sheet'!D67:D69),0)</f>
        <v>223.94</v>
      </c>
      <c r="F56" s="3">
        <f>IFERROR('Data Sheet'!E65-SUM('Data Sheet'!E67:E69),0)</f>
        <v>221.31</v>
      </c>
      <c r="G56" s="3">
        <f>IFERROR('Data Sheet'!F65-SUM('Data Sheet'!F67:F69),0)</f>
        <v>250.97000000000003</v>
      </c>
      <c r="H56" s="3">
        <f>IFERROR('Data Sheet'!G65-SUM('Data Sheet'!G67:G69),0)</f>
        <v>321.56999999999994</v>
      </c>
      <c r="I56" s="3">
        <f>IFERROR('Data Sheet'!H65-SUM('Data Sheet'!H67:H69),0)</f>
        <v>386.87000000000012</v>
      </c>
      <c r="J56" s="3">
        <f>IFERROR('Data Sheet'!I65-SUM('Data Sheet'!I67:I69),0)</f>
        <v>325.14999999999998</v>
      </c>
      <c r="K56" s="3">
        <f>IFERROR('Data Sheet'!J65-SUM('Data Sheet'!J67:J69),0)</f>
        <v>425.65999999999997</v>
      </c>
      <c r="L56" s="3">
        <f>IFERROR('Data Sheet'!K65-SUM('Data Sheet'!K67:K69),0)</f>
        <v>595.99</v>
      </c>
    </row>
    <row r="57" spans="2:13" x14ac:dyDescent="0.25">
      <c r="B57" s="9" t="s">
        <v>29</v>
      </c>
      <c r="C57" s="1">
        <f t="shared" ref="C57:L57" si="18">IFERROR(SUM(C53:C56),0)</f>
        <v>980.57999999999993</v>
      </c>
      <c r="D57" s="1">
        <f t="shared" si="18"/>
        <v>1121.21</v>
      </c>
      <c r="E57" s="1">
        <f t="shared" si="18"/>
        <v>1178.43</v>
      </c>
      <c r="F57" s="1">
        <f t="shared" si="18"/>
        <v>1287.8499999999999</v>
      </c>
      <c r="G57" s="1">
        <f t="shared" si="18"/>
        <v>1256.95</v>
      </c>
      <c r="H57" s="1">
        <f t="shared" si="18"/>
        <v>2602.6399999999994</v>
      </c>
      <c r="I57" s="1">
        <f t="shared" si="18"/>
        <v>3077.66</v>
      </c>
      <c r="J57" s="1">
        <f t="shared" si="18"/>
        <v>4035.0800000000004</v>
      </c>
      <c r="K57" s="1">
        <f t="shared" si="18"/>
        <v>4919.49</v>
      </c>
      <c r="L57" s="1">
        <f t="shared" si="18"/>
        <v>7205.63</v>
      </c>
    </row>
    <row r="58" spans="2:13" x14ac:dyDescent="0.25">
      <c r="B58" s="9"/>
      <c r="C58" s="3"/>
      <c r="D58" s="3"/>
      <c r="E58" s="3"/>
      <c r="F58" s="3"/>
      <c r="G58" s="3"/>
      <c r="H58" s="3"/>
      <c r="I58" s="3"/>
      <c r="J58" s="3"/>
      <c r="K58" s="3"/>
      <c r="L58" s="3"/>
    </row>
    <row r="59" spans="2:13" x14ac:dyDescent="0.25">
      <c r="B59" s="8" t="s">
        <v>28</v>
      </c>
      <c r="C59" s="3">
        <f>IFERROR('Data Sheet'!B67,0)</f>
        <v>11.87</v>
      </c>
      <c r="D59" s="3">
        <f>IFERROR('Data Sheet'!C67,0)</f>
        <v>12.48</v>
      </c>
      <c r="E59" s="3">
        <f>IFERROR('Data Sheet'!D67,0)</f>
        <v>16.100000000000001</v>
      </c>
      <c r="F59" s="3">
        <f>IFERROR('Data Sheet'!E67,0)</f>
        <v>15.65</v>
      </c>
      <c r="G59" s="3">
        <f>IFERROR('Data Sheet'!F67,0)</f>
        <v>27.44</v>
      </c>
      <c r="H59" s="3">
        <f>IFERROR('Data Sheet'!G67,0)</f>
        <v>16.64</v>
      </c>
      <c r="I59" s="3">
        <f>IFERROR('Data Sheet'!H67,0)</f>
        <v>16.8</v>
      </c>
      <c r="J59" s="3">
        <f>IFERROR('Data Sheet'!I67,0)</f>
        <v>22.05</v>
      </c>
      <c r="K59" s="3">
        <f>IFERROR('Data Sheet'!J67,0)</f>
        <v>28.73</v>
      </c>
      <c r="L59" s="3">
        <f>IFERROR('Data Sheet'!K67,0)</f>
        <v>265.07</v>
      </c>
    </row>
    <row r="60" spans="2:13" x14ac:dyDescent="0.25">
      <c r="B60" s="8" t="s">
        <v>27</v>
      </c>
      <c r="C60" s="3">
        <f>IFERROR('Data Sheet'!B68,0)</f>
        <v>43.34</v>
      </c>
      <c r="D60" s="3">
        <f>IFERROR('Data Sheet'!C68,0)</f>
        <v>55.17</v>
      </c>
      <c r="E60" s="3">
        <f>IFERROR('Data Sheet'!D68,0)</f>
        <v>60.72</v>
      </c>
      <c r="F60" s="3">
        <f>IFERROR('Data Sheet'!E68,0)</f>
        <v>64.209999999999994</v>
      </c>
      <c r="G60" s="3">
        <f>IFERROR('Data Sheet'!F68,0)</f>
        <v>77.08</v>
      </c>
      <c r="H60" s="3">
        <f>IFERROR('Data Sheet'!G68,0)</f>
        <v>94.72</v>
      </c>
      <c r="I60" s="3">
        <f>IFERROR('Data Sheet'!H68,0)</f>
        <v>133.13</v>
      </c>
      <c r="J60" s="3">
        <f>IFERROR('Data Sheet'!I68,0)</f>
        <v>161.18</v>
      </c>
      <c r="K60" s="3">
        <f>IFERROR('Data Sheet'!J68,0)</f>
        <v>177</v>
      </c>
      <c r="L60" s="3">
        <f>IFERROR('Data Sheet'!K68,0)</f>
        <v>409.89</v>
      </c>
    </row>
    <row r="61" spans="2:13" x14ac:dyDescent="0.25">
      <c r="B61" s="8" t="s">
        <v>26</v>
      </c>
      <c r="C61" s="3">
        <f>IFERROR('Data Sheet'!B69,0)</f>
        <v>38.909999999999997</v>
      </c>
      <c r="D61" s="3">
        <f>IFERROR('Data Sheet'!C69,0)</f>
        <v>33.17</v>
      </c>
      <c r="E61" s="3">
        <f>IFERROR('Data Sheet'!D69,0)</f>
        <v>35.39</v>
      </c>
      <c r="F61" s="3">
        <f>IFERROR('Data Sheet'!E69,0)</f>
        <v>129.03</v>
      </c>
      <c r="G61" s="3">
        <f>IFERROR('Data Sheet'!F69,0)</f>
        <v>494.27</v>
      </c>
      <c r="H61" s="3">
        <f>IFERROR('Data Sheet'!G69,0)</f>
        <v>655.88</v>
      </c>
      <c r="I61" s="3">
        <f>IFERROR('Data Sheet'!H69,0)</f>
        <v>539.17999999999995</v>
      </c>
      <c r="J61" s="3">
        <f>IFERROR('Data Sheet'!I69,0)</f>
        <v>563.36</v>
      </c>
      <c r="K61" s="3">
        <f>IFERROR('Data Sheet'!J69,0)</f>
        <v>256.91000000000003</v>
      </c>
      <c r="L61" s="3">
        <f>IFERROR('Data Sheet'!K69,0)</f>
        <v>156.94999999999999</v>
      </c>
    </row>
    <row r="62" spans="2:13" x14ac:dyDescent="0.25">
      <c r="B62" s="7" t="s">
        <v>25</v>
      </c>
      <c r="C62" s="1">
        <f t="shared" ref="C62:L62" si="19">IFERROR(SUM(C59:C61),0)</f>
        <v>94.12</v>
      </c>
      <c r="D62" s="1">
        <f t="shared" si="19"/>
        <v>100.82000000000001</v>
      </c>
      <c r="E62" s="1">
        <f t="shared" si="19"/>
        <v>112.21</v>
      </c>
      <c r="F62" s="1">
        <f t="shared" si="19"/>
        <v>208.89</v>
      </c>
      <c r="G62" s="1">
        <f t="shared" si="19"/>
        <v>598.79</v>
      </c>
      <c r="H62" s="1">
        <f t="shared" si="19"/>
        <v>767.24</v>
      </c>
      <c r="I62" s="1">
        <f t="shared" si="19"/>
        <v>689.1099999999999</v>
      </c>
      <c r="J62" s="1">
        <f t="shared" si="19"/>
        <v>746.59</v>
      </c>
      <c r="K62" s="1">
        <f t="shared" si="19"/>
        <v>462.64</v>
      </c>
      <c r="L62" s="1">
        <f t="shared" si="19"/>
        <v>831.91000000000008</v>
      </c>
    </row>
    <row r="64" spans="2:13" x14ac:dyDescent="0.25">
      <c r="B64" s="7" t="s">
        <v>24</v>
      </c>
      <c r="C64" s="1">
        <f t="shared" ref="C64:L64" si="20">IFERROR(C57+C62,0)</f>
        <v>1074.6999999999998</v>
      </c>
      <c r="D64" s="1">
        <f t="shared" si="20"/>
        <v>1222.03</v>
      </c>
      <c r="E64" s="1">
        <f t="shared" si="20"/>
        <v>1290.6400000000001</v>
      </c>
      <c r="F64" s="1">
        <f t="shared" si="20"/>
        <v>1496.7399999999998</v>
      </c>
      <c r="G64" s="1">
        <f t="shared" si="20"/>
        <v>1855.74</v>
      </c>
      <c r="H64" s="1">
        <f t="shared" si="20"/>
        <v>3369.8799999999992</v>
      </c>
      <c r="I64" s="1">
        <f t="shared" si="20"/>
        <v>3766.7699999999995</v>
      </c>
      <c r="J64" s="1">
        <f t="shared" si="20"/>
        <v>4781.67</v>
      </c>
      <c r="K64" s="1">
        <f t="shared" si="20"/>
        <v>5382.13</v>
      </c>
      <c r="L64" s="1">
        <f t="shared" si="20"/>
        <v>8037.54</v>
      </c>
    </row>
    <row r="66" spans="1:13" x14ac:dyDescent="0.25">
      <c r="B66" s="6" t="s">
        <v>23</v>
      </c>
      <c r="C66" s="6" t="b">
        <f t="shared" ref="C66:L66" si="21">C64=C51</f>
        <v>1</v>
      </c>
      <c r="D66" s="6" t="b">
        <f t="shared" si="21"/>
        <v>1</v>
      </c>
      <c r="E66" s="6" t="b">
        <f t="shared" si="21"/>
        <v>1</v>
      </c>
      <c r="F66" s="6" t="b">
        <f t="shared" si="21"/>
        <v>1</v>
      </c>
      <c r="G66" s="6" t="b">
        <f t="shared" si="21"/>
        <v>1</v>
      </c>
      <c r="H66" s="6" t="b">
        <f t="shared" si="21"/>
        <v>1</v>
      </c>
      <c r="I66" s="6" t="b">
        <f t="shared" si="21"/>
        <v>1</v>
      </c>
      <c r="J66" s="6" t="b">
        <f t="shared" si="21"/>
        <v>1</v>
      </c>
      <c r="K66" s="6" t="b">
        <f t="shared" si="21"/>
        <v>1</v>
      </c>
      <c r="L66" s="6" t="b">
        <f t="shared" si="21"/>
        <v>1</v>
      </c>
    </row>
    <row r="68" spans="1:13" x14ac:dyDescent="0.25">
      <c r="A68" s="2" t="s">
        <v>22</v>
      </c>
      <c r="B68" s="5" t="s">
        <v>21</v>
      </c>
      <c r="C68" s="4"/>
      <c r="D68" s="4"/>
      <c r="E68" s="4"/>
      <c r="F68" s="4"/>
      <c r="G68" s="4"/>
      <c r="H68" s="4"/>
      <c r="I68" s="4"/>
      <c r="J68" s="4"/>
      <c r="K68" s="4"/>
      <c r="L68" s="4"/>
      <c r="M68" s="4"/>
    </row>
    <row r="69" spans="1:13" x14ac:dyDescent="0.25">
      <c r="B69" s="2" t="s">
        <v>20</v>
      </c>
    </row>
    <row r="70" spans="1:13" x14ac:dyDescent="0.25">
      <c r="B70" t="s">
        <v>19</v>
      </c>
      <c r="C70" s="3">
        <f>IFERROR('Cash Flow Data'!E4,0)</f>
        <v>262</v>
      </c>
      <c r="D70" s="3">
        <f>IFERROR('Cash Flow Data'!F4,0)</f>
        <v>281</v>
      </c>
      <c r="E70" s="3">
        <f>IFERROR('Cash Flow Data'!G4,0)</f>
        <v>234</v>
      </c>
      <c r="F70" s="3">
        <f>IFERROR('Cash Flow Data'!H4,0)</f>
        <v>444</v>
      </c>
      <c r="G70" s="3">
        <f>IFERROR('Cash Flow Data'!I4,0)</f>
        <v>605</v>
      </c>
      <c r="H70" s="3">
        <f>IFERROR('Cash Flow Data'!J4,0)</f>
        <v>876</v>
      </c>
      <c r="I70" s="3">
        <f>IFERROR('Cash Flow Data'!K4,0)</f>
        <v>787</v>
      </c>
      <c r="J70" s="3">
        <f>IFERROR('Cash Flow Data'!L4,0)</f>
        <v>1112</v>
      </c>
      <c r="K70" s="3">
        <f>IFERROR('Cash Flow Data'!M4,0)</f>
        <v>1161</v>
      </c>
      <c r="L70" s="3">
        <f>IFERROR('Cash Flow Data'!N4,0)</f>
        <v>1195</v>
      </c>
    </row>
    <row r="71" spans="1:13" x14ac:dyDescent="0.25">
      <c r="B71" t="s">
        <v>28</v>
      </c>
      <c r="C71" s="3">
        <f>IFERROR('Cash Flow Data'!E5,0)</f>
        <v>-3</v>
      </c>
      <c r="D71" s="3">
        <f>IFERROR('Cash Flow Data'!F5,0)</f>
        <v>-1</v>
      </c>
      <c r="E71" s="3">
        <f>IFERROR('Cash Flow Data'!G5,0)</f>
        <v>-4</v>
      </c>
      <c r="F71" s="3">
        <f>IFERROR('Cash Flow Data'!H5,0)</f>
        <v>0</v>
      </c>
      <c r="G71" s="3">
        <f>IFERROR('Cash Flow Data'!I5,0)</f>
        <v>-13</v>
      </c>
      <c r="H71" s="3">
        <f>IFERROR('Cash Flow Data'!J5,0)</f>
        <v>11</v>
      </c>
      <c r="I71" s="3">
        <f>IFERROR('Cash Flow Data'!K5,0)</f>
        <v>-2</v>
      </c>
      <c r="J71" s="3">
        <f>IFERROR('Cash Flow Data'!L5,0)</f>
        <v>-6</v>
      </c>
      <c r="K71" s="3">
        <f>IFERROR('Cash Flow Data'!M5,0)</f>
        <v>-7</v>
      </c>
      <c r="L71" s="3">
        <f>IFERROR('Cash Flow Data'!N5,0)</f>
        <v>-62</v>
      </c>
    </row>
    <row r="72" spans="1:13" x14ac:dyDescent="0.25">
      <c r="B72" t="s">
        <v>27</v>
      </c>
      <c r="C72" s="3">
        <f>IFERROR('Cash Flow Data'!E6,0)</f>
        <v>-10</v>
      </c>
      <c r="D72" s="3">
        <f>IFERROR('Cash Flow Data'!F6,0)</f>
        <v>-12</v>
      </c>
      <c r="E72" s="3">
        <f>IFERROR('Cash Flow Data'!G6,0)</f>
        <v>-6</v>
      </c>
      <c r="F72" s="3">
        <f>IFERROR('Cash Flow Data'!H6,0)</f>
        <v>-3</v>
      </c>
      <c r="G72" s="3">
        <f>IFERROR('Cash Flow Data'!I6,0)</f>
        <v>-13</v>
      </c>
      <c r="H72" s="3">
        <f>IFERROR('Cash Flow Data'!J6,0)</f>
        <v>-18</v>
      </c>
      <c r="I72" s="3">
        <f>IFERROR('Cash Flow Data'!K6,0)</f>
        <v>-38</v>
      </c>
      <c r="J72" s="3">
        <f>IFERROR('Cash Flow Data'!L6,0)</f>
        <v>-27</v>
      </c>
      <c r="K72" s="3">
        <f>IFERROR('Cash Flow Data'!M6,0)</f>
        <v>-16</v>
      </c>
      <c r="L72" s="3">
        <f>IFERROR('Cash Flow Data'!N6,0)</f>
        <v>-114</v>
      </c>
    </row>
    <row r="73" spans="1:13" x14ac:dyDescent="0.25">
      <c r="B73" t="s">
        <v>108</v>
      </c>
      <c r="C73" s="3">
        <f>IFERROR('Cash Flow Data'!E7,0)</f>
        <v>0</v>
      </c>
      <c r="D73" s="3">
        <f>IFERROR('Cash Flow Data'!F7,0)</f>
        <v>0</v>
      </c>
      <c r="E73" s="3">
        <f>IFERROR('Cash Flow Data'!G7,0)</f>
        <v>18</v>
      </c>
      <c r="F73" s="3">
        <f>IFERROR('Cash Flow Data'!H7,0)</f>
        <v>80</v>
      </c>
      <c r="G73" s="3">
        <f>IFERROR('Cash Flow Data'!I7,0)</f>
        <v>32</v>
      </c>
      <c r="H73" s="3">
        <f>IFERROR('Cash Flow Data'!J7,0)</f>
        <v>18</v>
      </c>
      <c r="I73" s="3">
        <f>IFERROR('Cash Flow Data'!K7,0)</f>
        <v>86</v>
      </c>
      <c r="J73" s="3">
        <f>IFERROR('Cash Flow Data'!L7,0)</f>
        <v>4</v>
      </c>
      <c r="K73" s="3">
        <f>IFERROR('Cash Flow Data'!M7,0)</f>
        <v>24</v>
      </c>
      <c r="L73" s="3">
        <f>IFERROR('Cash Flow Data'!N7,0)</f>
        <v>97</v>
      </c>
    </row>
    <row r="74" spans="1:13" x14ac:dyDescent="0.25">
      <c r="B74" t="s">
        <v>18</v>
      </c>
      <c r="C74" s="3">
        <f>IFERROR('Cash Flow Data'!E8,0)</f>
        <v>-13</v>
      </c>
      <c r="D74" s="3">
        <f>IFERROR('Cash Flow Data'!F8,0)</f>
        <v>-27</v>
      </c>
      <c r="E74" s="3">
        <f>IFERROR('Cash Flow Data'!G8,0)</f>
        <v>0</v>
      </c>
      <c r="F74" s="3">
        <f>IFERROR('Cash Flow Data'!H8,0)</f>
        <v>0</v>
      </c>
      <c r="G74" s="3">
        <f>IFERROR('Cash Flow Data'!I8,0)</f>
        <v>0</v>
      </c>
      <c r="H74" s="3">
        <f>IFERROR('Cash Flow Data'!J8,0)</f>
        <v>0</v>
      </c>
      <c r="I74" s="3">
        <f>IFERROR('Cash Flow Data'!K8,0)</f>
        <v>0</v>
      </c>
      <c r="J74" s="3">
        <f>IFERROR('Cash Flow Data'!L8,0)</f>
        <v>0</v>
      </c>
      <c r="K74" s="3">
        <f>IFERROR('Cash Flow Data'!M8,0)</f>
        <v>0</v>
      </c>
      <c r="L74" s="3">
        <f>IFERROR('Cash Flow Data'!N8,0)</f>
        <v>0</v>
      </c>
    </row>
    <row r="75" spans="1:13" x14ac:dyDescent="0.25">
      <c r="B75" t="s">
        <v>17</v>
      </c>
      <c r="C75" s="3">
        <f>IFERROR('Cash Flow Data'!E9,0)</f>
        <v>75</v>
      </c>
      <c r="D75" s="3">
        <f>IFERROR('Cash Flow Data'!F9,0)</f>
        <v>8</v>
      </c>
      <c r="E75" s="3">
        <f>IFERROR('Cash Flow Data'!G9,0)</f>
        <v>-3</v>
      </c>
      <c r="F75" s="3">
        <f>IFERROR('Cash Flow Data'!H9,0)</f>
        <v>14</v>
      </c>
      <c r="G75" s="3">
        <f>IFERROR('Cash Flow Data'!I9,0)</f>
        <v>-10</v>
      </c>
      <c r="H75" s="3">
        <f>IFERROR('Cash Flow Data'!J9,0)</f>
        <v>-20</v>
      </c>
      <c r="I75" s="3">
        <f>IFERROR('Cash Flow Data'!K9,0)</f>
        <v>5</v>
      </c>
      <c r="J75" s="3">
        <f>IFERROR('Cash Flow Data'!L9,0)</f>
        <v>-12</v>
      </c>
      <c r="K75" s="3">
        <f>IFERROR('Cash Flow Data'!M9,0)</f>
        <v>-10</v>
      </c>
      <c r="L75" s="3">
        <f>IFERROR('Cash Flow Data'!N9,0)</f>
        <v>-17</v>
      </c>
    </row>
    <row r="76" spans="1:13" x14ac:dyDescent="0.25">
      <c r="B76" t="s">
        <v>16</v>
      </c>
      <c r="C76" s="3">
        <f>IFERROR('Cash Flow Data'!E10,0)</f>
        <v>49</v>
      </c>
      <c r="D76" s="3">
        <f>IFERROR('Cash Flow Data'!F10,0)</f>
        <v>-31</v>
      </c>
      <c r="E76" s="3">
        <f>IFERROR('Cash Flow Data'!G10,0)</f>
        <v>6</v>
      </c>
      <c r="F76" s="3">
        <f>IFERROR('Cash Flow Data'!H10,0)</f>
        <v>91</v>
      </c>
      <c r="G76" s="3">
        <f>IFERROR('Cash Flow Data'!I10,0)</f>
        <v>-4</v>
      </c>
      <c r="H76" s="3">
        <f>IFERROR('Cash Flow Data'!J10,0)</f>
        <v>-8</v>
      </c>
      <c r="I76" s="3">
        <f>IFERROR('Cash Flow Data'!K10,0)</f>
        <v>51</v>
      </c>
      <c r="J76" s="3">
        <f>IFERROR('Cash Flow Data'!L10,0)</f>
        <v>-41</v>
      </c>
      <c r="K76" s="3">
        <f>IFERROR('Cash Flow Data'!M10,0)</f>
        <v>-8</v>
      </c>
      <c r="L76" s="3">
        <f>IFERROR('Cash Flow Data'!N10,0)</f>
        <v>-96</v>
      </c>
    </row>
    <row r="77" spans="1:13" x14ac:dyDescent="0.25">
      <c r="B77" t="s">
        <v>15</v>
      </c>
      <c r="C77" s="3">
        <f>IFERROR('Cash Flow Data'!E11,0)</f>
        <v>-35</v>
      </c>
      <c r="D77" s="3">
        <f>IFERROR('Cash Flow Data'!F11,0)</f>
        <v>-39</v>
      </c>
      <c r="E77" s="3">
        <f>IFERROR('Cash Flow Data'!G11,0)</f>
        <v>-37</v>
      </c>
      <c r="F77" s="3">
        <f>IFERROR('Cash Flow Data'!H11,0)</f>
        <v>-126</v>
      </c>
      <c r="G77" s="3">
        <f>IFERROR('Cash Flow Data'!I11,0)</f>
        <v>-178</v>
      </c>
      <c r="H77" s="3">
        <f>IFERROR('Cash Flow Data'!J11,0)</f>
        <v>-140</v>
      </c>
      <c r="I77" s="3">
        <f>IFERROR('Cash Flow Data'!K11,0)</f>
        <v>-87</v>
      </c>
      <c r="J77" s="3">
        <f>IFERROR('Cash Flow Data'!L11,0)</f>
        <v>-141</v>
      </c>
      <c r="K77" s="3">
        <f>IFERROR('Cash Flow Data'!M11,0)</f>
        <v>-126</v>
      </c>
      <c r="L77" s="3">
        <f>IFERROR('Cash Flow Data'!N11,0)</f>
        <v>-89</v>
      </c>
    </row>
    <row r="78" spans="1:13" x14ac:dyDescent="0.25">
      <c r="B78" s="2" t="s">
        <v>14</v>
      </c>
      <c r="C78" s="1">
        <f t="shared" ref="C78:L78" si="22">IFERROR(SUM(C70:C77),0)</f>
        <v>325</v>
      </c>
      <c r="D78" s="1">
        <f t="shared" si="22"/>
        <v>179</v>
      </c>
      <c r="E78" s="1">
        <f t="shared" si="22"/>
        <v>208</v>
      </c>
      <c r="F78" s="1">
        <f t="shared" si="22"/>
        <v>500</v>
      </c>
      <c r="G78" s="1">
        <f t="shared" si="22"/>
        <v>419</v>
      </c>
      <c r="H78" s="1">
        <f t="shared" si="22"/>
        <v>719</v>
      </c>
      <c r="I78" s="1">
        <f t="shared" si="22"/>
        <v>802</v>
      </c>
      <c r="J78" s="1">
        <f t="shared" si="22"/>
        <v>889</v>
      </c>
      <c r="K78" s="1">
        <f t="shared" si="22"/>
        <v>1018</v>
      </c>
      <c r="L78" s="1">
        <f t="shared" si="22"/>
        <v>914</v>
      </c>
    </row>
    <row r="80" spans="1:13" x14ac:dyDescent="0.25">
      <c r="B80" s="2" t="s">
        <v>13</v>
      </c>
    </row>
    <row r="81" spans="2:12" x14ac:dyDescent="0.25">
      <c r="B81" t="s">
        <v>12</v>
      </c>
      <c r="C81" s="3">
        <f>IFERROR('Cash Flow Data'!E13,0)</f>
        <v>-287</v>
      </c>
      <c r="D81" s="3">
        <f>IFERROR('Cash Flow Data'!F13,0)</f>
        <v>-227</v>
      </c>
      <c r="E81" s="3">
        <f>IFERROR('Cash Flow Data'!G13,0)</f>
        <v>-201</v>
      </c>
      <c r="F81" s="3">
        <f>IFERROR('Cash Flow Data'!H13,0)</f>
        <v>-119</v>
      </c>
      <c r="G81" s="3">
        <f>IFERROR('Cash Flow Data'!I13,0)</f>
        <v>-167</v>
      </c>
      <c r="H81" s="3">
        <f>IFERROR('Cash Flow Data'!J13,0)</f>
        <v>-284</v>
      </c>
      <c r="I81" s="3">
        <f>IFERROR('Cash Flow Data'!K13,0)</f>
        <v>-219</v>
      </c>
      <c r="J81" s="3">
        <f>IFERROR('Cash Flow Data'!L13,0)</f>
        <v>-458</v>
      </c>
      <c r="K81" s="3">
        <f>IFERROR('Cash Flow Data'!M13,0)</f>
        <v>-842</v>
      </c>
      <c r="L81" s="3">
        <f>IFERROR('Cash Flow Data'!N13,0)</f>
        <v>-853</v>
      </c>
    </row>
    <row r="82" spans="2:12" x14ac:dyDescent="0.25">
      <c r="B82" t="s">
        <v>11</v>
      </c>
      <c r="C82" s="3">
        <f>IFERROR('Cash Flow Data'!E14,0)</f>
        <v>1</v>
      </c>
      <c r="D82" s="3">
        <f>IFERROR('Cash Flow Data'!F14,0)</f>
        <v>1</v>
      </c>
      <c r="E82" s="3">
        <f>IFERROR('Cash Flow Data'!G14,0)</f>
        <v>1</v>
      </c>
      <c r="F82" s="3">
        <f>IFERROR('Cash Flow Data'!H14,0)</f>
        <v>3</v>
      </c>
      <c r="G82" s="3">
        <f>IFERROR('Cash Flow Data'!I14,0)</f>
        <v>1</v>
      </c>
      <c r="H82" s="3">
        <f>IFERROR('Cash Flow Data'!J14,0)</f>
        <v>1</v>
      </c>
      <c r="I82" s="3">
        <f>IFERROR('Cash Flow Data'!K14,0)</f>
        <v>1</v>
      </c>
      <c r="J82" s="3">
        <f>IFERROR('Cash Flow Data'!L14,0)</f>
        <v>2</v>
      </c>
      <c r="K82" s="3">
        <f>IFERROR('Cash Flow Data'!M14,0)</f>
        <v>4</v>
      </c>
      <c r="L82" s="3">
        <f>IFERROR('Cash Flow Data'!N14,0)</f>
        <v>5</v>
      </c>
    </row>
    <row r="83" spans="2:12" x14ac:dyDescent="0.25">
      <c r="B83" t="s">
        <v>109</v>
      </c>
      <c r="C83" s="3">
        <f>IFERROR('Cash Flow Data'!E15,0)</f>
        <v>-1094</v>
      </c>
      <c r="D83" s="3">
        <f>IFERROR('Cash Flow Data'!F15,0)</f>
        <v>-1229</v>
      </c>
      <c r="E83" s="3">
        <f>IFERROR('Cash Flow Data'!G15,0)</f>
        <v>-1706</v>
      </c>
      <c r="F83" s="3">
        <f>IFERROR('Cash Flow Data'!H15,0)</f>
        <v>-1872</v>
      </c>
      <c r="G83" s="3">
        <f>IFERROR('Cash Flow Data'!I15,0)</f>
        <v>0</v>
      </c>
      <c r="H83" s="3">
        <f>IFERROR('Cash Flow Data'!J15,0)</f>
        <v>0</v>
      </c>
      <c r="I83" s="3">
        <f>IFERROR('Cash Flow Data'!K15,0)</f>
        <v>-278</v>
      </c>
      <c r="J83" s="3">
        <f>IFERROR('Cash Flow Data'!L15,0)</f>
        <v>-160</v>
      </c>
      <c r="K83" s="3">
        <f>IFERROR('Cash Flow Data'!M15,0)</f>
        <v>-89</v>
      </c>
      <c r="L83" s="3">
        <f>IFERROR('Cash Flow Data'!N15,0)</f>
        <v>-738</v>
      </c>
    </row>
    <row r="84" spans="2:12" x14ac:dyDescent="0.25">
      <c r="B84" t="s">
        <v>110</v>
      </c>
      <c r="C84" s="3">
        <f>IFERROR('Cash Flow Data'!E16,0)</f>
        <v>1114</v>
      </c>
      <c r="D84" s="3">
        <f>IFERROR('Cash Flow Data'!F16,0)</f>
        <v>1249</v>
      </c>
      <c r="E84" s="3">
        <f>IFERROR('Cash Flow Data'!G16,0)</f>
        <v>1709</v>
      </c>
      <c r="F84" s="3">
        <f>IFERROR('Cash Flow Data'!H16,0)</f>
        <v>1702</v>
      </c>
      <c r="G84" s="3">
        <f>IFERROR('Cash Flow Data'!I16,0)</f>
        <v>96</v>
      </c>
      <c r="H84" s="3">
        <f>IFERROR('Cash Flow Data'!J16,0)</f>
        <v>144</v>
      </c>
      <c r="I84" s="3">
        <f>IFERROR('Cash Flow Data'!K16,0)</f>
        <v>0</v>
      </c>
      <c r="J84" s="3">
        <f>IFERROR('Cash Flow Data'!L16,0)</f>
        <v>0</v>
      </c>
      <c r="K84" s="3">
        <f>IFERROR('Cash Flow Data'!M16,0)</f>
        <v>0</v>
      </c>
      <c r="L84" s="3">
        <f>IFERROR('Cash Flow Data'!N16,0)</f>
        <v>0</v>
      </c>
    </row>
    <row r="85" spans="2:12" x14ac:dyDescent="0.25">
      <c r="B85" t="s">
        <v>111</v>
      </c>
      <c r="C85" s="3">
        <f>IFERROR('Cash Flow Data'!E17,0)</f>
        <v>0</v>
      </c>
      <c r="D85" s="3">
        <f>IFERROR('Cash Flow Data'!F17,0)</f>
        <v>0</v>
      </c>
      <c r="E85" s="3">
        <f>IFERROR('Cash Flow Data'!G17,0)</f>
        <v>0</v>
      </c>
      <c r="F85" s="3">
        <f>IFERROR('Cash Flow Data'!H17,0)</f>
        <v>0</v>
      </c>
      <c r="G85" s="3">
        <f>IFERROR('Cash Flow Data'!I17,0)</f>
        <v>16</v>
      </c>
      <c r="H85" s="3">
        <f>IFERROR('Cash Flow Data'!J17,0)</f>
        <v>39</v>
      </c>
      <c r="I85" s="3">
        <f>IFERROR('Cash Flow Data'!K17,0)</f>
        <v>37</v>
      </c>
      <c r="J85" s="3">
        <f>IFERROR('Cash Flow Data'!L17,0)</f>
        <v>23</v>
      </c>
      <c r="K85" s="3">
        <f>IFERROR('Cash Flow Data'!M17,0)</f>
        <v>21</v>
      </c>
      <c r="L85" s="3">
        <f>IFERROR('Cash Flow Data'!N17,0)</f>
        <v>13</v>
      </c>
    </row>
    <row r="86" spans="2:12" x14ac:dyDescent="0.25">
      <c r="B86" t="s">
        <v>10</v>
      </c>
      <c r="C86" s="3">
        <f>IFERROR('Cash Flow Data'!E18,0)</f>
        <v>6</v>
      </c>
      <c r="D86" s="3">
        <f>IFERROR('Cash Flow Data'!F18,0)</f>
        <v>6</v>
      </c>
      <c r="E86" s="3">
        <f>IFERROR('Cash Flow Data'!G18,0)</f>
        <v>8</v>
      </c>
      <c r="F86" s="3">
        <f>IFERROR('Cash Flow Data'!H18,0)</f>
        <v>10</v>
      </c>
      <c r="G86" s="3">
        <f>IFERROR('Cash Flow Data'!I18,0)</f>
        <v>6</v>
      </c>
      <c r="H86" s="3">
        <f>IFERROR('Cash Flow Data'!J18,0)</f>
        <v>0</v>
      </c>
      <c r="I86" s="3">
        <f>IFERROR('Cash Flow Data'!K18,0)</f>
        <v>0</v>
      </c>
      <c r="J86" s="3">
        <f>IFERROR('Cash Flow Data'!L18,0)</f>
        <v>0</v>
      </c>
      <c r="K86" s="3">
        <f>IFERROR('Cash Flow Data'!M18,0)</f>
        <v>0</v>
      </c>
      <c r="L86" s="3">
        <f>IFERROR('Cash Flow Data'!N18,0)</f>
        <v>0</v>
      </c>
    </row>
    <row r="87" spans="2:12" x14ac:dyDescent="0.25">
      <c r="B87" t="s">
        <v>9</v>
      </c>
      <c r="C87" s="3">
        <f>IFERROR('Cash Flow Data'!E19,0)</f>
        <v>-2</v>
      </c>
      <c r="D87" s="3">
        <f>IFERROR('Cash Flow Data'!F19,0)</f>
        <v>1</v>
      </c>
      <c r="E87" s="3">
        <f>IFERROR('Cash Flow Data'!G19,0)</f>
        <v>0</v>
      </c>
      <c r="F87" s="3">
        <f>IFERROR('Cash Flow Data'!H19,0)</f>
        <v>-56</v>
      </c>
      <c r="G87" s="3">
        <f>IFERROR('Cash Flow Data'!I19,0)</f>
        <v>-409</v>
      </c>
      <c r="H87" s="3">
        <f>IFERROR('Cash Flow Data'!J19,0)</f>
        <v>1</v>
      </c>
      <c r="I87" s="3">
        <f>IFERROR('Cash Flow Data'!K19,0)</f>
        <v>-143</v>
      </c>
      <c r="J87" s="3">
        <f>IFERROR('Cash Flow Data'!L19,0)</f>
        <v>-62</v>
      </c>
      <c r="K87" s="3">
        <f>IFERROR('Cash Flow Data'!M19,0)</f>
        <v>311</v>
      </c>
      <c r="L87" s="3">
        <f>IFERROR('Cash Flow Data'!N19,0)</f>
        <v>287</v>
      </c>
    </row>
    <row r="88" spans="2:12" x14ac:dyDescent="0.25">
      <c r="B88" s="2" t="s">
        <v>8</v>
      </c>
      <c r="C88" s="1">
        <f t="shared" ref="C88:L88" si="23">IFERROR(SUM(C81:C87),0)</f>
        <v>-262</v>
      </c>
      <c r="D88" s="1">
        <f t="shared" si="23"/>
        <v>-199</v>
      </c>
      <c r="E88" s="1">
        <f t="shared" si="23"/>
        <v>-189</v>
      </c>
      <c r="F88" s="1">
        <f t="shared" si="23"/>
        <v>-332</v>
      </c>
      <c r="G88" s="1">
        <f t="shared" si="23"/>
        <v>-457</v>
      </c>
      <c r="H88" s="1">
        <f t="shared" si="23"/>
        <v>-99</v>
      </c>
      <c r="I88" s="1">
        <f t="shared" si="23"/>
        <v>-602</v>
      </c>
      <c r="J88" s="1">
        <f t="shared" si="23"/>
        <v>-655</v>
      </c>
      <c r="K88" s="1">
        <f t="shared" si="23"/>
        <v>-595</v>
      </c>
      <c r="L88" s="1">
        <f t="shared" si="23"/>
        <v>-1286</v>
      </c>
    </row>
    <row r="89" spans="2:12" x14ac:dyDescent="0.25">
      <c r="C89" s="3"/>
      <c r="D89" s="3"/>
      <c r="E89" s="3"/>
      <c r="F89" s="3"/>
      <c r="G89" s="3"/>
      <c r="H89" s="3"/>
      <c r="I89" s="3"/>
      <c r="J89" s="3"/>
      <c r="K89" s="3"/>
      <c r="L89" s="3"/>
    </row>
    <row r="90" spans="2:12" x14ac:dyDescent="0.25">
      <c r="B90" s="2" t="s">
        <v>7</v>
      </c>
      <c r="C90" s="3"/>
      <c r="D90" s="3"/>
      <c r="E90" s="3"/>
      <c r="F90" s="3"/>
      <c r="G90" s="3"/>
      <c r="H90" s="3"/>
      <c r="I90" s="3"/>
      <c r="J90" s="3"/>
      <c r="K90" s="3"/>
      <c r="L90" s="3"/>
    </row>
    <row r="91" spans="2:12" x14ac:dyDescent="0.25">
      <c r="B91" t="s">
        <v>6</v>
      </c>
      <c r="C91" s="3">
        <f>IFERROR('Cash Flow Data'!E21,0)</f>
        <v>1</v>
      </c>
      <c r="D91" s="3">
        <f>IFERROR('Cash Flow Data'!F21,0)</f>
        <v>2</v>
      </c>
      <c r="E91" s="3">
        <f>IFERROR('Cash Flow Data'!G21,0)</f>
        <v>5</v>
      </c>
      <c r="F91" s="3">
        <f>IFERROR('Cash Flow Data'!H21,0)</f>
        <v>21</v>
      </c>
      <c r="G91" s="3">
        <f>IFERROR('Cash Flow Data'!I21,0)</f>
        <v>23</v>
      </c>
      <c r="H91" s="3">
        <f>IFERROR('Cash Flow Data'!J21,0)</f>
        <v>11</v>
      </c>
      <c r="I91" s="3">
        <f>IFERROR('Cash Flow Data'!K21,0)</f>
        <v>3</v>
      </c>
      <c r="J91" s="3">
        <f>IFERROR('Cash Flow Data'!L21,0)</f>
        <v>6</v>
      </c>
      <c r="K91" s="3">
        <f>IFERROR('Cash Flow Data'!M21,0)</f>
        <v>8</v>
      </c>
      <c r="L91" s="3">
        <f>IFERROR('Cash Flow Data'!N21,0)</f>
        <v>0</v>
      </c>
    </row>
    <row r="92" spans="2:12" x14ac:dyDescent="0.25">
      <c r="B92" t="s">
        <v>5</v>
      </c>
      <c r="C92" s="3">
        <f>IFERROR('Cash Flow Data'!E22,0)</f>
        <v>0</v>
      </c>
      <c r="D92" s="3">
        <f>IFERROR('Cash Flow Data'!F22,0)</f>
        <v>0</v>
      </c>
      <c r="E92" s="3">
        <f>IFERROR('Cash Flow Data'!G22,0)</f>
        <v>0</v>
      </c>
      <c r="F92" s="3">
        <f>IFERROR('Cash Flow Data'!H22,0)</f>
        <v>0</v>
      </c>
      <c r="G92" s="3">
        <f>IFERROR('Cash Flow Data'!I22,0)</f>
        <v>0</v>
      </c>
      <c r="H92" s="3">
        <f>IFERROR('Cash Flow Data'!J22,0)</f>
        <v>0</v>
      </c>
      <c r="I92" s="3">
        <f>IFERROR('Cash Flow Data'!K22,0)</f>
        <v>0</v>
      </c>
      <c r="J92" s="3">
        <f>IFERROR('Cash Flow Data'!L22,0)</f>
        <v>120</v>
      </c>
      <c r="K92" s="3">
        <f>IFERROR('Cash Flow Data'!M22,0)</f>
        <v>63</v>
      </c>
      <c r="L92" s="3">
        <f>IFERROR('Cash Flow Data'!N22,0)</f>
        <v>1101</v>
      </c>
    </row>
    <row r="93" spans="2:12" x14ac:dyDescent="0.25">
      <c r="B93" t="s">
        <v>4</v>
      </c>
      <c r="C93" s="3">
        <f>IFERROR('Cash Flow Data'!E23,0)</f>
        <v>0</v>
      </c>
      <c r="D93" s="3">
        <f>IFERROR('Cash Flow Data'!F23,0)</f>
        <v>0</v>
      </c>
      <c r="E93" s="3">
        <f>IFERROR('Cash Flow Data'!G23,0)</f>
        <v>0</v>
      </c>
      <c r="F93" s="3">
        <f>IFERROR('Cash Flow Data'!H23,0)</f>
        <v>0</v>
      </c>
      <c r="G93" s="3">
        <f>IFERROR('Cash Flow Data'!I23,0)</f>
        <v>0</v>
      </c>
      <c r="H93" s="3">
        <f>IFERROR('Cash Flow Data'!J23,0)</f>
        <v>0</v>
      </c>
      <c r="I93" s="3">
        <f>IFERROR('Cash Flow Data'!K23,0)</f>
        <v>0</v>
      </c>
      <c r="J93" s="3">
        <f>IFERROR('Cash Flow Data'!L23,0)</f>
        <v>0</v>
      </c>
      <c r="K93" s="3">
        <f>IFERROR('Cash Flow Data'!M23,0)</f>
        <v>0</v>
      </c>
      <c r="L93" s="3">
        <f>IFERROR('Cash Flow Data'!N23,0)</f>
        <v>-92</v>
      </c>
    </row>
    <row r="94" spans="2:12" x14ac:dyDescent="0.25">
      <c r="B94" t="s">
        <v>161</v>
      </c>
      <c r="C94" s="3">
        <f>IFERROR('Cash Flow Data'!E24,0)</f>
        <v>0</v>
      </c>
      <c r="D94" s="3">
        <f>IFERROR('Cash Flow Data'!F24,0)</f>
        <v>0</v>
      </c>
      <c r="E94" s="3">
        <f>IFERROR('Cash Flow Data'!G24,0)</f>
        <v>0</v>
      </c>
      <c r="F94" s="3">
        <f>IFERROR('Cash Flow Data'!H24,0)</f>
        <v>0</v>
      </c>
      <c r="G94" s="3">
        <f>IFERROR('Cash Flow Data'!I24,0)</f>
        <v>0</v>
      </c>
      <c r="H94" s="3">
        <f>IFERROR('Cash Flow Data'!J24,0)</f>
        <v>0</v>
      </c>
      <c r="I94" s="3">
        <f>IFERROR('Cash Flow Data'!K24,0)</f>
        <v>0</v>
      </c>
      <c r="J94" s="3">
        <f>IFERROR('Cash Flow Data'!L24,0)</f>
        <v>0</v>
      </c>
      <c r="K94" s="3">
        <f>IFERROR('Cash Flow Data'!M24,0)</f>
        <v>-3</v>
      </c>
      <c r="L94" s="3">
        <f>IFERROR('Cash Flow Data'!N24,0)</f>
        <v>-44</v>
      </c>
    </row>
    <row r="95" spans="2:12" x14ac:dyDescent="0.25">
      <c r="B95" t="s">
        <v>3</v>
      </c>
      <c r="C95" s="3">
        <f>IFERROR('Cash Flow Data'!E25,0)</f>
        <v>0</v>
      </c>
      <c r="D95" s="3">
        <f>IFERROR('Cash Flow Data'!F25,0)</f>
        <v>-16</v>
      </c>
      <c r="E95" s="3">
        <f>IFERROR('Cash Flow Data'!G25,0)</f>
        <v>-16</v>
      </c>
      <c r="F95" s="3">
        <f>IFERROR('Cash Flow Data'!H25,0)</f>
        <v>-16</v>
      </c>
      <c r="G95" s="3">
        <f>IFERROR('Cash Flow Data'!I25,0)</f>
        <v>-33</v>
      </c>
      <c r="H95" s="3">
        <f>IFERROR('Cash Flow Data'!J25,0)</f>
        <v>-145</v>
      </c>
      <c r="I95" s="3">
        <f>IFERROR('Cash Flow Data'!K25,0)</f>
        <v>0</v>
      </c>
      <c r="J95" s="3">
        <f>IFERROR('Cash Flow Data'!L25,0)</f>
        <v>-79</v>
      </c>
      <c r="K95" s="3">
        <f>IFERROR('Cash Flow Data'!M25,0)</f>
        <v>-79</v>
      </c>
      <c r="L95" s="3">
        <f>IFERROR('Cash Flow Data'!N25,0)</f>
        <v>-79</v>
      </c>
    </row>
    <row r="96" spans="2:12" x14ac:dyDescent="0.25">
      <c r="B96" t="s">
        <v>112</v>
      </c>
      <c r="C96" s="3">
        <f>IFERROR('Cash Flow Data'!E26,0)</f>
        <v>0</v>
      </c>
      <c r="D96" s="3">
        <f>IFERROR('Cash Flow Data'!F26,0)</f>
        <v>0</v>
      </c>
      <c r="E96" s="3">
        <f>IFERROR('Cash Flow Data'!G26,0)</f>
        <v>0</v>
      </c>
      <c r="F96" s="3">
        <f>IFERROR('Cash Flow Data'!H26,0)</f>
        <v>0</v>
      </c>
      <c r="G96" s="3">
        <f>IFERROR('Cash Flow Data'!I26,0)</f>
        <v>0</v>
      </c>
      <c r="H96" s="3">
        <f>IFERROR('Cash Flow Data'!J26,0)</f>
        <v>-297</v>
      </c>
      <c r="I96" s="3">
        <f>IFERROR('Cash Flow Data'!K26,0)</f>
        <v>-284</v>
      </c>
      <c r="J96" s="3">
        <f>IFERROR('Cash Flow Data'!L26,0)</f>
        <v>-310</v>
      </c>
      <c r="K96" s="3">
        <f>IFERROR('Cash Flow Data'!M26,0)</f>
        <v>-373</v>
      </c>
      <c r="L96" s="3">
        <f>IFERROR('Cash Flow Data'!N26,0)</f>
        <v>-450</v>
      </c>
    </row>
    <row r="97" spans="2:12" x14ac:dyDescent="0.25">
      <c r="B97" t="s">
        <v>2</v>
      </c>
      <c r="C97" s="3">
        <f>IFERROR('Cash Flow Data'!E27,0)</f>
        <v>0</v>
      </c>
      <c r="D97" s="3">
        <f>IFERROR('Cash Flow Data'!F27,0)</f>
        <v>-3</v>
      </c>
      <c r="E97" s="3">
        <f>IFERROR('Cash Flow Data'!G27,0)</f>
        <v>-3</v>
      </c>
      <c r="F97" s="3">
        <f>IFERROR('Cash Flow Data'!H27,0)</f>
        <v>-39</v>
      </c>
      <c r="G97" s="3">
        <f>IFERROR('Cash Flow Data'!I27,0)</f>
        <v>-7</v>
      </c>
      <c r="H97" s="3">
        <f>IFERROR('Cash Flow Data'!J27,0)</f>
        <v>-30</v>
      </c>
      <c r="I97" s="3">
        <f>IFERROR('Cash Flow Data'!K27,0)</f>
        <v>-7</v>
      </c>
      <c r="J97" s="3">
        <f>IFERROR('Cash Flow Data'!L27,0)</f>
        <v>-43</v>
      </c>
      <c r="K97" s="3">
        <f>IFERROR('Cash Flow Data'!M27,0)</f>
        <v>-42</v>
      </c>
      <c r="L97" s="3">
        <f>IFERROR('Cash Flow Data'!N27,0)</f>
        <v>-59</v>
      </c>
    </row>
    <row r="98" spans="2:12" x14ac:dyDescent="0.25">
      <c r="B98" s="2" t="s">
        <v>1</v>
      </c>
      <c r="C98" s="1">
        <f>IFERROR(SUM(C91:C97),0)</f>
        <v>1</v>
      </c>
      <c r="D98" s="1">
        <f t="shared" ref="D98:L98" si="24">IFERROR(SUM(D91:D97),0)</f>
        <v>-17</v>
      </c>
      <c r="E98" s="1">
        <f t="shared" si="24"/>
        <v>-14</v>
      </c>
      <c r="F98" s="1">
        <f t="shared" si="24"/>
        <v>-34</v>
      </c>
      <c r="G98" s="1">
        <f t="shared" si="24"/>
        <v>-17</v>
      </c>
      <c r="H98" s="1">
        <f t="shared" si="24"/>
        <v>-461</v>
      </c>
      <c r="I98" s="1">
        <f t="shared" si="24"/>
        <v>-288</v>
      </c>
      <c r="J98" s="1">
        <f t="shared" si="24"/>
        <v>-306</v>
      </c>
      <c r="K98" s="1">
        <f t="shared" si="24"/>
        <v>-426</v>
      </c>
      <c r="L98" s="1">
        <f t="shared" si="24"/>
        <v>377</v>
      </c>
    </row>
    <row r="99" spans="2:12" x14ac:dyDescent="0.25">
      <c r="C99" s="3"/>
      <c r="D99" s="3"/>
      <c r="E99" s="3"/>
      <c r="F99" s="3"/>
      <c r="G99" s="3"/>
      <c r="H99" s="3"/>
      <c r="I99" s="3"/>
      <c r="J99" s="3"/>
      <c r="K99" s="3"/>
      <c r="L99" s="3"/>
    </row>
    <row r="100" spans="2:12" x14ac:dyDescent="0.25">
      <c r="B100" s="2" t="s">
        <v>0</v>
      </c>
      <c r="C100" s="1">
        <f>IFERROR(C78+C88+C98,0)</f>
        <v>64</v>
      </c>
      <c r="D100" s="1">
        <f t="shared" ref="D100:L100" si="25">IFERROR(D78+D88+D98,0)</f>
        <v>-37</v>
      </c>
      <c r="E100" s="1">
        <f t="shared" si="25"/>
        <v>5</v>
      </c>
      <c r="F100" s="1">
        <f t="shared" si="25"/>
        <v>134</v>
      </c>
      <c r="G100" s="1">
        <f t="shared" si="25"/>
        <v>-55</v>
      </c>
      <c r="H100" s="1">
        <f t="shared" si="25"/>
        <v>159</v>
      </c>
      <c r="I100" s="1">
        <f t="shared" si="25"/>
        <v>-88</v>
      </c>
      <c r="J100" s="1">
        <f t="shared" si="25"/>
        <v>-72</v>
      </c>
      <c r="K100" s="1">
        <f t="shared" si="25"/>
        <v>-3</v>
      </c>
      <c r="L100" s="1">
        <f t="shared" si="25"/>
        <v>5</v>
      </c>
    </row>
    <row r="101" spans="2:12" x14ac:dyDescent="0.25">
      <c r="C101" s="1"/>
      <c r="D101" s="1"/>
      <c r="E101" s="1"/>
      <c r="F101" s="1"/>
      <c r="G101" s="1"/>
      <c r="H101" s="1"/>
      <c r="I101" s="1"/>
      <c r="J101" s="1"/>
      <c r="K101" s="1"/>
      <c r="L101" s="1"/>
    </row>
  </sheetData>
  <mergeCells count="1">
    <mergeCell ref="B2:M2"/>
  </mergeCells>
  <pageMargins left="0.7" right="0.7" top="0.75" bottom="0.75" header="0.3" footer="0.3"/>
  <pageSetup orientation="portrait" r:id="rId1"/>
  <ignoredErrors>
    <ignoredError sqref="M6 M9 C15:L15 M2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4E9C3-E594-4C26-B625-91FAE4172A2B}">
  <sheetPr codeName="Sheet4"/>
  <dimension ref="B2:V52"/>
  <sheetViews>
    <sheetView showGridLines="0" zoomScaleNormal="100" workbookViewId="0">
      <pane ySplit="3" topLeftCell="A4" activePane="bottomLeft" state="frozen"/>
      <selection pane="bottomLeft" activeCell="M12" sqref="M12"/>
    </sheetView>
  </sheetViews>
  <sheetFormatPr defaultRowHeight="15" x14ac:dyDescent="0.25"/>
  <cols>
    <col min="1" max="1" width="1.85546875" customWidth="1"/>
    <col min="2" max="2" width="30.140625" customWidth="1"/>
    <col min="4" max="8" width="10.5703125" bestFit="1" customWidth="1"/>
    <col min="9" max="9" width="13.140625" customWidth="1"/>
    <col min="10" max="10" width="10.28515625" bestFit="1" customWidth="1"/>
    <col min="11" max="11" width="10.7109375" bestFit="1" customWidth="1"/>
  </cols>
  <sheetData>
    <row r="2" spans="2:15" x14ac:dyDescent="0.25">
      <c r="B2" s="66" t="str">
        <f>'Data Sheet'!B1</f>
        <v>JUBILANT FOODWORKS LTD</v>
      </c>
      <c r="C2" s="66"/>
      <c r="D2" s="66"/>
      <c r="E2" s="66"/>
      <c r="F2" s="66"/>
      <c r="G2" s="66"/>
      <c r="H2" s="66"/>
      <c r="I2" s="66"/>
      <c r="J2" s="66"/>
      <c r="K2" s="66"/>
    </row>
    <row r="3" spans="2:15" x14ac:dyDescent="0.25">
      <c r="B3" s="31" t="s">
        <v>133</v>
      </c>
      <c r="C3" s="31"/>
      <c r="D3" s="32">
        <f>'Data Sheet'!G16</f>
        <v>43921</v>
      </c>
      <c r="E3" s="32">
        <f>'Data Sheet'!H16</f>
        <v>44286</v>
      </c>
      <c r="F3" s="32">
        <f>'Data Sheet'!I16</f>
        <v>44651</v>
      </c>
      <c r="G3" s="32">
        <f>'Data Sheet'!J16</f>
        <v>45016</v>
      </c>
      <c r="H3" s="32">
        <f>'Data Sheet'!K16</f>
        <v>45382</v>
      </c>
      <c r="I3" s="31" t="s">
        <v>158</v>
      </c>
      <c r="J3" s="32" t="s">
        <v>156</v>
      </c>
      <c r="K3" s="32" t="s">
        <v>157</v>
      </c>
    </row>
    <row r="4" spans="2:15" x14ac:dyDescent="0.25">
      <c r="B4" s="2" t="s">
        <v>152</v>
      </c>
    </row>
    <row r="5" spans="2:15" x14ac:dyDescent="0.25">
      <c r="B5" t="s">
        <v>65</v>
      </c>
      <c r="D5" s="33">
        <f>IFERROR((HistoricalFS!H6-HistoricalFS!G6)/HistoricalFS!G6,0)</f>
        <v>0.10219357083920366</v>
      </c>
      <c r="E5" s="33">
        <f>IFERROR((HistoricalFS!I6-HistoricalFS!H6)/HistoricalFS!H6,0)</f>
        <v>-0.15669918289295109</v>
      </c>
      <c r="F5" s="33">
        <f>IFERROR((HistoricalFS!J6-HistoricalFS!I6)/HistoricalFS!I6,0)</f>
        <v>0.32738301926102176</v>
      </c>
      <c r="G5" s="33">
        <f>IFERROR((HistoricalFS!K6-HistoricalFS!J6)/HistoricalFS!J6,0)</f>
        <v>0.17336423937472137</v>
      </c>
      <c r="H5" s="33">
        <f>IFERROR((HistoricalFS!L6-HistoricalFS!K6)/HistoricalFS!K6,0)</f>
        <v>9.6125624000387752E-2</v>
      </c>
      <c r="J5" s="41">
        <f>IFERROR(AVERAGE(D5:H5),0)</f>
        <v>0.10847345411647669</v>
      </c>
      <c r="K5" s="41">
        <f>IFERROR(MEDIAN(D5:H5),0)</f>
        <v>0.10219357083920366</v>
      </c>
      <c r="N5" s="2"/>
      <c r="O5" s="40"/>
    </row>
    <row r="6" spans="2:15" x14ac:dyDescent="0.25">
      <c r="B6" t="s">
        <v>116</v>
      </c>
      <c r="D6" s="33">
        <f>IFERROR((HistoricalFS!H18-HistoricalFS!G18)/HistoricalFS!G18,0)</f>
        <v>0.46480369055125992</v>
      </c>
      <c r="E6" s="33">
        <f>IFERROR((HistoricalFS!I18-HistoricalFS!H18)/HistoricalFS!H18,0)</f>
        <v>-0.11632227659960166</v>
      </c>
      <c r="F6" s="33">
        <f>IFERROR((HistoricalFS!J18-HistoricalFS!I18)/HistoricalFS!I18,0)</f>
        <v>0.41833752115276152</v>
      </c>
      <c r="G6" s="33">
        <f>IFERROR((HistoricalFS!K18-HistoricalFS!J18)/HistoricalFS!J18,0)</f>
        <v>2.6745363172926955E-2</v>
      </c>
      <c r="H6" s="33">
        <f>IFERROR((HistoricalFS!L18-HistoricalFS!K18)/HistoricalFS!K18,0)</f>
        <v>1.9719177780713273E-2</v>
      </c>
      <c r="J6" s="41">
        <f>IFERROR(AVERAGE(D6:H6),0)</f>
        <v>0.16265669521161202</v>
      </c>
      <c r="K6" s="41">
        <f t="shared" ref="K6:K51" si="0">IFERROR(MEDIAN(D6:H6),0)</f>
        <v>2.6745363172926955E-2</v>
      </c>
    </row>
    <row r="7" spans="2:15" x14ac:dyDescent="0.25">
      <c r="B7" t="s">
        <v>117</v>
      </c>
      <c r="D7" s="33"/>
      <c r="E7" s="33"/>
      <c r="F7" s="33"/>
      <c r="G7" s="33"/>
      <c r="H7" s="33"/>
      <c r="J7" s="41">
        <f>IFERROR(AVERAGE(D7:H7),0)</f>
        <v>0</v>
      </c>
      <c r="K7" s="41">
        <f t="shared" si="0"/>
        <v>0</v>
      </c>
    </row>
    <row r="8" spans="2:15" x14ac:dyDescent="0.25">
      <c r="B8" t="s">
        <v>118</v>
      </c>
      <c r="D8" s="33">
        <f>IFERROR((HistoricalFS!H33-HistoricalFS!G33)/HistoricalFS!G33,0)</f>
        <v>-0.11796540754013149</v>
      </c>
      <c r="E8" s="33">
        <f>IFERROR((HistoricalFS!I33-HistoricalFS!H33)/HistoricalFS!H33,0)</f>
        <v>-0.31060072136312861</v>
      </c>
      <c r="F8" s="33">
        <f>IFERROR((HistoricalFS!J33-HistoricalFS!I33)/HistoricalFS!I33,0)</f>
        <v>1.3575681039148479</v>
      </c>
      <c r="G8" s="33">
        <f>IFERROR((HistoricalFS!K33-HistoricalFS!J33)/HistoricalFS!J33,0)</f>
        <v>-0.2012804815835133</v>
      </c>
      <c r="H8" s="33">
        <f>IFERROR((HistoricalFS!L33-HistoricalFS!K33)/HistoricalFS!K33,0)</f>
        <v>-0.40072813208571217</v>
      </c>
      <c r="J8" s="41">
        <f>IFERROR(AVERAGE(D8:H8),0)</f>
        <v>6.5398672268472485E-2</v>
      </c>
      <c r="K8" s="41">
        <f t="shared" si="0"/>
        <v>-0.2012804815835133</v>
      </c>
    </row>
    <row r="9" spans="2:15" x14ac:dyDescent="0.25">
      <c r="B9" t="s">
        <v>119</v>
      </c>
      <c r="D9" s="33">
        <f>(HistoricalFS!H41-HistoricalFS!G41)/HistoricalFS!G41</f>
        <v>0.20006062443164607</v>
      </c>
      <c r="E9" s="33">
        <f>(HistoricalFS!I41-HistoricalFS!H41)/HistoricalFS!H41</f>
        <v>0</v>
      </c>
      <c r="F9" s="33">
        <f>(HistoricalFS!J41-HistoricalFS!I41)/HistoricalFS!I41</f>
        <v>0</v>
      </c>
      <c r="G9" s="33">
        <f>(HistoricalFS!K41-HistoricalFS!J41)/HistoricalFS!J41</f>
        <v>0</v>
      </c>
      <c r="H9" s="33">
        <f>(HistoricalFS!L41-HistoricalFS!K41)/HistoricalFS!K41</f>
        <v>0</v>
      </c>
      <c r="J9" s="41">
        <f>IFERROR(AVERAGE(D9:H9),0)</f>
        <v>4.0012124886329214E-2</v>
      </c>
      <c r="K9" s="41">
        <f t="shared" si="0"/>
        <v>0</v>
      </c>
    </row>
    <row r="10" spans="2:15" x14ac:dyDescent="0.25">
      <c r="B10" s="45"/>
      <c r="C10" s="45"/>
      <c r="D10" s="45"/>
      <c r="E10" s="45"/>
      <c r="F10" s="45"/>
      <c r="G10" s="45"/>
      <c r="H10" s="45"/>
      <c r="I10" s="45"/>
      <c r="J10" s="45"/>
      <c r="K10" s="45"/>
    </row>
    <row r="11" spans="2:15" x14ac:dyDescent="0.25">
      <c r="B11" s="2" t="s">
        <v>151</v>
      </c>
      <c r="D11" s="33"/>
      <c r="E11" s="33"/>
      <c r="F11" s="33"/>
      <c r="G11" s="33"/>
      <c r="H11" s="33"/>
      <c r="J11" s="41"/>
      <c r="K11" s="41"/>
    </row>
    <row r="12" spans="2:15" x14ac:dyDescent="0.25">
      <c r="B12" t="s">
        <v>124</v>
      </c>
      <c r="D12" s="33">
        <f>IFERROR((HistoricalFS!H18-HistoricalFS!H24)/SUM(HistoricalFS!H47:H49),0)</f>
        <v>0.189979549369827</v>
      </c>
      <c r="E12" s="33">
        <f>IFERROR((HistoricalFS!I18-HistoricalFS!I24)/SUM(HistoricalFS!I47:I49),0)</f>
        <v>0.13280775630905764</v>
      </c>
      <c r="F12" s="33">
        <f>IFERROR((HistoricalFS!J18-HistoricalFS!J24)/SUM(HistoricalFS!J47:J49),0)</f>
        <v>0.17607940618157672</v>
      </c>
      <c r="G12" s="33">
        <f>IFERROR((HistoricalFS!K18-HistoricalFS!K24)/SUM(HistoricalFS!K47:K49),0)</f>
        <v>0.14157807963794192</v>
      </c>
      <c r="H12" s="33">
        <f>IFERROR((HistoricalFS!L18-HistoricalFS!L24)/SUM(HistoricalFS!L47:L49),0)</f>
        <v>8.7869854958839755E-2</v>
      </c>
      <c r="J12" s="41">
        <f t="shared" ref="J12:J17" si="1">IFERROR(AVERAGE(D12:H12),0)</f>
        <v>0.14566292929144858</v>
      </c>
      <c r="K12" s="41">
        <f t="shared" si="0"/>
        <v>0.14157807963794192</v>
      </c>
    </row>
    <row r="13" spans="2:15" x14ac:dyDescent="0.25">
      <c r="B13" t="s">
        <v>149</v>
      </c>
      <c r="D13" s="33">
        <f>IFERROR(HistoricalFS!C44,0)</f>
        <v>0.84384527439024404</v>
      </c>
      <c r="E13" s="33">
        <f>IFERROR(HistoricalFS!D44,0)</f>
        <v>0.81102814474439988</v>
      </c>
      <c r="F13" s="33">
        <f>IFERROR(HistoricalFS!E44,0)</f>
        <v>0.71879263301500651</v>
      </c>
      <c r="G13" s="33">
        <f>IFERROR(HistoricalFS!F44,0)</f>
        <v>0.8115503256026505</v>
      </c>
      <c r="H13" s="33">
        <f>IFERROR(HistoricalFS!G44,0)</f>
        <v>0.75873039090210992</v>
      </c>
      <c r="J13" s="41">
        <f t="shared" si="1"/>
        <v>0.7887893537308821</v>
      </c>
      <c r="K13" s="41">
        <f t="shared" si="0"/>
        <v>0.81102814474439988</v>
      </c>
    </row>
    <row r="14" spans="2:15" x14ac:dyDescent="0.25">
      <c r="B14" t="s">
        <v>150</v>
      </c>
      <c r="D14" s="33">
        <f>IFERROR(HistoricalFS!H33/SUM(HistoricalFS!H47:H48),0)</f>
        <v>0.21497642665525901</v>
      </c>
      <c r="E14" s="33">
        <f>IFERROR(HistoricalFS!I33/SUM(HistoricalFS!I47:I48),0)</f>
        <v>0.11654506843842641</v>
      </c>
      <c r="F14" s="33">
        <f>IFERROR(HistoricalFS!J33/SUM(HistoricalFS!J47:J48),0)</f>
        <v>0.20156609099369138</v>
      </c>
      <c r="G14" s="33">
        <f>IFERROR(HistoricalFS!K33/SUM(HistoricalFS!K47:K48),0)</f>
        <v>0.15366156473434425</v>
      </c>
      <c r="H14" s="33">
        <f>IFERROR(HistoricalFS!L33/SUM(HistoricalFS!L47:L48),0)</f>
        <v>8.6449157852062336E-2</v>
      </c>
      <c r="J14" s="41">
        <f t="shared" si="1"/>
        <v>0.15463966173475668</v>
      </c>
      <c r="K14" s="41">
        <f t="shared" si="0"/>
        <v>0.15366156473434425</v>
      </c>
    </row>
    <row r="15" spans="2:15" x14ac:dyDescent="0.25">
      <c r="B15" t="s">
        <v>125</v>
      </c>
      <c r="D15" s="33">
        <f>IFERROR(D13*D14,0)</f>
        <v>0.18140684173834121</v>
      </c>
      <c r="E15" s="33">
        <f>IFERROR(E13*E14,0)</f>
        <v>9.4521330634726078E-2</v>
      </c>
      <c r="F15" s="33">
        <f>IFERROR(F13*F14,0)</f>
        <v>0.14488422127189782</v>
      </c>
      <c r="G15" s="33">
        <f>IFERROR(G13*G14,0)</f>
        <v>0.12470409289276983</v>
      </c>
      <c r="H15" s="33">
        <f>IFERROR(H13*H14,0)</f>
        <v>6.5591603330253462E-2</v>
      </c>
      <c r="J15" s="41">
        <f t="shared" si="1"/>
        <v>0.12222161797359768</v>
      </c>
      <c r="K15" s="41">
        <f t="shared" si="0"/>
        <v>0.12470409289276983</v>
      </c>
    </row>
    <row r="16" spans="2:15" x14ac:dyDescent="0.25">
      <c r="B16" t="s">
        <v>126</v>
      </c>
      <c r="D16" s="43">
        <f>IFERROR((HistoricalFS!H18-HistoricalFS!H24)/HistoricalFS!H21,0)</f>
        <v>3.2101186153473749</v>
      </c>
      <c r="E16" s="43">
        <f>IFERROR((HistoricalFS!I18-HistoricalFS!I24)/HistoricalFS!I21,0)</f>
        <v>2.4870313460356477</v>
      </c>
      <c r="F16" s="43">
        <f>IFERROR((HistoricalFS!J18-HistoricalFS!J24)/HistoricalFS!J21,0)</f>
        <v>4.0508262820148779</v>
      </c>
      <c r="G16" s="43">
        <f>IFERROR((HistoricalFS!K18-HistoricalFS!K24)/HistoricalFS!K21,0)</f>
        <v>3.2304328380460139</v>
      </c>
      <c r="H16" s="43">
        <f>IFERROR((HistoricalFS!L18-HistoricalFS!L24)/HistoricalFS!L21,0)</f>
        <v>1.94735378948466</v>
      </c>
      <c r="J16" s="44">
        <f t="shared" si="1"/>
        <v>2.9851525741857148</v>
      </c>
      <c r="K16" s="44">
        <f t="shared" si="0"/>
        <v>3.2101186153473749</v>
      </c>
    </row>
    <row r="17" spans="2:22" x14ac:dyDescent="0.25">
      <c r="B17" t="s">
        <v>132</v>
      </c>
      <c r="D17" s="33">
        <f>IFERROR(HistoricalFS!H33/SUM(HistoricalFS!H47:H48),0)</f>
        <v>0.21497642665525901</v>
      </c>
      <c r="E17" s="33">
        <f>IFERROR(HistoricalFS!I33/SUM(HistoricalFS!I47:I48),0)</f>
        <v>0.11654506843842641</v>
      </c>
      <c r="F17" s="33">
        <f>IFERROR(HistoricalFS!J33/SUM(HistoricalFS!J47:J48),0)</f>
        <v>0.20156609099369138</v>
      </c>
      <c r="G17" s="33">
        <f>IFERROR(HistoricalFS!K33/SUM(HistoricalFS!K47:K48),0)</f>
        <v>0.15366156473434425</v>
      </c>
      <c r="H17" s="33">
        <f>IFERROR(HistoricalFS!L33/SUM(HistoricalFS!L47:L48),0)</f>
        <v>8.6449157852062336E-2</v>
      </c>
      <c r="J17" s="37">
        <f t="shared" si="1"/>
        <v>0.15463966173475668</v>
      </c>
      <c r="K17" s="41">
        <f t="shared" si="0"/>
        <v>0.15366156473434425</v>
      </c>
    </row>
    <row r="18" spans="2:22" x14ac:dyDescent="0.25">
      <c r="B18" s="45"/>
      <c r="C18" s="45"/>
      <c r="D18" s="45"/>
      <c r="E18" s="45"/>
      <c r="F18" s="45"/>
      <c r="G18" s="45"/>
      <c r="H18" s="45"/>
      <c r="I18" s="45"/>
      <c r="J18" s="45"/>
      <c r="K18" s="45"/>
      <c r="Q18" s="36"/>
      <c r="R18" s="36"/>
      <c r="S18" s="36"/>
      <c r="T18" s="36"/>
      <c r="U18" s="36"/>
      <c r="V18" s="38"/>
    </row>
    <row r="19" spans="2:22" x14ac:dyDescent="0.25">
      <c r="B19" s="2" t="s">
        <v>137</v>
      </c>
      <c r="D19" s="33"/>
      <c r="E19" s="33"/>
      <c r="F19" s="33"/>
      <c r="G19" s="33"/>
      <c r="H19" s="33"/>
      <c r="K19" s="41"/>
    </row>
    <row r="20" spans="2:22" x14ac:dyDescent="0.25">
      <c r="B20" t="s">
        <v>135</v>
      </c>
      <c r="D20" s="33">
        <f>IFERROR(HistoricalFS!H33/HistoricalFS!H6,0)</f>
        <v>6.1419255615223878E-2</v>
      </c>
      <c r="E20" s="33">
        <f>IFERROR(HistoricalFS!I33/HistoricalFS!I6,0)</f>
        <v>5.0210304148411607E-2</v>
      </c>
      <c r="F20" s="33">
        <f>IFERROR(HistoricalFS!J33/HistoricalFS!J6,0)</f>
        <v>8.9178639345604743E-2</v>
      </c>
      <c r="G20" s="33">
        <f>IFERROR(HistoricalFS!K33/HistoricalFS!K6,0)</f>
        <v>6.070469636019956E-2</v>
      </c>
      <c r="H20" s="33">
        <f>IFERROR(HistoricalFS!L33/HistoricalFS!L6,0)</f>
        <v>3.3188364529040143E-2</v>
      </c>
      <c r="J20" s="37">
        <f t="shared" ref="J20:J26" si="2">IFERROR(AVERAGE(D20:H20),0)</f>
        <v>5.8940251999695992E-2</v>
      </c>
      <c r="K20" s="41">
        <f t="shared" si="0"/>
        <v>6.070469636019956E-2</v>
      </c>
    </row>
    <row r="21" spans="2:22" x14ac:dyDescent="0.25">
      <c r="B21" t="s">
        <v>138</v>
      </c>
      <c r="D21" s="33">
        <f>IFERROR((HistoricalFS!H12)/HistoricalFS!H6,0)</f>
        <v>0.43976859243189292</v>
      </c>
      <c r="E21" s="33">
        <f>IFERROR((HistoricalFS!I12)/HistoricalFS!I6,0)</f>
        <v>0.43107670288990807</v>
      </c>
      <c r="F21" s="33">
        <f>IFERROR((HistoricalFS!J12)/HistoricalFS!J6,0)</f>
        <v>0.48469332047350844</v>
      </c>
      <c r="G21" s="33">
        <f>IFERROR((HistoricalFS!K12)/HistoricalFS!K6,0)</f>
        <v>0.45940580623273386</v>
      </c>
      <c r="H21" s="33">
        <f>IFERROR((HistoricalFS!L12)/HistoricalFS!L6,0)</f>
        <v>0.41092731102617758</v>
      </c>
      <c r="J21" s="37">
        <f t="shared" si="2"/>
        <v>0.44517434661084421</v>
      </c>
      <c r="K21" s="41">
        <f t="shared" si="0"/>
        <v>0.43976859243189292</v>
      </c>
    </row>
    <row r="22" spans="2:22" x14ac:dyDescent="0.25">
      <c r="B22" t="s">
        <v>120</v>
      </c>
      <c r="D22" s="33">
        <f>IFERROR(HistoricalFS!H18/HistoricalFS!H6,0)</f>
        <v>0.22476682275473808</v>
      </c>
      <c r="E22" s="33">
        <f>IFERROR(HistoricalFS!I18/HistoricalFS!I6,0)</f>
        <v>0.23552856845226408</v>
      </c>
      <c r="F22" s="33">
        <f>IFERROR(HistoricalFS!J18/HistoricalFS!J6,0)</f>
        <v>0.25166737941639444</v>
      </c>
      <c r="G22" s="33">
        <f>IFERROR(HistoricalFS!K18/HistoricalFS!K6,0)</f>
        <v>0.22022003586487654</v>
      </c>
      <c r="H22" s="33">
        <f>IFERROR(HistoricalFS!L18/HistoricalFS!L6,0)</f>
        <v>0.2048693954287959</v>
      </c>
      <c r="J22" s="37">
        <f t="shared" si="2"/>
        <v>0.22741044038341379</v>
      </c>
      <c r="K22" s="41">
        <f t="shared" si="0"/>
        <v>0.22476682275473808</v>
      </c>
    </row>
    <row r="23" spans="2:22" x14ac:dyDescent="0.25">
      <c r="B23" t="s">
        <v>121</v>
      </c>
      <c r="D23" s="33">
        <f>IFERROR((HistoricalFS!H18-HistoricalFS!H24)/HistoricalFS!H6,0)</f>
        <v>0.13506583453645923</v>
      </c>
      <c r="E23" s="33">
        <f>IFERROR((HistoricalFS!I18-HistoricalFS!I24)/HistoricalFS!I6,0)</f>
        <v>0.12217870870535374</v>
      </c>
      <c r="F23" s="33">
        <f>IFERROR((HistoricalFS!J18-HistoricalFS!J24)/HistoricalFS!J6,0)</f>
        <v>0.16225899202023603</v>
      </c>
      <c r="G23" s="33">
        <f>IFERROR((HistoricalFS!K18-HistoricalFS!K24)/HistoricalFS!K6,0)</f>
        <v>0.12602336063587444</v>
      </c>
      <c r="H23" s="33">
        <f>IFERROR((HistoricalFS!L18-HistoricalFS!L24)/HistoricalFS!L6,0)</f>
        <v>9.9112323999087482E-2</v>
      </c>
      <c r="J23" s="37">
        <f t="shared" si="2"/>
        <v>0.12892784397940221</v>
      </c>
      <c r="K23" s="41">
        <f t="shared" si="0"/>
        <v>0.12602336063587444</v>
      </c>
    </row>
    <row r="24" spans="2:22" x14ac:dyDescent="0.25">
      <c r="B24" t="s">
        <v>122</v>
      </c>
      <c r="D24" s="33">
        <f>IFERROR(HistoricalFS!H27/HistoricalFS!H6,0)</f>
        <v>9.2990805317688954E-2</v>
      </c>
      <c r="E24" s="33">
        <f>IFERROR(HistoricalFS!I27/HistoricalFS!I6,0)</f>
        <v>7.3052384302523934E-2</v>
      </c>
      <c r="F24" s="33">
        <f>IFERROR(HistoricalFS!J27/HistoricalFS!J6,0)</f>
        <v>0.12220321556281447</v>
      </c>
      <c r="G24" s="33">
        <f>IFERROR(HistoricalFS!K27/HistoricalFS!K6,0)</f>
        <v>8.7012068046333421E-2</v>
      </c>
      <c r="H24" s="33">
        <f>IFERROR(HistoricalFS!L27/HistoricalFS!L6,0)</f>
        <v>4.8216423863079748E-2</v>
      </c>
      <c r="J24" s="37">
        <f t="shared" si="2"/>
        <v>8.4694979418488109E-2</v>
      </c>
      <c r="K24" s="41">
        <f t="shared" si="0"/>
        <v>8.7012068046333421E-2</v>
      </c>
    </row>
    <row r="25" spans="2:22" x14ac:dyDescent="0.25">
      <c r="B25" t="s">
        <v>123</v>
      </c>
      <c r="D25" s="33">
        <f>IFERROR(HistoricalFS!H33/HistoricalFS!H6,0)</f>
        <v>6.1419255615223878E-2</v>
      </c>
      <c r="E25" s="33">
        <f>IFERROR(HistoricalFS!I33/HistoricalFS!I6,0)</f>
        <v>5.0210304148411607E-2</v>
      </c>
      <c r="F25" s="33">
        <f>IFERROR(HistoricalFS!J33/HistoricalFS!J6,0)</f>
        <v>8.9178639345604743E-2</v>
      </c>
      <c r="G25" s="33">
        <f>IFERROR(HistoricalFS!K33/HistoricalFS!K6,0)</f>
        <v>6.070469636019956E-2</v>
      </c>
      <c r="H25" s="33">
        <f>IFERROR(HistoricalFS!L33/HistoricalFS!L6,0)</f>
        <v>3.3188364529040143E-2</v>
      </c>
      <c r="J25" s="37">
        <f t="shared" si="2"/>
        <v>5.8940251999695992E-2</v>
      </c>
      <c r="K25" s="41">
        <f t="shared" si="0"/>
        <v>6.070469636019956E-2</v>
      </c>
    </row>
    <row r="26" spans="2:22" x14ac:dyDescent="0.25">
      <c r="B26" t="s">
        <v>134</v>
      </c>
      <c r="D26" s="33">
        <f>IFERROR(HistoricalFS!H33/AVERAGE(HistoricalFS!H64,HistoricalFS!I64),0)</f>
        <v>6.7597542264227706E-2</v>
      </c>
      <c r="E26" s="33">
        <f>IFERROR(HistoricalFS!I33/AVERAGE(HistoricalFS!I64,HistoricalFS!J64),0)</f>
        <v>3.8905344132964599E-2</v>
      </c>
      <c r="F26" s="33">
        <f>IFERROR(HistoricalFS!J33/AVERAGE(HistoricalFS!J64,HistoricalFS!K64),0)</f>
        <v>7.7144375135284035E-2</v>
      </c>
      <c r="G26" s="33">
        <f>IFERROR(HistoricalFS!K33/AVERAGE(HistoricalFS!K64,HistoricalFS!L64),0)</f>
        <v>4.6667317452664538E-2</v>
      </c>
      <c r="H26" s="33">
        <f>IFERROR(HistoricalFS!L33/AVERAGE(HistoricalFS!L64,HistoricalFS!M64),0)</f>
        <v>2.3346695630752763E-2</v>
      </c>
      <c r="J26" s="37">
        <f t="shared" si="2"/>
        <v>5.0732254923178732E-2</v>
      </c>
      <c r="K26" s="41">
        <f t="shared" si="0"/>
        <v>4.6667317452664538E-2</v>
      </c>
    </row>
    <row r="27" spans="2:22" x14ac:dyDescent="0.25">
      <c r="B27" s="45"/>
      <c r="C27" s="45"/>
      <c r="D27" s="45"/>
      <c r="E27" s="45"/>
      <c r="F27" s="45"/>
      <c r="G27" s="45"/>
      <c r="H27" s="45"/>
      <c r="I27" s="45"/>
      <c r="J27" s="45"/>
      <c r="K27" s="45"/>
    </row>
    <row r="28" spans="2:22" x14ac:dyDescent="0.25">
      <c r="B28" s="2" t="s">
        <v>155</v>
      </c>
      <c r="D28" s="33"/>
      <c r="E28" s="33"/>
      <c r="F28" s="33"/>
      <c r="G28" s="33"/>
      <c r="H28" s="33"/>
      <c r="K28" s="41"/>
    </row>
    <row r="29" spans="2:22" x14ac:dyDescent="0.25">
      <c r="B29" t="s">
        <v>139</v>
      </c>
      <c r="D29" s="33">
        <f>IFERROR(HistoricalFS!H15/HistoricalFS!H6,0)</f>
        <v>0.21500176967715484</v>
      </c>
      <c r="E29" s="33">
        <f>IFERROR(HistoricalFS!I15/HistoricalFS!I6,0)</f>
        <v>0.19554813443764399</v>
      </c>
      <c r="F29" s="33">
        <f>IFERROR(HistoricalFS!J15/HistoricalFS!J6,0)</f>
        <v>0.23302594105711402</v>
      </c>
      <c r="G29" s="33">
        <f>IFERROR(HistoricalFS!K15/HistoricalFS!K6,0)</f>
        <v>0.23918577036785735</v>
      </c>
      <c r="H29" s="33">
        <f>IFERROR(HistoricalFS!L15/HistoricalFS!L6,0)</f>
        <v>0.20605791559738171</v>
      </c>
      <c r="J29" s="37">
        <f>IFERROR(AVERAGE(D29:H29),0)</f>
        <v>0.21776390622743041</v>
      </c>
      <c r="K29" s="41">
        <f t="shared" si="0"/>
        <v>0.21500176967715484</v>
      </c>
    </row>
    <row r="30" spans="2:22" x14ac:dyDescent="0.25">
      <c r="B30" t="s">
        <v>147</v>
      </c>
      <c r="D30" s="33">
        <f>IFERROR((HistoricalFS!H18-HistoricalFS!H24)/HistoricalFS!H6,0)</f>
        <v>0.13506583453645923</v>
      </c>
      <c r="E30" s="33">
        <f>IFERROR((HistoricalFS!I18-HistoricalFS!I24)/HistoricalFS!I6,0)</f>
        <v>0.12217870870535374</v>
      </c>
      <c r="F30" s="33">
        <f>IFERROR((HistoricalFS!J18-HistoricalFS!J24)/HistoricalFS!J6,0)</f>
        <v>0.16225899202023603</v>
      </c>
      <c r="G30" s="33">
        <f>IFERROR((HistoricalFS!K18-HistoricalFS!K24)/HistoricalFS!K6,0)</f>
        <v>0.12602336063587444</v>
      </c>
      <c r="H30" s="33">
        <f>IFERROR((HistoricalFS!L18-HistoricalFS!L24)/HistoricalFS!L6,0)</f>
        <v>9.9112323999087482E-2</v>
      </c>
      <c r="J30" s="37">
        <f>IFERROR(AVERAGE(D30:H30),0)</f>
        <v>0.12892784397940221</v>
      </c>
      <c r="K30" s="41">
        <f t="shared" si="0"/>
        <v>0.12602336063587444</v>
      </c>
    </row>
    <row r="31" spans="2:22" x14ac:dyDescent="0.25">
      <c r="B31" t="s">
        <v>52</v>
      </c>
      <c r="D31" s="33">
        <f>IFERROR(HistoricalFS!H24/HistoricalFS!H6,0)</f>
        <v>8.9700988218278849E-2</v>
      </c>
      <c r="E31" s="33">
        <f>IFERROR(HistoricalFS!I24/HistoricalFS!I6,0)</f>
        <v>0.11334985974691035</v>
      </c>
      <c r="F31" s="33">
        <f>IFERROR(HistoricalFS!J24/HistoricalFS!J6,0)</f>
        <v>8.9408387396158431E-2</v>
      </c>
      <c r="G31" s="33">
        <f>IFERROR(HistoricalFS!K24/HistoricalFS!K6,0)</f>
        <v>9.4196675229002075E-2</v>
      </c>
      <c r="H31" s="33">
        <f>IFERROR(HistoricalFS!L24/HistoricalFS!L6,0)</f>
        <v>0.10575707142970842</v>
      </c>
      <c r="J31" s="37">
        <f>IFERROR(AVERAGE(D31:H31),0)</f>
        <v>9.8482596404011608E-2</v>
      </c>
      <c r="K31" s="41">
        <f t="shared" si="0"/>
        <v>9.4196675229002075E-2</v>
      </c>
    </row>
    <row r="32" spans="2:22" x14ac:dyDescent="0.25">
      <c r="B32" t="s">
        <v>140</v>
      </c>
      <c r="D32" s="33">
        <f>IFERROR(HistoricalFS!H21/HistoricalFS!H6,0)</f>
        <v>4.2075029218770293E-2</v>
      </c>
      <c r="E32" s="33">
        <f>IFERROR(HistoricalFS!I21/HistoricalFS!I6,0)</f>
        <v>4.9126324402829817E-2</v>
      </c>
      <c r="F32" s="33">
        <f>IFERROR(HistoricalFS!J21/HistoricalFS!J6,0)</f>
        <v>4.0055776457421546E-2</v>
      </c>
      <c r="G32" s="33">
        <f>IFERROR(HistoricalFS!K21/HistoricalFS!K6,0)</f>
        <v>3.9011292589541023E-2</v>
      </c>
      <c r="H32" s="33">
        <f>IFERROR(HistoricalFS!L21/HistoricalFS!L6,0)</f>
        <v>5.0895900136007734E-2</v>
      </c>
      <c r="J32" s="37">
        <f>IFERROR(AVERAGE(D32:H32),0)</f>
        <v>4.423286456091409E-2</v>
      </c>
      <c r="K32" s="41">
        <f t="shared" si="0"/>
        <v>4.2075029218770293E-2</v>
      </c>
    </row>
    <row r="33" spans="2:11" x14ac:dyDescent="0.25">
      <c r="B33" t="s">
        <v>48</v>
      </c>
      <c r="D33" s="33">
        <f>IFERROR(HistoricalFS!H30/HistoricalFS!H27,0)</f>
        <v>0.33951259583789678</v>
      </c>
      <c r="E33" s="33">
        <f>IFERROR(HistoricalFS!I30/HistoricalFS!I27,0)</f>
        <v>0.31268082995784091</v>
      </c>
      <c r="F33" s="33">
        <f>IFERROR(HistoricalFS!J30/HistoricalFS!J27,0)</f>
        <v>0.27024310338408852</v>
      </c>
      <c r="G33" s="33">
        <f>IFERROR(HistoricalFS!K30/HistoricalFS!K27,0)</f>
        <v>0.30234164382951267</v>
      </c>
      <c r="H33" s="33">
        <f>IFERROR(HistoricalFS!L30/HistoricalFS!L27,0)</f>
        <v>0.31167926050913292</v>
      </c>
      <c r="J33" s="37">
        <f>IFERROR(AVERAGE(D33:H33),0)</f>
        <v>0.30729148670369438</v>
      </c>
      <c r="K33" s="41">
        <f t="shared" si="0"/>
        <v>0.31167926050913292</v>
      </c>
    </row>
    <row r="34" spans="2:11" x14ac:dyDescent="0.25">
      <c r="B34" s="45"/>
      <c r="C34" s="45"/>
      <c r="D34" s="45"/>
      <c r="E34" s="45"/>
      <c r="F34" s="45"/>
      <c r="G34" s="45"/>
      <c r="H34" s="45"/>
      <c r="I34" s="45"/>
      <c r="J34" s="45"/>
      <c r="K34" s="45"/>
    </row>
    <row r="35" spans="2:11" x14ac:dyDescent="0.25">
      <c r="B35" s="2" t="s">
        <v>148</v>
      </c>
      <c r="K35" s="41"/>
    </row>
    <row r="36" spans="2:11" x14ac:dyDescent="0.25">
      <c r="B36" t="s">
        <v>141</v>
      </c>
      <c r="D36" s="35">
        <f>IFERROR(HistoricalFS!H6/HistoricalFS!H59,0)</f>
        <v>236.01382211538461</v>
      </c>
      <c r="E36" s="35">
        <f>IFERROR(HistoricalFS!I6/HistoricalFS!I59,0)</f>
        <v>197.13511904761904</v>
      </c>
      <c r="F36" s="35">
        <f>IFERROR(HistoricalFS!J6/HistoricalFS!J59,0)</f>
        <v>199.3705215419501</v>
      </c>
      <c r="G36" s="35">
        <f>IFERROR(HistoricalFS!K6/HistoricalFS!K59,0)</f>
        <v>179.54229028889662</v>
      </c>
      <c r="H36" s="35">
        <f>IFERROR(HistoricalFS!L6/HistoricalFS!L59,0)</f>
        <v>21.330554193231979</v>
      </c>
      <c r="J36" s="34">
        <f>IFERROR(AVERAGE(D36:H36),0)</f>
        <v>166.67846143741647</v>
      </c>
      <c r="K36" s="41">
        <f t="shared" si="0"/>
        <v>197.13511904761904</v>
      </c>
    </row>
    <row r="37" spans="2:11" x14ac:dyDescent="0.25">
      <c r="B37" t="s">
        <v>127</v>
      </c>
      <c r="D37" s="35">
        <f>IFERROR(HistoricalFS!H9/AVERAGE(HistoricalFS!H60,HistoricalFS!I60),0)</f>
        <v>19.312530173359665</v>
      </c>
      <c r="E37" s="35">
        <f>IFERROR(HistoricalFS!I9/AVERAGE(HistoricalFS!I60,HistoricalFS!J60),0)</f>
        <v>12.804186062315246</v>
      </c>
      <c r="F37" s="35">
        <f>IFERROR(HistoricalFS!J9/AVERAGE(HistoricalFS!J60,HistoricalFS!K60),0)</f>
        <v>13.397303211307587</v>
      </c>
      <c r="G37" s="35">
        <f>IFERROR(HistoricalFS!K9/AVERAGE(HistoricalFS!K60,HistoricalFS!L60),0)</f>
        <v>9.5027006764470361</v>
      </c>
      <c r="H37" s="35">
        <f>IFERROR(HistoricalFS!L9/AVERAGE(HistoricalFS!L60,HistoricalFS!M60),0)</f>
        <v>8.1257654492668756</v>
      </c>
      <c r="J37" s="34">
        <f>IFERROR(AVERAGE(D37:H37),0)</f>
        <v>12.628497114539282</v>
      </c>
      <c r="K37" s="41">
        <f t="shared" si="0"/>
        <v>12.804186062315246</v>
      </c>
    </row>
    <row r="38" spans="2:11" x14ac:dyDescent="0.25">
      <c r="B38" t="s">
        <v>142</v>
      </c>
      <c r="D38" s="35">
        <f>IFERROR(HistoricalFS!H9/HistoricalFS!H50,0)</f>
        <v>3.8079232939303207</v>
      </c>
      <c r="E38" s="35">
        <f>IFERROR(HistoricalFS!I9/HistoricalFS!I50,0)</f>
        <v>2.6170898383243513</v>
      </c>
      <c r="F38" s="35">
        <f>IFERROR(HistoricalFS!J9/HistoricalFS!J50,0)</f>
        <v>3.1006706816315357</v>
      </c>
      <c r="G38" s="35">
        <f>IFERROR(HistoricalFS!K9/HistoricalFS!K50,0)</f>
        <v>3.5270933468251964</v>
      </c>
      <c r="H38" s="35">
        <f>IFERROR(HistoricalFS!L9/HistoricalFS!L50,0)</f>
        <v>2.0063793643526662</v>
      </c>
      <c r="J38" s="34">
        <f>IFERROR(AVERAGE(D38:H38),0)</f>
        <v>3.011831305012814</v>
      </c>
      <c r="K38" s="41">
        <f t="shared" si="0"/>
        <v>3.1006706816315357</v>
      </c>
    </row>
    <row r="39" spans="2:11" x14ac:dyDescent="0.25">
      <c r="B39" t="s">
        <v>128</v>
      </c>
      <c r="D39" s="35">
        <f>IFERROR(HistoricalFS!H6/AVERAGE(HistoricalFS!H53,HistoricalFS!I53),0)</f>
        <v>1.8122153467059821</v>
      </c>
      <c r="E39" s="35">
        <f>IFERROR(HistoricalFS!I6/AVERAGE(HistoricalFS!I53,HistoricalFS!J53),0)</f>
        <v>1.3567399274902192</v>
      </c>
      <c r="F39" s="35">
        <f>IFERROR(HistoricalFS!J6/AVERAGE(HistoricalFS!J53,HistoricalFS!K53),0)</f>
        <v>1.4124466049675253</v>
      </c>
      <c r="G39" s="35">
        <f>IFERROR(HistoricalFS!K6/AVERAGE(HistoricalFS!K53,HistoricalFS!L53),0)</f>
        <v>1.066626826907966</v>
      </c>
      <c r="H39" s="35">
        <f>IFERROR(HistoricalFS!L6/AVERAGE(HistoricalFS!L53,HistoricalFS!M53),0)</f>
        <v>0.91433168657066388</v>
      </c>
      <c r="J39" s="34">
        <f>IFERROR(AVERAGE(D39:H39),0)</f>
        <v>1.3124720785284711</v>
      </c>
      <c r="K39" s="41">
        <f t="shared" si="0"/>
        <v>1.3567399274902192</v>
      </c>
    </row>
    <row r="40" spans="2:11" x14ac:dyDescent="0.25">
      <c r="B40" t="s">
        <v>136</v>
      </c>
      <c r="D40" s="35">
        <f>IFERROR(HistoricalFS!H33/AVERAGE(HistoricalFS!H64:I64),0)</f>
        <v>6.7597542264227706E-2</v>
      </c>
      <c r="E40" s="35">
        <f>IFERROR(HistoricalFS!I33/AVERAGE(HistoricalFS!I64:J64),0)</f>
        <v>3.8905344132964599E-2</v>
      </c>
      <c r="F40" s="35">
        <f>IFERROR(HistoricalFS!J33/AVERAGE(HistoricalFS!J64:K64),0)</f>
        <v>7.7144375135284035E-2</v>
      </c>
      <c r="G40" s="35">
        <f>IFERROR(HistoricalFS!K33/AVERAGE(HistoricalFS!K64:L64),0)</f>
        <v>4.6667317452664538E-2</v>
      </c>
      <c r="H40" s="35">
        <f>IFERROR(HistoricalFS!L33/AVERAGE(HistoricalFS!L64:M64),0)</f>
        <v>2.3346695630752763E-2</v>
      </c>
      <c r="J40" s="34">
        <f>IFERROR(AVERAGE(D40:H40),0)</f>
        <v>5.0732254923178732E-2</v>
      </c>
      <c r="K40" s="41">
        <f t="shared" si="0"/>
        <v>4.6667317452664538E-2</v>
      </c>
    </row>
    <row r="41" spans="2:11" x14ac:dyDescent="0.25">
      <c r="B41" s="45"/>
      <c r="C41" s="45"/>
      <c r="D41" s="45"/>
      <c r="E41" s="45"/>
      <c r="F41" s="45"/>
      <c r="G41" s="45"/>
      <c r="H41" s="45"/>
      <c r="I41" s="45"/>
      <c r="J41" s="45"/>
      <c r="K41" s="45"/>
    </row>
    <row r="42" spans="2:11" x14ac:dyDescent="0.25">
      <c r="B42" s="2" t="s">
        <v>153</v>
      </c>
      <c r="K42" s="41"/>
    </row>
    <row r="43" spans="2:11" x14ac:dyDescent="0.25">
      <c r="B43" t="s">
        <v>143</v>
      </c>
      <c r="D43" s="39">
        <f t="shared" ref="D43:H45" si="3">IFERROR(365/D36,0)</f>
        <v>1.5465195924904578</v>
      </c>
      <c r="E43" s="39">
        <f t="shared" si="3"/>
        <v>1.8515219498349875</v>
      </c>
      <c r="F43" s="39">
        <f t="shared" si="3"/>
        <v>1.8307621266025498</v>
      </c>
      <c r="G43" s="39">
        <f t="shared" si="3"/>
        <v>2.0329472204720593</v>
      </c>
      <c r="H43" s="39">
        <f t="shared" si="3"/>
        <v>17.111604166187661</v>
      </c>
      <c r="J43" s="42">
        <f>IFERROR(AVERAGE(D43:H43),0)</f>
        <v>4.8746710111175435</v>
      </c>
      <c r="K43" s="42">
        <f t="shared" si="0"/>
        <v>1.8515219498349875</v>
      </c>
    </row>
    <row r="44" spans="2:11" x14ac:dyDescent="0.25">
      <c r="B44" t="s">
        <v>144</v>
      </c>
      <c r="D44" s="39">
        <f t="shared" si="3"/>
        <v>18.899646847076149</v>
      </c>
      <c r="E44" s="39">
        <f t="shared" si="3"/>
        <v>28.506302409510667</v>
      </c>
      <c r="F44" s="39">
        <f t="shared" si="3"/>
        <v>27.244288961970557</v>
      </c>
      <c r="G44" s="39">
        <f t="shared" si="3"/>
        <v>38.410133332377022</v>
      </c>
      <c r="H44" s="39">
        <f t="shared" si="3"/>
        <v>44.918845157280671</v>
      </c>
      <c r="J44" s="42">
        <f>IFERROR(AVERAGE(D44:H44),0)</f>
        <v>31.595843341643011</v>
      </c>
      <c r="K44" s="42">
        <f t="shared" si="0"/>
        <v>28.506302409510667</v>
      </c>
    </row>
    <row r="45" spans="2:11" x14ac:dyDescent="0.25">
      <c r="B45" t="s">
        <v>145</v>
      </c>
      <c r="D45" s="39">
        <f t="shared" si="3"/>
        <v>95.852771136906981</v>
      </c>
      <c r="E45" s="39">
        <f t="shared" si="3"/>
        <v>139.46789088207197</v>
      </c>
      <c r="F45" s="39">
        <f t="shared" si="3"/>
        <v>117.7164676540049</v>
      </c>
      <c r="G45" s="39">
        <f t="shared" si="3"/>
        <v>103.48464418401159</v>
      </c>
      <c r="H45" s="39">
        <f t="shared" si="3"/>
        <v>181.91973386736004</v>
      </c>
      <c r="J45" s="42">
        <f>IFERROR(AVERAGE(D45:H45),0)</f>
        <v>127.68830154487109</v>
      </c>
      <c r="K45" s="42">
        <f t="shared" si="0"/>
        <v>117.7164676540049</v>
      </c>
    </row>
    <row r="46" spans="2:11" x14ac:dyDescent="0.25">
      <c r="B46" t="s">
        <v>146</v>
      </c>
      <c r="D46" s="39">
        <f>IFERROR(D43+D44-D45,0)</f>
        <v>-75.40660469734037</v>
      </c>
      <c r="E46" s="39">
        <f>IFERROR(E43+E44-E45,0)</f>
        <v>-109.11006652272631</v>
      </c>
      <c r="F46" s="39">
        <f>IFERROR(F43+F44-F45,0)</f>
        <v>-88.641416565431797</v>
      </c>
      <c r="G46" s="39">
        <f>IFERROR(G43+G44-G45,0)</f>
        <v>-63.041563631162504</v>
      </c>
      <c r="H46" s="39">
        <f>IFERROR(H43+H44-H45,0)</f>
        <v>-119.8892845438917</v>
      </c>
      <c r="J46" s="42">
        <f>IFERROR(AVERAGE(D46:H46),0)</f>
        <v>-91.217787192110535</v>
      </c>
      <c r="K46" s="42">
        <f t="shared" si="0"/>
        <v>-88.641416565431797</v>
      </c>
    </row>
    <row r="47" spans="2:11" x14ac:dyDescent="0.25">
      <c r="B47" s="45"/>
      <c r="C47" s="45"/>
      <c r="D47" s="45"/>
      <c r="E47" s="45"/>
      <c r="F47" s="45"/>
      <c r="G47" s="45"/>
      <c r="H47" s="45"/>
      <c r="I47" s="45"/>
      <c r="J47" s="45"/>
      <c r="K47" s="45"/>
    </row>
    <row r="48" spans="2:11" x14ac:dyDescent="0.25">
      <c r="B48" s="2" t="s">
        <v>154</v>
      </c>
      <c r="J48" s="42"/>
      <c r="K48" s="41"/>
    </row>
    <row r="49" spans="2:11" x14ac:dyDescent="0.25">
      <c r="B49" t="s">
        <v>129</v>
      </c>
      <c r="D49" s="33">
        <f>IFERROR(HistoricalFS!H78/HistoricalFS!H6,0)</f>
        <v>0.18307883084178067</v>
      </c>
      <c r="E49" s="33">
        <f>IFERROR(HistoricalFS!I78/HistoricalFS!I6,0)</f>
        <v>0.24215926349766145</v>
      </c>
      <c r="F49" s="33">
        <f>IFERROR(HistoricalFS!J78/HistoricalFS!J6,0)</f>
        <v>0.20222377915070563</v>
      </c>
      <c r="G49" s="33">
        <f>IFERROR(HistoricalFS!K78/HistoricalFS!K6,0)</f>
        <v>0.19735375369553629</v>
      </c>
      <c r="H49" s="33">
        <f>IFERROR(HistoricalFS!L78/HistoricalFS!L6,0)</f>
        <v>0.161652891977312</v>
      </c>
      <c r="J49" s="34">
        <f>IFERROR(AVERAGE(D49:H49),0)</f>
        <v>0.19729370383259923</v>
      </c>
      <c r="K49" s="41">
        <f t="shared" si="0"/>
        <v>0.19735375369553629</v>
      </c>
    </row>
    <row r="50" spans="2:11" x14ac:dyDescent="0.25">
      <c r="B50" t="s">
        <v>130</v>
      </c>
      <c r="D50" s="33">
        <f>IFERROR(HistoricalFS!H78/HistoricalFS!H64,0)</f>
        <v>0.21336071314112079</v>
      </c>
      <c r="E50" s="33">
        <f>IFERROR(HistoricalFS!I78/HistoricalFS!I64,0)</f>
        <v>0.21291451296468861</v>
      </c>
      <c r="F50" s="33">
        <f>IFERROR(HistoricalFS!J78/HistoricalFS!J64,0)</f>
        <v>0.18591830887535107</v>
      </c>
      <c r="G50" s="33">
        <f>IFERROR(HistoricalFS!K78/HistoricalFS!K64,0)</f>
        <v>0.18914444652953386</v>
      </c>
      <c r="H50" s="33">
        <f>IFERROR(HistoricalFS!L78/HistoricalFS!L64,0)</f>
        <v>0.11371638585935498</v>
      </c>
      <c r="J50" s="34">
        <f>IFERROR(AVERAGE(D50:H50),0)</f>
        <v>0.18301087347400985</v>
      </c>
      <c r="K50" s="41">
        <f t="shared" si="0"/>
        <v>0.18914444652953386</v>
      </c>
    </row>
    <row r="51" spans="2:11" x14ac:dyDescent="0.25">
      <c r="B51" t="s">
        <v>131</v>
      </c>
      <c r="D51" s="33">
        <f>IFERROR(HistoricalFS!H78/HistoricalFS!H49,0)</f>
        <v>0.43052345424715283</v>
      </c>
      <c r="E51" s="33">
        <f>IFERROR(HistoricalFS!I78/HistoricalFS!I49,0)</f>
        <v>0.49506784034370793</v>
      </c>
      <c r="F51" s="33">
        <f>IFERROR(HistoricalFS!J78/HistoricalFS!J49,0)</f>
        <v>0.42210721238307775</v>
      </c>
      <c r="G51" s="33">
        <f>IFERROR(HistoricalFS!K78/HistoricalFS!K49,0)</f>
        <v>0.39863102743427292</v>
      </c>
      <c r="H51" s="33">
        <f>IFERROR(HistoricalFS!L78/HistoricalFS!L49,0)</f>
        <v>0.21726418278716195</v>
      </c>
      <c r="J51" s="34">
        <f>IFERROR(AVERAGE(D51:H51),0)</f>
        <v>0.39271874343907465</v>
      </c>
      <c r="K51" s="41">
        <f t="shared" si="0"/>
        <v>0.42210721238307775</v>
      </c>
    </row>
    <row r="52" spans="2:11" x14ac:dyDescent="0.25">
      <c r="B52" s="46"/>
      <c r="C52" s="46"/>
      <c r="D52" s="46"/>
      <c r="E52" s="46"/>
      <c r="F52" s="46"/>
      <c r="G52" s="46"/>
      <c r="H52" s="46"/>
      <c r="I52" s="46"/>
      <c r="J52" s="46"/>
      <c r="K52" s="46"/>
    </row>
  </sheetData>
  <mergeCells count="1">
    <mergeCell ref="B2:K2"/>
  </mergeCells>
  <pageMargins left="0.7" right="0.7" top="0.75" bottom="0.75" header="0.3" footer="0.3"/>
  <extLst>
    <ext xmlns:x14="http://schemas.microsoft.com/office/spreadsheetml/2009/9/main" uri="{05C60535-1F16-4fd2-B633-F4F36F0B64E0}">
      <x14:sparklineGroups xmlns:xm="http://schemas.microsoft.com/office/excel/2006/main">
        <x14:sparklineGroup manualMax="0" manualMin="0" displayEmptyCellsAs="gap" markers="1" xr2:uid="{5529DF52-55B2-4697-85B1-7CFB63CFD288}">
          <x14:colorSeries theme="4"/>
          <x14:colorNegative theme="5"/>
          <x14:colorAxis rgb="FF000000"/>
          <x14:colorMarkers theme="4" tint="-0.249977111117893"/>
          <x14:colorFirst theme="4" tint="-0.249977111117893"/>
          <x14:colorLast theme="4" tint="-0.249977111117893"/>
          <x14:colorHigh theme="4" tint="-0.249977111117893"/>
          <x14:colorLow theme="4" tint="-0.249977111117893"/>
          <x14:sparklines>
            <x14:sparkline>
              <xm:f>'Ratio Analysis'!D20:H20</xm:f>
              <xm:sqref>I20</xm:sqref>
            </x14:sparkline>
            <x14:sparkline>
              <xm:f>'Ratio Analysis'!D21:H21</xm:f>
              <xm:sqref>I21</xm:sqref>
            </x14:sparkline>
            <x14:sparkline>
              <xm:f>'Ratio Analysis'!D22:H22</xm:f>
              <xm:sqref>I22</xm:sqref>
            </x14:sparkline>
            <x14:sparkline>
              <xm:f>'Ratio Analysis'!D23:H23</xm:f>
              <xm:sqref>I23</xm:sqref>
            </x14:sparkline>
            <x14:sparkline>
              <xm:f>'Ratio Analysis'!D24:H24</xm:f>
              <xm:sqref>I24</xm:sqref>
            </x14:sparkline>
            <x14:sparkline>
              <xm:f>'Ratio Analysis'!D25:H25</xm:f>
              <xm:sqref>I25</xm:sqref>
            </x14:sparkline>
            <x14:sparkline>
              <xm:f>'Ratio Analysis'!D26:H26</xm:f>
              <xm:sqref>I26</xm:sqref>
            </x14:sparkline>
            <x14:sparkline>
              <xm:f>'Ratio Analysis'!D28:H28</xm:f>
              <xm:sqref>I28</xm:sqref>
            </x14:sparkline>
            <x14:sparkline>
              <xm:f>'Ratio Analysis'!D29:H29</xm:f>
              <xm:sqref>I29</xm:sqref>
            </x14:sparkline>
            <x14:sparkline>
              <xm:f>'Ratio Analysis'!D30:H30</xm:f>
              <xm:sqref>I30</xm:sqref>
            </x14:sparkline>
            <x14:sparkline>
              <xm:f>'Ratio Analysis'!D31:H31</xm:f>
              <xm:sqref>I31</xm:sqref>
            </x14:sparkline>
            <x14:sparkline>
              <xm:f>'Ratio Analysis'!D32:H32</xm:f>
              <xm:sqref>I32</xm:sqref>
            </x14:sparkline>
            <x14:sparkline>
              <xm:f>'Ratio Analysis'!D33:H33</xm:f>
              <xm:sqref>I33</xm:sqref>
            </x14:sparkline>
            <x14:sparkline>
              <xm:f>'Ratio Analysis'!D35:H35</xm:f>
              <xm:sqref>I35</xm:sqref>
            </x14:sparkline>
            <x14:sparkline>
              <xm:f>'Ratio Analysis'!D36:H36</xm:f>
              <xm:sqref>I36</xm:sqref>
            </x14:sparkline>
            <x14:sparkline>
              <xm:f>'Ratio Analysis'!D37:H37</xm:f>
              <xm:sqref>I37</xm:sqref>
            </x14:sparkline>
            <x14:sparkline>
              <xm:f>'Ratio Analysis'!D38:H38</xm:f>
              <xm:sqref>I38</xm:sqref>
            </x14:sparkline>
            <x14:sparkline>
              <xm:f>'Ratio Analysis'!D39:H39</xm:f>
              <xm:sqref>I39</xm:sqref>
            </x14:sparkline>
            <x14:sparkline>
              <xm:f>'Ratio Analysis'!D40:H40</xm:f>
              <xm:sqref>I40</xm:sqref>
            </x14:sparkline>
            <x14:sparkline>
              <xm:f>'Ratio Analysis'!D42:H42</xm:f>
              <xm:sqref>I42</xm:sqref>
            </x14:sparkline>
            <x14:sparkline>
              <xm:f>'Ratio Analysis'!D43:H43</xm:f>
              <xm:sqref>I43</xm:sqref>
            </x14:sparkline>
            <x14:sparkline>
              <xm:f>'Ratio Analysis'!D44:H44</xm:f>
              <xm:sqref>I44</xm:sqref>
            </x14:sparkline>
            <x14:sparkline>
              <xm:f>'Ratio Analysis'!D45:H45</xm:f>
              <xm:sqref>I45</xm:sqref>
            </x14:sparkline>
            <x14:sparkline>
              <xm:f>'Ratio Analysis'!D46:H46</xm:f>
              <xm:sqref>I46</xm:sqref>
            </x14:sparkline>
            <x14:sparkline>
              <xm:f>'Ratio Analysis'!D48:H48</xm:f>
              <xm:sqref>I48</xm:sqref>
            </x14:sparkline>
            <x14:sparkline>
              <xm:f>'Ratio Analysis'!D49:H49</xm:f>
              <xm:sqref>I49</xm:sqref>
            </x14:sparkline>
            <x14:sparkline>
              <xm:f>'Ratio Analysis'!D50:H50</xm:f>
              <xm:sqref>I50</xm:sqref>
            </x14:sparkline>
            <x14:sparkline>
              <xm:f>'Ratio Analysis'!D51:H51</xm:f>
              <xm:sqref>I51</xm:sqref>
            </x14:sparkline>
          </x14:sparklines>
        </x14:sparklineGroup>
        <x14:sparklineGroup manualMax="0" manualMin="0" displayEmptyCellsAs="gap" markers="1" xr2:uid="{15BBA0AF-3E2B-4ABB-AC8C-990D8873A425}">
          <x14:colorSeries theme="4"/>
          <x14:colorNegative theme="5"/>
          <x14:colorAxis rgb="FF000000"/>
          <x14:colorMarkers theme="4" tint="-0.249977111117893"/>
          <x14:colorFirst theme="4" tint="-0.249977111117893"/>
          <x14:colorLast theme="4" tint="-0.249977111117893"/>
          <x14:colorHigh theme="4" tint="-0.249977111117893"/>
          <x14:colorLow theme="4" tint="-0.249977111117893"/>
          <x14:sparklines>
            <x14:sparkline>
              <xm:f>'Ratio Analysis'!D12:H12</xm:f>
              <xm:sqref>I12</xm:sqref>
            </x14:sparkline>
            <x14:sparkline>
              <xm:f>'Ratio Analysis'!D13:H13</xm:f>
              <xm:sqref>I13</xm:sqref>
            </x14:sparkline>
            <x14:sparkline>
              <xm:f>'Ratio Analysis'!D14:H14</xm:f>
              <xm:sqref>I14</xm:sqref>
            </x14:sparkline>
            <x14:sparkline>
              <xm:f>'Ratio Analysis'!D15:H15</xm:f>
              <xm:sqref>I15</xm:sqref>
            </x14:sparkline>
            <x14:sparkline>
              <xm:f>'Ratio Analysis'!D16:H16</xm:f>
              <xm:sqref>I16</xm:sqref>
            </x14:sparkline>
            <x14:sparkline>
              <xm:f>'Ratio Analysis'!D17:H17</xm:f>
              <xm:sqref>I17</xm:sqref>
            </x14:sparkline>
          </x14:sparklines>
        </x14:sparklineGroup>
        <x14:sparklineGroup manualMax="0" manualMin="0" displayEmptyCellsAs="gap" markers="1" xr2:uid="{E76BFD55-E806-40E0-87FF-76A320B94A11}">
          <x14:colorSeries theme="4"/>
          <x14:colorNegative theme="5"/>
          <x14:colorAxis rgb="FF000000"/>
          <x14:colorMarkers theme="4" tint="-0.249977111117893"/>
          <x14:colorFirst theme="4" tint="-0.249977111117893"/>
          <x14:colorLast theme="4" tint="-0.249977111117893"/>
          <x14:colorHigh theme="4" tint="-0.249977111117893"/>
          <x14:colorLow theme="4" tint="-0.249977111117893"/>
          <x14:sparklines>
            <x14:sparkline>
              <xm:f>'Ratio Analysis'!D5:H5</xm:f>
              <xm:sqref>I5</xm:sqref>
            </x14:sparkline>
            <x14:sparkline>
              <xm:f>'Ratio Analysis'!D6:H6</xm:f>
              <xm:sqref>I6</xm:sqref>
            </x14:sparkline>
            <x14:sparkline>
              <xm:f>'Ratio Analysis'!D7:H7</xm:f>
              <xm:sqref>I7</xm:sqref>
            </x14:sparkline>
            <x14:sparkline>
              <xm:f>'Ratio Analysis'!D8:H8</xm:f>
              <xm:sqref>I8</xm:sqref>
            </x14:sparkline>
            <x14:sparkline>
              <xm:f>'Ratio Analysis'!D9:H9</xm:f>
              <xm:sqref>I9</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AE33B-7935-40A1-9E52-B9787887D2AA}">
  <sheetPr codeName="Sheet5"/>
  <dimension ref="B2:N89"/>
  <sheetViews>
    <sheetView showGridLines="0" tabSelected="1" topLeftCell="A74" zoomScaleNormal="100" workbookViewId="0">
      <selection activeCell="N90" sqref="N90"/>
    </sheetView>
  </sheetViews>
  <sheetFormatPr defaultRowHeight="15" x14ac:dyDescent="0.25"/>
  <cols>
    <col min="1" max="1" width="1.85546875" customWidth="1"/>
    <col min="2" max="2" width="51.140625" bestFit="1" customWidth="1"/>
    <col min="6" max="6" width="9.140625" customWidth="1"/>
  </cols>
  <sheetData>
    <row r="2" spans="2:9" ht="28.5" x14ac:dyDescent="0.45">
      <c r="B2" s="54" t="str">
        <f>'Data Sheet'!B1</f>
        <v>JUBILANT FOODWORKS LTD</v>
      </c>
    </row>
    <row r="3" spans="2:9" x14ac:dyDescent="0.25">
      <c r="B3" s="2" t="s">
        <v>162</v>
      </c>
    </row>
    <row r="4" spans="2:9" ht="18.75" x14ac:dyDescent="0.3">
      <c r="B4" s="63" t="str">
        <f>CONCATENATE("INR ", 'Data Sheet'!B8)</f>
        <v>INR 694.3</v>
      </c>
    </row>
    <row r="6" spans="2:9" ht="3.75" customHeight="1" thickBot="1" x14ac:dyDescent="0.3">
      <c r="B6" s="55"/>
      <c r="C6" s="55"/>
      <c r="D6" s="55"/>
      <c r="E6" s="55"/>
      <c r="F6" s="55"/>
      <c r="G6" s="55"/>
      <c r="H6" s="55"/>
      <c r="I6" s="55"/>
    </row>
    <row r="7" spans="2:9" ht="19.5" thickTop="1" x14ac:dyDescent="0.3">
      <c r="B7" s="63" t="s">
        <v>163</v>
      </c>
    </row>
    <row r="8" spans="2:9" ht="16.5" customHeight="1" x14ac:dyDescent="0.25">
      <c r="B8" s="68" t="s">
        <v>164</v>
      </c>
      <c r="C8" s="68"/>
      <c r="D8" s="68"/>
      <c r="E8" s="68"/>
      <c r="F8" s="68"/>
      <c r="G8" s="68"/>
      <c r="H8" s="68"/>
      <c r="I8" s="68"/>
    </row>
    <row r="9" spans="2:9" ht="15" customHeight="1" x14ac:dyDescent="0.25">
      <c r="B9" s="68"/>
      <c r="C9" s="68"/>
      <c r="D9" s="68"/>
      <c r="E9" s="68"/>
      <c r="F9" s="68"/>
      <c r="G9" s="68"/>
      <c r="H9" s="68"/>
      <c r="I9" s="68"/>
    </row>
    <row r="10" spans="2:9" ht="15" customHeight="1" x14ac:dyDescent="0.25">
      <c r="B10" s="68"/>
      <c r="C10" s="68"/>
      <c r="D10" s="68"/>
      <c r="E10" s="68"/>
      <c r="F10" s="68"/>
      <c r="G10" s="68"/>
      <c r="H10" s="68"/>
      <c r="I10" s="68"/>
    </row>
    <row r="11" spans="2:9" ht="15" customHeight="1" x14ac:dyDescent="0.25">
      <c r="B11" s="68"/>
      <c r="C11" s="68"/>
      <c r="D11" s="68"/>
      <c r="E11" s="68"/>
      <c r="F11" s="68"/>
      <c r="G11" s="68"/>
      <c r="H11" s="68"/>
      <c r="I11" s="68"/>
    </row>
    <row r="12" spans="2:9" ht="15" customHeight="1" x14ac:dyDescent="0.25">
      <c r="B12" s="68"/>
      <c r="C12" s="68"/>
      <c r="D12" s="68"/>
      <c r="E12" s="68"/>
      <c r="F12" s="68"/>
      <c r="G12" s="68"/>
      <c r="H12" s="68"/>
      <c r="I12" s="68"/>
    </row>
    <row r="13" spans="2:9" ht="3.75" customHeight="1" x14ac:dyDescent="0.25">
      <c r="B13" s="56"/>
      <c r="C13" s="56"/>
      <c r="D13" s="56"/>
      <c r="E13" s="56"/>
      <c r="F13" s="56"/>
      <c r="G13" s="56"/>
      <c r="H13" s="56"/>
      <c r="I13" s="56"/>
    </row>
    <row r="14" spans="2:9" ht="18.75" x14ac:dyDescent="0.3">
      <c r="B14" s="63" t="s">
        <v>179</v>
      </c>
      <c r="C14" s="56"/>
      <c r="D14" s="56"/>
      <c r="E14" s="56"/>
      <c r="F14" s="56"/>
      <c r="G14" s="56"/>
      <c r="H14" s="56"/>
      <c r="I14" s="56"/>
    </row>
    <row r="15" spans="2:9" x14ac:dyDescent="0.25">
      <c r="B15" s="56"/>
      <c r="C15" s="56"/>
      <c r="D15" s="56"/>
      <c r="E15" s="56"/>
    </row>
    <row r="47" spans="2:9" x14ac:dyDescent="0.25">
      <c r="B47" s="67"/>
      <c r="C47" s="67"/>
      <c r="D47" s="67"/>
      <c r="E47" s="67"/>
      <c r="F47" s="67"/>
      <c r="G47" s="67"/>
      <c r="H47" s="67"/>
      <c r="I47" s="67"/>
    </row>
    <row r="49" spans="2:14" ht="28.5" x14ac:dyDescent="0.45">
      <c r="B49" s="54" t="s">
        <v>181</v>
      </c>
      <c r="C49" s="2"/>
      <c r="D49" s="2"/>
      <c r="E49" s="2"/>
      <c r="F49" s="2"/>
    </row>
    <row r="51" spans="2:14" x14ac:dyDescent="0.25">
      <c r="B51" s="67" t="s">
        <v>165</v>
      </c>
      <c r="C51" s="67"/>
      <c r="D51" s="67"/>
      <c r="E51" s="67"/>
      <c r="F51" s="67"/>
      <c r="G51" s="67"/>
      <c r="H51" s="67"/>
      <c r="I51" s="67"/>
    </row>
    <row r="52" spans="2:14" x14ac:dyDescent="0.25">
      <c r="E52" s="57">
        <f>HistoricalFS!H3</f>
        <v>43921</v>
      </c>
      <c r="F52" s="57">
        <f>HistoricalFS!I3</f>
        <v>44286</v>
      </c>
      <c r="G52" s="57">
        <f>HistoricalFS!J3</f>
        <v>44651</v>
      </c>
      <c r="H52" s="57">
        <f>HistoricalFS!K3</f>
        <v>45016</v>
      </c>
      <c r="I52" s="57">
        <f>HistoricalFS!L3</f>
        <v>45382</v>
      </c>
    </row>
    <row r="53" spans="2:14" x14ac:dyDescent="0.25">
      <c r="B53" t="s">
        <v>47</v>
      </c>
      <c r="E53" s="61">
        <f>'Data Sheet'!G30</f>
        <v>279.98</v>
      </c>
      <c r="F53" s="61">
        <f>'Data Sheet'!H30</f>
        <v>231.67</v>
      </c>
      <c r="G53" s="61">
        <f>'Data Sheet'!I30</f>
        <v>420.39</v>
      </c>
      <c r="H53" s="61">
        <f>'Data Sheet'!J30</f>
        <v>353.2</v>
      </c>
      <c r="I53" s="61">
        <f>'Data Sheet'!K30</f>
        <v>399.34</v>
      </c>
    </row>
    <row r="54" spans="2:14" x14ac:dyDescent="0.25">
      <c r="B54" t="s">
        <v>166</v>
      </c>
      <c r="E54" s="61">
        <f>(('Data Sheet'!G57+'Data Sheet'!G58)+('Data Sheet'!F57+'Data Sheet'!F58))+2</f>
        <v>2383.67</v>
      </c>
      <c r="F54" s="61">
        <f>(('Data Sheet'!H57+'Data Sheet'!H58)+('Data Sheet'!G57+'Data Sheet'!G58))+2</f>
        <v>2550.8599999999997</v>
      </c>
      <c r="G54" s="61">
        <f>(('Data Sheet'!I57+'Data Sheet'!I58)+('Data Sheet'!H57+'Data Sheet'!H58))+2</f>
        <v>3373.8</v>
      </c>
      <c r="H54" s="61">
        <f>(('Data Sheet'!J57+'Data Sheet'!J58)+('Data Sheet'!I57+'Data Sheet'!I58))+2</f>
        <v>3984.76</v>
      </c>
      <c r="I54" s="61">
        <f>(('Data Sheet'!K57+'Data Sheet'!K58)+('Data Sheet'!J57+'Data Sheet'!J58))+2</f>
        <v>4210.43</v>
      </c>
    </row>
    <row r="55" spans="2:14" x14ac:dyDescent="0.25">
      <c r="B55" s="58" t="s">
        <v>167</v>
      </c>
      <c r="C55" s="59"/>
      <c r="D55" s="59"/>
      <c r="E55" s="60">
        <f>E53/E54</f>
        <v>0.11745753397072582</v>
      </c>
      <c r="F55" s="60">
        <f>F53/F54</f>
        <v>9.0820350783657286E-2</v>
      </c>
      <c r="G55" s="60">
        <f>G53/G54</f>
        <v>0.1246043037524453</v>
      </c>
      <c r="H55" s="60">
        <f>H53/H54</f>
        <v>8.8637709673857396E-2</v>
      </c>
      <c r="I55" s="60">
        <f>I53/I54</f>
        <v>9.4845419588973079E-2</v>
      </c>
    </row>
    <row r="57" spans="2:14" x14ac:dyDescent="0.25">
      <c r="B57" s="67" t="s">
        <v>168</v>
      </c>
      <c r="C57" s="67"/>
      <c r="D57" s="67"/>
      <c r="E57" s="67"/>
      <c r="F57" s="67"/>
      <c r="G57" s="67"/>
      <c r="H57" s="67"/>
      <c r="I57" s="67"/>
    </row>
    <row r="58" spans="2:14" x14ac:dyDescent="0.25">
      <c r="E58" s="57">
        <f t="shared" ref="E58:I59" si="0">E52</f>
        <v>43921</v>
      </c>
      <c r="F58" s="57">
        <f t="shared" si="0"/>
        <v>44286</v>
      </c>
      <c r="G58" s="57">
        <f t="shared" si="0"/>
        <v>44651</v>
      </c>
      <c r="H58" s="57">
        <f t="shared" si="0"/>
        <v>45016</v>
      </c>
      <c r="I58" s="57">
        <f t="shared" si="0"/>
        <v>45382</v>
      </c>
    </row>
    <row r="59" spans="2:14" x14ac:dyDescent="0.25">
      <c r="B59" t="str">
        <f>B53</f>
        <v>Net Profit</v>
      </c>
      <c r="E59" s="61">
        <f t="shared" si="0"/>
        <v>279.98</v>
      </c>
      <c r="F59" s="61">
        <f t="shared" si="0"/>
        <v>231.67</v>
      </c>
      <c r="G59" s="61">
        <f t="shared" si="0"/>
        <v>420.39</v>
      </c>
      <c r="H59" s="61">
        <f t="shared" si="0"/>
        <v>353.2</v>
      </c>
      <c r="I59" s="61">
        <f t="shared" si="0"/>
        <v>399.34</v>
      </c>
    </row>
    <row r="60" spans="2:14" x14ac:dyDescent="0.25">
      <c r="B60" t="s">
        <v>169</v>
      </c>
      <c r="E60" s="61">
        <f>'Data Sheet'!G17</f>
        <v>3927.27</v>
      </c>
      <c r="F60" s="61">
        <f>'Data Sheet'!H17</f>
        <v>3311.87</v>
      </c>
      <c r="G60" s="61">
        <f>'Data Sheet'!I17</f>
        <v>4396.12</v>
      </c>
      <c r="H60" s="61">
        <f>'Data Sheet'!J17</f>
        <v>5158.25</v>
      </c>
      <c r="I60" s="61">
        <f>'Data Sheet'!K17</f>
        <v>5654.09</v>
      </c>
      <c r="N60" t="s">
        <v>180</v>
      </c>
    </row>
    <row r="61" spans="2:14" x14ac:dyDescent="0.25">
      <c r="B61" s="58" t="s">
        <v>170</v>
      </c>
      <c r="C61" s="58"/>
      <c r="D61" s="58"/>
      <c r="E61" s="60">
        <f>E59/E60</f>
        <v>7.1291253211518441E-2</v>
      </c>
      <c r="F61" s="60">
        <f>F59/F60</f>
        <v>6.9951417175191058E-2</v>
      </c>
      <c r="G61" s="60">
        <f>G59/G60</f>
        <v>9.562750789332411E-2</v>
      </c>
      <c r="H61" s="60">
        <f>H59/H60</f>
        <v>6.8472834779237143E-2</v>
      </c>
      <c r="I61" s="60">
        <f>I59/I60</f>
        <v>7.0628518470699966E-2</v>
      </c>
    </row>
    <row r="63" spans="2:14" x14ac:dyDescent="0.25">
      <c r="B63" t="s">
        <v>169</v>
      </c>
      <c r="E63" s="61">
        <f>E60</f>
        <v>3927.27</v>
      </c>
      <c r="F63" s="61">
        <f>F60</f>
        <v>3311.87</v>
      </c>
      <c r="G63" s="61">
        <f>G60</f>
        <v>4396.12</v>
      </c>
      <c r="H63" s="61">
        <f>H60</f>
        <v>5158.25</v>
      </c>
      <c r="I63" s="61">
        <f>I60</f>
        <v>5654.09</v>
      </c>
    </row>
    <row r="64" spans="2:14" x14ac:dyDescent="0.25">
      <c r="B64" t="s">
        <v>171</v>
      </c>
      <c r="E64" s="61">
        <f>('Data Sheet'!G66+'Data Sheet'!F66)/2</f>
        <v>2612.81</v>
      </c>
      <c r="F64" s="61">
        <f>('Data Sheet'!H66+'Data Sheet'!G66)/2</f>
        <v>3568.3249999999998</v>
      </c>
      <c r="G64" s="61">
        <f>('Data Sheet'!I66+'Data Sheet'!H66)/2</f>
        <v>4274.22</v>
      </c>
      <c r="H64" s="61">
        <f>('Data Sheet'!J66+'Data Sheet'!I66)/2</f>
        <v>5081.8999999999996</v>
      </c>
      <c r="I64" s="61">
        <f>('Data Sheet'!K66+'Data Sheet'!J66)/2</f>
        <v>6709.835</v>
      </c>
    </row>
    <row r="65" spans="2:9" x14ac:dyDescent="0.25">
      <c r="B65" s="58" t="s">
        <v>172</v>
      </c>
      <c r="C65" s="58"/>
      <c r="D65" s="58"/>
      <c r="E65" s="62">
        <f>E63/E64</f>
        <v>1.5030828877721687</v>
      </c>
      <c r="F65" s="62">
        <f>F63/F64</f>
        <v>0.92813014509608849</v>
      </c>
      <c r="G65" s="62">
        <f>G63/G64</f>
        <v>1.0285198234999602</v>
      </c>
      <c r="H65" s="62">
        <f>H63/H64</f>
        <v>1.0150239083807238</v>
      </c>
      <c r="I65" s="62">
        <f>I63/I64</f>
        <v>0.84265708471221723</v>
      </c>
    </row>
    <row r="67" spans="2:9" x14ac:dyDescent="0.25">
      <c r="B67" t="s">
        <v>171</v>
      </c>
      <c r="E67" s="61">
        <f>E64</f>
        <v>2612.81</v>
      </c>
      <c r="F67" s="61">
        <f>F64</f>
        <v>3568.3249999999998</v>
      </c>
      <c r="G67" s="61">
        <f>G64</f>
        <v>4274.22</v>
      </c>
      <c r="H67" s="61">
        <f>H64</f>
        <v>5081.8999999999996</v>
      </c>
      <c r="I67" s="61">
        <f>I64</f>
        <v>6709.835</v>
      </c>
    </row>
    <row r="68" spans="2:9" x14ac:dyDescent="0.25">
      <c r="B68" t="s">
        <v>166</v>
      </c>
      <c r="E68" s="61">
        <f>E54</f>
        <v>2383.67</v>
      </c>
      <c r="F68" s="61">
        <f>F54</f>
        <v>2550.8599999999997</v>
      </c>
      <c r="G68" s="61">
        <f>G54</f>
        <v>3373.8</v>
      </c>
      <c r="H68" s="61">
        <f>H54</f>
        <v>3984.76</v>
      </c>
      <c r="I68" s="61">
        <f>I54</f>
        <v>4210.43</v>
      </c>
    </row>
    <row r="69" spans="2:9" x14ac:dyDescent="0.25">
      <c r="B69" s="58" t="s">
        <v>173</v>
      </c>
      <c r="C69" s="58"/>
      <c r="D69" s="58"/>
      <c r="E69" s="69">
        <f>E67/E68</f>
        <v>1.0961290782700626</v>
      </c>
      <c r="F69" s="69">
        <f>F67/F68</f>
        <v>1.3988713610311818</v>
      </c>
      <c r="G69" s="69">
        <f>G67/G68</f>
        <v>1.2668860039125023</v>
      </c>
      <c r="H69" s="69">
        <f>H67/H68</f>
        <v>1.2753340226262058</v>
      </c>
      <c r="I69" s="69">
        <f>I67/I68</f>
        <v>1.5936222666093487</v>
      </c>
    </row>
    <row r="71" spans="2:9" x14ac:dyDescent="0.25">
      <c r="B71" s="58" t="s">
        <v>174</v>
      </c>
      <c r="C71" s="58"/>
      <c r="D71" s="58"/>
      <c r="E71" s="60">
        <f>E69*E65*E61</f>
        <v>0.11745753397072582</v>
      </c>
      <c r="F71" s="60">
        <f>F69*F65*F61</f>
        <v>9.0820350783657286E-2</v>
      </c>
      <c r="G71" s="60">
        <f>G69*G65*G61</f>
        <v>0.1246043037524453</v>
      </c>
      <c r="H71" s="60">
        <f>H69*H65*H61</f>
        <v>8.8637709673857396E-2</v>
      </c>
      <c r="I71" s="60">
        <f>I69*I65*I61</f>
        <v>9.4845419588973079E-2</v>
      </c>
    </row>
    <row r="73" spans="2:9" x14ac:dyDescent="0.25">
      <c r="B73" s="67" t="s">
        <v>175</v>
      </c>
      <c r="C73" s="67"/>
      <c r="D73" s="67"/>
      <c r="E73" s="67"/>
      <c r="F73" s="67"/>
      <c r="G73" s="67"/>
      <c r="H73" s="67"/>
      <c r="I73" s="67"/>
    </row>
    <row r="74" spans="2:9" x14ac:dyDescent="0.25">
      <c r="E74" s="57">
        <f>E52</f>
        <v>43921</v>
      </c>
      <c r="F74" s="57">
        <f>F52</f>
        <v>44286</v>
      </c>
      <c r="G74" s="57">
        <f>G52</f>
        <v>44651</v>
      </c>
      <c r="H74" s="57">
        <f>H52</f>
        <v>45016</v>
      </c>
      <c r="I74" s="57">
        <f>I52</f>
        <v>45382</v>
      </c>
    </row>
    <row r="75" spans="2:9" x14ac:dyDescent="0.25">
      <c r="B75" t="s">
        <v>47</v>
      </c>
      <c r="E75" s="61">
        <f>E59</f>
        <v>279.98</v>
      </c>
      <c r="F75" s="61">
        <f>F59</f>
        <v>231.67</v>
      </c>
      <c r="G75" s="61">
        <f>G59</f>
        <v>420.39</v>
      </c>
      <c r="H75" s="61">
        <f>H59</f>
        <v>353.2</v>
      </c>
      <c r="I75" s="61">
        <f>I59</f>
        <v>399.34</v>
      </c>
    </row>
    <row r="76" spans="2:9" x14ac:dyDescent="0.25">
      <c r="B76" t="s">
        <v>171</v>
      </c>
      <c r="E76" s="61">
        <f>E67</f>
        <v>2612.81</v>
      </c>
      <c r="F76" s="61">
        <f>F67</f>
        <v>3568.3249999999998</v>
      </c>
      <c r="G76" s="61">
        <f>G67</f>
        <v>4274.22</v>
      </c>
      <c r="H76" s="61">
        <f>H67</f>
        <v>5081.8999999999996</v>
      </c>
      <c r="I76" s="61">
        <f>I67</f>
        <v>6709.835</v>
      </c>
    </row>
    <row r="77" spans="2:9" x14ac:dyDescent="0.25">
      <c r="B77" s="58" t="s">
        <v>176</v>
      </c>
      <c r="C77" s="59"/>
      <c r="D77" s="59"/>
      <c r="E77" s="60">
        <f>E75/E76</f>
        <v>0.10715666275006604</v>
      </c>
      <c r="F77" s="60">
        <f>F75/F76</f>
        <v>6.4924018972487091E-2</v>
      </c>
      <c r="G77" s="60">
        <f>G75/G76</f>
        <v>9.8354787540182759E-2</v>
      </c>
      <c r="H77" s="60">
        <f>H75/H76</f>
        <v>6.9501564375528846E-2</v>
      </c>
      <c r="I77" s="60">
        <f>I75/I76</f>
        <v>5.9515621472063018E-2</v>
      </c>
    </row>
    <row r="79" spans="2:9" x14ac:dyDescent="0.25">
      <c r="B79" s="67" t="s">
        <v>177</v>
      </c>
      <c r="C79" s="67"/>
      <c r="D79" s="67"/>
      <c r="E79" s="67"/>
      <c r="F79" s="67"/>
      <c r="G79" s="67"/>
      <c r="H79" s="67"/>
      <c r="I79" s="67"/>
    </row>
    <row r="80" spans="2:9" x14ac:dyDescent="0.25">
      <c r="E80" s="57">
        <f t="shared" ref="E80:I81" si="1">E74</f>
        <v>43921</v>
      </c>
      <c r="F80" s="57">
        <f t="shared" si="1"/>
        <v>44286</v>
      </c>
      <c r="G80" s="57">
        <f t="shared" si="1"/>
        <v>44651</v>
      </c>
      <c r="H80" s="57">
        <f t="shared" si="1"/>
        <v>45016</v>
      </c>
      <c r="I80" s="57">
        <f t="shared" si="1"/>
        <v>45382</v>
      </c>
    </row>
    <row r="81" spans="2:9" x14ac:dyDescent="0.25">
      <c r="B81" t="str">
        <f>B75</f>
        <v>Net Profit</v>
      </c>
      <c r="E81" s="61">
        <f t="shared" si="1"/>
        <v>279.98</v>
      </c>
      <c r="F81" s="61">
        <f t="shared" si="1"/>
        <v>231.67</v>
      </c>
      <c r="G81" s="61">
        <f t="shared" si="1"/>
        <v>420.39</v>
      </c>
      <c r="H81" s="61">
        <f t="shared" si="1"/>
        <v>353.2</v>
      </c>
      <c r="I81" s="61">
        <f t="shared" si="1"/>
        <v>399.34</v>
      </c>
    </row>
    <row r="82" spans="2:9" x14ac:dyDescent="0.25">
      <c r="B82" t="s">
        <v>169</v>
      </c>
      <c r="E82" s="61">
        <f>E60</f>
        <v>3927.27</v>
      </c>
      <c r="F82" s="61">
        <f>F60</f>
        <v>3311.87</v>
      </c>
      <c r="G82" s="61">
        <f>G60</f>
        <v>4396.12</v>
      </c>
      <c r="H82" s="61">
        <f>H60</f>
        <v>5158.25</v>
      </c>
      <c r="I82" s="61">
        <f>I60</f>
        <v>5654.09</v>
      </c>
    </row>
    <row r="83" spans="2:9" x14ac:dyDescent="0.25">
      <c r="B83" s="58" t="s">
        <v>170</v>
      </c>
      <c r="C83" s="58"/>
      <c r="D83" s="58"/>
      <c r="E83" s="60">
        <f>E81/E82</f>
        <v>7.1291253211518441E-2</v>
      </c>
      <c r="F83" s="60">
        <f>F81/F82</f>
        <v>6.9951417175191058E-2</v>
      </c>
      <c r="G83" s="60">
        <f>G81/G82</f>
        <v>9.562750789332411E-2</v>
      </c>
      <c r="H83" s="60">
        <f>H81/H82</f>
        <v>6.8472834779237143E-2</v>
      </c>
      <c r="I83" s="60">
        <f>I81/I82</f>
        <v>7.0628518470699966E-2</v>
      </c>
    </row>
    <row r="85" spans="2:9" x14ac:dyDescent="0.25">
      <c r="B85" t="s">
        <v>169</v>
      </c>
      <c r="E85" s="61">
        <f>E82</f>
        <v>3927.27</v>
      </c>
      <c r="F85" s="61">
        <f>F82</f>
        <v>3311.87</v>
      </c>
      <c r="G85" s="61">
        <f>G82</f>
        <v>4396.12</v>
      </c>
      <c r="H85" s="61">
        <f>H82</f>
        <v>5158.25</v>
      </c>
      <c r="I85" s="61">
        <f>I82</f>
        <v>5654.09</v>
      </c>
    </row>
    <row r="86" spans="2:9" x14ac:dyDescent="0.25">
      <c r="B86" t="s">
        <v>171</v>
      </c>
      <c r="E86" s="61">
        <f>E67</f>
        <v>2612.81</v>
      </c>
      <c r="F86" s="61">
        <f>F67</f>
        <v>3568.3249999999998</v>
      </c>
      <c r="G86" s="61">
        <f>G67</f>
        <v>4274.22</v>
      </c>
      <c r="H86" s="61">
        <f>H67</f>
        <v>5081.8999999999996</v>
      </c>
      <c r="I86" s="61">
        <f>I67</f>
        <v>6709.835</v>
      </c>
    </row>
    <row r="87" spans="2:9" x14ac:dyDescent="0.25">
      <c r="B87" s="58" t="s">
        <v>172</v>
      </c>
      <c r="C87" s="58"/>
      <c r="D87" s="58"/>
      <c r="E87" s="62">
        <f>E85/E86</f>
        <v>1.5030828877721687</v>
      </c>
      <c r="F87" s="62">
        <f>F85/F86</f>
        <v>0.92813014509608849</v>
      </c>
      <c r="G87" s="62">
        <f>G85/G86</f>
        <v>1.0285198234999602</v>
      </c>
      <c r="H87" s="62">
        <f>H85/H86</f>
        <v>1.0150239083807238</v>
      </c>
      <c r="I87" s="62">
        <f>I85/I86</f>
        <v>0.84265708471221723</v>
      </c>
    </row>
    <row r="89" spans="2:9" x14ac:dyDescent="0.25">
      <c r="B89" s="58" t="s">
        <v>178</v>
      </c>
      <c r="C89" s="58"/>
      <c r="D89" s="58"/>
      <c r="E89" s="60">
        <f>E87*E83</f>
        <v>0.10715666275006604</v>
      </c>
      <c r="F89" s="60">
        <f>F87*F83</f>
        <v>6.4924018972487091E-2</v>
      </c>
      <c r="G89" s="60">
        <f>G87*G83</f>
        <v>9.8354787540182759E-2</v>
      </c>
      <c r="H89" s="60">
        <f>H87*H83</f>
        <v>6.9501564375528832E-2</v>
      </c>
      <c r="I89" s="60">
        <f>I87*I83</f>
        <v>5.9515621472063018E-2</v>
      </c>
    </row>
  </sheetData>
  <mergeCells count="6">
    <mergeCell ref="B51:I51"/>
    <mergeCell ref="B8:I12"/>
    <mergeCell ref="B57:I57"/>
    <mergeCell ref="B73:I73"/>
    <mergeCell ref="B79:I79"/>
    <mergeCell ref="B47:I47"/>
  </mergeCells>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60379-7AC9-4D86-AB36-FA2ECAC2B46C}">
  <sheetPr codeName="Sheet6"/>
  <dimension ref="B2:J40"/>
  <sheetViews>
    <sheetView showGridLines="0" topLeftCell="A8" workbookViewId="0">
      <selection activeCell="J27" sqref="J27"/>
    </sheetView>
  </sheetViews>
  <sheetFormatPr defaultRowHeight="15" x14ac:dyDescent="0.25"/>
  <cols>
    <col min="1" max="1" width="1.85546875" customWidth="1"/>
    <col min="2" max="2" width="28.85546875" customWidth="1"/>
  </cols>
  <sheetData>
    <row r="2" spans="2:10" x14ac:dyDescent="0.25">
      <c r="B2" s="67" t="str">
        <f>"Common Size Income Statement - "&amp;'Data Sheet'!B1</f>
        <v>Common Size Income Statement - JUBILANT FOODWORKS LTD</v>
      </c>
      <c r="C2" s="67"/>
      <c r="D2" s="67"/>
      <c r="E2" s="67"/>
      <c r="F2" s="67"/>
      <c r="G2" s="67"/>
      <c r="H2" s="67"/>
    </row>
    <row r="3" spans="2:10" x14ac:dyDescent="0.25">
      <c r="B3" s="47"/>
    </row>
    <row r="4" spans="2:10" x14ac:dyDescent="0.25">
      <c r="B4" s="49" t="s">
        <v>159</v>
      </c>
      <c r="C4" s="50">
        <f>'Data Sheet'!G16</f>
        <v>43921</v>
      </c>
      <c r="D4" s="50">
        <f>'Data Sheet'!H16</f>
        <v>44286</v>
      </c>
      <c r="E4" s="50">
        <f>'Data Sheet'!I16</f>
        <v>44651</v>
      </c>
      <c r="F4" s="50">
        <f>'Data Sheet'!J16</f>
        <v>45016</v>
      </c>
      <c r="G4" s="50">
        <f>'Data Sheet'!K16</f>
        <v>45382</v>
      </c>
      <c r="H4" s="51"/>
      <c r="I4" s="48"/>
      <c r="J4" s="48"/>
    </row>
    <row r="6" spans="2:10" x14ac:dyDescent="0.25">
      <c r="B6" s="2" t="str">
        <f>'Data Sheet'!A17</f>
        <v>Sales</v>
      </c>
      <c r="C6" s="34">
        <f>IFERROR('Data Sheet'!G17/'Data Sheet'!G$17,0)</f>
        <v>1</v>
      </c>
      <c r="D6" s="34">
        <f>IFERROR('Data Sheet'!H17/'Data Sheet'!H$17,0)</f>
        <v>1</v>
      </c>
      <c r="E6" s="34">
        <f>IFERROR('Data Sheet'!I17/'Data Sheet'!I$17,0)</f>
        <v>1</v>
      </c>
      <c r="F6" s="34">
        <f>IFERROR('Data Sheet'!J17/'Data Sheet'!J$17,0)</f>
        <v>1</v>
      </c>
      <c r="G6" s="34">
        <f>IFERROR('Data Sheet'!K17/'Data Sheet'!K$17,0)</f>
        <v>1</v>
      </c>
    </row>
    <row r="7" spans="2:10" x14ac:dyDescent="0.25">
      <c r="B7" t="str">
        <f>'Data Sheet'!A18</f>
        <v>Raw Material Cost</v>
      </c>
      <c r="C7" s="33">
        <f>IFERROR('Data Sheet'!G18/'Data Sheet'!G$17,0)</f>
        <v>0.2506830444558179</v>
      </c>
      <c r="D7" s="33">
        <f>IFERROR('Data Sheet'!H18/'Data Sheet'!H$17,0)</f>
        <v>0.2196885747327039</v>
      </c>
      <c r="E7" s="33">
        <f>IFERROR('Data Sheet'!I18/'Data Sheet'!I$17,0)</f>
        <v>0.22602886181450915</v>
      </c>
      <c r="F7" s="33">
        <f>IFERROR('Data Sheet'!J18/'Data Sheet'!J$17,0)</f>
        <v>0.24300295642902148</v>
      </c>
      <c r="G7" s="33">
        <f>IFERROR('Data Sheet'!K18/'Data Sheet'!K$17,0)</f>
        <v>0.2382080936101123</v>
      </c>
    </row>
    <row r="8" spans="2:10" x14ac:dyDescent="0.25">
      <c r="B8" t="str">
        <f>'Data Sheet'!A19</f>
        <v>Change in Inventory</v>
      </c>
      <c r="C8" s="33">
        <f>IFERROR('Data Sheet'!G19/'Data Sheet'!G$17,0)</f>
        <v>2.6226870064956063E-4</v>
      </c>
      <c r="D8" s="33">
        <f>IFERROR('Data Sheet'!H19/'Data Sheet'!H$17,0)</f>
        <v>4.0460525322551916E-4</v>
      </c>
      <c r="E8" s="33">
        <f>IFERROR('Data Sheet'!I19/'Data Sheet'!I$17,0)</f>
        <v>8.5302494017451753E-4</v>
      </c>
      <c r="F8" s="33">
        <f>IFERROR('Data Sheet'!J19/'Data Sheet'!J$17,0)</f>
        <v>1.0972713614113313E-3</v>
      </c>
      <c r="G8" s="33">
        <f>IFERROR('Data Sheet'!K19/'Data Sheet'!K$17,0)</f>
        <v>1.018731573073651E-3</v>
      </c>
    </row>
    <row r="9" spans="2:10" x14ac:dyDescent="0.25">
      <c r="B9" t="str">
        <f>'Data Sheet'!A20</f>
        <v>Power and Fuel</v>
      </c>
      <c r="C9" s="33">
        <f>IFERROR('Data Sheet'!G20/'Data Sheet'!G$17,0)</f>
        <v>4.3954197190414719E-2</v>
      </c>
      <c r="D9" s="33">
        <f>IFERROR('Data Sheet'!H20/'Data Sheet'!H$17,0)</f>
        <v>4.4566966698572102E-2</v>
      </c>
      <c r="E9" s="33">
        <f>IFERROR('Data Sheet'!I20/'Data Sheet'!I$17,0)</f>
        <v>4.5644795865444981E-2</v>
      </c>
      <c r="F9" s="33">
        <f>IFERROR('Data Sheet'!J20/'Data Sheet'!J$17,0)</f>
        <v>5.1810206950031502E-2</v>
      </c>
      <c r="G9" s="33">
        <f>IFERROR('Data Sheet'!K20/'Data Sheet'!K$17,0)</f>
        <v>5.4758590683911999E-2</v>
      </c>
    </row>
    <row r="10" spans="2:10" x14ac:dyDescent="0.25">
      <c r="B10" t="str">
        <f>'Data Sheet'!A21</f>
        <v>Other Mfr. Exp</v>
      </c>
      <c r="C10" s="33">
        <f>IFERROR('Data Sheet'!G21/'Data Sheet'!G$17,0)</f>
        <v>6.2702589839761458E-2</v>
      </c>
      <c r="D10" s="33">
        <f>IFERROR('Data Sheet'!H21/'Data Sheet'!H$17,0)</f>
        <v>7.9079190910271227E-2</v>
      </c>
      <c r="E10" s="33">
        <f>IFERROR('Data Sheet'!I21/'Data Sheet'!I$17,0)</f>
        <v>6.9263350408997032E-2</v>
      </c>
      <c r="F10" s="33">
        <f>IFERROR('Data Sheet'!J21/'Data Sheet'!J$17,0)</f>
        <v>7.0812775650656717E-2</v>
      </c>
      <c r="G10" s="33">
        <f>IFERROR('Data Sheet'!K21/'Data Sheet'!K$17,0)</f>
        <v>0.10946589106292966</v>
      </c>
    </row>
    <row r="11" spans="2:10" x14ac:dyDescent="0.25">
      <c r="B11" t="str">
        <f>'Data Sheet'!A22</f>
        <v>Employee Cost</v>
      </c>
      <c r="C11" s="33">
        <f>IFERROR('Data Sheet'!G22/'Data Sheet'!G$17,0)</f>
        <v>0.20315384478276258</v>
      </c>
      <c r="D11" s="33">
        <f>IFERROR('Data Sheet'!H22/'Data Sheet'!H$17,0)</f>
        <v>0.22599317002177019</v>
      </c>
      <c r="E11" s="33">
        <f>IFERROR('Data Sheet'!I22/'Data Sheet'!I$17,0)</f>
        <v>0.1752226963777149</v>
      </c>
      <c r="F11" s="33">
        <f>IFERROR('Data Sheet'!J22/'Data Sheet'!J$17,0)</f>
        <v>0.1760655260989677</v>
      </c>
      <c r="G11" s="33">
        <f>IFERROR('Data Sheet'!K22/'Data Sheet'!K$17,0)</f>
        <v>0.18765884518994214</v>
      </c>
    </row>
    <row r="12" spans="2:10" x14ac:dyDescent="0.25">
      <c r="B12" t="str">
        <f>'Data Sheet'!A23</f>
        <v>Selling and admin</v>
      </c>
      <c r="C12" s="33">
        <f>IFERROR('Data Sheet'!G23/'Data Sheet'!G$17,0)</f>
        <v>0.18977814104963497</v>
      </c>
      <c r="D12" s="33">
        <f>IFERROR('Data Sheet'!H23/'Data Sheet'!H$17,0)</f>
        <v>0.17234372122094163</v>
      </c>
      <c r="E12" s="33">
        <f>IFERROR('Data Sheet'!I23/'Data Sheet'!I$17,0)</f>
        <v>0.20811306333767049</v>
      </c>
      <c r="F12" s="33">
        <f>IFERROR('Data Sheet'!J23/'Data Sheet'!J$17,0)</f>
        <v>0.20988319682062717</v>
      </c>
      <c r="G12" s="33">
        <f>IFERROR('Data Sheet'!K23/'Data Sheet'!K$17,0)</f>
        <v>0.18804263816104802</v>
      </c>
    </row>
    <row r="13" spans="2:10" x14ac:dyDescent="0.25">
      <c r="B13" t="str">
        <f>'Data Sheet'!A24</f>
        <v>Other Expenses</v>
      </c>
      <c r="C13" s="33">
        <f>IFERROR('Data Sheet'!G24/'Data Sheet'!G$17,0)</f>
        <v>2.5223628627519881E-2</v>
      </c>
      <c r="D13" s="33">
        <f>IFERROR('Data Sheet'!H24/'Data Sheet'!H$17,0)</f>
        <v>2.3204413216702347E-2</v>
      </c>
      <c r="E13" s="33">
        <f>IFERROR('Data Sheet'!I24/'Data Sheet'!I$17,0)</f>
        <v>2.4912877719443508E-2</v>
      </c>
      <c r="F13" s="33">
        <f>IFERROR('Data Sheet'!J24/'Data Sheet'!J$17,0)</f>
        <v>2.9302573547230166E-2</v>
      </c>
      <c r="G13" s="33">
        <f>IFERROR('Data Sheet'!K24/'Data Sheet'!K$17,0)</f>
        <v>1.8015277436333698E-2</v>
      </c>
    </row>
    <row r="14" spans="2:10" x14ac:dyDescent="0.25">
      <c r="B14" t="str">
        <f>'Data Sheet'!A25</f>
        <v>Other Income</v>
      </c>
      <c r="C14" s="33">
        <f>IFERROR('Data Sheet'!G25/'Data Sheet'!G$17,0)</f>
        <v>9.5689881266121241E-3</v>
      </c>
      <c r="D14" s="33">
        <f>IFERROR('Data Sheet'!H25/'Data Sheet'!H$17,0)</f>
        <v>1.9393877175130667E-2</v>
      </c>
      <c r="E14" s="33">
        <f>IFERROR('Data Sheet'!I25/'Data Sheet'!I$17,0)</f>
        <v>5.9234051845718496E-3</v>
      </c>
      <c r="F14" s="33">
        <f>IFERROR('Data Sheet'!J25/'Data Sheet'!J$17,0)</f>
        <v>7.7351815053554986E-3</v>
      </c>
      <c r="G14" s="33">
        <f>IFERROR('Data Sheet'!K25/'Data Sheet'!K$17,0)</f>
        <v>3.7567495388294139E-2</v>
      </c>
    </row>
    <row r="15" spans="2:10" x14ac:dyDescent="0.25">
      <c r="B15" t="str">
        <f>'Data Sheet'!A26</f>
        <v>Depreciation</v>
      </c>
      <c r="C15" s="33">
        <f>IFERROR('Data Sheet'!G26/'Data Sheet'!G$17,0)</f>
        <v>8.9700988218278849E-2</v>
      </c>
      <c r="D15" s="33">
        <f>IFERROR('Data Sheet'!H26/'Data Sheet'!H$17,0)</f>
        <v>0.11334985974691035</v>
      </c>
      <c r="E15" s="33">
        <f>IFERROR('Data Sheet'!I26/'Data Sheet'!I$17,0)</f>
        <v>8.9408387396158431E-2</v>
      </c>
      <c r="F15" s="33">
        <f>IFERROR('Data Sheet'!J26/'Data Sheet'!J$17,0)</f>
        <v>9.4196675229002075E-2</v>
      </c>
      <c r="G15" s="33">
        <f>IFERROR('Data Sheet'!K26/'Data Sheet'!K$17,0)</f>
        <v>0.10575707142970842</v>
      </c>
    </row>
    <row r="16" spans="2:10" x14ac:dyDescent="0.25">
      <c r="B16" t="str">
        <f>'Data Sheet'!A27</f>
        <v>Interest</v>
      </c>
      <c r="C16" s="33">
        <f>IFERROR('Data Sheet'!G27/'Data Sheet'!G$17,0)</f>
        <v>4.2075029218770293E-2</v>
      </c>
      <c r="D16" s="33">
        <f>IFERROR('Data Sheet'!H27/'Data Sheet'!H$17,0)</f>
        <v>4.9126324402829817E-2</v>
      </c>
      <c r="E16" s="33">
        <f>IFERROR('Data Sheet'!I27/'Data Sheet'!I$17,0)</f>
        <v>4.0055776457421546E-2</v>
      </c>
      <c r="F16" s="33">
        <f>IFERROR('Data Sheet'!J27/'Data Sheet'!J$17,0)</f>
        <v>3.9011292589541023E-2</v>
      </c>
      <c r="G16" s="33">
        <f>IFERROR('Data Sheet'!K27/'Data Sheet'!K$17,0)</f>
        <v>5.0895900136007734E-2</v>
      </c>
    </row>
    <row r="17" spans="2:8" x14ac:dyDescent="0.25">
      <c r="B17" t="str">
        <f>'Data Sheet'!A28</f>
        <v>Profit before tax</v>
      </c>
      <c r="C17" s="33">
        <f>IFERROR('Data Sheet'!G28/'Data Sheet'!G$17,0)</f>
        <v>0.102559793444301</v>
      </c>
      <c r="D17" s="33">
        <f>IFERROR('Data Sheet'!H28/'Data Sheet'!H$17,0)</f>
        <v>9.2446261477654626E-2</v>
      </c>
      <c r="E17" s="33">
        <f>IFERROR('Data Sheet'!I28/'Data Sheet'!I$17,0)</f>
        <v>0.12812662074738634</v>
      </c>
      <c r="F17" s="33">
        <f>IFERROR('Data Sheet'!J28/'Data Sheet'!J$17,0)</f>
        <v>9.4747249551689047E-2</v>
      </c>
      <c r="G17" s="33">
        <f>IFERROR('Data Sheet'!K28/'Data Sheet'!K$17,0)</f>
        <v>8.5783919251373783E-2</v>
      </c>
    </row>
    <row r="18" spans="2:8" x14ac:dyDescent="0.25">
      <c r="B18" t="str">
        <f>'Data Sheet'!A29</f>
        <v>Tax</v>
      </c>
      <c r="C18" s="33">
        <f>IFERROR('Data Sheet'!G29/'Data Sheet'!G$17,0)</f>
        <v>3.157154970246507E-2</v>
      </c>
      <c r="D18" s="33">
        <f>IFERROR('Data Sheet'!H29/'Data Sheet'!H$17,0)</f>
        <v>2.2842080154112331E-2</v>
      </c>
      <c r="E18" s="33">
        <f>IFERROR('Data Sheet'!I29/'Data Sheet'!I$17,0)</f>
        <v>3.3024576217209722E-2</v>
      </c>
      <c r="F18" s="33">
        <f>IFERROR('Data Sheet'!J29/'Data Sheet'!J$17,0)</f>
        <v>2.6307371686133861E-2</v>
      </c>
      <c r="G18" s="33">
        <f>IFERROR('Data Sheet'!K29/'Data Sheet'!K$17,0)</f>
        <v>1.5028059334039607E-2</v>
      </c>
    </row>
    <row r="19" spans="2:8" x14ac:dyDescent="0.25">
      <c r="B19" t="str">
        <f>'Data Sheet'!A30</f>
        <v>Net profit</v>
      </c>
      <c r="C19" s="33">
        <f>IFERROR('Data Sheet'!G30/'Data Sheet'!G$17,0)</f>
        <v>7.1291253211518441E-2</v>
      </c>
      <c r="D19" s="33">
        <f>IFERROR('Data Sheet'!H30/'Data Sheet'!H$17,0)</f>
        <v>6.9951417175191058E-2</v>
      </c>
      <c r="E19" s="33">
        <f>IFERROR('Data Sheet'!I30/'Data Sheet'!I$17,0)</f>
        <v>9.562750789332411E-2</v>
      </c>
      <c r="F19" s="33">
        <f>IFERROR('Data Sheet'!J30/'Data Sheet'!J$17,0)</f>
        <v>6.8472834779237143E-2</v>
      </c>
      <c r="G19" s="33">
        <f>IFERROR('Data Sheet'!K30/'Data Sheet'!K$17,0)</f>
        <v>7.0628518470699966E-2</v>
      </c>
    </row>
    <row r="20" spans="2:8" x14ac:dyDescent="0.25">
      <c r="B20" t="str">
        <f>'Data Sheet'!A31</f>
        <v>Dividend Amount</v>
      </c>
      <c r="C20" s="33">
        <f>IFERROR('Data Sheet'!G31/'Data Sheet'!G$17,0)</f>
        <v>2.0161588075176907E-2</v>
      </c>
      <c r="D20" s="33">
        <f>IFERROR('Data Sheet'!H31/'Data Sheet'!H$17,0)</f>
        <v>2.3907943246564631E-2</v>
      </c>
      <c r="E20" s="33">
        <f>IFERROR('Data Sheet'!I31/'Data Sheet'!I$17,0)</f>
        <v>1.8011337270138216E-2</v>
      </c>
      <c r="F20" s="33">
        <f>IFERROR('Data Sheet'!J31/'Data Sheet'!J$17,0)</f>
        <v>1.5350167207870889E-2</v>
      </c>
      <c r="G20" s="33">
        <f>IFERROR('Data Sheet'!K31/'Data Sheet'!K$17,0)</f>
        <v>1.4004021867356197E-2</v>
      </c>
    </row>
    <row r="21" spans="2:8" x14ac:dyDescent="0.25">
      <c r="B21" t="s">
        <v>57</v>
      </c>
      <c r="C21" s="33">
        <f>IFERROR('Data Sheet'!G32/'Data Sheet'!G$17,0)</f>
        <v>0.22476682275473808</v>
      </c>
      <c r="D21" s="33">
        <f>IFERROR('Data Sheet'!H32/'Data Sheet'!H$17,0)</f>
        <v>0.23552856845226408</v>
      </c>
      <c r="E21" s="33">
        <f>IFERROR('Data Sheet'!I32/'Data Sheet'!I$17,0)</f>
        <v>0.25166737941639444</v>
      </c>
      <c r="F21" s="33">
        <f>IFERROR('Data Sheet'!J32/'Data Sheet'!J$17,0)</f>
        <v>0.22022003586487654</v>
      </c>
      <c r="G21" s="33">
        <f>IFERROR('Data Sheet'!K32/'Data Sheet'!K$17,0)</f>
        <v>0.2048693954287959</v>
      </c>
    </row>
    <row r="23" spans="2:8" x14ac:dyDescent="0.25">
      <c r="B23" s="67" t="str">
        <f>"Common Size Balance Sheet - "&amp;'Data Sheet'!B1</f>
        <v>Common Size Balance Sheet - JUBILANT FOODWORKS LTD</v>
      </c>
      <c r="C23" s="67"/>
      <c r="D23" s="67"/>
      <c r="E23" s="67"/>
      <c r="F23" s="67"/>
      <c r="G23" s="67"/>
      <c r="H23" s="67"/>
    </row>
    <row r="25" spans="2:8" x14ac:dyDescent="0.25">
      <c r="B25" s="49" t="s">
        <v>159</v>
      </c>
      <c r="C25" s="50">
        <f>'Data Sheet'!G56</f>
        <v>43921</v>
      </c>
      <c r="D25" s="50">
        <f>'Data Sheet'!H56</f>
        <v>44286</v>
      </c>
      <c r="E25" s="50">
        <f>'Data Sheet'!I56</f>
        <v>44651</v>
      </c>
      <c r="F25" s="50">
        <f>'Data Sheet'!J56</f>
        <v>45016</v>
      </c>
      <c r="G25" s="50">
        <f>'Data Sheet'!K56</f>
        <v>45382</v>
      </c>
      <c r="H25" s="50"/>
    </row>
    <row r="26" spans="2:8" x14ac:dyDescent="0.25">
      <c r="B26" s="2"/>
      <c r="C26" s="53"/>
      <c r="D26" s="53"/>
      <c r="E26" s="53"/>
      <c r="F26" s="53"/>
      <c r="G26" s="53"/>
      <c r="H26" s="53"/>
    </row>
    <row r="27" spans="2:8" x14ac:dyDescent="0.25">
      <c r="B27" s="2" t="s">
        <v>34</v>
      </c>
      <c r="C27" s="34">
        <f>'Data Sheet'!G61/'Data Sheet'!G$61</f>
        <v>1</v>
      </c>
      <c r="D27" s="34">
        <f>'Data Sheet'!H61/'Data Sheet'!H$61</f>
        <v>1</v>
      </c>
      <c r="E27" s="34">
        <f>'Data Sheet'!I61/'Data Sheet'!I$61</f>
        <v>1</v>
      </c>
      <c r="F27" s="34">
        <f>'Data Sheet'!J61/'Data Sheet'!J$61</f>
        <v>1</v>
      </c>
      <c r="G27" s="34">
        <f>'Data Sheet'!K61/'Data Sheet'!K$61</f>
        <v>1</v>
      </c>
    </row>
    <row r="28" spans="2:8" x14ac:dyDescent="0.25">
      <c r="B28" t="str">
        <f>'Data Sheet'!A57</f>
        <v>Equity Share Capital</v>
      </c>
      <c r="C28" s="33">
        <f>'Data Sheet'!G57/'Data Sheet'!G$61</f>
        <v>3.9161631868197086E-2</v>
      </c>
      <c r="D28" s="33">
        <f>'Data Sheet'!H57/'Data Sheet'!H$61</f>
        <v>3.5035322039837842E-2</v>
      </c>
      <c r="E28" s="33">
        <f>'Data Sheet'!I57/'Data Sheet'!I$61</f>
        <v>2.7599144232036087E-2</v>
      </c>
      <c r="F28" s="33">
        <f>'Data Sheet'!J57/'Data Sheet'!J$61</f>
        <v>2.4520032031927878E-2</v>
      </c>
      <c r="G28" s="33">
        <f>'Data Sheet'!K57/'Data Sheet'!K$61</f>
        <v>1.6419202890436625E-2</v>
      </c>
    </row>
    <row r="29" spans="2:8" x14ac:dyDescent="0.25">
      <c r="B29" t="str">
        <f>'Data Sheet'!A58</f>
        <v>Reserves</v>
      </c>
      <c r="C29" s="33">
        <f>'Data Sheet'!G58/'Data Sheet'!G$61</f>
        <v>0.29379681175590822</v>
      </c>
      <c r="D29" s="33">
        <f>'Data Sheet'!H58/'Data Sheet'!H$61</f>
        <v>0.34375871104421024</v>
      </c>
      <c r="E29" s="33">
        <f>'Data Sheet'!I58/'Data Sheet'!I$61</f>
        <v>0.37915623621036165</v>
      </c>
      <c r="F29" s="33">
        <f>'Data Sheet'!J58/'Data Sheet'!J$61</f>
        <v>0.35410144310895497</v>
      </c>
      <c r="G29" s="33">
        <f>'Data Sheet'!K58/'Data Sheet'!K$61</f>
        <v>0.25364352774605164</v>
      </c>
    </row>
    <row r="30" spans="2:8" x14ac:dyDescent="0.25">
      <c r="B30" t="str">
        <f>'Data Sheet'!A59</f>
        <v>Borrowings</v>
      </c>
      <c r="C30" s="33">
        <f>'Data Sheet'!G59/'Data Sheet'!G$61</f>
        <v>0.49558441250133534</v>
      </c>
      <c r="D30" s="33">
        <f>'Data Sheet'!H59/'Data Sheet'!H$61</f>
        <v>0.43007138742211498</v>
      </c>
      <c r="E30" s="33">
        <f>'Data Sheet'!I59/'Data Sheet'!I$61</f>
        <v>0.44045281251111013</v>
      </c>
      <c r="F30" s="33">
        <f>'Data Sheet'!J59/'Data Sheet'!J$61</f>
        <v>0.47448500872331212</v>
      </c>
      <c r="G30" s="33">
        <f>'Data Sheet'!K59/'Data Sheet'!K$61</f>
        <v>0.52340143874867184</v>
      </c>
    </row>
    <row r="31" spans="2:8" x14ac:dyDescent="0.25">
      <c r="B31" t="str">
        <f>'Data Sheet'!A60</f>
        <v>Other Liabilities</v>
      </c>
      <c r="C31" s="33">
        <f>'Data Sheet'!G60/'Data Sheet'!G$61</f>
        <v>0.17145714387455932</v>
      </c>
      <c r="D31" s="33">
        <f>'Data Sheet'!H60/'Data Sheet'!H$61</f>
        <v>0.19113457949383691</v>
      </c>
      <c r="E31" s="33">
        <f>'Data Sheet'!I60/'Data Sheet'!I$61</f>
        <v>0.15279180704649212</v>
      </c>
      <c r="F31" s="33">
        <f>'Data Sheet'!J60/'Data Sheet'!J$61</f>
        <v>0.14689351613580498</v>
      </c>
      <c r="G31" s="33">
        <f>'Data Sheet'!K60/'Data Sheet'!K$61</f>
        <v>0.20653583061483985</v>
      </c>
    </row>
    <row r="33" spans="2:7" x14ac:dyDescent="0.25">
      <c r="B33" s="2" t="s">
        <v>24</v>
      </c>
      <c r="C33" s="34">
        <f>'Data Sheet'!B76/'Data Sheet'!B$76</f>
        <v>1</v>
      </c>
      <c r="D33" s="34">
        <f>'Data Sheet'!C76/'Data Sheet'!C$76</f>
        <v>1</v>
      </c>
      <c r="E33" s="34">
        <f>'Data Sheet'!D76/'Data Sheet'!D$76</f>
        <v>1</v>
      </c>
      <c r="F33" s="34">
        <f>'Data Sheet'!E76/'Data Sheet'!E$76</f>
        <v>1</v>
      </c>
      <c r="G33" s="34">
        <f>'Data Sheet'!F76/'Data Sheet'!F$76</f>
        <v>1</v>
      </c>
    </row>
    <row r="34" spans="2:7" x14ac:dyDescent="0.25">
      <c r="B34" t="str">
        <f>'Data Sheet'!A62</f>
        <v>Net Block</v>
      </c>
      <c r="C34" s="33">
        <f>'Data Sheet'!G62/'Data Sheet'!G$76</f>
        <v>0.64949493750519294</v>
      </c>
      <c r="D34" s="33">
        <f>'Data Sheet'!H62/'Data Sheet'!H$76</f>
        <v>0.56958614409693187</v>
      </c>
      <c r="E34" s="33">
        <f>'Data Sheet'!I62/'Data Sheet'!I$76</f>
        <v>0.57231051076297612</v>
      </c>
      <c r="F34" s="33">
        <f>'Data Sheet'!J62/'Data Sheet'!J$76</f>
        <v>0.64811329343587021</v>
      </c>
      <c r="G34" s="33">
        <f>'Data Sheet'!K62/'Data Sheet'!K$76</f>
        <v>0.76937097669187349</v>
      </c>
    </row>
    <row r="35" spans="2:7" x14ac:dyDescent="0.25">
      <c r="B35" t="str">
        <f>'Data Sheet'!A63</f>
        <v>Capital Work in Progress</v>
      </c>
      <c r="C35" s="33">
        <f>'Data Sheet'!G63/'Data Sheet'!G$76</f>
        <v>1.2217052239248875E-2</v>
      </c>
      <c r="D35" s="33">
        <f>'Data Sheet'!H63/'Data Sheet'!H$76</f>
        <v>7.5794380862117946E-3</v>
      </c>
      <c r="E35" s="33">
        <f>'Data Sheet'!I63/'Data Sheet'!I$76</f>
        <v>9.7350925513471232E-3</v>
      </c>
      <c r="F35" s="33">
        <f>'Data Sheet'!J63/'Data Sheet'!J$76</f>
        <v>3.4148190400454838E-2</v>
      </c>
      <c r="G35" s="33">
        <f>'Data Sheet'!K63/'Data Sheet'!K$76</f>
        <v>1.4651249014001798E-2</v>
      </c>
    </row>
    <row r="36" spans="2:7" x14ac:dyDescent="0.25">
      <c r="B36" t="str">
        <f>'Data Sheet'!A64</f>
        <v>Investments</v>
      </c>
      <c r="C36" s="33">
        <f>'Data Sheet'!G64/'Data Sheet'!G$76</f>
        <v>1.5187484420810237E-2</v>
      </c>
      <c r="D36" s="33">
        <f>'Data Sheet'!H64/'Data Sheet'!H$76</f>
        <v>0.13718384716879448</v>
      </c>
      <c r="E36" s="33">
        <f>'Data Sheet'!I64/'Data Sheet'!I$76</f>
        <v>0.19381931417266351</v>
      </c>
      <c r="F36" s="33">
        <f>'Data Sheet'!J64/'Data Sheet'!J$76</f>
        <v>0.15269233556231454</v>
      </c>
      <c r="G36" s="33">
        <f>'Data Sheet'!K64/'Data Sheet'!K$76</f>
        <v>3.8323915028727694E-2</v>
      </c>
    </row>
    <row r="37" spans="2:7" x14ac:dyDescent="0.25">
      <c r="B37" t="str">
        <f>'Data Sheet'!A65</f>
        <v>Other Assets</v>
      </c>
      <c r="C37" s="33">
        <f>'Data Sheet'!G74/'Data Sheet'!G$76</f>
        <v>9.5424762899569096E-2</v>
      </c>
      <c r="D37" s="33">
        <f>'Data Sheet'!H74/'Data Sheet'!H$76</f>
        <v>0.10270603195841534</v>
      </c>
      <c r="E37" s="33">
        <f>'Data Sheet'!I74/'Data Sheet'!I$76</f>
        <v>6.7999255490236665E-2</v>
      </c>
      <c r="F37" s="33">
        <f>'Data Sheet'!J74/'Data Sheet'!J$76</f>
        <v>7.9087647455561266E-2</v>
      </c>
      <c r="G37" s="33">
        <f>'Data Sheet'!K74/'Data Sheet'!K$76</f>
        <v>7.4150797383278969E-2</v>
      </c>
    </row>
    <row r="38" spans="2:7" x14ac:dyDescent="0.25">
      <c r="B38" t="str">
        <f>'Data Sheet'!A67</f>
        <v>Receivables</v>
      </c>
      <c r="C38" s="33">
        <f>'Data Sheet'!G67/'Data Sheet'!G$76</f>
        <v>4.9378612888292756E-3</v>
      </c>
      <c r="D38" s="33">
        <f>'Data Sheet'!H67/'Data Sheet'!H$76</f>
        <v>4.4600546356692869E-3</v>
      </c>
      <c r="E38" s="33">
        <f>'Data Sheet'!I67/'Data Sheet'!I$76</f>
        <v>4.6113596295854799E-3</v>
      </c>
      <c r="F38" s="33">
        <f>'Data Sheet'!J67/'Data Sheet'!J$76</f>
        <v>5.3380353131566869E-3</v>
      </c>
      <c r="G38" s="33">
        <f>'Data Sheet'!K67/'Data Sheet'!K$76</f>
        <v>3.2978996060983833E-2</v>
      </c>
    </row>
    <row r="39" spans="2:7" x14ac:dyDescent="0.25">
      <c r="B39" t="str">
        <f>'Data Sheet'!A68</f>
        <v>Inventory</v>
      </c>
      <c r="C39" s="33">
        <f>'Data Sheet'!G68/'Data Sheet'!G$76</f>
        <v>2.810782579795126E-2</v>
      </c>
      <c r="D39" s="33">
        <f>'Data Sheet'!H68/'Data Sheet'!H$76</f>
        <v>3.5343278193253107E-2</v>
      </c>
      <c r="E39" s="33">
        <f>'Data Sheet'!I68/'Data Sheet'!I$76</f>
        <v>3.3707888666511907E-2</v>
      </c>
      <c r="F39" s="33">
        <f>'Data Sheet'!J68/'Data Sheet'!J$76</f>
        <v>3.2886608090105587E-2</v>
      </c>
      <c r="G39" s="33">
        <f>'Data Sheet'!K68/'Data Sheet'!K$76</f>
        <v>5.0996946827014236E-2</v>
      </c>
    </row>
    <row r="40" spans="2:7" x14ac:dyDescent="0.25">
      <c r="B40" t="str">
        <f>'Data Sheet'!A69</f>
        <v>Cash &amp; Bank</v>
      </c>
      <c r="C40" s="33">
        <f>'Data Sheet'!G69/'Data Sheet'!G$76</f>
        <v>0.19463007584839814</v>
      </c>
      <c r="D40" s="33">
        <f>'Data Sheet'!H69/'Data Sheet'!H$76</f>
        <v>0.14314120586072415</v>
      </c>
      <c r="E40" s="33">
        <f>'Data Sheet'!I69/'Data Sheet'!I$76</f>
        <v>0.11781657872667918</v>
      </c>
      <c r="F40" s="33">
        <f>'Data Sheet'!J69/'Data Sheet'!J$76</f>
        <v>4.7733889742536881E-2</v>
      </c>
      <c r="G40" s="33">
        <f>'Data Sheet'!K69/'Data Sheet'!K$76</f>
        <v>1.9527118994120091E-2</v>
      </c>
    </row>
  </sheetData>
  <mergeCells count="2">
    <mergeCell ref="B2:H2"/>
    <mergeCell ref="B23:H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 Sheet</vt:lpstr>
      <vt:lpstr>Cash Flow Data</vt:lpstr>
      <vt:lpstr>HistoricalFS</vt:lpstr>
      <vt:lpstr>DuPont Analysis</vt:lpstr>
      <vt:lpstr>'Data Sheet'!UPDATE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Sarthak Vikram</dc:creator>
  <cp:lastModifiedBy>Sarthak Vikram</cp:lastModifiedBy>
  <cp:lastPrinted>2025-09-01T01:38:53Z</cp:lastPrinted>
  <dcterms:created xsi:type="dcterms:W3CDTF">2025-04-26T15:15:19Z</dcterms:created>
  <dcterms:modified xsi:type="dcterms:W3CDTF">2025-09-01T01:56:29Z</dcterms:modified>
</cp:coreProperties>
</file>