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patel_pujan_northeastern_edu/Documents/Investment Analysis Project 2024/"/>
    </mc:Choice>
  </mc:AlternateContent>
  <xr:revisionPtr revIDLastSave="1467" documentId="11_0B1D56BE9CDCCE836B02CE7A5FB0D4A9BBFD1C62" xr6:coauthVersionLast="47" xr6:coauthVersionMax="47" xr10:uidLastSave="{280EC2D9-3C09-4B40-8821-2344A7CA4873}"/>
  <bookViews>
    <workbookView xWindow="0" yWindow="0" windowWidth="28800" windowHeight="18000" firstSheet="15" xr2:uid="{00000000-000D-0000-FFFF-FFFF00000000}"/>
  </bookViews>
  <sheets>
    <sheet name="Master" sheetId="2" r:id="rId1"/>
    <sheet name="Case 1" sheetId="17" r:id="rId2"/>
    <sheet name="Case 2" sheetId="1" r:id="rId3"/>
    <sheet name="Case 3" sheetId="3" r:id="rId4"/>
    <sheet name="Case 4" sheetId="4" r:id="rId5"/>
    <sheet name="Case 5" sheetId="5" r:id="rId6"/>
    <sheet name="Case 6" sheetId="6" r:id="rId7"/>
    <sheet name="Case 7" sheetId="7" r:id="rId8"/>
    <sheet name="Case 8" sheetId="8" r:id="rId9"/>
    <sheet name="Case 9" sheetId="9" r:id="rId10"/>
    <sheet name="Case 10" sheetId="10" r:id="rId11"/>
    <sheet name="Case 11" sheetId="11" r:id="rId12"/>
    <sheet name="Case 12" sheetId="12" r:id="rId13"/>
    <sheet name="Case 13" sheetId="13" r:id="rId14"/>
    <sheet name="Case 14" sheetId="14" r:id="rId15"/>
    <sheet name="Case 15" sheetId="15" r:id="rId16"/>
    <sheet name="Case 16" sheetId="16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0" i="2" l="1"/>
  <c r="P20" i="2"/>
  <c r="P16" i="2"/>
  <c r="G11" i="15"/>
  <c r="G9" i="11"/>
  <c r="G11" i="11"/>
  <c r="G12" i="11"/>
  <c r="G14" i="11"/>
  <c r="N13" i="2"/>
  <c r="L13" i="2"/>
  <c r="K18" i="2"/>
  <c r="N3" i="2"/>
  <c r="M3" i="2"/>
  <c r="L3" i="2"/>
  <c r="K3" i="2"/>
  <c r="F2" i="4" a="1"/>
  <c r="A11" i="5"/>
  <c r="A10" i="5"/>
  <c r="A9" i="5"/>
  <c r="A8" i="5"/>
  <c r="G13" i="3"/>
  <c r="G11" i="3"/>
  <c r="N5" i="2" s="1"/>
  <c r="G10" i="3"/>
  <c r="M5" i="2" s="1"/>
  <c r="G9" i="3"/>
  <c r="L5" i="2" s="1"/>
  <c r="G8" i="3"/>
  <c r="K5" i="2" s="1"/>
  <c r="G12" i="1"/>
  <c r="G11" i="1"/>
  <c r="N4" i="2" s="1"/>
  <c r="G10" i="1"/>
  <c r="M4" i="2" s="1"/>
  <c r="G9" i="1"/>
  <c r="L4" i="2" s="1"/>
  <c r="G8" i="1"/>
  <c r="K4" i="2" s="1"/>
  <c r="F2" i="3" a="1"/>
  <c r="C14" i="3" s="1"/>
  <c r="F2" i="3"/>
  <c r="C15" i="3" s="1"/>
  <c r="A11" i="4"/>
  <c r="A10" i="4"/>
  <c r="A9" i="4"/>
  <c r="A8" i="4"/>
  <c r="A11" i="3"/>
  <c r="A10" i="3"/>
  <c r="A9" i="3"/>
  <c r="A8" i="3"/>
  <c r="G11" i="17"/>
  <c r="G10" i="17"/>
  <c r="G9" i="17"/>
  <c r="G8" i="17"/>
  <c r="E2" i="2"/>
  <c r="D2" i="2"/>
  <c r="C2" i="2"/>
  <c r="B2" i="2"/>
  <c r="G16" i="16"/>
  <c r="G15" i="16"/>
  <c r="G14" i="16"/>
  <c r="G13" i="16"/>
  <c r="H1" i="16"/>
  <c r="G1" i="16"/>
  <c r="F1" i="16"/>
  <c r="E1" i="16"/>
  <c r="G1" i="15"/>
  <c r="F1" i="15"/>
  <c r="E1" i="15"/>
  <c r="G15" i="15"/>
  <c r="G13" i="15"/>
  <c r="G12" i="15"/>
  <c r="G10" i="15"/>
  <c r="M17" i="2" s="1"/>
  <c r="G1" i="14"/>
  <c r="F1" i="14"/>
  <c r="E1" i="14"/>
  <c r="G9" i="14"/>
  <c r="L16" i="2" s="1"/>
  <c r="G1" i="13"/>
  <c r="F1" i="13"/>
  <c r="E1" i="13"/>
  <c r="G8" i="13"/>
  <c r="K15" i="2" s="1"/>
  <c r="G12" i="12"/>
  <c r="G13" i="12"/>
  <c r="G14" i="12"/>
  <c r="G11" i="12"/>
  <c r="N14" i="2" s="1"/>
  <c r="A7" i="12"/>
  <c r="G1" i="12"/>
  <c r="F1" i="12"/>
  <c r="E1" i="12"/>
  <c r="G15" i="10"/>
  <c r="G13" i="10"/>
  <c r="G10" i="10"/>
  <c r="M12" i="2" s="1"/>
  <c r="G8" i="10"/>
  <c r="K12" i="2" s="1"/>
  <c r="G15" i="9"/>
  <c r="G12" i="9"/>
  <c r="G10" i="9"/>
  <c r="M11" i="2" s="1"/>
  <c r="G9" i="9"/>
  <c r="L11" i="2" s="1"/>
  <c r="G14" i="8"/>
  <c r="G15" i="8"/>
  <c r="G9" i="8"/>
  <c r="L10" i="2" s="1"/>
  <c r="G8" i="8"/>
  <c r="K10" i="2" s="1"/>
  <c r="G14" i="7"/>
  <c r="G13" i="7"/>
  <c r="G11" i="7"/>
  <c r="N9" i="2" s="1"/>
  <c r="G8" i="7"/>
  <c r="K9" i="2" s="1"/>
  <c r="F2" i="1" a="1"/>
  <c r="F2" i="1"/>
  <c r="A11" i="1"/>
  <c r="A10" i="1"/>
  <c r="A9" i="1"/>
  <c r="A8" i="1"/>
  <c r="B11" i="5"/>
  <c r="F2" i="5" s="1" a="1"/>
  <c r="I4" i="8"/>
  <c r="I3" i="8"/>
  <c r="I4" i="9"/>
  <c r="I3" i="9"/>
  <c r="I4" i="10"/>
  <c r="I3" i="10"/>
  <c r="I4" i="11"/>
  <c r="E4" i="11"/>
  <c r="I3" i="11"/>
  <c r="E3" i="11"/>
  <c r="F3" i="11"/>
  <c r="E1" i="11"/>
  <c r="A7" i="11"/>
  <c r="A8" i="11"/>
  <c r="F4" i="11"/>
  <c r="B12" i="11" a="1"/>
  <c r="F1" i="11"/>
  <c r="A12" i="11" a="1"/>
  <c r="A12" i="11" s="1"/>
  <c r="E4" i="10"/>
  <c r="E3" i="10"/>
  <c r="F3" i="10"/>
  <c r="A7" i="10"/>
  <c r="E1" i="10"/>
  <c r="A8" i="10"/>
  <c r="F4" i="10"/>
  <c r="B12" i="10" a="1"/>
  <c r="F1" i="10"/>
  <c r="A12" i="10" a="1"/>
  <c r="A12" i="10" s="1"/>
  <c r="C14" i="1"/>
  <c r="E4" i="9"/>
  <c r="F3" i="9"/>
  <c r="E3" i="9"/>
  <c r="A8" i="9"/>
  <c r="A7" i="9"/>
  <c r="E1" i="9"/>
  <c r="F4" i="9"/>
  <c r="B12" i="9" a="1"/>
  <c r="F1" i="9"/>
  <c r="A12" i="9" a="1"/>
  <c r="A12" i="9" s="1"/>
  <c r="I3" i="7"/>
  <c r="F4" i="8"/>
  <c r="E4" i="8"/>
  <c r="F3" i="8"/>
  <c r="E3" i="8"/>
  <c r="F1" i="8"/>
  <c r="E1" i="8"/>
  <c r="A8" i="8"/>
  <c r="A7" i="8"/>
  <c r="B12" i="8" a="1"/>
  <c r="A12" i="8" a="1"/>
  <c r="A12" i="8" s="1"/>
  <c r="I4" i="7"/>
  <c r="F4" i="7"/>
  <c r="E4" i="7"/>
  <c r="F3" i="7"/>
  <c r="E3" i="7"/>
  <c r="F1" i="7"/>
  <c r="E1" i="7"/>
  <c r="A8" i="7"/>
  <c r="A7" i="7"/>
  <c r="B12" i="7" a="1"/>
  <c r="A12" i="7" a="1"/>
  <c r="A12" i="7" s="1"/>
  <c r="A8" i="6"/>
  <c r="A7" i="6"/>
  <c r="F1" i="6"/>
  <c r="E1" i="6"/>
  <c r="J5" i="15"/>
  <c r="J4" i="15"/>
  <c r="J3" i="15"/>
  <c r="G5" i="15"/>
  <c r="F5" i="15"/>
  <c r="G4" i="15"/>
  <c r="E5" i="15"/>
  <c r="G3" i="15"/>
  <c r="E3" i="15"/>
  <c r="A12" i="15" a="1"/>
  <c r="A12" i="15" s="1"/>
  <c r="F4" i="15"/>
  <c r="E4" i="15"/>
  <c r="F3" i="15"/>
  <c r="B12" i="15" a="1"/>
  <c r="B12" i="15" s="1"/>
  <c r="B17" i="15" s="1"/>
  <c r="E4" i="14"/>
  <c r="J3" i="14"/>
  <c r="G3" i="14"/>
  <c r="F3" i="14"/>
  <c r="E3" i="14"/>
  <c r="J5" i="14"/>
  <c r="J4" i="14"/>
  <c r="E5" i="14"/>
  <c r="F4" i="14"/>
  <c r="F5" i="14"/>
  <c r="G4" i="14"/>
  <c r="A12" i="14" a="1"/>
  <c r="A12" i="14" s="1"/>
  <c r="G5" i="14"/>
  <c r="B12" i="14" a="1"/>
  <c r="B12" i="14" s="1"/>
  <c r="B17" i="14" s="1"/>
  <c r="G5" i="13"/>
  <c r="E4" i="13"/>
  <c r="F4" i="13"/>
  <c r="G4" i="13"/>
  <c r="E5" i="13"/>
  <c r="F5" i="13"/>
  <c r="F3" i="13"/>
  <c r="G3" i="13"/>
  <c r="E3" i="13"/>
  <c r="J5" i="13"/>
  <c r="J4" i="13"/>
  <c r="J3" i="13"/>
  <c r="A12" i="13" a="1"/>
  <c r="A12" i="13" s="1"/>
  <c r="B12" i="13" a="1"/>
  <c r="B12" i="13" s="1"/>
  <c r="B17" i="13" s="1"/>
  <c r="J5" i="12"/>
  <c r="J4" i="12"/>
  <c r="J3" i="12"/>
  <c r="A12" i="16" a="1"/>
  <c r="A12" i="16" s="1"/>
  <c r="G2" i="16"/>
  <c r="H2" i="16"/>
  <c r="G3" i="16"/>
  <c r="H3" i="16"/>
  <c r="G4" i="16"/>
  <c r="H4" i="16"/>
  <c r="G5" i="16"/>
  <c r="H5" i="16"/>
  <c r="F2" i="16"/>
  <c r="F3" i="16"/>
  <c r="F4" i="16"/>
  <c r="F5" i="16"/>
  <c r="E3" i="16"/>
  <c r="E4" i="16"/>
  <c r="E5" i="16"/>
  <c r="E2" i="16"/>
  <c r="B12" i="16" s="1" a="1"/>
  <c r="A12" i="12" a="1"/>
  <c r="A12" i="12" s="1"/>
  <c r="G5" i="12"/>
  <c r="F5" i="12"/>
  <c r="E5" i="12"/>
  <c r="G4" i="12"/>
  <c r="F4" i="12"/>
  <c r="E4" i="12"/>
  <c r="G3" i="12"/>
  <c r="F3" i="12"/>
  <c r="E3" i="12"/>
  <c r="B12" i="12" s="1" a="1"/>
  <c r="B14" i="4"/>
  <c r="I3" i="6"/>
  <c r="A12" i="6" a="1"/>
  <c r="A12" i="6" s="1"/>
  <c r="F4" i="6"/>
  <c r="E4" i="6"/>
  <c r="F3" i="6"/>
  <c r="E3" i="6"/>
  <c r="B14" i="1"/>
  <c r="G16" i="1" s="1"/>
  <c r="B12" i="11" l="1"/>
  <c r="G8" i="11" s="1"/>
  <c r="G10" i="11"/>
  <c r="M13" i="2" s="1"/>
  <c r="G16" i="11"/>
  <c r="G15" i="5"/>
  <c r="G11" i="5"/>
  <c r="N7" i="2" s="1"/>
  <c r="G10" i="5"/>
  <c r="M7" i="2" s="1"/>
  <c r="G9" i="5"/>
  <c r="L7" i="2" s="1"/>
  <c r="G8" i="5"/>
  <c r="K7" i="2" s="1"/>
  <c r="G19" i="5" a="1"/>
  <c r="G19" i="5" s="1"/>
  <c r="Q7" i="2" s="1"/>
  <c r="G18" i="5" a="1"/>
  <c r="G18" i="5" s="1"/>
  <c r="P7" i="2" s="1"/>
  <c r="K15" i="5"/>
  <c r="F2" i="5"/>
  <c r="B14" i="5"/>
  <c r="G16" i="5" s="1"/>
  <c r="G16" i="4"/>
  <c r="G14" i="4"/>
  <c r="G11" i="4"/>
  <c r="N6" i="2" s="1"/>
  <c r="G10" i="4"/>
  <c r="M6" i="2" s="1"/>
  <c r="G9" i="4"/>
  <c r="L6" i="2" s="1"/>
  <c r="G8" i="4"/>
  <c r="K6" i="2" s="1"/>
  <c r="F2" i="4"/>
  <c r="C14" i="4"/>
  <c r="G19" i="4" a="1"/>
  <c r="G19" i="4" s="1"/>
  <c r="Q6" i="2" s="1"/>
  <c r="G18" i="4" a="1"/>
  <c r="G18" i="4" s="1"/>
  <c r="P6" i="2" s="1"/>
  <c r="K15" i="4"/>
  <c r="K13" i="4" a="1"/>
  <c r="K13" i="4" s="1"/>
  <c r="G19" i="3" a="1"/>
  <c r="G19" i="3" s="1"/>
  <c r="Q5" i="2" s="1"/>
  <c r="G18" i="3" a="1"/>
  <c r="G18" i="3" s="1"/>
  <c r="P5" i="2" s="1"/>
  <c r="K15" i="3"/>
  <c r="G19" i="1" a="1"/>
  <c r="G19" i="1" s="1"/>
  <c r="Q4" i="2" s="1"/>
  <c r="G18" i="1" a="1"/>
  <c r="G18" i="1" s="1"/>
  <c r="P4" i="2" s="1"/>
  <c r="K15" i="1"/>
  <c r="K11" i="1" a="1"/>
  <c r="K11" i="1" s="1"/>
  <c r="C17" i="3"/>
  <c r="C16" i="3"/>
  <c r="G19" i="17" a="1"/>
  <c r="G19" i="17" s="1"/>
  <c r="Q3" i="2" s="1"/>
  <c r="G18" i="17" a="1"/>
  <c r="G18" i="17" s="1"/>
  <c r="P3" i="2" s="1"/>
  <c r="K15" i="17"/>
  <c r="K14" i="17" a="1"/>
  <c r="K14" i="17" s="1"/>
  <c r="K13" i="17" a="1"/>
  <c r="K13" i="17" s="1"/>
  <c r="K12" i="17" a="1"/>
  <c r="K12" i="17" s="1"/>
  <c r="K11" i="17" a="1"/>
  <c r="K11" i="17" s="1"/>
  <c r="B12" i="16"/>
  <c r="G9" i="16" s="1"/>
  <c r="L18" i="2" s="1"/>
  <c r="G17" i="16"/>
  <c r="G12" i="16"/>
  <c r="G11" i="16"/>
  <c r="N18" i="2" s="1"/>
  <c r="G10" i="16"/>
  <c r="M18" i="2" s="1"/>
  <c r="B12" i="7"/>
  <c r="G9" i="7" s="1"/>
  <c r="L9" i="2" s="1"/>
  <c r="G16" i="7"/>
  <c r="G10" i="7"/>
  <c r="M9" i="2" s="1"/>
  <c r="B12" i="8"/>
  <c r="G10" i="8" s="1"/>
  <c r="M10" i="2" s="1"/>
  <c r="G16" i="8"/>
  <c r="G11" i="8"/>
  <c r="N10" i="2" s="1"/>
  <c r="K16" i="16"/>
  <c r="G16" i="15"/>
  <c r="G14" i="15"/>
  <c r="N17" i="2"/>
  <c r="G9" i="15"/>
  <c r="L17" i="2" s="1"/>
  <c r="G8" i="15"/>
  <c r="K17" i="2" s="1"/>
  <c r="G19" i="15" a="1"/>
  <c r="G19" i="15" s="1"/>
  <c r="Q17" i="2" s="1"/>
  <c r="G18" i="15" a="1"/>
  <c r="G18" i="15" s="1"/>
  <c r="K15" i="15"/>
  <c r="K14" i="15" a="1"/>
  <c r="K14" i="15" s="1"/>
  <c r="K13" i="15" a="1"/>
  <c r="K13" i="15" s="1"/>
  <c r="K12" i="15" a="1"/>
  <c r="K12" i="15" s="1"/>
  <c r="K11" i="15" a="1"/>
  <c r="K11" i="15" s="1"/>
  <c r="G16" i="14"/>
  <c r="G15" i="14"/>
  <c r="G14" i="14"/>
  <c r="G13" i="14"/>
  <c r="G12" i="14"/>
  <c r="G11" i="14"/>
  <c r="N16" i="2" s="1"/>
  <c r="G10" i="14"/>
  <c r="M16" i="2" s="1"/>
  <c r="G8" i="14"/>
  <c r="K16" i="2" s="1"/>
  <c r="G19" i="14" a="1"/>
  <c r="G19" i="14" s="1"/>
  <c r="Q16" i="2" s="1"/>
  <c r="G18" i="14" a="1"/>
  <c r="G18" i="14" s="1"/>
  <c r="K15" i="14"/>
  <c r="K14" i="14" a="1"/>
  <c r="K14" i="14" s="1"/>
  <c r="K13" i="14" a="1"/>
  <c r="K13" i="14" s="1"/>
  <c r="K12" i="14" a="1"/>
  <c r="K12" i="14" s="1"/>
  <c r="K11" i="14" a="1"/>
  <c r="K11" i="14" s="1"/>
  <c r="G16" i="13"/>
  <c r="G15" i="13"/>
  <c r="G14" i="13"/>
  <c r="G13" i="13"/>
  <c r="G12" i="13"/>
  <c r="G11" i="13"/>
  <c r="N15" i="2" s="1"/>
  <c r="G10" i="13"/>
  <c r="M15" i="2" s="1"/>
  <c r="G9" i="13"/>
  <c r="L15" i="2" s="1"/>
  <c r="G19" i="13" a="1"/>
  <c r="G19" i="13" s="1"/>
  <c r="Q15" i="2" s="1"/>
  <c r="G18" i="13" a="1"/>
  <c r="G18" i="13" s="1"/>
  <c r="K15" i="13"/>
  <c r="K14" i="13" a="1"/>
  <c r="K14" i="13" s="1"/>
  <c r="K13" i="13" a="1"/>
  <c r="K13" i="13" s="1"/>
  <c r="K12" i="13" a="1"/>
  <c r="K12" i="13" s="1"/>
  <c r="K11" i="13" a="1"/>
  <c r="K11" i="13" s="1"/>
  <c r="G16" i="12"/>
  <c r="G9" i="12"/>
  <c r="L14" i="2" s="1"/>
  <c r="G10" i="12"/>
  <c r="M14" i="2" s="1"/>
  <c r="B12" i="10"/>
  <c r="G9" i="10" s="1"/>
  <c r="L12" i="2" s="1"/>
  <c r="G16" i="10"/>
  <c r="G11" i="10"/>
  <c r="N12" i="2" s="1"/>
  <c r="B12" i="9"/>
  <c r="G8" i="9" s="1"/>
  <c r="K11" i="2" s="1"/>
  <c r="G16" i="9"/>
  <c r="G11" i="9"/>
  <c r="N11" i="2" s="1"/>
  <c r="G19" i="10" a="1"/>
  <c r="G19" i="10" s="1"/>
  <c r="Q12" i="2" s="1"/>
  <c r="G18" i="10" a="1"/>
  <c r="G18" i="10" s="1"/>
  <c r="P12" i="2" s="1"/>
  <c r="K15" i="10"/>
  <c r="K14" i="10" a="1"/>
  <c r="K14" i="10" s="1"/>
  <c r="K12" i="10" a="1"/>
  <c r="K12" i="10" s="1"/>
  <c r="G19" i="9" a="1"/>
  <c r="G19" i="9" s="1"/>
  <c r="Q11" i="2" s="1"/>
  <c r="G18" i="9" a="1"/>
  <c r="G18" i="9" s="1"/>
  <c r="P11" i="2" s="1"/>
  <c r="K15" i="9"/>
  <c r="K14" i="9" a="1"/>
  <c r="K14" i="9" s="1"/>
  <c r="K11" i="9" a="1"/>
  <c r="K11" i="9" s="1"/>
  <c r="K12" i="7" a="1"/>
  <c r="K12" i="7" s="1"/>
  <c r="K15" i="7"/>
  <c r="K13" i="7" a="1"/>
  <c r="K13" i="7" s="1"/>
  <c r="G19" i="7" a="1"/>
  <c r="G19" i="7" s="1"/>
  <c r="Q9" i="2" s="1"/>
  <c r="G18" i="7" a="1"/>
  <c r="G18" i="7" s="1"/>
  <c r="P9" i="2" s="1"/>
  <c r="G19" i="8" a="1"/>
  <c r="G19" i="8" s="1"/>
  <c r="Q10" i="2" s="1"/>
  <c r="G18" i="8" a="1"/>
  <c r="G18" i="8" s="1"/>
  <c r="P10" i="2" s="1"/>
  <c r="K15" i="8"/>
  <c r="K14" i="8" a="1"/>
  <c r="K14" i="8" s="1"/>
  <c r="K13" i="8" a="1"/>
  <c r="K13" i="8" s="1"/>
  <c r="B17" i="11"/>
  <c r="G15" i="11" s="1"/>
  <c r="B16" i="11"/>
  <c r="G13" i="11" s="1"/>
  <c r="G10" i="6"/>
  <c r="M8" i="2" s="1"/>
  <c r="G11" i="6"/>
  <c r="N8" i="2" s="1"/>
  <c r="G12" i="6"/>
  <c r="G13" i="6"/>
  <c r="C16" i="1"/>
  <c r="C17" i="1"/>
  <c r="C15" i="1"/>
  <c r="B17" i="8"/>
  <c r="G13" i="8" s="1"/>
  <c r="K12" i="8" s="1" a="1"/>
  <c r="K12" i="8" s="1"/>
  <c r="B16" i="8"/>
  <c r="G12" i="8" s="1"/>
  <c r="K11" i="8" s="1" a="1"/>
  <c r="K11" i="8" s="1"/>
  <c r="B17" i="9"/>
  <c r="G14" i="9" s="1"/>
  <c r="K13" i="9" s="1" a="1"/>
  <c r="K13" i="9" s="1"/>
  <c r="B16" i="9"/>
  <c r="G13" i="9" s="1"/>
  <c r="K12" i="9" s="1" a="1"/>
  <c r="K12" i="9" s="1"/>
  <c r="B17" i="10"/>
  <c r="G14" i="10" s="1"/>
  <c r="K13" i="10" s="1" a="1"/>
  <c r="K13" i="10" s="1"/>
  <c r="B16" i="10"/>
  <c r="B17" i="7"/>
  <c r="G15" i="7" s="1"/>
  <c r="K14" i="7" s="1" a="1"/>
  <c r="K14" i="7" s="1"/>
  <c r="B16" i="7"/>
  <c r="G12" i="7" s="1"/>
  <c r="K11" i="7" s="1" a="1"/>
  <c r="K11" i="7" s="1"/>
  <c r="B12" i="12"/>
  <c r="B17" i="4"/>
  <c r="G15" i="4" s="1"/>
  <c r="K14" i="4" s="1" a="1"/>
  <c r="K14" i="4" s="1"/>
  <c r="B15" i="4"/>
  <c r="G12" i="4" s="1"/>
  <c r="K11" i="4" s="1" a="1"/>
  <c r="K11" i="4" s="1"/>
  <c r="B16" i="4"/>
  <c r="G13" i="4" s="1"/>
  <c r="K12" i="4" s="1" a="1"/>
  <c r="K12" i="4" s="1"/>
  <c r="B15" i="1"/>
  <c r="G13" i="1" s="1"/>
  <c r="K12" i="1" s="1" a="1"/>
  <c r="K12" i="1" s="1"/>
  <c r="B14" i="3"/>
  <c r="G16" i="3" s="1"/>
  <c r="I4" i="6"/>
  <c r="B12" i="6" a="1"/>
  <c r="B16" i="1"/>
  <c r="G14" i="1" s="1"/>
  <c r="K13" i="1" s="1" a="1"/>
  <c r="K13" i="1" s="1"/>
  <c r="B17" i="1"/>
  <c r="G15" i="1" s="1"/>
  <c r="K14" i="1" s="1" a="1"/>
  <c r="K14" i="1" s="1"/>
  <c r="K12" i="3" l="1" a="1"/>
  <c r="K12" i="3" s="1"/>
  <c r="P17" i="2"/>
  <c r="P15" i="2"/>
  <c r="K13" i="11" a="1"/>
  <c r="K13" i="11" s="1"/>
  <c r="K13" i="2"/>
  <c r="K14" i="5" a="1"/>
  <c r="K14" i="5" s="1"/>
  <c r="B16" i="5"/>
  <c r="G13" i="5" s="1"/>
  <c r="K12" i="5" s="1" a="1"/>
  <c r="K12" i="5" s="1"/>
  <c r="B17" i="5"/>
  <c r="G14" i="5" s="1"/>
  <c r="K13" i="5" s="1" a="1"/>
  <c r="K13" i="5" s="1"/>
  <c r="B15" i="5"/>
  <c r="G12" i="5" s="1"/>
  <c r="K11" i="5" s="1" a="1"/>
  <c r="K11" i="5" s="1"/>
  <c r="C16" i="4"/>
  <c r="C17" i="4"/>
  <c r="C15" i="4"/>
  <c r="G20" i="16" a="1"/>
  <c r="G20" i="16" s="1"/>
  <c r="Q18" i="2" s="1"/>
  <c r="G19" i="16" a="1"/>
  <c r="G19" i="16" s="1"/>
  <c r="P18" i="2" s="1"/>
  <c r="K15" i="16" a="1"/>
  <c r="K15" i="16" s="1"/>
  <c r="K14" i="16" a="1"/>
  <c r="K14" i="16" s="1"/>
  <c r="K13" i="16" a="1"/>
  <c r="K13" i="16" s="1"/>
  <c r="K12" i="16" a="1"/>
  <c r="K12" i="16" s="1"/>
  <c r="B17" i="12"/>
  <c r="G15" i="12" s="1"/>
  <c r="G8" i="12"/>
  <c r="K14" i="2" s="1"/>
  <c r="G12" i="10"/>
  <c r="K11" i="10" s="1" a="1"/>
  <c r="K11" i="10" s="1"/>
  <c r="K11" i="11" a="1"/>
  <c r="K11" i="11" s="1"/>
  <c r="K12" i="11" a="1"/>
  <c r="K12" i="11" s="1"/>
  <c r="K14" i="11" a="1"/>
  <c r="K14" i="11" s="1"/>
  <c r="K15" i="11"/>
  <c r="G18" i="11" a="1"/>
  <c r="G18" i="11" s="1"/>
  <c r="P13" i="2" s="1"/>
  <c r="G19" i="11" a="1"/>
  <c r="G19" i="11" s="1"/>
  <c r="Q13" i="2" s="1"/>
  <c r="G9" i="6"/>
  <c r="L8" i="2" s="1"/>
  <c r="G16" i="6"/>
  <c r="B12" i="6"/>
  <c r="G8" i="6" s="1"/>
  <c r="B17" i="3"/>
  <c r="G15" i="3" s="1"/>
  <c r="K14" i="3" s="1" a="1"/>
  <c r="K14" i="3" s="1"/>
  <c r="B15" i="3"/>
  <c r="G12" i="3" s="1"/>
  <c r="K11" i="3" s="1" a="1"/>
  <c r="K11" i="3" s="1"/>
  <c r="B17" i="6"/>
  <c r="G15" i="6" s="1"/>
  <c r="B16" i="6"/>
  <c r="G14" i="6" s="1"/>
  <c r="B16" i="3"/>
  <c r="G14" i="3" s="1"/>
  <c r="K13" i="3" s="1" a="1"/>
  <c r="K13" i="3" s="1"/>
  <c r="G19" i="6" l="1" a="1"/>
  <c r="G19" i="6" s="1"/>
  <c r="Q8" i="2" s="1"/>
  <c r="K8" i="2"/>
  <c r="K15" i="12"/>
  <c r="K14" i="12" a="1"/>
  <c r="K14" i="12" s="1"/>
  <c r="K13" i="12" a="1"/>
  <c r="K13" i="12" s="1"/>
  <c r="K12" i="12" a="1"/>
  <c r="K12" i="12" s="1"/>
  <c r="K11" i="12" a="1"/>
  <c r="K11" i="12" s="1"/>
  <c r="G19" i="12" a="1"/>
  <c r="G19" i="12" s="1"/>
  <c r="Q14" i="2" s="1"/>
  <c r="G18" i="12" a="1"/>
  <c r="G18" i="12" s="1"/>
  <c r="G18" i="6" a="1"/>
  <c r="G18" i="6" s="1"/>
  <c r="P8" i="2" s="1"/>
  <c r="K15" i="6"/>
  <c r="K13" i="6" a="1"/>
  <c r="K13" i="6" s="1"/>
  <c r="K14" i="6" a="1"/>
  <c r="K14" i="6" s="1"/>
  <c r="K12" i="6" a="1"/>
  <c r="K12" i="6" s="1"/>
  <c r="K11" i="6" a="1"/>
  <c r="K11" i="6" s="1"/>
  <c r="P1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<sst xmlns="http://schemas.openxmlformats.org/spreadsheetml/2006/main" count="701" uniqueCount="63">
  <si>
    <t>Data</t>
  </si>
  <si>
    <t>Final Results</t>
  </si>
  <si>
    <t>Cov Matrix</t>
  </si>
  <si>
    <t>Portfolio</t>
  </si>
  <si>
    <t>Case</t>
  </si>
  <si>
    <t>COST (W1)</t>
  </si>
  <si>
    <t>JNJ (W2)</t>
  </si>
  <si>
    <t>JPM (W3)</t>
  </si>
  <si>
    <t>AAPL (W4)</t>
  </si>
  <si>
    <t>All Checks Passed?</t>
  </si>
  <si>
    <t>Var(Portfolio)</t>
  </si>
  <si>
    <t>Return(Portfolio)</t>
  </si>
  <si>
    <t>Case 1</t>
  </si>
  <si>
    <t>No</t>
  </si>
  <si>
    <t>Case 2</t>
  </si>
  <si>
    <t>Yes</t>
  </si>
  <si>
    <t>Case 3</t>
  </si>
  <si>
    <t>Case 4</t>
  </si>
  <si>
    <t>Case 5</t>
  </si>
  <si>
    <t>Returns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</si>
  <si>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</si>
  <si>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</si>
  <si>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</si>
  <si>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</si>
  <si>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</si>
  <si>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</si>
  <si>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</si>
  <si>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</si>
  <si>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</si>
  <si>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</si>
  <si>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</si>
  <si>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Minimum Variance</t>
  </si>
  <si>
    <t>Weights</t>
  </si>
  <si>
    <t>=5%</t>
  </si>
  <si>
    <t>Known Values</t>
  </si>
  <si>
    <t>Solutions</t>
  </si>
  <si>
    <t>Checks</t>
  </si>
  <si>
    <t>FOCs</t>
  </si>
  <si>
    <t>DL/DW1</t>
  </si>
  <si>
    <t>Delta 1 - COST</t>
  </si>
  <si>
    <t>DL/DW2</t>
  </si>
  <si>
    <t>Delta 2 - JNJ</t>
  </si>
  <si>
    <t>DL/DW3</t>
  </si>
  <si>
    <t>Delta 3 - JPM</t>
  </si>
  <si>
    <t>DL/DW4</t>
  </si>
  <si>
    <t>Delta 4 - AAPL</t>
  </si>
  <si>
    <t>Constraint</t>
  </si>
  <si>
    <t>DL/DLambda</t>
  </si>
  <si>
    <t>Lambda</t>
  </si>
  <si>
    <t>Var(Port)</t>
  </si>
  <si>
    <t>Return(Port)</t>
  </si>
  <si>
    <t>Using the Relationship from Notes: Lambda = (Wi)^T*(Sigma)</t>
  </si>
  <si>
    <t>&gt;5%</t>
  </si>
  <si>
    <t>Weight</t>
  </si>
  <si>
    <t>Condition</t>
  </si>
  <si>
    <t>A Matrix</t>
  </si>
  <si>
    <t>C</t>
  </si>
  <si>
    <t>From Eq5</t>
  </si>
  <si>
    <t>From Eq1</t>
  </si>
  <si>
    <t>From Eq2</t>
  </si>
  <si>
    <t>From Az = C. Calculated the Z matrix using inverse of A and multiplying that by C</t>
  </si>
  <si>
    <t>From Eq3</t>
  </si>
  <si>
    <t>From Eq4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</si>
</sst>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Var(--Jp-Code-Font-Family)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8686"/>
        <bgColor indexed="64"/>
      </patternFill>
    </fill>
    <fill>
      <patternFill patternType="solid">
        <fgColor rgb="FF00B05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Fill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2" borderId="27" xfId="0" quotePrefix="1" applyFill="1" applyBorder="1"/>
    <xf numFmtId="0" fontId="2" fillId="2" borderId="27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0" xfId="0" applyFont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2" fillId="2" borderId="0" xfId="0" applyFont="1" applyFill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8" xfId="0" applyBorder="1"/>
    <xf numFmtId="0" fontId="0" fillId="0" borderId="39" xfId="0" applyBorder="1"/>
    <xf numFmtId="0" fontId="2" fillId="3" borderId="14" xfId="0" applyFont="1" applyFill="1" applyBorder="1"/>
    <xf numFmtId="0" fontId="0" fillId="3" borderId="12" xfId="0" applyFill="1" applyBorder="1"/>
    <xf numFmtId="0" fontId="2" fillId="3" borderId="15" xfId="0" applyFont="1" applyFill="1" applyBorder="1"/>
    <xf numFmtId="0" fontId="0" fillId="3" borderId="13" xfId="0" applyFill="1" applyBorder="1"/>
    <xf numFmtId="0" fontId="2" fillId="3" borderId="17" xfId="0" applyFont="1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5" xfId="0" applyFill="1" applyBorder="1"/>
    <xf numFmtId="0" fontId="0" fillId="3" borderId="26" xfId="0" applyFill="1" applyBorder="1"/>
    <xf numFmtId="1" fontId="0" fillId="0" borderId="0" xfId="0" applyNumberFormat="1"/>
    <xf numFmtId="0" fontId="2" fillId="4" borderId="15" xfId="0" applyFont="1" applyFill="1" applyBorder="1"/>
    <xf numFmtId="0" fontId="2" fillId="4" borderId="13" xfId="0" applyFont="1" applyFill="1" applyBorder="1"/>
    <xf numFmtId="0" fontId="2" fillId="4" borderId="45" xfId="0" applyFont="1" applyFill="1" applyBorder="1"/>
    <xf numFmtId="0" fontId="2" fillId="4" borderId="44" xfId="0" applyFont="1" applyFill="1" applyBorder="1"/>
    <xf numFmtId="0" fontId="2" fillId="4" borderId="46" xfId="0" applyFont="1" applyFill="1" applyBorder="1"/>
    <xf numFmtId="0" fontId="2" fillId="4" borderId="47" xfId="0" applyFont="1" applyFill="1" applyBorder="1"/>
    <xf numFmtId="0" fontId="0" fillId="5" borderId="15" xfId="0" applyFill="1" applyBorder="1"/>
    <xf numFmtId="0" fontId="0" fillId="5" borderId="13" xfId="0" applyFill="1" applyBorder="1"/>
    <xf numFmtId="0" fontId="0" fillId="5" borderId="45" xfId="0" applyFill="1" applyBorder="1"/>
    <xf numFmtId="0" fontId="0" fillId="5" borderId="44" xfId="0" applyFill="1" applyBorder="1"/>
    <xf numFmtId="0" fontId="0" fillId="5" borderId="16" xfId="0" applyFill="1" applyBorder="1"/>
    <xf numFmtId="0" fontId="0" fillId="5" borderId="41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20" xfId="0" applyFill="1" applyBorder="1"/>
    <xf numFmtId="0" fontId="2" fillId="6" borderId="44" xfId="0" applyFont="1" applyFill="1" applyBorder="1"/>
    <xf numFmtId="1" fontId="0" fillId="6" borderId="0" xfId="0" applyNumberFormat="1" applyFill="1"/>
    <xf numFmtId="0" fontId="0" fillId="0" borderId="48" xfId="0" applyBorder="1"/>
    <xf numFmtId="0" fontId="0" fillId="0" borderId="49" xfId="0" applyBorder="1"/>
    <xf numFmtId="0" fontId="0" fillId="0" borderId="40" xfId="0" applyBorder="1"/>
    <xf numFmtId="0" fontId="0" fillId="0" borderId="50" xfId="0" applyBorder="1"/>
    <xf numFmtId="0" fontId="0" fillId="0" borderId="51" xfId="0" applyBorder="1"/>
    <xf numFmtId="0" fontId="0" fillId="0" borderId="41" xfId="0" applyBorder="1"/>
    <xf numFmtId="0" fontId="0" fillId="0" borderId="21" xfId="0" applyBorder="1"/>
    <xf numFmtId="0" fontId="0" fillId="0" borderId="44" xfId="0" applyBorder="1"/>
    <xf numFmtId="0" fontId="2" fillId="0" borderId="45" xfId="0" applyFont="1" applyBorder="1"/>
    <xf numFmtId="0" fontId="0" fillId="0" borderId="52" xfId="0" applyBorder="1"/>
    <xf numFmtId="10" fontId="3" fillId="0" borderId="53" xfId="0" applyNumberFormat="1" applyFont="1" applyBorder="1"/>
    <xf numFmtId="0" fontId="0" fillId="0" borderId="54" xfId="0" applyBorder="1"/>
    <xf numFmtId="10" fontId="3" fillId="0" borderId="55" xfId="0" applyNumberFormat="1" applyFont="1" applyBorder="1"/>
    <xf numFmtId="10" fontId="3" fillId="0" borderId="56" xfId="0" applyNumberFormat="1" applyFont="1" applyBorder="1"/>
    <xf numFmtId="0" fontId="0" fillId="6" borderId="0" xfId="0" applyFill="1"/>
    <xf numFmtId="0" fontId="2" fillId="0" borderId="27" xfId="0" applyFont="1" applyBorder="1"/>
    <xf numFmtId="0" fontId="0" fillId="0" borderId="27" xfId="0" applyBorder="1"/>
    <xf numFmtId="0" fontId="0" fillId="6" borderId="27" xfId="0" applyFill="1" applyBorder="1"/>
    <xf numFmtId="0" fontId="0" fillId="3" borderId="27" xfId="0" applyFill="1" applyBorder="1"/>
    <xf numFmtId="0" fontId="2" fillId="0" borderId="54" xfId="0" applyFont="1" applyBorder="1"/>
    <xf numFmtId="0" fontId="2" fillId="0" borderId="55" xfId="0" applyFont="1" applyBorder="1"/>
    <xf numFmtId="0" fontId="0" fillId="0" borderId="55" xfId="0" applyBorder="1"/>
    <xf numFmtId="0" fontId="2" fillId="0" borderId="17" xfId="0" applyFont="1" applyBorder="1"/>
    <xf numFmtId="0" fontId="0" fillId="0" borderId="59" xfId="0" applyBorder="1"/>
    <xf numFmtId="0" fontId="0" fillId="6" borderId="59" xfId="0" applyFill="1" applyBorder="1"/>
    <xf numFmtId="0" fontId="0" fillId="0" borderId="56" xfId="0" applyBorder="1"/>
    <xf numFmtId="0" fontId="2" fillId="0" borderId="57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2" fillId="4" borderId="43" xfId="0" applyFont="1" applyFill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0" fillId="0" borderId="4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7" borderId="54" xfId="0" applyFont="1" applyFill="1" applyBorder="1"/>
    <xf numFmtId="0" fontId="0" fillId="7" borderId="27" xfId="0" applyFill="1" applyBorder="1"/>
    <xf numFmtId="0" fontId="0" fillId="7" borderId="55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86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4B63-931F-DB4B-B7E0-D9895423DDD9}">
  <sheetPr>
    <tabColor rgb="FFFFFF00"/>
  </sheetPr>
  <dimension ref="A1:Q20"/>
  <sheetViews>
    <sheetView tabSelected="1" zoomScale="125" workbookViewId="0">
      <selection activeCell="Q21" sqref="Q21"/>
    </sheetView>
  </sheetViews>
  <sheetFormatPr defaultColWidth="11.42578125" defaultRowHeight="15"/>
  <cols>
    <col min="9" max="9" width="9.7109375" customWidth="1"/>
    <col min="11" max="11" width="10.28515625" customWidth="1"/>
    <col min="12" max="13" width="10" customWidth="1"/>
    <col min="14" max="14" width="10.28515625" customWidth="1"/>
    <col min="15" max="15" width="17" customWidth="1"/>
    <col min="16" max="16" width="12.28515625" customWidth="1"/>
    <col min="17" max="17" width="15.85546875" customWidth="1"/>
  </cols>
  <sheetData>
    <row r="1" spans="1:17">
      <c r="A1" s="105" t="s">
        <v>0</v>
      </c>
      <c r="B1" s="105"/>
      <c r="C1" s="105"/>
      <c r="D1" s="105"/>
      <c r="E1" s="105"/>
      <c r="J1" s="102" t="s">
        <v>1</v>
      </c>
      <c r="K1" s="103"/>
      <c r="L1" s="103"/>
      <c r="M1" s="103"/>
      <c r="N1" s="103"/>
      <c r="O1" s="103"/>
      <c r="P1" s="103"/>
      <c r="Q1" s="104"/>
    </row>
    <row r="2" spans="1:17">
      <c r="A2" s="30" t="s">
        <v>2</v>
      </c>
      <c r="B2" t="str">
        <f>A3</f>
        <v>COST (W1)</v>
      </c>
      <c r="C2" t="str">
        <f>A4</f>
        <v>JNJ (W2)</v>
      </c>
      <c r="D2" t="str">
        <f>A5</f>
        <v>JPM (W3)</v>
      </c>
      <c r="E2" t="str">
        <f>A6</f>
        <v>AAPL (W4)</v>
      </c>
      <c r="G2" t="s">
        <v>3</v>
      </c>
      <c r="J2" s="92" t="s">
        <v>4</v>
      </c>
      <c r="K2" s="88" t="s">
        <v>5</v>
      </c>
      <c r="L2" s="88" t="s">
        <v>6</v>
      </c>
      <c r="M2" s="88" t="s">
        <v>7</v>
      </c>
      <c r="N2" s="88" t="s">
        <v>8</v>
      </c>
      <c r="O2" s="88" t="s">
        <v>9</v>
      </c>
      <c r="P2" s="88" t="s">
        <v>10</v>
      </c>
      <c r="Q2" s="93" t="s">
        <v>11</v>
      </c>
    </row>
    <row r="3" spans="1:17">
      <c r="A3" t="s">
        <v>5</v>
      </c>
      <c r="B3" s="1">
        <v>0.41110000000000002</v>
      </c>
      <c r="C3" s="2">
        <v>8.1199999999999994E-2</v>
      </c>
      <c r="D3" s="2">
        <v>0.1368</v>
      </c>
      <c r="E3" s="3">
        <v>0.30509999999999998</v>
      </c>
      <c r="G3" s="9">
        <v>1</v>
      </c>
      <c r="J3" s="92" t="s">
        <v>12</v>
      </c>
      <c r="K3" s="89">
        <f>'Case 1'!$G$8</f>
        <v>5</v>
      </c>
      <c r="L3" s="89">
        <f>'Case 1'!$G$9</f>
        <v>5</v>
      </c>
      <c r="M3" s="89">
        <f>'Case 1'!$G$10</f>
        <v>5</v>
      </c>
      <c r="N3" s="89">
        <f>'Case 1'!$G$11</f>
        <v>5</v>
      </c>
      <c r="O3" s="90" t="s">
        <v>13</v>
      </c>
      <c r="P3" s="89">
        <f>'Case 1'!$G$18</f>
        <v>103.11249999999998</v>
      </c>
      <c r="Q3" s="94">
        <f>'Case 1'!$G$19</f>
        <v>0.31336000000000003</v>
      </c>
    </row>
    <row r="4" spans="1:17">
      <c r="A4" t="s">
        <v>6</v>
      </c>
      <c r="B4" s="4">
        <v>8.1199999999999994E-2</v>
      </c>
      <c r="C4">
        <v>0.25209999999999999</v>
      </c>
      <c r="D4">
        <v>0.14829999999999999</v>
      </c>
      <c r="E4" s="5">
        <v>0.1706</v>
      </c>
      <c r="G4" s="10">
        <v>1</v>
      </c>
      <c r="J4" s="92" t="s">
        <v>14</v>
      </c>
      <c r="K4" s="89">
        <f>'Case 2'!$G$8</f>
        <v>85</v>
      </c>
      <c r="L4" s="89">
        <f>'Case 2'!$G$9</f>
        <v>5</v>
      </c>
      <c r="M4" s="89">
        <f>'Case 2'!$G$10</f>
        <v>5</v>
      </c>
      <c r="N4" s="89">
        <f>'Case 2'!$G$11</f>
        <v>5</v>
      </c>
      <c r="O4" s="91" t="s">
        <v>15</v>
      </c>
      <c r="P4" s="89">
        <f>'Case 2'!$G$18</f>
        <v>3481.5124999999998</v>
      </c>
      <c r="Q4" s="94">
        <f>'Case 2'!$G$19</f>
        <v>1.9256799999999998</v>
      </c>
    </row>
    <row r="5" spans="1:17">
      <c r="A5" t="s">
        <v>7</v>
      </c>
      <c r="B5" s="4">
        <v>0.1368</v>
      </c>
      <c r="C5">
        <v>0.14829999999999999</v>
      </c>
      <c r="D5">
        <v>0.6391</v>
      </c>
      <c r="E5" s="5">
        <v>0.22769999999999999</v>
      </c>
      <c r="G5" s="10">
        <v>1</v>
      </c>
      <c r="J5" s="92" t="s">
        <v>16</v>
      </c>
      <c r="K5" s="89">
        <f>'Case 3'!$G$8</f>
        <v>5</v>
      </c>
      <c r="L5" s="89">
        <f>'Case 3'!$G$9</f>
        <v>85</v>
      </c>
      <c r="M5" s="89">
        <f>'Case 3'!$G$10</f>
        <v>5</v>
      </c>
      <c r="N5" s="89">
        <f>'Case 3'!$G$11</f>
        <v>5</v>
      </c>
      <c r="O5" s="91" t="s">
        <v>15</v>
      </c>
      <c r="P5" s="89">
        <f>'Case 3'!$G$18</f>
        <v>2238.3125</v>
      </c>
      <c r="Q5" s="94">
        <f>'Case 3'!$G$19</f>
        <v>0.79712000000000005</v>
      </c>
    </row>
    <row r="6" spans="1:17">
      <c r="A6" t="s">
        <v>8</v>
      </c>
      <c r="B6" s="6">
        <v>0.30509999999999998</v>
      </c>
      <c r="C6" s="7">
        <v>0.1706</v>
      </c>
      <c r="D6" s="7">
        <v>0.22769999999999999</v>
      </c>
      <c r="E6" s="8">
        <v>0.68279999999999996</v>
      </c>
      <c r="G6" s="11">
        <v>1</v>
      </c>
      <c r="J6" s="92" t="s">
        <v>17</v>
      </c>
      <c r="K6" s="89">
        <f>'Case 4'!$G$8</f>
        <v>5</v>
      </c>
      <c r="L6" s="89">
        <f>'Case 4'!$G$9</f>
        <v>5</v>
      </c>
      <c r="M6" s="89">
        <f>'Case 4'!$G$10</f>
        <v>85</v>
      </c>
      <c r="N6" s="89">
        <f>'Case 4'!$G$11</f>
        <v>5</v>
      </c>
      <c r="O6" s="91" t="s">
        <v>15</v>
      </c>
      <c r="P6" s="89">
        <f>'Case 4'!$G$18</f>
        <v>5114.8724999999995</v>
      </c>
      <c r="Q6" s="94">
        <f>'Case 4'!$G$19</f>
        <v>1.2860800000000001</v>
      </c>
    </row>
    <row r="7" spans="1:17">
      <c r="J7" s="92" t="s">
        <v>18</v>
      </c>
      <c r="K7" s="89">
        <f>'Case 5'!$G$8</f>
        <v>5</v>
      </c>
      <c r="L7" s="89">
        <f>'Case 5'!$G$9</f>
        <v>5</v>
      </c>
      <c r="M7" s="89">
        <f>'Case 5'!$G$10</f>
        <v>5</v>
      </c>
      <c r="N7" s="89">
        <f>'Case 5'!$G$11</f>
        <v>85</v>
      </c>
      <c r="O7" s="91" t="s">
        <v>15</v>
      </c>
      <c r="P7" s="89">
        <f>'Case 5'!$G$18</f>
        <v>5581.9924999999994</v>
      </c>
      <c r="Q7" s="94">
        <f>'Case 5'!$G$19</f>
        <v>2.2583200000000003</v>
      </c>
    </row>
    <row r="8" spans="1:17">
      <c r="A8" s="99" t="s">
        <v>19</v>
      </c>
      <c r="B8" s="100"/>
      <c r="J8" s="92" t="s">
        <v>20</v>
      </c>
      <c r="K8" s="89">
        <f>'Case 6'!$G$8</f>
        <v>33.114217252396159</v>
      </c>
      <c r="L8" s="89">
        <f>'Case 6'!$G$9</f>
        <v>56.885782747603841</v>
      </c>
      <c r="M8" s="89">
        <f>'Case 6'!$G$10</f>
        <v>5</v>
      </c>
      <c r="N8" s="89">
        <f>'Case 6'!$G$11</f>
        <v>5</v>
      </c>
      <c r="O8" s="90" t="s">
        <v>13</v>
      </c>
      <c r="P8" s="89">
        <f>'Case 6'!$G$18</f>
        <v>1944.6763693290734</v>
      </c>
      <c r="Q8" s="94">
        <f>'Case 6'!$G$19</f>
        <v>1.1937272627795523</v>
      </c>
    </row>
    <row r="9" spans="1:17">
      <c r="A9" s="82" t="s">
        <v>5</v>
      </c>
      <c r="B9" s="83">
        <v>2.0153999999999998E-2</v>
      </c>
      <c r="J9" s="92" t="s">
        <v>21</v>
      </c>
      <c r="K9" s="89">
        <f>'Case 7'!$G$8</f>
        <v>5</v>
      </c>
      <c r="L9" s="89">
        <f>'Case 7'!$G$9</f>
        <v>75.236293306424486</v>
      </c>
      <c r="M9" s="89">
        <f>'Case 7'!$G$10</f>
        <v>14.763706693575509</v>
      </c>
      <c r="N9" s="89">
        <f>'Case 7'!$G$11</f>
        <v>5</v>
      </c>
      <c r="O9" s="91" t="s">
        <v>15</v>
      </c>
      <c r="P9" s="89">
        <f>'Case 7'!$G$18</f>
        <v>2181.6293007904474</v>
      </c>
      <c r="Q9" s="94">
        <f>'Case 7'!$G$19</f>
        <v>0.8567957753111336</v>
      </c>
    </row>
    <row r="10" spans="1:17">
      <c r="A10" s="84" t="s">
        <v>6</v>
      </c>
      <c r="B10" s="85">
        <v>6.0470000000000003E-3</v>
      </c>
      <c r="J10" s="92" t="s">
        <v>22</v>
      </c>
      <c r="K10" s="89">
        <f>'Case 8'!$G$8</f>
        <v>5</v>
      </c>
      <c r="L10" s="89">
        <f>'Case 8'!$G$9</f>
        <v>5</v>
      </c>
      <c r="M10" s="89">
        <f>'Case 8'!$G$10</f>
        <v>48.369301788805544</v>
      </c>
      <c r="N10" s="89">
        <f>'Case 8'!$G$11</f>
        <v>41.630698211194463</v>
      </c>
      <c r="O10" s="91" t="s">
        <v>15</v>
      </c>
      <c r="P10" s="89">
        <f>'Case 8'!$G$18</f>
        <v>3952.1958234275826</v>
      </c>
      <c r="Q10" s="94">
        <f>'Case 8'!$G$19</f>
        <v>1.7312528753606464</v>
      </c>
    </row>
    <row r="11" spans="1:17">
      <c r="A11" s="84" t="s">
        <v>7</v>
      </c>
      <c r="B11" s="85">
        <v>1.2159E-2</v>
      </c>
      <c r="J11" s="92" t="s">
        <v>23</v>
      </c>
      <c r="K11" s="89">
        <f>'Case 9'!$G$8</f>
        <v>72.140789745710137</v>
      </c>
      <c r="L11" s="89">
        <f>'Case 9'!$G$9</f>
        <v>5</v>
      </c>
      <c r="M11" s="89">
        <f>'Case 9'!$G$10</f>
        <v>5</v>
      </c>
      <c r="N11" s="89">
        <f>'Case 9'!$G$11</f>
        <v>17.859210254289849</v>
      </c>
      <c r="O11" s="91" t="s">
        <v>15</v>
      </c>
      <c r="P11" s="89">
        <f>'Case 9'!$G$18</f>
        <v>3401.5282122183162</v>
      </c>
      <c r="Q11" s="94">
        <f>'Case 9'!$G$19</f>
        <v>1.9791485962373367</v>
      </c>
    </row>
    <row r="12" spans="1:17">
      <c r="A12" s="18" t="s">
        <v>8</v>
      </c>
      <c r="B12" s="86">
        <v>2.4312E-2</v>
      </c>
      <c r="J12" s="92" t="s">
        <v>24</v>
      </c>
      <c r="K12" s="89">
        <f>'Case 10'!$G$8</f>
        <v>5</v>
      </c>
      <c r="L12" s="89">
        <f>'Case 10'!$G$9</f>
        <v>80.199595755432028</v>
      </c>
      <c r="M12" s="89">
        <f>'Case 10'!$G$10</f>
        <v>5</v>
      </c>
      <c r="N12" s="89">
        <f>'Case 10'!$G$11</f>
        <v>9.8004042445679698</v>
      </c>
      <c r="O12" s="91" t="s">
        <v>15</v>
      </c>
      <c r="P12" s="89">
        <f>'Case 10'!$G$18</f>
        <v>2224.6313479029809</v>
      </c>
      <c r="Q12" s="94">
        <f>'Case 10'!$G$19</f>
        <v>0.88479938352703402</v>
      </c>
    </row>
    <row r="13" spans="1:17">
      <c r="J13" s="92" t="s">
        <v>25</v>
      </c>
      <c r="K13" s="89">
        <f>'Case 11'!$G$8</f>
        <v>58.145119752768473</v>
      </c>
      <c r="L13" s="89">
        <f>'Case 11'!$G$9</f>
        <v>5</v>
      </c>
      <c r="M13" s="89">
        <f>'Case 11'!$G$10</f>
        <v>31.85488024723152</v>
      </c>
      <c r="N13" s="89">
        <f>'Case 11'!$G$11</f>
        <v>5</v>
      </c>
      <c r="O13" s="91" t="s">
        <v>15</v>
      </c>
      <c r="P13" s="89">
        <f>'Case 11'!$G$18</f>
        <v>2921.440545003863</v>
      </c>
      <c r="Q13" s="94">
        <f>'Case 11'!$G$19</f>
        <v>1.710975232423384</v>
      </c>
    </row>
    <row r="14" spans="1:17">
      <c r="B14" s="1">
        <v>4.1110000000000001E-3</v>
      </c>
      <c r="C14" s="2">
        <v>8.12E-4</v>
      </c>
      <c r="D14" s="2">
        <v>1.3680000000000001E-3</v>
      </c>
      <c r="E14" s="3">
        <v>3.0509999999999999E-3</v>
      </c>
      <c r="J14" s="114" t="s">
        <v>26</v>
      </c>
      <c r="K14" s="115">
        <f>'Case 12'!$G$8</f>
        <v>28.371337280845584</v>
      </c>
      <c r="L14" s="115">
        <f>'Case 12'!$G$9</f>
        <v>58.130329659226369</v>
      </c>
      <c r="M14" s="115">
        <f>'Case 12'!$G$10</f>
        <v>8.49833305992804</v>
      </c>
      <c r="N14" s="115">
        <f>'Case 12'!$G$11</f>
        <v>5</v>
      </c>
      <c r="O14" s="115" t="s">
        <v>15</v>
      </c>
      <c r="P14" s="115">
        <f>'Case 12'!$G$18</f>
        <v>1931.4235896828588</v>
      </c>
      <c r="Q14" s="116">
        <f>'Case 12'!$G$19</f>
        <v>1.1482012666831687</v>
      </c>
    </row>
    <row r="15" spans="1:17">
      <c r="B15" s="4">
        <v>8.12E-4</v>
      </c>
      <c r="C15">
        <v>2.5209999999999998E-3</v>
      </c>
      <c r="D15">
        <v>1.4829999999999999E-3</v>
      </c>
      <c r="E15" s="5">
        <v>1.7060000000000001E-3</v>
      </c>
      <c r="J15" s="92" t="s">
        <v>27</v>
      </c>
      <c r="K15" s="89">
        <f>'Case 13'!$G$8</f>
        <v>5</v>
      </c>
      <c r="L15" s="89">
        <f>'Case 13'!$G$9</f>
        <v>73.540579309066388</v>
      </c>
      <c r="M15" s="89">
        <f>'Case 13'!$G$10</f>
        <v>14.13460735722569</v>
      </c>
      <c r="N15" s="89">
        <f>'Case 13'!$G$11</f>
        <v>7.32481333370791</v>
      </c>
      <c r="O15" s="91" t="s">
        <v>15</v>
      </c>
      <c r="P15" s="89">
        <f>'Case 13'!$G$18</f>
        <v>2178.6558189865577</v>
      </c>
      <c r="Q15" s="94">
        <f>'Case 13'!$G$19</f>
        <v>0.89541343570753829</v>
      </c>
    </row>
    <row r="16" spans="1:17">
      <c r="B16" s="4">
        <v>1.3680000000000001E-3</v>
      </c>
      <c r="C16">
        <v>1.4829999999999999E-3</v>
      </c>
      <c r="D16">
        <v>6.391E-3</v>
      </c>
      <c r="E16" s="5">
        <v>2.2769999999999999E-3</v>
      </c>
      <c r="J16" s="92" t="s">
        <v>28</v>
      </c>
      <c r="K16" s="89">
        <f>'Case 14'!$G$8</f>
        <v>56.540832104651322</v>
      </c>
      <c r="L16" s="89">
        <f>'Case 14'!$G$9</f>
        <v>5</v>
      </c>
      <c r="M16" s="89">
        <f>'Case 14'!$G$10</f>
        <v>31.309970400907098</v>
      </c>
      <c r="N16" s="89">
        <f>'Case 14'!$G$11</f>
        <v>7.1491974944415855</v>
      </c>
      <c r="O16" s="91" t="s">
        <v>15</v>
      </c>
      <c r="P16" s="89">
        <f>'Case 14'!$G$18</f>
        <v>2919.4369038884556</v>
      </c>
      <c r="Q16" s="94">
        <f>'Case 14'!$G$19</f>
        <v>1.7242681498266359</v>
      </c>
    </row>
    <row r="17" spans="2:17">
      <c r="B17" s="6">
        <v>3.0509999999999999E-3</v>
      </c>
      <c r="C17" s="7">
        <v>1.7060000000000001E-3</v>
      </c>
      <c r="D17" s="7">
        <v>2.2769999999999999E-3</v>
      </c>
      <c r="E17" s="8">
        <v>6.8279999999999999E-3</v>
      </c>
      <c r="J17" s="92" t="s">
        <v>29</v>
      </c>
      <c r="K17" s="89">
        <f>'Case 15'!$G$8</f>
        <v>36.410817041221065</v>
      </c>
      <c r="L17" s="89">
        <f>'Case 15'!$G$9</f>
        <v>64.946541093171575</v>
      </c>
      <c r="M17" s="89">
        <f>'Case 15'!$G$10</f>
        <v>5</v>
      </c>
      <c r="N17" s="89">
        <f>'Case 15'!$G$11</f>
        <v>-6.3573581343926531</v>
      </c>
      <c r="O17" s="90" t="s">
        <v>13</v>
      </c>
      <c r="P17" s="89">
        <f>'Case 13'!$G$18</f>
        <v>2178.6558189865577</v>
      </c>
      <c r="Q17" s="94">
        <f>'Case 15'!$G$19</f>
        <v>1.0327902496758237</v>
      </c>
    </row>
    <row r="18" spans="2:17">
      <c r="J18" s="95" t="s">
        <v>30</v>
      </c>
      <c r="K18" s="96">
        <f>'Case 16'!$G$8</f>
        <v>0</v>
      </c>
      <c r="L18" s="96">
        <f>'Case 16'!$G$9</f>
        <v>35.314177450793501</v>
      </c>
      <c r="M18" s="96">
        <f>'Case 16'!$G$10</f>
        <v>61.89355685968988</v>
      </c>
      <c r="N18" s="96">
        <f>'Case 16'!$G$11</f>
        <v>9.9184795132586761</v>
      </c>
      <c r="O18" s="97" t="s">
        <v>13</v>
      </c>
      <c r="P18" s="96">
        <f>'Case 16'!$G$19</f>
        <v>1872.6055326818114</v>
      </c>
      <c r="Q18" s="98">
        <f>'Case 16'!$G$20</f>
        <v>1.0333385525927323</v>
      </c>
    </row>
    <row r="20" spans="2:17">
      <c r="H20" s="101" t="s">
        <v>31</v>
      </c>
      <c r="I20" s="101"/>
      <c r="J20" t="s">
        <v>26</v>
      </c>
      <c r="P20">
        <f>MIN(P4:P7,P9:P16)</f>
        <v>1931.4235896828588</v>
      </c>
      <c r="Q20">
        <f>Q14</f>
        <v>1.1482012666831687</v>
      </c>
    </row>
  </sheetData>
  <mergeCells count="4">
    <mergeCell ref="A8:B8"/>
    <mergeCell ref="H20:I20"/>
    <mergeCell ref="J1:Q1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0E4B-038C-614D-8150-C348C08F56A1}">
  <sheetPr>
    <tabColor rgb="FFFF0000"/>
  </sheetPr>
  <dimension ref="A1:K19"/>
  <sheetViews>
    <sheetView zoomScale="150" workbookViewId="0">
      <selection activeCell="C13" sqref="C13"/>
    </sheetView>
  </sheetViews>
  <sheetFormatPr defaultColWidth="11.42578125" defaultRowHeight="15"/>
  <sheetData>
    <row r="1" spans="1:11">
      <c r="A1" s="109" t="s">
        <v>32</v>
      </c>
      <c r="B1" s="109"/>
    </row>
    <row r="2" spans="1:11">
      <c r="A2" s="27" t="s">
        <v>5</v>
      </c>
      <c r="B2" s="26" t="s">
        <v>33</v>
      </c>
    </row>
    <row r="3" spans="1:11">
      <c r="A3" s="27" t="s">
        <v>6</v>
      </c>
      <c r="B3" s="26" t="s">
        <v>33</v>
      </c>
    </row>
    <row r="4" spans="1:11">
      <c r="A4" s="27" t="s">
        <v>7</v>
      </c>
      <c r="B4" s="26" t="s">
        <v>33</v>
      </c>
    </row>
    <row r="5" spans="1:11">
      <c r="A5" s="27" t="s">
        <v>8</v>
      </c>
      <c r="B5" s="26" t="s">
        <v>33</v>
      </c>
    </row>
    <row r="7" spans="1:11">
      <c r="A7" s="108" t="s">
        <v>34</v>
      </c>
      <c r="B7" s="100"/>
      <c r="F7" s="106" t="s">
        <v>35</v>
      </c>
      <c r="G7" s="107"/>
    </row>
    <row r="8" spans="1:11">
      <c r="A8" s="15" t="s">
        <v>5</v>
      </c>
      <c r="B8" s="39">
        <v>5</v>
      </c>
      <c r="F8" s="56" t="s">
        <v>5</v>
      </c>
      <c r="G8" s="57">
        <f>VLOOKUP(F8, $A$8:$B$18, 2, FALSE)</f>
        <v>5</v>
      </c>
      <c r="I8" s="30" t="s">
        <v>36</v>
      </c>
    </row>
    <row r="9" spans="1:11">
      <c r="A9" s="16" t="s">
        <v>6</v>
      </c>
      <c r="B9" s="40">
        <v>5</v>
      </c>
      <c r="F9" s="56" t="s">
        <v>6</v>
      </c>
      <c r="G9" s="57">
        <f>VLOOKUP(F9, $A$8:$B$18, 2, FALSE)</f>
        <v>5</v>
      </c>
    </row>
    <row r="10" spans="1:11">
      <c r="A10" s="16" t="s">
        <v>7</v>
      </c>
      <c r="B10" s="40">
        <v>5</v>
      </c>
      <c r="F10" s="56" t="s">
        <v>7</v>
      </c>
      <c r="G10" s="57">
        <f>VLOOKUP(F10, $A$8:$B$18, 2, FALSE)</f>
        <v>5</v>
      </c>
      <c r="I10" s="30"/>
    </row>
    <row r="11" spans="1:11">
      <c r="A11" s="17" t="s">
        <v>8</v>
      </c>
      <c r="B11" s="41">
        <v>5</v>
      </c>
      <c r="F11" s="58" t="s">
        <v>8</v>
      </c>
      <c r="G11" s="59">
        <f>VLOOKUP(F11, $A$8:$B$18, 2, FALSE)</f>
        <v>5</v>
      </c>
      <c r="I11" s="30" t="s">
        <v>37</v>
      </c>
      <c r="J11" t="s">
        <v>38</v>
      </c>
      <c r="K11" s="55" cm="1">
        <f t="array" ref="K11">-2*MMULT(Master!B3:E3,$G$8:$G$11)-$G$16+G12</f>
        <v>-9.3420000000000005</v>
      </c>
    </row>
    <row r="12" spans="1:11">
      <c r="F12" s="62" t="s">
        <v>39</v>
      </c>
      <c r="G12" s="63">
        <v>0</v>
      </c>
      <c r="J12" t="s">
        <v>40</v>
      </c>
      <c r="K12" s="55" cm="1">
        <f t="array" ref="K12">-2*MMULT(Master!B4:E4,$G$8:$G$11)-$G$16+G13</f>
        <v>-6.5220000000000002</v>
      </c>
    </row>
    <row r="13" spans="1:11">
      <c r="F13" s="62" t="s">
        <v>41</v>
      </c>
      <c r="G13" s="63">
        <v>0</v>
      </c>
      <c r="J13" t="s">
        <v>42</v>
      </c>
      <c r="K13" s="55" cm="1">
        <f t="array" ref="K13">-2*MMULT(Master!B5:E5,$G$8:$G$11)-$G$16+G14</f>
        <v>-11.519</v>
      </c>
    </row>
    <row r="14" spans="1:11">
      <c r="F14" s="62" t="s">
        <v>43</v>
      </c>
      <c r="G14" s="63">
        <v>0</v>
      </c>
      <c r="J14" t="s">
        <v>44</v>
      </c>
      <c r="K14" s="55" cm="1">
        <f t="array" ref="K14">-2*MMULT(Master!B6:E6,$G$8:$G$11)-$G$16+G15</f>
        <v>-13.861999999999998</v>
      </c>
    </row>
    <row r="15" spans="1:11">
      <c r="F15" s="64" t="s">
        <v>45</v>
      </c>
      <c r="G15" s="65">
        <v>0</v>
      </c>
      <c r="I15" s="30" t="s">
        <v>46</v>
      </c>
      <c r="J15" t="s">
        <v>47</v>
      </c>
      <c r="K15" s="87">
        <f>100-SUM(G8:G11)</f>
        <v>80</v>
      </c>
    </row>
    <row r="16" spans="1:11">
      <c r="F16" s="66" t="s">
        <v>48</v>
      </c>
      <c r="G16" s="67">
        <v>0</v>
      </c>
    </row>
    <row r="18" spans="6:7">
      <c r="F18" s="60" t="s">
        <v>49</v>
      </c>
      <c r="G18" s="61" cm="1">
        <f t="array" ref="G18">MMULT(MMULT(TRANSPOSE(G8:G11),Master!B3:E6),G8:G11)</f>
        <v>103.11249999999998</v>
      </c>
    </row>
    <row r="19" spans="6:7">
      <c r="F19" t="s">
        <v>50</v>
      </c>
      <c r="G19" cm="1">
        <f t="array" ref="G19">MMULT(TRANSPOSE(G8:G11),Master!B9:B12)</f>
        <v>0.31336000000000003</v>
      </c>
    </row>
  </sheetData>
  <mergeCells count="3">
    <mergeCell ref="F7:G7"/>
    <mergeCell ref="A7:B7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K19"/>
  <sheetViews>
    <sheetView zoomScale="189" workbookViewId="0">
      <selection activeCell="A7" sqref="A7:B11"/>
    </sheetView>
  </sheetViews>
  <sheetFormatPr defaultColWidth="8.85546875" defaultRowHeight="15"/>
  <cols>
    <col min="1" max="1" width="13.28515625" customWidth="1"/>
    <col min="5" max="5" width="13.140625" customWidth="1"/>
    <col min="6" max="6" width="14.42578125" customWidth="1"/>
  </cols>
  <sheetData>
    <row r="1" spans="1:11">
      <c r="A1" s="109" t="s">
        <v>32</v>
      </c>
      <c r="B1" s="109"/>
      <c r="E1" t="s">
        <v>51</v>
      </c>
    </row>
    <row r="2" spans="1:11">
      <c r="A2" s="27" t="s">
        <v>5</v>
      </c>
      <c r="B2" s="26" t="s">
        <v>52</v>
      </c>
      <c r="F2" cm="1">
        <f t="array" ref="F2:F5">TRANSPOSE(2*(MMULT(TRANSPOSE(B8:B11),Master!B3:E6)))</f>
        <v>75.117999999999995</v>
      </c>
    </row>
    <row r="3" spans="1:11">
      <c r="A3" s="27" t="s">
        <v>6</v>
      </c>
      <c r="B3" s="26" t="s">
        <v>33</v>
      </c>
      <c r="F3">
        <v>19.513999999999999</v>
      </c>
    </row>
    <row r="4" spans="1:11">
      <c r="A4" s="27" t="s">
        <v>7</v>
      </c>
      <c r="B4" s="26" t="s">
        <v>33</v>
      </c>
      <c r="F4">
        <v>33.407000000000004</v>
      </c>
    </row>
    <row r="5" spans="1:11">
      <c r="A5" s="27" t="s">
        <v>8</v>
      </c>
      <c r="B5" s="26" t="s">
        <v>33</v>
      </c>
      <c r="F5">
        <v>62.677999999999997</v>
      </c>
    </row>
    <row r="7" spans="1:11">
      <c r="A7" s="108" t="s">
        <v>34</v>
      </c>
      <c r="B7" s="100"/>
      <c r="F7" s="106" t="s">
        <v>35</v>
      </c>
      <c r="G7" s="107"/>
    </row>
    <row r="8" spans="1:11">
      <c r="A8" s="15" t="str">
        <f>A2</f>
        <v>COST (W1)</v>
      </c>
      <c r="B8" s="39">
        <v>85</v>
      </c>
      <c r="F8" s="56" t="s">
        <v>5</v>
      </c>
      <c r="G8" s="57">
        <f>VLOOKUP(F8, $A$7:$B$18, 2, FALSE)</f>
        <v>85</v>
      </c>
      <c r="I8" s="30" t="s">
        <v>36</v>
      </c>
    </row>
    <row r="9" spans="1:11">
      <c r="A9" s="16" t="str">
        <f>A3</f>
        <v>JNJ (W2)</v>
      </c>
      <c r="B9" s="40">
        <v>5</v>
      </c>
      <c r="F9" s="56" t="s">
        <v>6</v>
      </c>
      <c r="G9" s="57">
        <f t="shared" ref="G9:G16" si="0">VLOOKUP(F9, $A$7:$B$18, 2, FALSE)</f>
        <v>5</v>
      </c>
    </row>
    <row r="10" spans="1:11">
      <c r="A10" s="16" t="str">
        <f>A4</f>
        <v>JPM (W3)</v>
      </c>
      <c r="B10" s="40">
        <v>5</v>
      </c>
      <c r="F10" s="56" t="s">
        <v>7</v>
      </c>
      <c r="G10" s="57">
        <f t="shared" si="0"/>
        <v>5</v>
      </c>
      <c r="I10" s="30"/>
    </row>
    <row r="11" spans="1:11">
      <c r="A11" s="17" t="str">
        <f>A5</f>
        <v>AAPL (W4)</v>
      </c>
      <c r="B11" s="41">
        <v>5</v>
      </c>
      <c r="F11" s="58" t="s">
        <v>8</v>
      </c>
      <c r="G11" s="59">
        <f t="shared" si="0"/>
        <v>5</v>
      </c>
      <c r="I11" s="30" t="s">
        <v>37</v>
      </c>
      <c r="J11" t="s">
        <v>38</v>
      </c>
      <c r="K11" s="55" cm="1">
        <f t="array" ref="K11">-2*MMULT(Master!B3:E3,$G$8:$G$11)-$G$16+G12</f>
        <v>0</v>
      </c>
    </row>
    <row r="12" spans="1:11">
      <c r="A12" s="42" t="s">
        <v>39</v>
      </c>
      <c r="B12" s="42">
        <v>0</v>
      </c>
      <c r="F12" s="62" t="s">
        <v>39</v>
      </c>
      <c r="G12" s="63">
        <f>VLOOKUP(F12, A7:C17, 2, FALSE)</f>
        <v>0</v>
      </c>
      <c r="J12" t="s">
        <v>40</v>
      </c>
      <c r="K12" s="55" cm="1">
        <f t="array" ref="K12">-2*MMULT(Master!B4:E4,$G$8:$G$11)-$G$16+G13</f>
        <v>0</v>
      </c>
    </row>
    <row r="13" spans="1:11">
      <c r="F13" s="62" t="s">
        <v>41</v>
      </c>
      <c r="G13" s="63">
        <f t="shared" si="0"/>
        <v>-55.603999999999999</v>
      </c>
      <c r="J13" t="s">
        <v>42</v>
      </c>
      <c r="K13" s="55" cm="1">
        <f t="array" ref="K13">-2*MMULT(Master!B5:E5,$G$8:$G$11)-$G$16+G14</f>
        <v>0</v>
      </c>
    </row>
    <row r="14" spans="1:11">
      <c r="A14" s="43" t="s">
        <v>48</v>
      </c>
      <c r="B14" s="43">
        <f>-(2*Master!B3*'Case 2'!B8)-(2*B9*Master!C3)-(2*Master!D3*'Case 2'!B10)-(2*'Case 2'!B11*Master!E3)</f>
        <v>-75.117999999999995</v>
      </c>
      <c r="C14">
        <f>-F2</f>
        <v>-75.117999999999995</v>
      </c>
      <c r="F14" s="62" t="s">
        <v>43</v>
      </c>
      <c r="G14" s="63">
        <f t="shared" si="0"/>
        <v>-41.710999999999999</v>
      </c>
      <c r="J14" t="s">
        <v>44</v>
      </c>
      <c r="K14" s="55" cm="1">
        <f t="array" ref="K14">-2*MMULT(Master!B6:E6,$G$8:$G$11)-$G$16+G15</f>
        <v>0</v>
      </c>
    </row>
    <row r="15" spans="1:11">
      <c r="A15" s="43" t="s">
        <v>41</v>
      </c>
      <c r="B15" s="43">
        <f>(2*B9*Master!C4)+(2*Master!D4*'Case 2'!B10)+(2*B11*Master!E4)+(2*Master!B4*'Case 2'!B8)+B14</f>
        <v>-55.603999999999999</v>
      </c>
      <c r="C15">
        <f>F3+$C$14</f>
        <v>-55.603999999999999</v>
      </c>
      <c r="F15" s="64" t="s">
        <v>45</v>
      </c>
      <c r="G15" s="65">
        <f t="shared" si="0"/>
        <v>-12.439999999999998</v>
      </c>
      <c r="I15" s="30" t="s">
        <v>46</v>
      </c>
      <c r="J15" t="s">
        <v>47</v>
      </c>
      <c r="K15">
        <f>100-SUM(G8:G11)</f>
        <v>0</v>
      </c>
    </row>
    <row r="16" spans="1:11">
      <c r="A16" s="44" t="s">
        <v>43</v>
      </c>
      <c r="B16" s="44">
        <f>(2*B10*Master!D5)+(2*Master!B5*'Case 2'!B8)+(2*'Case 2'!B9*Master!C5)+(2*Master!E5*'Case 2'!B11)+B14</f>
        <v>-41.710999999999999</v>
      </c>
      <c r="C16">
        <f>F4+$C$14</f>
        <v>-41.710999999999991</v>
      </c>
      <c r="F16" s="66" t="s">
        <v>48</v>
      </c>
      <c r="G16" s="67">
        <f t="shared" si="0"/>
        <v>-75.117999999999995</v>
      </c>
    </row>
    <row r="17" spans="1:7">
      <c r="A17" s="42" t="s">
        <v>45</v>
      </c>
      <c r="B17" s="42">
        <f>(2*B11*Master!E6)+(2*Master!D6*'Case 2'!B10)+(2*'Case 2'!B9*Master!C6)+(2*Master!B6*'Case 2'!B8)+'Case 2'!B14</f>
        <v>-12.439999999999998</v>
      </c>
      <c r="C17">
        <f>F5+$C$14</f>
        <v>-12.439999999999998</v>
      </c>
    </row>
    <row r="18" spans="1:7">
      <c r="F18" s="60" t="s">
        <v>49</v>
      </c>
      <c r="G18" s="61" cm="1">
        <f t="array" ref="G18">MMULT(MMULT(TRANSPOSE(G8:G11),Master!B3:E6),G8:G11)</f>
        <v>3481.5124999999998</v>
      </c>
    </row>
    <row r="19" spans="1:7">
      <c r="F19" t="s">
        <v>50</v>
      </c>
      <c r="G19" cm="1">
        <f t="array" ref="G19">MMULT(TRANSPOSE(G8:G11),Master!B9:B12)</f>
        <v>1.9256799999999998</v>
      </c>
    </row>
  </sheetData>
  <mergeCells count="3">
    <mergeCell ref="A7:B7"/>
    <mergeCell ref="A1:B1"/>
    <mergeCell ref="F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1752-8C86-474F-87AD-7F5FB620C57A}">
  <sheetPr>
    <tabColor theme="9" tint="0.39997558519241921"/>
  </sheetPr>
  <dimension ref="A1:K19"/>
  <sheetViews>
    <sheetView zoomScale="156" workbookViewId="0"/>
  </sheetViews>
  <sheetFormatPr defaultColWidth="11.42578125" defaultRowHeight="15"/>
  <cols>
    <col min="1" max="1" width="13.140625" customWidth="1"/>
  </cols>
  <sheetData>
    <row r="1" spans="1:11">
      <c r="A1" s="109" t="s">
        <v>32</v>
      </c>
      <c r="B1" s="109" t="s">
        <v>53</v>
      </c>
      <c r="E1" t="s">
        <v>51</v>
      </c>
    </row>
    <row r="2" spans="1:11">
      <c r="A2" s="27" t="s">
        <v>5</v>
      </c>
      <c r="B2" s="26" t="s">
        <v>33</v>
      </c>
      <c r="F2" cm="1">
        <f t="array" ref="F2:F5">TRANSPOSE(2*(MMULT(TRANSPOSE(B8:B11),Master!B3:E6)))</f>
        <v>22.333999999999996</v>
      </c>
    </row>
    <row r="3" spans="1:11">
      <c r="A3" s="27" t="s">
        <v>6</v>
      </c>
      <c r="B3" s="26" t="s">
        <v>52</v>
      </c>
      <c r="F3">
        <v>46.857999999999997</v>
      </c>
    </row>
    <row r="4" spans="1:11">
      <c r="A4" s="27" t="s">
        <v>7</v>
      </c>
      <c r="B4" s="26" t="s">
        <v>33</v>
      </c>
      <c r="F4">
        <v>35.247</v>
      </c>
    </row>
    <row r="5" spans="1:11">
      <c r="A5" s="27" t="s">
        <v>8</v>
      </c>
      <c r="B5" s="26" t="s">
        <v>33</v>
      </c>
      <c r="F5">
        <v>41.158000000000001</v>
      </c>
    </row>
    <row r="7" spans="1:11">
      <c r="A7" s="108" t="s">
        <v>34</v>
      </c>
      <c r="B7" s="100"/>
      <c r="F7" s="106" t="s">
        <v>35</v>
      </c>
      <c r="G7" s="107"/>
    </row>
    <row r="8" spans="1:11">
      <c r="A8" s="15" t="str">
        <f>A2</f>
        <v>COST (W1)</v>
      </c>
      <c r="B8" s="39">
        <v>5</v>
      </c>
      <c r="F8" s="56" t="s">
        <v>5</v>
      </c>
      <c r="G8" s="57">
        <f>VLOOKUP(F8, $A$7:$B$18, 2, FALSE)</f>
        <v>5</v>
      </c>
      <c r="I8" s="30" t="s">
        <v>36</v>
      </c>
    </row>
    <row r="9" spans="1:11">
      <c r="A9" s="16" t="str">
        <f>A3</f>
        <v>JNJ (W2)</v>
      </c>
      <c r="B9" s="40">
        <v>85</v>
      </c>
      <c r="F9" s="56" t="s">
        <v>6</v>
      </c>
      <c r="G9" s="57">
        <f t="shared" ref="G9:G16" si="0">VLOOKUP(F9, $A$7:$B$18, 2, FALSE)</f>
        <v>85</v>
      </c>
    </row>
    <row r="10" spans="1:11">
      <c r="A10" s="16" t="str">
        <f>A4</f>
        <v>JPM (W3)</v>
      </c>
      <c r="B10" s="40">
        <v>5</v>
      </c>
      <c r="F10" s="56" t="s">
        <v>7</v>
      </c>
      <c r="G10" s="57">
        <f t="shared" si="0"/>
        <v>5</v>
      </c>
      <c r="I10" s="30"/>
    </row>
    <row r="11" spans="1:11">
      <c r="A11" s="17" t="str">
        <f>A5</f>
        <v>AAPL (W4)</v>
      </c>
      <c r="B11" s="41">
        <v>5</v>
      </c>
      <c r="F11" s="58" t="s">
        <v>8</v>
      </c>
      <c r="G11" s="59">
        <f t="shared" si="0"/>
        <v>5</v>
      </c>
      <c r="I11" s="30" t="s">
        <v>37</v>
      </c>
      <c r="J11" t="s">
        <v>38</v>
      </c>
      <c r="K11" s="55" cm="1">
        <f t="array" ref="K11">-2*MMULT(Master!B3:E3,$G$8:$G$11)-$G$16+G12</f>
        <v>0</v>
      </c>
    </row>
    <row r="12" spans="1:11">
      <c r="A12" s="42" t="s">
        <v>41</v>
      </c>
      <c r="B12" s="42">
        <v>0</v>
      </c>
      <c r="F12" s="62" t="s">
        <v>39</v>
      </c>
      <c r="G12" s="63">
        <f>VLOOKUP(F12, A7:C17, 2, FALSE)</f>
        <v>-24.524000000000001</v>
      </c>
      <c r="J12" t="s">
        <v>40</v>
      </c>
      <c r="K12" s="55" cm="1">
        <f t="array" ref="K12">-2*MMULT(Master!B4:E4,$G$8:$G$11)-$G$16+G13</f>
        <v>0</v>
      </c>
    </row>
    <row r="13" spans="1:11">
      <c r="F13" s="62" t="s">
        <v>41</v>
      </c>
      <c r="G13" s="63">
        <f t="shared" ref="G13:G19" si="1">VLOOKUP(F13, $A$7:$B$18, 2, FALSE)</f>
        <v>0</v>
      </c>
      <c r="J13" t="s">
        <v>42</v>
      </c>
      <c r="K13" s="55" cm="1">
        <f t="array" ref="K13">-2*MMULT(Master!B5:E5,$G$8:$G$11)-$G$16+G14</f>
        <v>0</v>
      </c>
    </row>
    <row r="14" spans="1:11">
      <c r="A14" s="43" t="s">
        <v>48</v>
      </c>
      <c r="B14" s="43">
        <f>-(2*B9*Master!C4)-(2*Master!B4*'Case 3'!B8)-(2*'Case 3'!B10*Master!D4)-(2*Master!E4*'Case 3'!B11)</f>
        <v>-46.857999999999997</v>
      </c>
      <c r="C14">
        <f>-F3</f>
        <v>-46.857999999999997</v>
      </c>
      <c r="F14" s="62" t="s">
        <v>43</v>
      </c>
      <c r="G14" s="63">
        <f t="shared" si="1"/>
        <v>-11.610999999999997</v>
      </c>
      <c r="J14" t="s">
        <v>44</v>
      </c>
      <c r="K14" s="55" cm="1">
        <f t="array" ref="K14">-2*MMULT(Master!B6:E6,$G$8:$G$11)-$G$16+G15</f>
        <v>0</v>
      </c>
    </row>
    <row r="15" spans="1:11">
      <c r="A15" s="43" t="s">
        <v>39</v>
      </c>
      <c r="B15" s="43">
        <f>(2*B8*Master!B3)+(2*Master!C3*'Case 3'!B9)+(2*'Case 3'!B10*Master!D3)+(2*Master!E3*'Case 3'!B11)+B14</f>
        <v>-24.524000000000001</v>
      </c>
      <c r="C15">
        <f>F2+$C$14</f>
        <v>-24.524000000000001</v>
      </c>
      <c r="F15" s="64" t="s">
        <v>45</v>
      </c>
      <c r="G15" s="65">
        <f t="shared" si="1"/>
        <v>-5.6999999999999957</v>
      </c>
      <c r="I15" s="30" t="s">
        <v>46</v>
      </c>
      <c r="J15" t="s">
        <v>47</v>
      </c>
      <c r="K15">
        <f>100-SUM(G8:G11)</f>
        <v>0</v>
      </c>
    </row>
    <row r="16" spans="1:11">
      <c r="A16" s="44" t="s">
        <v>43</v>
      </c>
      <c r="B16" s="44">
        <f>(2*B10*Master!D5)+(2*Master!C5*'Case 3'!B9)+(2*'Case 3'!B8*Master!B5)+(2*Master!E5*'Case 3'!B11)+B14</f>
        <v>-11.610999999999997</v>
      </c>
      <c r="C16">
        <f>F4+$C$14</f>
        <v>-11.610999999999997</v>
      </c>
      <c r="F16" s="66" t="s">
        <v>48</v>
      </c>
      <c r="G16" s="67">
        <f t="shared" si="1"/>
        <v>-46.857999999999997</v>
      </c>
    </row>
    <row r="17" spans="1:7">
      <c r="A17" s="42" t="s">
        <v>45</v>
      </c>
      <c r="B17" s="42">
        <f>(2*B11*Master!E6)+(2*Master!D6*'Case 3'!B10)+(2*'Case 3'!B9*Master!C6)+(2*Master!B6*'Case 3'!B8)+B14</f>
        <v>-5.6999999999999957</v>
      </c>
      <c r="C17">
        <f>F5+$C$14</f>
        <v>-5.6999999999999957</v>
      </c>
    </row>
    <row r="18" spans="1:7">
      <c r="F18" s="60" t="s">
        <v>49</v>
      </c>
      <c r="G18" s="61" cm="1">
        <f t="array" ref="G18">MMULT(MMULT(TRANSPOSE(G8:G11),Master!B3:E6),G8:G11)</f>
        <v>2238.3125</v>
      </c>
    </row>
    <row r="19" spans="1:7">
      <c r="F19" t="s">
        <v>50</v>
      </c>
      <c r="G19" cm="1">
        <f t="array" ref="G19">MMULT(TRANSPOSE(G8:G11),Master!B9:B12)</f>
        <v>0.79712000000000005</v>
      </c>
    </row>
  </sheetData>
  <mergeCells count="3">
    <mergeCell ref="A1:B1"/>
    <mergeCell ref="A7:B7"/>
    <mergeCell ref="F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0098-D753-3346-ADCA-F7850A535C06}">
  <sheetPr>
    <tabColor theme="9" tint="0.39997558519241921"/>
  </sheetPr>
  <dimension ref="A1:K19"/>
  <sheetViews>
    <sheetView zoomScale="170" workbookViewId="0">
      <selection sqref="A1:XFD1048576"/>
    </sheetView>
  </sheetViews>
  <sheetFormatPr defaultColWidth="11.42578125" defaultRowHeight="15"/>
  <sheetData>
    <row r="1" spans="1:11">
      <c r="A1" s="109" t="s">
        <v>32</v>
      </c>
      <c r="B1" s="109" t="s">
        <v>53</v>
      </c>
      <c r="E1" t="s">
        <v>51</v>
      </c>
    </row>
    <row r="2" spans="1:11">
      <c r="A2" s="27" t="s">
        <v>5</v>
      </c>
      <c r="B2" s="26" t="s">
        <v>33</v>
      </c>
      <c r="F2" cm="1">
        <f t="array" ref="F2:F5">TRANSPOSE(2*(MMULT(TRANSPOSE(B8:B11),Master!B3:E6)))</f>
        <v>31.23</v>
      </c>
    </row>
    <row r="3" spans="1:11">
      <c r="A3" s="27" t="s">
        <v>6</v>
      </c>
      <c r="B3" s="26" t="s">
        <v>33</v>
      </c>
      <c r="F3">
        <v>30.249999999999996</v>
      </c>
    </row>
    <row r="4" spans="1:11">
      <c r="A4" s="27" t="s">
        <v>7</v>
      </c>
      <c r="B4" s="26" t="s">
        <v>52</v>
      </c>
      <c r="F4">
        <v>113.77500000000001</v>
      </c>
    </row>
    <row r="5" spans="1:11">
      <c r="A5" s="27" t="s">
        <v>8</v>
      </c>
      <c r="B5" s="26" t="s">
        <v>33</v>
      </c>
      <c r="F5">
        <v>50.293999999999997</v>
      </c>
    </row>
    <row r="7" spans="1:11">
      <c r="A7" s="108" t="s">
        <v>34</v>
      </c>
      <c r="B7" s="100"/>
      <c r="F7" s="106" t="s">
        <v>35</v>
      </c>
      <c r="G7" s="107"/>
    </row>
    <row r="8" spans="1:11">
      <c r="A8" s="15" t="str">
        <f>A2</f>
        <v>COST (W1)</v>
      </c>
      <c r="B8" s="39">
        <v>5</v>
      </c>
      <c r="F8" s="56" t="s">
        <v>5</v>
      </c>
      <c r="G8" s="57">
        <f>VLOOKUP(F8, $A$7:$B$18, 2, FALSE)</f>
        <v>5</v>
      </c>
      <c r="I8" s="30" t="s">
        <v>36</v>
      </c>
    </row>
    <row r="9" spans="1:11">
      <c r="A9" s="16" t="str">
        <f>A3</f>
        <v>JNJ (W2)</v>
      </c>
      <c r="B9" s="40">
        <v>5</v>
      </c>
      <c r="F9" s="56" t="s">
        <v>6</v>
      </c>
      <c r="G9" s="57">
        <f t="shared" ref="G9:G16" si="0">VLOOKUP(F9, $A$7:$B$18, 2, FALSE)</f>
        <v>5</v>
      </c>
    </row>
    <row r="10" spans="1:11">
      <c r="A10" s="16" t="str">
        <f>A4</f>
        <v>JPM (W3)</v>
      </c>
      <c r="B10" s="40">
        <v>85</v>
      </c>
      <c r="F10" s="56" t="s">
        <v>7</v>
      </c>
      <c r="G10" s="57">
        <f t="shared" si="0"/>
        <v>85</v>
      </c>
      <c r="I10" s="30"/>
    </row>
    <row r="11" spans="1:11">
      <c r="A11" s="17" t="str">
        <f>A5</f>
        <v>AAPL (W4)</v>
      </c>
      <c r="B11" s="41">
        <v>5</v>
      </c>
      <c r="F11" s="58" t="s">
        <v>8</v>
      </c>
      <c r="G11" s="59">
        <f t="shared" si="0"/>
        <v>5</v>
      </c>
      <c r="I11" s="30" t="s">
        <v>37</v>
      </c>
      <c r="J11" t="s">
        <v>38</v>
      </c>
      <c r="K11" s="55" cm="1">
        <f t="array" ref="K11">-2*MMULT(Master!B3:E3,$G$8:$G$11)-$G$16+G12</f>
        <v>0</v>
      </c>
    </row>
    <row r="12" spans="1:11">
      <c r="A12" s="42" t="s">
        <v>43</v>
      </c>
      <c r="B12" s="42">
        <v>0</v>
      </c>
      <c r="F12" s="62" t="s">
        <v>39</v>
      </c>
      <c r="G12" s="63">
        <f>VLOOKUP(F12, A7:C17, 2, FALSE)</f>
        <v>-82.545000000000002</v>
      </c>
      <c r="J12" t="s">
        <v>40</v>
      </c>
      <c r="K12" s="55" cm="1">
        <f t="array" ref="K12">-2*MMULT(Master!B4:E4,$G$8:$G$11)-$G$16+G13</f>
        <v>0</v>
      </c>
    </row>
    <row r="13" spans="1:11">
      <c r="F13" s="62" t="s">
        <v>41</v>
      </c>
      <c r="G13" s="63">
        <f t="shared" ref="G13:G19" si="1">VLOOKUP(F13, $A$7:$B$18, 2, FALSE)</f>
        <v>-83.525000000000006</v>
      </c>
      <c r="J13" t="s">
        <v>42</v>
      </c>
      <c r="K13" s="55" cm="1">
        <f t="array" ref="K13">-2*MMULT(Master!B5:E5,$G$8:$G$11)-$G$16+G14</f>
        <v>0</v>
      </c>
    </row>
    <row r="14" spans="1:11">
      <c r="A14" s="43" t="s">
        <v>48</v>
      </c>
      <c r="B14" s="43">
        <f>-(2*B10*Master!D5)-(2*Master!B5*'Case 4'!B8)-(2*'Case 4'!B9*Master!C5)-(2*Master!E5*'Case 4'!B11)</f>
        <v>-113.77500000000001</v>
      </c>
      <c r="C14">
        <f>-F4</f>
        <v>-113.77500000000001</v>
      </c>
      <c r="F14" s="62" t="s">
        <v>43</v>
      </c>
      <c r="G14" s="63">
        <f t="shared" si="1"/>
        <v>0</v>
      </c>
      <c r="J14" t="s">
        <v>44</v>
      </c>
      <c r="K14" s="55" cm="1">
        <f t="array" ref="K14">-2*MMULT(Master!B6:E6,$G$8:$G$11)-$G$16+G15</f>
        <v>0</v>
      </c>
    </row>
    <row r="15" spans="1:11">
      <c r="A15" s="43" t="s">
        <v>39</v>
      </c>
      <c r="B15" s="43">
        <f>(2*B8*Master!B3)+(2*Master!C3*B9)+(2*Master!D3*B10)+(2*Master!E3*B11)+B14</f>
        <v>-82.545000000000002</v>
      </c>
      <c r="C15">
        <f>F2+$C$14</f>
        <v>-82.545000000000002</v>
      </c>
      <c r="F15" s="64" t="s">
        <v>45</v>
      </c>
      <c r="G15" s="65">
        <f t="shared" si="1"/>
        <v>-63.481000000000009</v>
      </c>
      <c r="I15" s="30" t="s">
        <v>46</v>
      </c>
      <c r="J15" t="s">
        <v>47</v>
      </c>
      <c r="K15">
        <f>100-SUM(G8:G11)</f>
        <v>0</v>
      </c>
    </row>
    <row r="16" spans="1:11">
      <c r="A16" s="44" t="s">
        <v>41</v>
      </c>
      <c r="B16" s="44">
        <f>(2*B9*Master!C4)+(2*B8*Master!B4)+(2*B10*Master!D4)+(2*B11*Master!E4)+B14</f>
        <v>-83.525000000000006</v>
      </c>
      <c r="C16">
        <f>C14+F3</f>
        <v>-83.525000000000006</v>
      </c>
      <c r="F16" s="66" t="s">
        <v>48</v>
      </c>
      <c r="G16" s="67">
        <f t="shared" si="1"/>
        <v>-113.77500000000001</v>
      </c>
    </row>
    <row r="17" spans="1:7">
      <c r="A17" s="42" t="s">
        <v>45</v>
      </c>
      <c r="B17" s="42">
        <f>(2*B11*Master!E6)+(2*B8*Master!B6)+(2*B9*Master!C6)+(2*B10*Master!D6)+B14</f>
        <v>-63.481000000000009</v>
      </c>
      <c r="C17">
        <f>F5+$C$14</f>
        <v>-63.481000000000009</v>
      </c>
    </row>
    <row r="18" spans="1:7">
      <c r="F18" s="60" t="s">
        <v>49</v>
      </c>
      <c r="G18" s="61" cm="1">
        <f t="array" ref="G18">MMULT(MMULT(TRANSPOSE(G8:G11),Master!B3:E6),G8:G11)</f>
        <v>5114.8724999999995</v>
      </c>
    </row>
    <row r="19" spans="1:7">
      <c r="F19" t="s">
        <v>50</v>
      </c>
      <c r="G19" cm="1">
        <f t="array" ref="G19">MMULT(TRANSPOSE(G8:G11),Master!B9:B12)</f>
        <v>1.2860800000000001</v>
      </c>
    </row>
  </sheetData>
  <mergeCells count="3">
    <mergeCell ref="A7:B7"/>
    <mergeCell ref="A1:B1"/>
    <mergeCell ref="F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5A78-D94D-AE4C-AF5B-C0B26F9B2557}">
  <sheetPr>
    <tabColor theme="9" tint="0.39997558519241921"/>
  </sheetPr>
  <dimension ref="A1:K19"/>
  <sheetViews>
    <sheetView zoomScale="164" workbookViewId="0">
      <selection activeCell="C10" sqref="C10"/>
    </sheetView>
  </sheetViews>
  <sheetFormatPr defaultColWidth="11.42578125" defaultRowHeight="15"/>
  <cols>
    <col min="1" max="1" width="14.42578125" customWidth="1"/>
  </cols>
  <sheetData>
    <row r="1" spans="1:11">
      <c r="A1" s="109" t="s">
        <v>32</v>
      </c>
      <c r="B1" s="109" t="s">
        <v>53</v>
      </c>
      <c r="E1" t="s">
        <v>51</v>
      </c>
    </row>
    <row r="2" spans="1:11">
      <c r="A2" s="27" t="s">
        <v>5</v>
      </c>
      <c r="B2" s="26" t="s">
        <v>33</v>
      </c>
      <c r="F2" cm="1">
        <f t="array" ref="F2:F5">TRANSPOSE(2*(MMULT(TRANSPOSE(B8:B11),Master!B3:E6)))</f>
        <v>58.158000000000001</v>
      </c>
    </row>
    <row r="3" spans="1:11">
      <c r="A3" s="27" t="s">
        <v>6</v>
      </c>
      <c r="B3" s="26" t="s">
        <v>33</v>
      </c>
      <c r="F3">
        <v>33.817999999999998</v>
      </c>
    </row>
    <row r="4" spans="1:11">
      <c r="A4" s="27" t="s">
        <v>7</v>
      </c>
      <c r="B4" s="26" t="s">
        <v>33</v>
      </c>
      <c r="F4">
        <v>47.950999999999993</v>
      </c>
    </row>
    <row r="5" spans="1:11">
      <c r="A5" s="27" t="s">
        <v>8</v>
      </c>
      <c r="B5" s="26" t="s">
        <v>52</v>
      </c>
      <c r="F5">
        <v>123.10999999999999</v>
      </c>
    </row>
    <row r="7" spans="1:11">
      <c r="A7" s="108" t="s">
        <v>34</v>
      </c>
      <c r="B7" s="100"/>
      <c r="F7" s="106" t="s">
        <v>35</v>
      </c>
      <c r="G7" s="107"/>
    </row>
    <row r="8" spans="1:11">
      <c r="A8" s="15" t="str">
        <f>A2</f>
        <v>COST (W1)</v>
      </c>
      <c r="B8" s="39">
        <v>5</v>
      </c>
      <c r="F8" s="56" t="s">
        <v>5</v>
      </c>
      <c r="G8" s="57">
        <f>VLOOKUP(F8, $A$7:$B$18, 2, FALSE)</f>
        <v>5</v>
      </c>
      <c r="I8" s="30" t="s">
        <v>36</v>
      </c>
    </row>
    <row r="9" spans="1:11">
      <c r="A9" s="16" t="str">
        <f>A3</f>
        <v>JNJ (W2)</v>
      </c>
      <c r="B9" s="40">
        <v>5</v>
      </c>
      <c r="F9" s="56" t="s">
        <v>6</v>
      </c>
      <c r="G9" s="57">
        <f t="shared" ref="G9:G16" si="0">VLOOKUP(F9, $A$7:$B$18, 2, FALSE)</f>
        <v>5</v>
      </c>
    </row>
    <row r="10" spans="1:11">
      <c r="A10" s="16" t="str">
        <f>A4</f>
        <v>JPM (W3)</v>
      </c>
      <c r="B10" s="40">
        <v>5</v>
      </c>
      <c r="F10" s="56" t="s">
        <v>7</v>
      </c>
      <c r="G10" s="57">
        <f t="shared" si="0"/>
        <v>5</v>
      </c>
      <c r="I10" s="30"/>
    </row>
    <row r="11" spans="1:11">
      <c r="A11" s="17" t="str">
        <f>A5</f>
        <v>AAPL (W4)</v>
      </c>
      <c r="B11" s="41">
        <f>100-SUM(B8:B10)</f>
        <v>85</v>
      </c>
      <c r="F11" s="58" t="s">
        <v>8</v>
      </c>
      <c r="G11" s="59">
        <f t="shared" si="0"/>
        <v>85</v>
      </c>
      <c r="I11" s="30" t="s">
        <v>37</v>
      </c>
      <c r="J11" t="s">
        <v>38</v>
      </c>
      <c r="K11" s="55" cm="1">
        <f t="array" ref="K11">-2*MMULT(Master!B3:E3,$G$8:$G$11)-$G$16+G12</f>
        <v>0</v>
      </c>
    </row>
    <row r="12" spans="1:11">
      <c r="A12" s="42" t="s">
        <v>45</v>
      </c>
      <c r="B12" s="42">
        <v>0</v>
      </c>
      <c r="F12" s="62" t="s">
        <v>39</v>
      </c>
      <c r="G12" s="63">
        <f>VLOOKUP(F12, A7:C17, 2, FALSE)</f>
        <v>-64.951999999999984</v>
      </c>
      <c r="J12" t="s">
        <v>40</v>
      </c>
      <c r="K12" s="55" cm="1">
        <f t="array" ref="K12">-2*MMULT(Master!B4:E4,$G$8:$G$11)-$G$16+G13</f>
        <v>0</v>
      </c>
    </row>
    <row r="13" spans="1:11">
      <c r="F13" s="62" t="s">
        <v>41</v>
      </c>
      <c r="G13" s="63">
        <f t="shared" ref="G13:G19" si="1">VLOOKUP(F13, $A$7:$B$18, 2, FALSE)</f>
        <v>-89.291999999999987</v>
      </c>
      <c r="J13" t="s">
        <v>42</v>
      </c>
      <c r="K13" s="55" cm="1">
        <f t="array" ref="K13">-2*MMULT(Master!B5:E5,$G$8:$G$11)-$G$16+G14</f>
        <v>0</v>
      </c>
    </row>
    <row r="14" spans="1:11">
      <c r="A14" s="43" t="s">
        <v>48</v>
      </c>
      <c r="B14" s="43">
        <f>-F5</f>
        <v>-123.10999999999999</v>
      </c>
      <c r="F14" s="62" t="s">
        <v>43</v>
      </c>
      <c r="G14" s="63">
        <f t="shared" si="1"/>
        <v>-75.158999999999992</v>
      </c>
      <c r="J14" t="s">
        <v>44</v>
      </c>
      <c r="K14" s="55" cm="1">
        <f t="array" ref="K14">-2*MMULT(Master!B6:E6,$G$8:$G$11)-$G$16+G15</f>
        <v>0</v>
      </c>
    </row>
    <row r="15" spans="1:11">
      <c r="A15" s="43" t="s">
        <v>39</v>
      </c>
      <c r="B15" s="43">
        <f>$B$14+F2</f>
        <v>-64.951999999999984</v>
      </c>
      <c r="F15" s="64" t="s">
        <v>45</v>
      </c>
      <c r="G15" s="65">
        <f t="shared" si="1"/>
        <v>0</v>
      </c>
      <c r="I15" s="30" t="s">
        <v>46</v>
      </c>
      <c r="J15" t="s">
        <v>47</v>
      </c>
      <c r="K15">
        <f>100-SUM(G8:G11)</f>
        <v>0</v>
      </c>
    </row>
    <row r="16" spans="1:11">
      <c r="A16" s="44" t="s">
        <v>41</v>
      </c>
      <c r="B16" s="44">
        <f>$B$14+F3</f>
        <v>-89.291999999999987</v>
      </c>
      <c r="F16" s="66" t="s">
        <v>48</v>
      </c>
      <c r="G16" s="67">
        <f t="shared" si="1"/>
        <v>-123.10999999999999</v>
      </c>
    </row>
    <row r="17" spans="1:7">
      <c r="A17" s="42" t="s">
        <v>43</v>
      </c>
      <c r="B17" s="42">
        <f>$B$14+F4</f>
        <v>-75.158999999999992</v>
      </c>
    </row>
    <row r="18" spans="1:7">
      <c r="F18" s="60" t="s">
        <v>49</v>
      </c>
      <c r="G18" s="61" cm="1">
        <f t="array" ref="G18">MMULT(MMULT(TRANSPOSE(G8:G11),Master!B3:E6),G8:G11)</f>
        <v>5581.9924999999994</v>
      </c>
    </row>
    <row r="19" spans="1:7">
      <c r="F19" t="s">
        <v>50</v>
      </c>
      <c r="G19" cm="1">
        <f t="array" ref="G19">MMULT(TRANSPOSE(G8:G11),Master!B9:B12)</f>
        <v>2.2583200000000003</v>
      </c>
    </row>
  </sheetData>
  <mergeCells count="3">
    <mergeCell ref="A7:B7"/>
    <mergeCell ref="A1:B1"/>
    <mergeCell ref="F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F171-32C1-7841-BB3C-7FDE1CB29BD7}">
  <sheetPr>
    <tabColor rgb="FFFF0000"/>
  </sheetPr>
  <dimension ref="A1:K19"/>
  <sheetViews>
    <sheetView zoomScale="190" workbookViewId="0">
      <selection activeCell="K12" sqref="K12"/>
    </sheetView>
  </sheetViews>
  <sheetFormatPr defaultColWidth="11.42578125" defaultRowHeight="15"/>
  <cols>
    <col min="1" max="1" width="14.28515625" customWidth="1"/>
    <col min="3" max="3" width="15" customWidth="1"/>
    <col min="6" max="6" width="13.5703125" customWidth="1"/>
    <col min="7" max="7" width="12.85546875" customWidth="1"/>
    <col min="8" max="8" width="12.5703125" bestFit="1" customWidth="1"/>
  </cols>
  <sheetData>
    <row r="1" spans="1:11">
      <c r="A1" s="12"/>
      <c r="B1" s="38" t="s">
        <v>54</v>
      </c>
      <c r="D1" s="30" t="s">
        <v>55</v>
      </c>
      <c r="E1" s="30" t="str">
        <f>A2</f>
        <v>COST (W1)</v>
      </c>
      <c r="F1" s="30" t="str">
        <f>A3</f>
        <v>JNJ (W2)</v>
      </c>
      <c r="G1" s="30" t="s">
        <v>48</v>
      </c>
      <c r="I1" s="30" t="s">
        <v>56</v>
      </c>
    </row>
    <row r="2" spans="1:11">
      <c r="A2" s="27" t="s">
        <v>5</v>
      </c>
      <c r="B2" s="26" t="s">
        <v>52</v>
      </c>
      <c r="D2" t="s">
        <v>57</v>
      </c>
      <c r="E2" s="1">
        <v>1</v>
      </c>
      <c r="F2" s="2">
        <v>1</v>
      </c>
      <c r="G2" s="3">
        <v>0</v>
      </c>
      <c r="I2" s="35">
        <v>90</v>
      </c>
    </row>
    <row r="3" spans="1:11">
      <c r="A3" s="27" t="s">
        <v>6</v>
      </c>
      <c r="B3" s="26" t="s">
        <v>52</v>
      </c>
      <c r="D3" t="s">
        <v>58</v>
      </c>
      <c r="E3" s="4">
        <f>-2*Master!B3</f>
        <v>-0.82220000000000004</v>
      </c>
      <c r="F3">
        <f>-2*Master!C3</f>
        <v>-0.16239999999999999</v>
      </c>
      <c r="G3" s="5">
        <v>-1</v>
      </c>
      <c r="I3" s="36">
        <f>2*B7*Master!D3+2*B8*Master!E3</f>
        <v>4.4189999999999996</v>
      </c>
    </row>
    <row r="4" spans="1:11">
      <c r="A4" s="27" t="s">
        <v>7</v>
      </c>
      <c r="B4" s="26" t="s">
        <v>33</v>
      </c>
      <c r="D4" t="s">
        <v>59</v>
      </c>
      <c r="E4" s="6">
        <f>-2*Master!B4</f>
        <v>-0.16239999999999999</v>
      </c>
      <c r="F4" s="7">
        <f>-2*Master!C4</f>
        <v>-0.50419999999999998</v>
      </c>
      <c r="G4" s="8">
        <v>-1</v>
      </c>
      <c r="I4" s="37">
        <f>2*B7*Master!D4+2*Master!E4+'Case 6'!B8</f>
        <v>6.8241999999999994</v>
      </c>
    </row>
    <row r="5" spans="1:11">
      <c r="A5" s="27" t="s">
        <v>8</v>
      </c>
      <c r="B5" s="26" t="s">
        <v>33</v>
      </c>
    </row>
    <row r="7" spans="1:11">
      <c r="A7" s="31" t="str">
        <f>A4</f>
        <v>JPM (W3)</v>
      </c>
      <c r="B7" s="32">
        <v>5</v>
      </c>
      <c r="F7" s="106" t="s">
        <v>35</v>
      </c>
      <c r="G7" s="107"/>
    </row>
    <row r="8" spans="1:11">
      <c r="A8" s="33" t="str">
        <f>A5</f>
        <v>AAPL (W4)</v>
      </c>
      <c r="B8" s="34">
        <v>5</v>
      </c>
      <c r="F8" s="56" t="s">
        <v>5</v>
      </c>
      <c r="G8" s="57">
        <f>VLOOKUP(F8, $A$7:$B$18, 2, FALSE)</f>
        <v>33.114217252396159</v>
      </c>
      <c r="I8" s="30" t="s">
        <v>36</v>
      </c>
    </row>
    <row r="9" spans="1:11">
      <c r="A9" s="22" t="s">
        <v>39</v>
      </c>
      <c r="B9" s="23">
        <v>0</v>
      </c>
      <c r="F9" s="56" t="s">
        <v>6</v>
      </c>
      <c r="G9" s="57">
        <f t="shared" ref="G9:G16" si="0">VLOOKUP(F9, $A$7:$B$18, 2, FALSE)</f>
        <v>56.885782747603841</v>
      </c>
    </row>
    <row r="10" spans="1:11">
      <c r="A10" s="24" t="s">
        <v>41</v>
      </c>
      <c r="B10" s="25">
        <v>0</v>
      </c>
      <c r="F10" s="56" t="s">
        <v>7</v>
      </c>
      <c r="G10" s="57">
        <f t="shared" si="0"/>
        <v>5</v>
      </c>
      <c r="I10" s="30"/>
    </row>
    <row r="11" spans="1:11">
      <c r="F11" s="58" t="s">
        <v>8</v>
      </c>
      <c r="G11" s="59">
        <f t="shared" si="0"/>
        <v>5</v>
      </c>
      <c r="I11" s="30" t="s">
        <v>37</v>
      </c>
      <c r="J11" t="s">
        <v>38</v>
      </c>
      <c r="K11" s="55" cm="1">
        <f t="array" ref="K11">-2*MMULT(Master!B3:E3,$G$8:$G$11)-$G$16+G12</f>
        <v>0</v>
      </c>
    </row>
    <row r="12" spans="1:11">
      <c r="A12" s="45" t="str" cm="1">
        <f t="array" ref="A12:A14">TRANSPOSE(E1:G1)</f>
        <v>COST (W1)</v>
      </c>
      <c r="B12" s="46" cm="1">
        <f t="array" ref="B12:B14">MMULT(MINVERSE(E2:G4),I2:I4)</f>
        <v>33.114217252396159</v>
      </c>
      <c r="C12" s="110" t="s">
        <v>60</v>
      </c>
      <c r="D12" s="111"/>
      <c r="F12" s="62" t="s">
        <v>39</v>
      </c>
      <c r="G12" s="63">
        <f t="shared" si="0"/>
        <v>0</v>
      </c>
      <c r="J12" t="s">
        <v>40</v>
      </c>
      <c r="K12" s="72" cm="1">
        <f t="array" ref="K12">-2*MMULT(Master!B4:E4,$G$8:$G$11)-$G$16+G13</f>
        <v>3.6351999999999975</v>
      </c>
    </row>
    <row r="13" spans="1:11">
      <c r="A13" s="47" t="str">
        <v>JNJ (W2)</v>
      </c>
      <c r="B13" s="48">
        <v>56.885782747603841</v>
      </c>
      <c r="C13" s="110"/>
      <c r="D13" s="111"/>
      <c r="F13" s="62" t="s">
        <v>41</v>
      </c>
      <c r="G13" s="63">
        <f t="shared" si="0"/>
        <v>0</v>
      </c>
      <c r="J13" t="s">
        <v>42</v>
      </c>
      <c r="K13" s="55" cm="1">
        <f t="array" ref="K13">-2*MMULT(Master!B5:E5,$G$8:$G$11)-$G$16+G14</f>
        <v>0</v>
      </c>
    </row>
    <row r="14" spans="1:11">
      <c r="A14" s="49" t="str">
        <v>Lambda</v>
      </c>
      <c r="B14" s="50">
        <v>-40.88376054313099</v>
      </c>
      <c r="C14" s="110"/>
      <c r="D14" s="111"/>
      <c r="F14" s="62" t="s">
        <v>43</v>
      </c>
      <c r="G14" s="63">
        <f t="shared" si="0"/>
        <v>-6.2833875399361006</v>
      </c>
      <c r="J14" t="s">
        <v>44</v>
      </c>
      <c r="K14" s="55" cm="1">
        <f t="array" ref="K14">-2*MMULT(Master!B6:E6,$G$8:$G$11)-$G$16+G15</f>
        <v>0</v>
      </c>
    </row>
    <row r="15" spans="1:11">
      <c r="F15" s="64" t="s">
        <v>45</v>
      </c>
      <c r="G15" s="65">
        <f t="shared" si="0"/>
        <v>7.8369638977635816</v>
      </c>
      <c r="I15" s="30" t="s">
        <v>46</v>
      </c>
      <c r="J15" t="s">
        <v>47</v>
      </c>
      <c r="K15">
        <f>100-SUM(G8:G11)</f>
        <v>0</v>
      </c>
    </row>
    <row r="16" spans="1:11">
      <c r="A16" s="51" t="s">
        <v>43</v>
      </c>
      <c r="B16" s="52">
        <f>2*B7*Master!D5+2*Master!B5*'Case 6'!B12+2*'Case 6'!B13*Master!C5+2*Master!E5*'Case 6'!B8+'Case 6'!B14</f>
        <v>-6.2833875399361006</v>
      </c>
      <c r="C16" t="s">
        <v>61</v>
      </c>
      <c r="F16" s="66" t="s">
        <v>48</v>
      </c>
      <c r="G16" s="67">
        <f t="shared" si="0"/>
        <v>-40.88376054313099</v>
      </c>
    </row>
    <row r="17" spans="1:7">
      <c r="A17" s="53" t="s">
        <v>45</v>
      </c>
      <c r="B17" s="54">
        <f>2*B8*Master!E6+2*Master!B6*'Case 6'!B12+2*'Case 6'!B13*Master!C6+2*Master!D6*'Case 6'!B7+'Case 6'!B14</f>
        <v>7.8369638977635816</v>
      </c>
      <c r="C17" t="s">
        <v>62</v>
      </c>
    </row>
    <row r="18" spans="1:7">
      <c r="F18" s="60" t="s">
        <v>49</v>
      </c>
      <c r="G18" s="61" cm="1">
        <f t="array" ref="G18">MMULT(MMULT(TRANSPOSE(G8:G11),Master!B3:E6),G8:G11)</f>
        <v>1944.6763693290734</v>
      </c>
    </row>
    <row r="19" spans="1:7">
      <c r="F19" t="s">
        <v>50</v>
      </c>
      <c r="G19" cm="1">
        <f t="array" ref="G19">MMULT(TRANSPOSE(G8:G11),Master!B9:B12)</f>
        <v>1.1937272627795523</v>
      </c>
    </row>
  </sheetData>
  <mergeCells count="2">
    <mergeCell ref="C12:D14"/>
    <mergeCell ref="F7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BF27-E0EA-4545-A626-DD4CAA0212E3}">
  <sheetPr>
    <tabColor rgb="FF92D050"/>
  </sheetPr>
  <dimension ref="A1:K19"/>
  <sheetViews>
    <sheetView zoomScale="188" workbookViewId="0">
      <selection activeCell="F7" sqref="F7"/>
    </sheetView>
  </sheetViews>
  <sheetFormatPr defaultColWidth="11.42578125" defaultRowHeight="15"/>
  <cols>
    <col min="3" max="3" width="15.7109375" customWidth="1"/>
    <col min="4" max="4" width="13.85546875" customWidth="1"/>
    <col min="11" max="11" width="10.7109375" customWidth="1"/>
  </cols>
  <sheetData>
    <row r="1" spans="1:11">
      <c r="A1" s="12"/>
      <c r="B1" s="38" t="s">
        <v>54</v>
      </c>
      <c r="D1" s="30" t="s">
        <v>55</v>
      </c>
      <c r="E1" s="30" t="str">
        <f>A3</f>
        <v>JNJ (W2)</v>
      </c>
      <c r="F1" s="30" t="str">
        <f>A4</f>
        <v>JPM (W3)</v>
      </c>
      <c r="G1" s="30" t="s">
        <v>48</v>
      </c>
      <c r="I1" s="30" t="s">
        <v>56</v>
      </c>
    </row>
    <row r="2" spans="1:11">
      <c r="A2" s="27" t="s">
        <v>5</v>
      </c>
      <c r="B2" s="26" t="s">
        <v>33</v>
      </c>
      <c r="D2" t="s">
        <v>57</v>
      </c>
      <c r="E2" s="1">
        <v>1</v>
      </c>
      <c r="F2" s="2">
        <v>1</v>
      </c>
      <c r="G2" s="3">
        <v>0</v>
      </c>
      <c r="I2" s="35">
        <v>90</v>
      </c>
    </row>
    <row r="3" spans="1:11">
      <c r="A3" s="27" t="s">
        <v>6</v>
      </c>
      <c r="B3" s="26" t="s">
        <v>52</v>
      </c>
      <c r="D3" t="s">
        <v>59</v>
      </c>
      <c r="E3" s="4">
        <f>-2*Master!C4</f>
        <v>-0.50419999999999998</v>
      </c>
      <c r="F3">
        <f>-2*Master!D4</f>
        <v>-0.29659999999999997</v>
      </c>
      <c r="G3" s="5">
        <v>-1</v>
      </c>
      <c r="I3" s="36">
        <f>(2*B7*Master!B4)+(2*'Case 7'!B8*Master!E4)</f>
        <v>2.5179999999999998</v>
      </c>
    </row>
    <row r="4" spans="1:11">
      <c r="A4" s="27" t="s">
        <v>7</v>
      </c>
      <c r="B4" s="26" t="s">
        <v>52</v>
      </c>
      <c r="D4" t="s">
        <v>61</v>
      </c>
      <c r="E4" s="6">
        <f>-2*Master!C5</f>
        <v>-0.29659999999999997</v>
      </c>
      <c r="F4" s="7">
        <f>-2*Master!D5</f>
        <v>-1.2782</v>
      </c>
      <c r="G4" s="8">
        <v>-1</v>
      </c>
      <c r="I4" s="37">
        <f>(2*B7*Master!B5)+(2*'Case 7'!B8*Master!E5)</f>
        <v>3.6449999999999996</v>
      </c>
    </row>
    <row r="5" spans="1:11">
      <c r="A5" s="27" t="s">
        <v>8</v>
      </c>
      <c r="B5" s="26" t="s">
        <v>33</v>
      </c>
    </row>
    <row r="7" spans="1:11">
      <c r="A7" s="31" t="str">
        <f>A2</f>
        <v>COST (W1)</v>
      </c>
      <c r="B7" s="32">
        <v>5</v>
      </c>
      <c r="F7" s="106" t="s">
        <v>35</v>
      </c>
      <c r="G7" s="107"/>
    </row>
    <row r="8" spans="1:11">
      <c r="A8" s="33" t="str">
        <f>A5</f>
        <v>AAPL (W4)</v>
      </c>
      <c r="B8" s="34">
        <v>5</v>
      </c>
      <c r="F8" s="56" t="s">
        <v>5</v>
      </c>
      <c r="G8" s="57">
        <f>VLOOKUP(F8, $A$7:$B$18, 2, FALSE)</f>
        <v>5</v>
      </c>
      <c r="I8" s="30" t="s">
        <v>36</v>
      </c>
    </row>
    <row r="9" spans="1:11">
      <c r="A9" s="22" t="s">
        <v>41</v>
      </c>
      <c r="B9" s="23">
        <v>0</v>
      </c>
      <c r="F9" s="56" t="s">
        <v>6</v>
      </c>
      <c r="G9" s="57">
        <f t="shared" ref="G9:G16" si="0">VLOOKUP(F9, $A$7:$B$18, 2, FALSE)</f>
        <v>75.236293306424486</v>
      </c>
    </row>
    <row r="10" spans="1:11">
      <c r="A10" s="24" t="s">
        <v>43</v>
      </c>
      <c r="B10" s="25">
        <v>0</v>
      </c>
      <c r="F10" s="56" t="s">
        <v>7</v>
      </c>
      <c r="G10" s="57">
        <f t="shared" si="0"/>
        <v>14.763706693575509</v>
      </c>
      <c r="I10" s="30"/>
    </row>
    <row r="11" spans="1:11">
      <c r="F11" s="58" t="s">
        <v>8</v>
      </c>
      <c r="G11" s="59">
        <f t="shared" si="0"/>
        <v>5</v>
      </c>
      <c r="I11" s="30" t="s">
        <v>37</v>
      </c>
      <c r="J11" t="s">
        <v>38</v>
      </c>
      <c r="K11" s="55" cm="1">
        <f t="array" ref="K11">-2*MMULT(Master!B3:E3,$G$8:$G$11)-$G$16+G12</f>
        <v>0</v>
      </c>
    </row>
    <row r="12" spans="1:11" ht="15" customHeight="1">
      <c r="A12" s="45" t="str" cm="1">
        <f t="array" ref="A12:A14">TRANSPOSE(E1:G1)</f>
        <v>JNJ (W2)</v>
      </c>
      <c r="B12" s="46" cm="1">
        <f t="array" ref="B12:B14">MMULT(MINVERSE(E2:G4),I2:I4)</f>
        <v>75.236293306424486</v>
      </c>
      <c r="C12" s="110" t="s">
        <v>60</v>
      </c>
      <c r="D12" s="111"/>
      <c r="F12" s="62" t="s">
        <v>39</v>
      </c>
      <c r="G12" s="63">
        <f t="shared" si="0"/>
        <v>-21.411330306088132</v>
      </c>
      <c r="J12" t="s">
        <v>40</v>
      </c>
      <c r="K12" s="55" cm="1">
        <f t="array" ref="K12">-2*MMULT(Master!B4:E4,$G$8:$G$11)-$G$16+G13</f>
        <v>7.1054273576010019E-15</v>
      </c>
    </row>
    <row r="13" spans="1:11">
      <c r="A13" s="47" t="str">
        <v>JPM (W3)</v>
      </c>
      <c r="B13" s="48">
        <v>14.763706693575509</v>
      </c>
      <c r="C13" s="110"/>
      <c r="D13" s="111"/>
      <c r="F13" s="62" t="s">
        <v>41</v>
      </c>
      <c r="G13" s="63">
        <f t="shared" si="0"/>
        <v>0</v>
      </c>
      <c r="J13" t="s">
        <v>42</v>
      </c>
      <c r="K13" s="55" cm="1">
        <f t="array" ref="K13">-2*MMULT(Master!B5:E5,$G$8:$G$11)-$G$16+G14</f>
        <v>7.1054273576010019E-15</v>
      </c>
    </row>
    <row r="14" spans="1:11">
      <c r="A14" s="49" t="str">
        <v>Lambda</v>
      </c>
      <c r="B14" s="50">
        <v>-44.831054490413727</v>
      </c>
      <c r="C14" s="110"/>
      <c r="D14" s="111"/>
      <c r="F14" s="62" t="s">
        <v>43</v>
      </c>
      <c r="G14" s="63">
        <f t="shared" si="0"/>
        <v>0</v>
      </c>
      <c r="J14" t="s">
        <v>44</v>
      </c>
      <c r="K14" s="55" cm="1">
        <f t="array" ref="K14">-2*MMULT(Master!B6:E6,$G$8:$G$11)-$G$16+G15</f>
        <v>0</v>
      </c>
    </row>
    <row r="15" spans="1:11">
      <c r="F15" s="64" t="s">
        <v>45</v>
      </c>
      <c r="G15" s="65">
        <f t="shared" si="0"/>
        <v>-2.558039186007413</v>
      </c>
      <c r="I15" s="30" t="s">
        <v>46</v>
      </c>
      <c r="J15" t="s">
        <v>47</v>
      </c>
      <c r="K15">
        <f>100-SUM(G8:G11)</f>
        <v>0</v>
      </c>
    </row>
    <row r="16" spans="1:11">
      <c r="A16" s="51" t="s">
        <v>39</v>
      </c>
      <c r="B16" s="52">
        <f>2*(B7*Master!B3+'Case 7'!B12*Master!C3+'Case 7'!B13*Master!D3+'Case 7'!B8*Master!E3)+'Case 7'!B14</f>
        <v>-21.411330306088132</v>
      </c>
      <c r="C16" t="s">
        <v>58</v>
      </c>
      <c r="F16" s="66" t="s">
        <v>48</v>
      </c>
      <c r="G16" s="67">
        <f t="shared" si="0"/>
        <v>-44.831054490413727</v>
      </c>
    </row>
    <row r="17" spans="1:7">
      <c r="A17" s="53" t="s">
        <v>45</v>
      </c>
      <c r="B17" s="54">
        <f>2*(B7*Master!B6+'Case 7'!B12*Master!C6+'Case 7'!B13*Master!D6+'Case 7'!B8*Master!E6)+'Case 7'!B14</f>
        <v>-2.558039186007413</v>
      </c>
      <c r="C17" t="s">
        <v>62</v>
      </c>
    </row>
    <row r="18" spans="1:7">
      <c r="F18" s="60" t="s">
        <v>49</v>
      </c>
      <c r="G18" s="61" cm="1">
        <f t="array" ref="G18">MMULT(MMULT(TRANSPOSE(G8:G11),Master!B3:E6),G8:G11)</f>
        <v>2181.6293007904474</v>
      </c>
    </row>
    <row r="19" spans="1:7">
      <c r="F19" t="s">
        <v>50</v>
      </c>
      <c r="G19" cm="1">
        <f t="array" ref="G19">MMULT(TRANSPOSE(G8:G11),Master!B9:B12)</f>
        <v>0.8567957753111336</v>
      </c>
    </row>
  </sheetData>
  <mergeCells count="2">
    <mergeCell ref="C12:D14"/>
    <mergeCell ref="F7:G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0B49-4ABE-7647-B073-D05D58050675}">
  <sheetPr>
    <tabColor rgb="FF92D050"/>
  </sheetPr>
  <dimension ref="A1:K19"/>
  <sheetViews>
    <sheetView zoomScale="200" workbookViewId="0">
      <selection activeCell="A7" sqref="A7"/>
    </sheetView>
  </sheetViews>
  <sheetFormatPr defaultColWidth="11.42578125" defaultRowHeight="15"/>
  <cols>
    <col min="3" max="3" width="16.28515625" customWidth="1"/>
  </cols>
  <sheetData>
    <row r="1" spans="1:11">
      <c r="A1" s="12"/>
      <c r="B1" s="38" t="s">
        <v>54</v>
      </c>
      <c r="D1" s="30" t="s">
        <v>55</v>
      </c>
      <c r="E1" s="30" t="str">
        <f>A4</f>
        <v>JPM (W3)</v>
      </c>
      <c r="F1" s="30" t="str">
        <f>A5</f>
        <v>AAPL (W4)</v>
      </c>
      <c r="G1" s="30" t="s">
        <v>48</v>
      </c>
      <c r="I1" s="30" t="s">
        <v>56</v>
      </c>
    </row>
    <row r="2" spans="1:11">
      <c r="A2" s="27" t="s">
        <v>5</v>
      </c>
      <c r="B2" s="26" t="s">
        <v>33</v>
      </c>
      <c r="D2" t="s">
        <v>57</v>
      </c>
      <c r="E2" s="1">
        <v>1</v>
      </c>
      <c r="F2" s="2">
        <v>1</v>
      </c>
      <c r="G2" s="3">
        <v>0</v>
      </c>
      <c r="I2" s="35">
        <v>90</v>
      </c>
    </row>
    <row r="3" spans="1:11">
      <c r="A3" s="27" t="s">
        <v>6</v>
      </c>
      <c r="B3" s="26" t="s">
        <v>33</v>
      </c>
      <c r="D3" t="s">
        <v>61</v>
      </c>
      <c r="E3" s="4">
        <f>-2*Master!D5</f>
        <v>-1.2782</v>
      </c>
      <c r="F3">
        <f>-2*Master!E5</f>
        <v>-0.45539999999999997</v>
      </c>
      <c r="G3" s="5">
        <v>-1</v>
      </c>
      <c r="I3" s="36">
        <f>(2*B7*Master!B5)+(2*B8*Master!C5)</f>
        <v>2.851</v>
      </c>
    </row>
    <row r="4" spans="1:11">
      <c r="A4" s="27" t="s">
        <v>7</v>
      </c>
      <c r="B4" s="26" t="s">
        <v>52</v>
      </c>
      <c r="D4" t="s">
        <v>62</v>
      </c>
      <c r="E4" s="6">
        <f>-2*Master!D6</f>
        <v>-0.45539999999999997</v>
      </c>
      <c r="F4" s="7">
        <f>-2*Master!E6</f>
        <v>-1.3655999999999999</v>
      </c>
      <c r="G4" s="8">
        <v>-1</v>
      </c>
      <c r="I4" s="37">
        <f>(2*B7*Master!B6)+(2*B8*Master!C6)</f>
        <v>4.7569999999999997</v>
      </c>
    </row>
    <row r="5" spans="1:11">
      <c r="A5" s="27" t="s">
        <v>8</v>
      </c>
      <c r="B5" s="26" t="s">
        <v>52</v>
      </c>
    </row>
    <row r="7" spans="1:11">
      <c r="A7" s="31" t="str">
        <f>A2</f>
        <v>COST (W1)</v>
      </c>
      <c r="B7" s="32">
        <v>5</v>
      </c>
      <c r="F7" s="106" t="s">
        <v>35</v>
      </c>
      <c r="G7" s="107"/>
    </row>
    <row r="8" spans="1:11">
      <c r="A8" s="33" t="str">
        <f>A3</f>
        <v>JNJ (W2)</v>
      </c>
      <c r="B8" s="34">
        <v>5</v>
      </c>
      <c r="F8" s="56" t="s">
        <v>5</v>
      </c>
      <c r="G8" s="57">
        <f>VLOOKUP(F8, $A$7:$B$18, 2, FALSE)</f>
        <v>5</v>
      </c>
      <c r="I8" s="30" t="s">
        <v>36</v>
      </c>
    </row>
    <row r="9" spans="1:11">
      <c r="A9" s="22" t="s">
        <v>43</v>
      </c>
      <c r="B9" s="23">
        <v>0</v>
      </c>
      <c r="F9" s="56" t="s">
        <v>6</v>
      </c>
      <c r="G9" s="57">
        <f t="shared" ref="G9:G16" si="0">VLOOKUP(F9, $A$7:$B$18, 2, FALSE)</f>
        <v>5</v>
      </c>
    </row>
    <row r="10" spans="1:11">
      <c r="A10" s="24" t="s">
        <v>45</v>
      </c>
      <c r="B10" s="25">
        <v>0</v>
      </c>
      <c r="F10" s="56" t="s">
        <v>7</v>
      </c>
      <c r="G10" s="57">
        <f t="shared" si="0"/>
        <v>48.369301788805544</v>
      </c>
      <c r="I10" s="30"/>
    </row>
    <row r="11" spans="1:11">
      <c r="F11" s="58" t="s">
        <v>8</v>
      </c>
      <c r="G11" s="59">
        <f t="shared" si="0"/>
        <v>41.630698211194463</v>
      </c>
      <c r="I11" s="30" t="s">
        <v>37</v>
      </c>
      <c r="J11" t="s">
        <v>38</v>
      </c>
      <c r="K11" s="55" cm="1">
        <f t="array" ref="K11">-2*MMULT(Master!B3:E3,$G$8:$G$11)-$G$16+G12</f>
        <v>0</v>
      </c>
    </row>
    <row r="12" spans="1:11" ht="15" customHeight="1">
      <c r="A12" s="45" t="str" cm="1">
        <f t="array" ref="A12:A14">TRANSPOSE(E1:G1)</f>
        <v>JPM (W3)</v>
      </c>
      <c r="B12" s="46" cm="1">
        <f t="array" ref="B12:B14">MMULT(MINVERSE(E2:G4),I2:I4)</f>
        <v>48.369301788805544</v>
      </c>
      <c r="C12" s="110" t="s">
        <v>60</v>
      </c>
      <c r="D12" s="111"/>
      <c r="F12" s="62" t="s">
        <v>39</v>
      </c>
      <c r="G12" s="63">
        <f>VLOOKUP(F12, $A$7:$B$18, 2, FALSE)</f>
        <v>-40.075368493941141</v>
      </c>
      <c r="J12" t="s">
        <v>40</v>
      </c>
      <c r="K12" s="55" cm="1">
        <f t="array" ref="K12">-2*MMULT(Master!B4:E4,$G$8:$G$11)-$G$16+G13</f>
        <v>0</v>
      </c>
    </row>
    <row r="13" spans="1:11">
      <c r="A13" s="47" t="str">
        <v>AAPL (W4)</v>
      </c>
      <c r="B13" s="48">
        <v>41.630698211194463</v>
      </c>
      <c r="C13" s="110"/>
      <c r="D13" s="111"/>
      <c r="F13" s="62" t="s">
        <v>41</v>
      </c>
      <c r="G13" s="63">
        <f t="shared" si="0"/>
        <v>-51.751532371609926</v>
      </c>
      <c r="J13" t="s">
        <v>42</v>
      </c>
      <c r="K13" s="55" cm="1">
        <f t="array" ref="K13">-2*MMULT(Master!B5:E5,$G$8:$G$11)-$G$16+G14</f>
        <v>-1.4210854715202004E-14</v>
      </c>
    </row>
    <row r="14" spans="1:11">
      <c r="A14" s="49" t="str">
        <v>Lambda</v>
      </c>
      <c r="B14" s="50">
        <v>-83.635261511829199</v>
      </c>
      <c r="C14" s="110"/>
      <c r="D14" s="111"/>
      <c r="F14" s="62" t="s">
        <v>43</v>
      </c>
      <c r="G14" s="63">
        <f>VLOOKUP(F14, $A$7:$B$18, 2, FALSE)</f>
        <v>0</v>
      </c>
      <c r="J14" t="s">
        <v>44</v>
      </c>
      <c r="K14" s="55" cm="1">
        <f t="array" ref="K14">-2*MMULT(Master!B6:E6,$G$8:$G$11)-$G$16+G15</f>
        <v>0</v>
      </c>
    </row>
    <row r="15" spans="1:11">
      <c r="F15" s="64" t="s">
        <v>45</v>
      </c>
      <c r="G15" s="65">
        <f t="shared" si="0"/>
        <v>0</v>
      </c>
      <c r="I15" s="30" t="s">
        <v>46</v>
      </c>
      <c r="J15" t="s">
        <v>47</v>
      </c>
      <c r="K15">
        <f>100-SUM(G8:G11)</f>
        <v>0</v>
      </c>
    </row>
    <row r="16" spans="1:11">
      <c r="A16" s="51" t="s">
        <v>39</v>
      </c>
      <c r="B16" s="52">
        <f>2*(B7*Master!B3+'Case 8'!B8*Master!C3+'Case 8'!B12*Master!D3+'Case 8'!B13*Master!E3)+'Case 8'!B14</f>
        <v>-40.075368493941141</v>
      </c>
      <c r="C16" t="s">
        <v>58</v>
      </c>
      <c r="F16" s="66" t="s">
        <v>48</v>
      </c>
      <c r="G16" s="67">
        <f t="shared" si="0"/>
        <v>-83.635261511829199</v>
      </c>
    </row>
    <row r="17" spans="1:7">
      <c r="A17" s="53" t="s">
        <v>41</v>
      </c>
      <c r="B17" s="54">
        <f>2*(B7*Master!B4+'Case 8'!B8*Master!C4+'Case 8'!B12*Master!D4+'Case 8'!B13*Master!E4)+'Case 8'!B14</f>
        <v>-51.751532371609926</v>
      </c>
      <c r="C17" t="s">
        <v>59</v>
      </c>
    </row>
    <row r="18" spans="1:7">
      <c r="F18" s="60" t="s">
        <v>49</v>
      </c>
      <c r="G18" s="61" cm="1">
        <f t="array" ref="G18">MMULT(MMULT(TRANSPOSE(G8:G11),Master!B3:E6),G8:G11)</f>
        <v>3952.1958234275826</v>
      </c>
    </row>
    <row r="19" spans="1:7">
      <c r="F19" t="s">
        <v>50</v>
      </c>
      <c r="G19" cm="1">
        <f t="array" ref="G19">MMULT(TRANSPOSE(G8:G11),Master!B9:B12)</f>
        <v>1.7312528753606464</v>
      </c>
    </row>
  </sheetData>
  <mergeCells count="2">
    <mergeCell ref="C12:D14"/>
    <mergeCell ref="F7:G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C877-94A9-EE46-81D7-A6626B21F129}">
  <sheetPr>
    <tabColor rgb="FF92D050"/>
  </sheetPr>
  <dimension ref="A1:K19"/>
  <sheetViews>
    <sheetView zoomScale="200" workbookViewId="0">
      <selection activeCell="A7" sqref="A7"/>
    </sheetView>
  </sheetViews>
  <sheetFormatPr defaultColWidth="11.42578125" defaultRowHeight="15"/>
  <cols>
    <col min="3" max="3" width="13.42578125" customWidth="1"/>
    <col min="4" max="4" width="13.140625" customWidth="1"/>
  </cols>
  <sheetData>
    <row r="1" spans="1:11">
      <c r="A1" s="12"/>
      <c r="B1" s="38" t="s">
        <v>54</v>
      </c>
      <c r="D1" s="30" t="s">
        <v>55</v>
      </c>
      <c r="E1" s="30" t="str">
        <f>A2</f>
        <v>COST (W1)</v>
      </c>
      <c r="F1" s="30" t="str">
        <f>A5</f>
        <v>AAPL (W4)</v>
      </c>
      <c r="G1" s="30" t="s">
        <v>48</v>
      </c>
      <c r="I1" s="30" t="s">
        <v>56</v>
      </c>
    </row>
    <row r="2" spans="1:11">
      <c r="A2" s="27" t="s">
        <v>5</v>
      </c>
      <c r="B2" s="26" t="s">
        <v>52</v>
      </c>
      <c r="D2" t="s">
        <v>57</v>
      </c>
      <c r="E2" s="1">
        <v>1</v>
      </c>
      <c r="F2" s="2">
        <v>1</v>
      </c>
      <c r="G2" s="3">
        <v>0</v>
      </c>
      <c r="I2" s="35">
        <v>90</v>
      </c>
    </row>
    <row r="3" spans="1:11">
      <c r="A3" s="27" t="s">
        <v>6</v>
      </c>
      <c r="B3" s="26" t="s">
        <v>33</v>
      </c>
      <c r="D3" t="s">
        <v>58</v>
      </c>
      <c r="E3" s="4">
        <f>-2*Master!B3</f>
        <v>-0.82220000000000004</v>
      </c>
      <c r="F3">
        <f>-2*Master!E3</f>
        <v>-0.61019999999999996</v>
      </c>
      <c r="G3" s="5">
        <v>-1</v>
      </c>
      <c r="I3" s="36">
        <f>(2*B7*Master!C3)+(2*B8*Master!D3)</f>
        <v>2.1800000000000002</v>
      </c>
    </row>
    <row r="4" spans="1:11">
      <c r="A4" s="27" t="s">
        <v>7</v>
      </c>
      <c r="B4" s="26" t="s">
        <v>33</v>
      </c>
      <c r="D4" t="s">
        <v>62</v>
      </c>
      <c r="E4" s="6">
        <f>-2*Master!B6</f>
        <v>-0.61019999999999996</v>
      </c>
      <c r="F4" s="7">
        <f>-2*Master!E6</f>
        <v>-1.3655999999999999</v>
      </c>
      <c r="G4" s="8">
        <v>-1</v>
      </c>
      <c r="I4" s="37">
        <f>(2*B7*Master!C6)+(2*B8*Master!D6)</f>
        <v>3.9829999999999997</v>
      </c>
    </row>
    <row r="5" spans="1:11">
      <c r="A5" s="27" t="s">
        <v>8</v>
      </c>
      <c r="B5" s="26" t="s">
        <v>52</v>
      </c>
    </row>
    <row r="7" spans="1:11">
      <c r="A7" s="31" t="str">
        <f>A3</f>
        <v>JNJ (W2)</v>
      </c>
      <c r="B7" s="32">
        <v>5</v>
      </c>
      <c r="F7" s="106" t="s">
        <v>35</v>
      </c>
      <c r="G7" s="107"/>
    </row>
    <row r="8" spans="1:11">
      <c r="A8" s="33" t="str">
        <f>A4</f>
        <v>JPM (W3)</v>
      </c>
      <c r="B8" s="34">
        <v>5</v>
      </c>
      <c r="F8" s="56" t="s">
        <v>5</v>
      </c>
      <c r="G8" s="57">
        <f>VLOOKUP(F8, $A$7:$B$18, 2, FALSE)</f>
        <v>72.140789745710137</v>
      </c>
      <c r="I8" s="30" t="s">
        <v>36</v>
      </c>
    </row>
    <row r="9" spans="1:11">
      <c r="A9" s="22" t="s">
        <v>39</v>
      </c>
      <c r="B9" s="23">
        <v>0</v>
      </c>
      <c r="F9" s="56" t="s">
        <v>6</v>
      </c>
      <c r="G9" s="57">
        <f t="shared" ref="G9:G16" si="0">VLOOKUP(F9, $A$7:$B$18, 2, FALSE)</f>
        <v>5</v>
      </c>
    </row>
    <row r="10" spans="1:11">
      <c r="A10" s="24" t="s">
        <v>45</v>
      </c>
      <c r="B10" s="25">
        <v>0</v>
      </c>
      <c r="F10" s="56" t="s">
        <v>7</v>
      </c>
      <c r="G10" s="57">
        <f t="shared" si="0"/>
        <v>5</v>
      </c>
      <c r="I10" s="30"/>
    </row>
    <row r="11" spans="1:11">
      <c r="F11" s="58" t="s">
        <v>8</v>
      </c>
      <c r="G11" s="59">
        <f t="shared" si="0"/>
        <v>17.859210254289849</v>
      </c>
      <c r="I11" s="30" t="s">
        <v>37</v>
      </c>
      <c r="J11" t="s">
        <v>38</v>
      </c>
      <c r="K11" s="55" cm="1">
        <f t="array" ref="K11">-2*MMULT(Master!B3:E3,$G$8:$G$11)-$G$16+G12</f>
        <v>0</v>
      </c>
    </row>
    <row r="12" spans="1:11" ht="15" customHeight="1">
      <c r="A12" s="45" t="str" cm="1">
        <f t="array" ref="A12:A14">TRANSPOSE(E1:G1)</f>
        <v>COST (W1)</v>
      </c>
      <c r="B12" s="46" cm="1">
        <f t="array" ref="B12:B14">MMULT(MINVERSE(E2:G4),I2:I4)</f>
        <v>72.140789745710137</v>
      </c>
      <c r="C12" s="110" t="s">
        <v>60</v>
      </c>
      <c r="D12" s="111"/>
      <c r="F12" s="62" t="s">
        <v>39</v>
      </c>
      <c r="G12" s="63">
        <f>VLOOKUP(F12, $A$7:$B$18, 2, FALSE)</f>
        <v>0</v>
      </c>
      <c r="J12" t="s">
        <v>40</v>
      </c>
      <c r="K12" s="55" cm="1">
        <f t="array" ref="K12">-2*MMULT(Master!B4:E4,$G$8:$G$11)-$G$16+G13</f>
        <v>0</v>
      </c>
    </row>
    <row r="13" spans="1:11">
      <c r="A13" s="47" t="str">
        <v>AAPL (W4)</v>
      </c>
      <c r="B13" s="48">
        <v>17.859210254289849</v>
      </c>
      <c r="C13" s="110"/>
      <c r="D13" s="111"/>
      <c r="F13" s="62" t="s">
        <v>41</v>
      </c>
      <c r="G13" s="63">
        <f t="shared" ref="G13:G19" si="1">VLOOKUP(F13, $A$7:$B$18, 2, FALSE)</f>
        <v>-50.578620632623512</v>
      </c>
      <c r="J13" t="s">
        <v>42</v>
      </c>
      <c r="K13" s="55" cm="1">
        <f t="array" ref="K13">-2*MMULT(Master!B5:E5,$G$8:$G$11)-$G$16+G14</f>
        <v>0</v>
      </c>
    </row>
    <row r="14" spans="1:11">
      <c r="A14" s="49" t="str">
        <v>Lambda</v>
      </c>
      <c r="B14" s="50">
        <v>-72.391847426090536</v>
      </c>
      <c r="C14" s="110"/>
      <c r="D14" s="111"/>
      <c r="F14" s="62" t="s">
        <v>43</v>
      </c>
      <c r="G14" s="63">
        <f>VLOOKUP(F14, $A$7:$B$18, 2, FALSE)</f>
        <v>-36.647043001860645</v>
      </c>
      <c r="J14" t="s">
        <v>44</v>
      </c>
      <c r="K14" s="55" cm="1">
        <f t="array" ref="K14">-2*MMULT(Master!B6:E6,$G$8:$G$11)-$G$16+G15</f>
        <v>-1.4210854715202004E-14</v>
      </c>
    </row>
    <row r="15" spans="1:11">
      <c r="F15" s="64" t="s">
        <v>45</v>
      </c>
      <c r="G15" s="65">
        <f t="shared" ref="G15:G19" si="2">VLOOKUP(F15, $A$7:$B$18, 2, FALSE)</f>
        <v>0</v>
      </c>
      <c r="I15" s="30" t="s">
        <v>46</v>
      </c>
      <c r="J15" t="s">
        <v>47</v>
      </c>
      <c r="K15">
        <f>100-SUM(G8:G11)</f>
        <v>0</v>
      </c>
    </row>
    <row r="16" spans="1:11">
      <c r="A16" s="51" t="s">
        <v>41</v>
      </c>
      <c r="B16" s="52">
        <f>2*(B12*Master!B4+B7*Master!C4+B8*Master!D4+B13*Master!E4)+B14</f>
        <v>-50.578620632623512</v>
      </c>
      <c r="C16" t="s">
        <v>59</v>
      </c>
      <c r="F16" s="66" t="s">
        <v>48</v>
      </c>
      <c r="G16" s="67">
        <f t="shared" si="2"/>
        <v>-72.391847426090536</v>
      </c>
    </row>
    <row r="17" spans="1:7">
      <c r="A17" s="53" t="s">
        <v>43</v>
      </c>
      <c r="B17" s="54">
        <f>2*(B12*Master!B5+B7*Master!C5+B8*Master!D5+B13*Master!E5)+B14</f>
        <v>-36.647043001860645</v>
      </c>
      <c r="C17" t="s">
        <v>61</v>
      </c>
    </row>
    <row r="18" spans="1:7">
      <c r="F18" s="60" t="s">
        <v>49</v>
      </c>
      <c r="G18" s="61" cm="1">
        <f t="array" ref="G18">MMULT(MMULT(TRANSPOSE(G8:G11),Master!B3:E6),G8:G11)</f>
        <v>3401.5282122183162</v>
      </c>
    </row>
    <row r="19" spans="1:7">
      <c r="F19" t="s">
        <v>50</v>
      </c>
      <c r="G19" cm="1">
        <f t="array" ref="G19">MMULT(TRANSPOSE(G8:G11),Master!B9:B12)</f>
        <v>1.9791485962373367</v>
      </c>
    </row>
  </sheetData>
  <mergeCells count="2">
    <mergeCell ref="C12:D14"/>
    <mergeCell ref="F7:G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C633-E863-D241-B38B-6995782F0DC7}">
  <sheetPr>
    <tabColor rgb="FF92D050"/>
  </sheetPr>
  <dimension ref="A1:K19"/>
  <sheetViews>
    <sheetView zoomScale="193" workbookViewId="0">
      <selection activeCell="F7" sqref="F7"/>
    </sheetView>
  </sheetViews>
  <sheetFormatPr defaultColWidth="11.42578125" defaultRowHeight="15"/>
  <cols>
    <col min="3" max="3" width="16.85546875" customWidth="1"/>
  </cols>
  <sheetData>
    <row r="1" spans="1:11">
      <c r="A1" s="12"/>
      <c r="B1" s="38" t="s">
        <v>54</v>
      </c>
      <c r="D1" s="30" t="s">
        <v>55</v>
      </c>
      <c r="E1" s="30" t="str">
        <f>A3</f>
        <v>JNJ (W2)</v>
      </c>
      <c r="F1" s="30" t="str">
        <f>A5</f>
        <v>AAPL (W4)</v>
      </c>
      <c r="G1" s="30" t="s">
        <v>48</v>
      </c>
      <c r="I1" s="30" t="s">
        <v>56</v>
      </c>
    </row>
    <row r="2" spans="1:11">
      <c r="A2" s="27" t="s">
        <v>5</v>
      </c>
      <c r="B2" s="26" t="s">
        <v>33</v>
      </c>
      <c r="D2" t="s">
        <v>57</v>
      </c>
      <c r="E2" s="1">
        <v>1</v>
      </c>
      <c r="F2" s="2">
        <v>1</v>
      </c>
      <c r="G2" s="3">
        <v>0</v>
      </c>
      <c r="I2" s="35">
        <v>90</v>
      </c>
    </row>
    <row r="3" spans="1:11">
      <c r="A3" s="27" t="s">
        <v>6</v>
      </c>
      <c r="B3" s="26" t="s">
        <v>52</v>
      </c>
      <c r="D3" t="s">
        <v>59</v>
      </c>
      <c r="E3" s="4">
        <f>-2*Master!C4</f>
        <v>-0.50419999999999998</v>
      </c>
      <c r="F3">
        <f>-2*Master!E4</f>
        <v>-0.3412</v>
      </c>
      <c r="G3" s="5">
        <v>-1</v>
      </c>
      <c r="I3" s="36">
        <f>(2*B7*Master!B4)+(2*B8*Master!D4)</f>
        <v>2.2949999999999999</v>
      </c>
    </row>
    <row r="4" spans="1:11">
      <c r="A4" s="27" t="s">
        <v>7</v>
      </c>
      <c r="B4" s="26" t="s">
        <v>33</v>
      </c>
      <c r="D4" t="s">
        <v>62</v>
      </c>
      <c r="E4" s="6">
        <f>-2*Master!C6</f>
        <v>-0.3412</v>
      </c>
      <c r="F4" s="7">
        <f>-2*Master!E6</f>
        <v>-1.3655999999999999</v>
      </c>
      <c r="G4" s="8">
        <v>-1</v>
      </c>
      <c r="I4" s="37">
        <f>(2*B7*Master!B6)+(2*B8*Master!D6)</f>
        <v>5.3279999999999994</v>
      </c>
    </row>
    <row r="5" spans="1:11">
      <c r="A5" s="27" t="s">
        <v>8</v>
      </c>
      <c r="B5" s="26" t="s">
        <v>52</v>
      </c>
    </row>
    <row r="7" spans="1:11">
      <c r="A7" s="31" t="str">
        <f>A2</f>
        <v>COST (W1)</v>
      </c>
      <c r="B7" s="32">
        <v>5</v>
      </c>
      <c r="F7" s="106" t="s">
        <v>35</v>
      </c>
      <c r="G7" s="107"/>
    </row>
    <row r="8" spans="1:11">
      <c r="A8" s="33" t="str">
        <f>A4</f>
        <v>JPM (W3)</v>
      </c>
      <c r="B8" s="34">
        <v>5</v>
      </c>
      <c r="F8" s="56" t="s">
        <v>5</v>
      </c>
      <c r="G8" s="57">
        <f>VLOOKUP(F8, 'Case 10'!$A$7:$B$18, 2, FALSE)</f>
        <v>5</v>
      </c>
      <c r="I8" s="30" t="s">
        <v>36</v>
      </c>
    </row>
    <row r="9" spans="1:11">
      <c r="A9" s="22" t="s">
        <v>41</v>
      </c>
      <c r="B9" s="23">
        <v>0</v>
      </c>
      <c r="F9" s="56" t="s">
        <v>6</v>
      </c>
      <c r="G9" s="57">
        <f>VLOOKUP(F9, 'Case 10'!$A$7:$B$18, 2, FALSE)</f>
        <v>80.199595755432028</v>
      </c>
    </row>
    <row r="10" spans="1:11">
      <c r="A10" s="24" t="s">
        <v>45</v>
      </c>
      <c r="B10" s="25">
        <v>0</v>
      </c>
      <c r="F10" s="56" t="s">
        <v>7</v>
      </c>
      <c r="G10" s="57">
        <f>VLOOKUP(F10, 'Case 10'!$A$7:$B$18, 2, FALSE)</f>
        <v>5</v>
      </c>
      <c r="I10" s="30"/>
    </row>
    <row r="11" spans="1:11">
      <c r="F11" s="58" t="s">
        <v>8</v>
      </c>
      <c r="G11" s="59">
        <f>VLOOKUP(F11, 'Case 10'!$A$7:$B$18, 2, FALSE)</f>
        <v>9.8004042445679698</v>
      </c>
      <c r="I11" s="30" t="s">
        <v>37</v>
      </c>
      <c r="J11" t="s">
        <v>38</v>
      </c>
      <c r="K11" s="55" cm="1">
        <f t="array" ref="K11">-2*MMULT(Master!B3:E3,$G$8:$G$11)-$G$16+G12</f>
        <v>0</v>
      </c>
    </row>
    <row r="12" spans="1:11" ht="15" customHeight="1">
      <c r="A12" s="45" t="str" cm="1">
        <f t="array" ref="A12:A14">TRANSPOSE(E1:G1)</f>
        <v>JNJ (W2)</v>
      </c>
      <c r="B12" s="46" cm="1">
        <f t="array" ref="B12:B14">MMULT(MINVERSE(E2:G4),I2:I4)</f>
        <v>80.199595755432028</v>
      </c>
      <c r="C12" s="110" t="s">
        <v>60</v>
      </c>
      <c r="D12" s="111"/>
      <c r="F12" s="62" t="s">
        <v>39</v>
      </c>
      <c r="G12" s="63">
        <f>VLOOKUP(F12, 'Case 10'!$A$7:$B$18, 2, FALSE)</f>
        <v>-21.591913087417893</v>
      </c>
      <c r="J12" t="s">
        <v>40</v>
      </c>
      <c r="K12" s="55" cm="1">
        <f t="array" ref="K12">-2*MMULT(Master!B4:E4,$G$8:$G$11)-$G$16+G13</f>
        <v>1.4210854715202004E-14</v>
      </c>
    </row>
    <row r="13" spans="1:11">
      <c r="A13" s="47" t="str">
        <v>AAPL (W4)</v>
      </c>
      <c r="B13" s="48">
        <v>9.8004042445679698</v>
      </c>
      <c r="C13" s="110"/>
      <c r="D13" s="111"/>
      <c r="F13" s="62" t="s">
        <v>41</v>
      </c>
      <c r="G13" s="63">
        <f>VLOOKUP(F13, 'Case 10'!$A$7:$B$18, 2, FALSE)</f>
        <v>0</v>
      </c>
      <c r="J13" t="s">
        <v>42</v>
      </c>
      <c r="K13" s="55" cm="1">
        <f t="array" ref="K13">-2*MMULT(Master!B5:E5,$G$8:$G$11)-$G$16+G14</f>
        <v>0</v>
      </c>
    </row>
    <row r="14" spans="1:11">
      <c r="A14" s="49" t="str">
        <v>Lambda</v>
      </c>
      <c r="B14" s="50">
        <v>-46.075534108135429</v>
      </c>
      <c r="C14" s="110"/>
      <c r="D14" s="111"/>
      <c r="F14" s="62" t="s">
        <v>43</v>
      </c>
      <c r="G14" s="63">
        <f>VLOOKUP(F14, 'Case 10'!$A$7:$B$18, 2, FALSE)</f>
        <v>-10.066229914098038</v>
      </c>
      <c r="J14" t="s">
        <v>44</v>
      </c>
      <c r="K14" s="55" cm="1">
        <f t="array" ref="K14">-2*MMULT(Master!B6:E6,$G$8:$G$11)-$G$16+G15</f>
        <v>7.1054273576010019E-15</v>
      </c>
    </row>
    <row r="15" spans="1:11">
      <c r="F15" s="64" t="s">
        <v>45</v>
      </c>
      <c r="G15" s="65">
        <f>VLOOKUP(F15, 'Case 10'!$A$7:$B$18, 2, FALSE)</f>
        <v>0</v>
      </c>
      <c r="I15" s="30" t="s">
        <v>46</v>
      </c>
      <c r="J15" t="s">
        <v>47</v>
      </c>
      <c r="K15">
        <f>100-SUM(G8:G11)</f>
        <v>0</v>
      </c>
    </row>
    <row r="16" spans="1:11">
      <c r="A16" s="51" t="s">
        <v>39</v>
      </c>
      <c r="B16" s="52">
        <f>2*(B7*Master!B3+B12*Master!C3+B8*Master!D3+B13*Master!E3)+B14</f>
        <v>-21.591913087417893</v>
      </c>
      <c r="C16" t="s">
        <v>58</v>
      </c>
      <c r="F16" s="66" t="s">
        <v>48</v>
      </c>
      <c r="G16" s="67">
        <f>VLOOKUP(F16, 'Case 10'!$A$7:$B$18, 2, FALSE)</f>
        <v>-46.075534108135429</v>
      </c>
    </row>
    <row r="17" spans="1:7">
      <c r="A17" s="53" t="s">
        <v>43</v>
      </c>
      <c r="B17" s="54">
        <f>2*(B7*Master!B5+B12*Master!C5+B8*Master!D5+B13*Master!E5)+B14</f>
        <v>-10.066229914098038</v>
      </c>
      <c r="C17" t="s">
        <v>61</v>
      </c>
    </row>
    <row r="18" spans="1:7">
      <c r="F18" s="60" t="s">
        <v>49</v>
      </c>
      <c r="G18" s="61" cm="1">
        <f t="array" ref="G18">MMULT(MMULT(TRANSPOSE(G8:G11),Master!B3:E6),G8:G11)</f>
        <v>2224.6313479029809</v>
      </c>
    </row>
    <row r="19" spans="1:7">
      <c r="F19" t="s">
        <v>50</v>
      </c>
      <c r="G19" cm="1">
        <f t="array" ref="G19">MMULT(TRANSPOSE(G8:G11),Master!B9:B12)</f>
        <v>0.88479938352703402</v>
      </c>
    </row>
  </sheetData>
  <mergeCells count="2">
    <mergeCell ref="C12:D14"/>
    <mergeCell ref="F7:G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ED3-47F3-394A-B7F8-53E6C5A9F830}">
  <sheetPr>
    <tabColor theme="9" tint="0.39997558519241921"/>
  </sheetPr>
  <dimension ref="A1:K19"/>
  <sheetViews>
    <sheetView zoomScale="190" workbookViewId="0">
      <selection activeCell="K13" sqref="K13"/>
    </sheetView>
  </sheetViews>
  <sheetFormatPr defaultColWidth="11.42578125" defaultRowHeight="15"/>
  <cols>
    <col min="3" max="3" width="12.85546875" customWidth="1"/>
    <col min="4" max="4" width="16.42578125" customWidth="1"/>
  </cols>
  <sheetData>
    <row r="1" spans="1:11">
      <c r="A1" s="12"/>
      <c r="B1" s="38" t="s">
        <v>54</v>
      </c>
      <c r="D1" s="30" t="s">
        <v>55</v>
      </c>
      <c r="E1" s="30" t="str">
        <f>A2</f>
        <v>COST (W1)</v>
      </c>
      <c r="F1" s="30" t="str">
        <f>A4</f>
        <v>JPM (W3)</v>
      </c>
      <c r="G1" s="30" t="s">
        <v>48</v>
      </c>
      <c r="I1" s="30" t="s">
        <v>56</v>
      </c>
    </row>
    <row r="2" spans="1:11">
      <c r="A2" s="27" t="s">
        <v>5</v>
      </c>
      <c r="B2" s="26" t="s">
        <v>52</v>
      </c>
      <c r="D2" t="s">
        <v>57</v>
      </c>
      <c r="E2" s="1">
        <v>1</v>
      </c>
      <c r="F2" s="2">
        <v>1</v>
      </c>
      <c r="G2" s="3">
        <v>0</v>
      </c>
      <c r="I2" s="35">
        <v>90</v>
      </c>
    </row>
    <row r="3" spans="1:11">
      <c r="A3" s="27" t="s">
        <v>6</v>
      </c>
      <c r="B3" s="26" t="s">
        <v>33</v>
      </c>
      <c r="D3" t="s">
        <v>58</v>
      </c>
      <c r="E3" s="4">
        <f>-2*Master!B3</f>
        <v>-0.82220000000000004</v>
      </c>
      <c r="F3">
        <f>-2*Master!D3</f>
        <v>-0.27360000000000001</v>
      </c>
      <c r="G3" s="5">
        <v>-1</v>
      </c>
      <c r="I3" s="36">
        <f>(2*B7*Master!C3)+(2*B8*Master!E3)</f>
        <v>3.8629999999999995</v>
      </c>
    </row>
    <row r="4" spans="1:11">
      <c r="A4" s="27" t="s">
        <v>7</v>
      </c>
      <c r="B4" s="26" t="s">
        <v>52</v>
      </c>
      <c r="D4" t="s">
        <v>61</v>
      </c>
      <c r="E4" s="6">
        <f>-2*Master!B5</f>
        <v>-0.27360000000000001</v>
      </c>
      <c r="F4" s="7">
        <f>-2*Master!D5</f>
        <v>-1.2782</v>
      </c>
      <c r="G4" s="8">
        <v>-1</v>
      </c>
      <c r="I4" s="37">
        <f>(2*B7*Master!C5)+(2*'Case 7'!B8*Master!E5)</f>
        <v>3.76</v>
      </c>
    </row>
    <row r="5" spans="1:11">
      <c r="A5" s="27" t="s">
        <v>8</v>
      </c>
      <c r="B5" s="26" t="s">
        <v>33</v>
      </c>
    </row>
    <row r="7" spans="1:11">
      <c r="A7" s="31" t="str">
        <f>A3</f>
        <v>JNJ (W2)</v>
      </c>
      <c r="B7" s="32">
        <v>5</v>
      </c>
      <c r="F7" s="106" t="s">
        <v>35</v>
      </c>
      <c r="G7" s="107"/>
    </row>
    <row r="8" spans="1:11">
      <c r="A8" s="33" t="str">
        <f>A5</f>
        <v>AAPL (W4)</v>
      </c>
      <c r="B8" s="34">
        <v>5</v>
      </c>
      <c r="F8" s="56" t="s">
        <v>5</v>
      </c>
      <c r="G8" s="57">
        <f>VLOOKUP(F8, 'Case 11'!$A$7:$B$18, 2, FALSE)</f>
        <v>58.145119752768473</v>
      </c>
      <c r="I8" s="30" t="s">
        <v>36</v>
      </c>
    </row>
    <row r="9" spans="1:11">
      <c r="A9" s="22" t="s">
        <v>39</v>
      </c>
      <c r="B9" s="23">
        <v>0</v>
      </c>
      <c r="F9" s="56" t="s">
        <v>6</v>
      </c>
      <c r="G9" s="57">
        <f>VLOOKUP(F9, 'Case 11'!$A$7:$B$18, 2, FALSE)</f>
        <v>5</v>
      </c>
    </row>
    <row r="10" spans="1:11">
      <c r="A10" s="24" t="s">
        <v>43</v>
      </c>
      <c r="B10" s="25">
        <v>0</v>
      </c>
      <c r="F10" s="56" t="s">
        <v>7</v>
      </c>
      <c r="G10" s="57">
        <f>VLOOKUP(F10, 'Case 11'!$A$7:$B$18, 2, FALSE)</f>
        <v>31.85488024723152</v>
      </c>
      <c r="I10" s="30"/>
    </row>
    <row r="11" spans="1:11">
      <c r="F11" s="58" t="s">
        <v>8</v>
      </c>
      <c r="G11" s="59">
        <f>VLOOKUP(F11, 'Case 11'!$A$7:$B$18, 2, FALSE)</f>
        <v>5</v>
      </c>
      <c r="I11" s="30" t="s">
        <v>37</v>
      </c>
      <c r="J11" t="s">
        <v>38</v>
      </c>
      <c r="K11" s="55" cm="1">
        <f t="array" ref="K11">-2*MMULT(Master!B3:E3,$G$8:$G$11)-$G$16+G12</f>
        <v>7.1054273576010019E-15</v>
      </c>
    </row>
    <row r="12" spans="1:11" ht="15" customHeight="1">
      <c r="A12" s="45" t="str" cm="1">
        <f t="array" ref="A12:A14">TRANSPOSE(E1:G1)</f>
        <v>COST (W1)</v>
      </c>
      <c r="B12" s="46" cm="1">
        <f t="array" ref="B12:B14">MMULT(MINVERSE(E2:G4),I2:I4)</f>
        <v>58.145119752768473</v>
      </c>
      <c r="C12" s="110" t="s">
        <v>60</v>
      </c>
      <c r="D12" s="111"/>
      <c r="F12" s="62" t="s">
        <v>39</v>
      </c>
      <c r="G12" s="63">
        <f>VLOOKUP(F12, 'Case 11'!$A$7:$B$18, 2, FALSE)</f>
        <v>0</v>
      </c>
      <c r="J12" t="s">
        <v>40</v>
      </c>
      <c r="K12" s="55" cm="1">
        <f t="array" ref="K12">-2*MMULT(Master!B4:E4,$G$8:$G$11)-$G$16+G13</f>
        <v>0</v>
      </c>
    </row>
    <row r="13" spans="1:11">
      <c r="A13" s="47" t="str">
        <v>JPM (W3)</v>
      </c>
      <c r="B13" s="48">
        <v>31.85488024723152</v>
      </c>
      <c r="C13" s="110"/>
      <c r="D13" s="111"/>
      <c r="F13" s="62" t="s">
        <v>41</v>
      </c>
      <c r="G13" s="63">
        <f>VLOOKUP(F13, 'Case 11'!$A$7:$B$18, 2, FALSE)</f>
        <v>-37.267487767190318</v>
      </c>
      <c r="J13" t="s">
        <v>42</v>
      </c>
      <c r="K13" s="55" cm="1">
        <f t="array" ref="K13">-2*MMULT(Master!B5:E5,$G$8:$G$11)-$G$16+G14</f>
        <v>0</v>
      </c>
    </row>
    <row r="14" spans="1:11">
      <c r="A14" s="49" t="str">
        <v>Lambda</v>
      </c>
      <c r="B14" s="50">
        <v>-60.385412696368789</v>
      </c>
      <c r="C14" s="110"/>
      <c r="D14" s="111"/>
      <c r="F14" s="62" t="s">
        <v>43</v>
      </c>
      <c r="G14" s="63">
        <f>VLOOKUP(F14, 'Case 11'!$A$7:$B$18, 2, FALSE)</f>
        <v>0</v>
      </c>
      <c r="J14" t="s">
        <v>44</v>
      </c>
      <c r="K14" s="55" cm="1">
        <f t="array" ref="K14">-2*MMULT(Master!B6:E6,$G$8:$G$11)-$G$16+G15</f>
        <v>0</v>
      </c>
    </row>
    <row r="15" spans="1:11">
      <c r="F15" s="64" t="s">
        <v>45</v>
      </c>
      <c r="G15" s="65">
        <f>VLOOKUP(F15, 'Case 11'!$A$7:$B$18, 2, FALSE)</f>
        <v>-1.8645481586402326</v>
      </c>
      <c r="I15" s="30" t="s">
        <v>46</v>
      </c>
      <c r="J15" t="s">
        <v>47</v>
      </c>
      <c r="K15">
        <f>100-SUM(G8:G11)</f>
        <v>0</v>
      </c>
    </row>
    <row r="16" spans="1:11">
      <c r="A16" s="51" t="s">
        <v>41</v>
      </c>
      <c r="B16" s="52">
        <f>2*(B12*Master!B4+B7*Master!C4+B13*Master!D4+B8*Master!E4)+B14</f>
        <v>-37.267487767190318</v>
      </c>
      <c r="C16" t="s">
        <v>59</v>
      </c>
      <c r="F16" s="66" t="s">
        <v>48</v>
      </c>
      <c r="G16" s="67">
        <f>VLOOKUP(F16, 'Case 11'!$A$7:$B$18, 2, FALSE)</f>
        <v>-60.385412696368789</v>
      </c>
    </row>
    <row r="17" spans="1:7">
      <c r="A17" s="53" t="s">
        <v>45</v>
      </c>
      <c r="B17" s="54">
        <f>2*(B12*Master!B6+B7*Master!C6+B13*Master!D6+B8*Master!E6)+B14</f>
        <v>-1.8645481586402326</v>
      </c>
      <c r="C17" t="s">
        <v>62</v>
      </c>
    </row>
    <row r="18" spans="1:7">
      <c r="F18" s="60" t="s">
        <v>49</v>
      </c>
      <c r="G18" s="61" cm="1">
        <f t="array" ref="G18">MMULT(MMULT(TRANSPOSE(G8:G11),Master!B3:E6),G8:G11)</f>
        <v>2921.440545003863</v>
      </c>
    </row>
    <row r="19" spans="1:7">
      <c r="F19" t="s">
        <v>50</v>
      </c>
      <c r="G19" cm="1">
        <f t="array" ref="G19">MMULT(TRANSPOSE(G8:G11),Master!B9:B12)</f>
        <v>1.710975232423384</v>
      </c>
    </row>
  </sheetData>
  <mergeCells count="2">
    <mergeCell ref="F7:G7"/>
    <mergeCell ref="C12:D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69E3-E64F-944E-B12C-AD73349EC8D8}">
  <sheetPr>
    <tabColor rgb="FF92D050"/>
  </sheetPr>
  <dimension ref="A1:K19"/>
  <sheetViews>
    <sheetView zoomScale="170" zoomScaleNormal="170" workbookViewId="0">
      <selection activeCell="G15" sqref="G15"/>
    </sheetView>
  </sheetViews>
  <sheetFormatPr defaultColWidth="11.42578125" defaultRowHeight="15"/>
  <cols>
    <col min="3" max="3" width="13.140625" customWidth="1"/>
  </cols>
  <sheetData>
    <row r="1" spans="1:11">
      <c r="A1" s="12"/>
      <c r="B1" s="38" t="s">
        <v>54</v>
      </c>
      <c r="D1" s="30" t="s">
        <v>55</v>
      </c>
      <c r="E1" s="30" t="str">
        <f>A2</f>
        <v>COST (W1)</v>
      </c>
      <c r="F1" s="30" t="str">
        <f>A3</f>
        <v>JNJ (W2)</v>
      </c>
      <c r="G1" s="30" t="str">
        <f>A4</f>
        <v>JPM (W3)</v>
      </c>
      <c r="H1" s="30" t="s">
        <v>48</v>
      </c>
      <c r="J1" s="30" t="s">
        <v>56</v>
      </c>
    </row>
    <row r="2" spans="1:11">
      <c r="A2" s="27" t="s">
        <v>5</v>
      </c>
      <c r="B2" s="26" t="s">
        <v>52</v>
      </c>
      <c r="D2" t="s">
        <v>57</v>
      </c>
      <c r="E2" s="1">
        <v>1</v>
      </c>
      <c r="F2" s="2">
        <v>1</v>
      </c>
      <c r="G2" s="2">
        <v>1</v>
      </c>
      <c r="H2" s="3">
        <v>0</v>
      </c>
      <c r="J2" s="9">
        <v>95</v>
      </c>
    </row>
    <row r="3" spans="1:11">
      <c r="A3" s="27" t="s">
        <v>6</v>
      </c>
      <c r="B3" s="26" t="s">
        <v>52</v>
      </c>
      <c r="D3" t="s">
        <v>58</v>
      </c>
      <c r="E3" s="4">
        <f>-2*Master!B3</f>
        <v>-0.82220000000000004</v>
      </c>
      <c r="F3">
        <f>-2*Master!C3</f>
        <v>-0.16239999999999999</v>
      </c>
      <c r="G3">
        <f>-2*Master!D3</f>
        <v>-0.27360000000000001</v>
      </c>
      <c r="H3" s="5">
        <v>-1</v>
      </c>
      <c r="J3" s="10">
        <f>2*$B$7*Master!E3</f>
        <v>3.0509999999999997</v>
      </c>
    </row>
    <row r="4" spans="1:11">
      <c r="A4" s="27" t="s">
        <v>7</v>
      </c>
      <c r="B4" s="26" t="s">
        <v>52</v>
      </c>
      <c r="D4" t="s">
        <v>59</v>
      </c>
      <c r="E4" s="4">
        <f>-2*Master!B4</f>
        <v>-0.16239999999999999</v>
      </c>
      <c r="F4">
        <f>-2*Master!C4</f>
        <v>-0.50419999999999998</v>
      </c>
      <c r="G4">
        <f>-2*Master!D4</f>
        <v>-0.29659999999999997</v>
      </c>
      <c r="H4" s="5">
        <v>-1</v>
      </c>
      <c r="J4" s="10">
        <f>2*$B$7*Master!E4</f>
        <v>1.706</v>
      </c>
    </row>
    <row r="5" spans="1:11">
      <c r="A5" s="27" t="s">
        <v>8</v>
      </c>
      <c r="B5" s="26" t="s">
        <v>33</v>
      </c>
      <c r="D5" t="s">
        <v>61</v>
      </c>
      <c r="E5" s="6">
        <f>-2*Master!B5</f>
        <v>-0.27360000000000001</v>
      </c>
      <c r="F5" s="7">
        <f>-2*Master!C5</f>
        <v>-0.29659999999999997</v>
      </c>
      <c r="G5" s="7">
        <f>-2*Master!D5</f>
        <v>-1.2782</v>
      </c>
      <c r="H5" s="8">
        <v>-1</v>
      </c>
      <c r="J5" s="11">
        <f>2*$B$7*Master!E5</f>
        <v>2.2769999999999997</v>
      </c>
    </row>
    <row r="7" spans="1:11">
      <c r="A7" s="31" t="str">
        <f>A5</f>
        <v>AAPL (W4)</v>
      </c>
      <c r="B7" s="32">
        <v>5</v>
      </c>
      <c r="C7" s="30"/>
      <c r="F7" s="106" t="s">
        <v>35</v>
      </c>
      <c r="G7" s="107"/>
    </row>
    <row r="8" spans="1:11">
      <c r="A8" s="22" t="s">
        <v>39</v>
      </c>
      <c r="B8" s="23">
        <v>0</v>
      </c>
      <c r="F8" s="56" t="s">
        <v>5</v>
      </c>
      <c r="G8" s="57">
        <f>VLOOKUP(F8, $A$7:$D$17, 2, FALSE)</f>
        <v>28.371337280845584</v>
      </c>
      <c r="I8" s="30" t="s">
        <v>36</v>
      </c>
    </row>
    <row r="9" spans="1:11">
      <c r="A9" s="22" t="s">
        <v>41</v>
      </c>
      <c r="B9" s="23">
        <v>0</v>
      </c>
      <c r="F9" s="56" t="s">
        <v>6</v>
      </c>
      <c r="G9" s="57">
        <f t="shared" ref="G9:G16" si="0">VLOOKUP(F9, $A$7:$D$17, 2, FALSE)</f>
        <v>58.130329659226369</v>
      </c>
    </row>
    <row r="10" spans="1:11">
      <c r="A10" s="24" t="s">
        <v>43</v>
      </c>
      <c r="B10" s="25">
        <v>0</v>
      </c>
      <c r="F10" s="56" t="s">
        <v>7</v>
      </c>
      <c r="G10" s="57">
        <f t="shared" si="0"/>
        <v>8.49833305992804</v>
      </c>
      <c r="I10" s="30"/>
    </row>
    <row r="11" spans="1:11">
      <c r="F11" s="58" t="s">
        <v>8</v>
      </c>
      <c r="G11" s="59">
        <f>VLOOKUP(F11, $A$7:$D$17, 2, FALSE)</f>
        <v>5</v>
      </c>
      <c r="I11" s="30" t="s">
        <v>37</v>
      </c>
      <c r="J11" t="s">
        <v>38</v>
      </c>
      <c r="K11" s="55" cm="1">
        <f t="array" ref="K11">-2*MMULT(Master!B3:E3,$G$8:$G$11)-$G$16+G12</f>
        <v>0</v>
      </c>
    </row>
    <row r="12" spans="1:11" ht="15" customHeight="1">
      <c r="A12" s="45" t="str" cm="1">
        <f t="array" ref="A12:A15">TRANSPOSE(E1:H1)</f>
        <v>COST (W1)</v>
      </c>
      <c r="B12" s="46" cm="1">
        <f t="array" ref="B12:B15">MMULT(MINVERSE(E2:H5),J2:J5)</f>
        <v>28.371337280845584</v>
      </c>
      <c r="C12" s="112" t="s">
        <v>60</v>
      </c>
      <c r="D12" s="113"/>
      <c r="F12" s="62" t="s">
        <v>39</v>
      </c>
      <c r="G12" s="63">
        <f t="shared" ref="G12" si="1">VLOOKUP(F12, $A$7:$D$17, 2, FALSE)</f>
        <v>0</v>
      </c>
      <c r="J12" t="s">
        <v>40</v>
      </c>
      <c r="K12" s="55" cm="1">
        <f t="array" ref="K12">-2*MMULT(Master!B4:E4,$G$8:$G$11)-$G$16+G13</f>
        <v>0</v>
      </c>
    </row>
    <row r="13" spans="1:11">
      <c r="A13" s="47" t="str">
        <v>JNJ (W2)</v>
      </c>
      <c r="B13" s="48">
        <v>58.130329659226369</v>
      </c>
      <c r="C13" s="112"/>
      <c r="D13" s="113"/>
      <c r="F13" s="62" t="s">
        <v>41</v>
      </c>
      <c r="G13" s="63">
        <f t="shared" si="0"/>
        <v>0</v>
      </c>
      <c r="J13" t="s">
        <v>42</v>
      </c>
      <c r="K13" s="55" cm="1">
        <f t="array" ref="K13">-2*MMULT(Master!B5:E5,$G$8:$G$11)-$G$16+G14</f>
        <v>0</v>
      </c>
    </row>
    <row r="14" spans="1:11">
      <c r="A14" s="47" t="str">
        <v>JPM (W3)</v>
      </c>
      <c r="B14" s="48">
        <v>8.49833305992804</v>
      </c>
      <c r="C14" s="112"/>
      <c r="D14" s="113"/>
      <c r="F14" s="62" t="s">
        <v>43</v>
      </c>
      <c r="G14" s="63">
        <f t="shared" si="0"/>
        <v>0</v>
      </c>
      <c r="J14" t="s">
        <v>44</v>
      </c>
      <c r="K14" s="55" cm="1">
        <f t="array" ref="K14">-2*MMULT(Master!B6:E6,$G$8:$G$11)-$G$16+G15</f>
        <v>0</v>
      </c>
    </row>
    <row r="15" spans="1:11">
      <c r="A15" s="68" t="str">
        <v>Lambda</v>
      </c>
      <c r="B15" s="50">
        <v>-38.143422974165915</v>
      </c>
      <c r="C15" s="112"/>
      <c r="D15" s="113"/>
      <c r="F15" s="64" t="s">
        <v>45</v>
      </c>
      <c r="G15" s="65">
        <f t="shared" si="0"/>
        <v>9.7009763898253283</v>
      </c>
      <c r="I15" s="30" t="s">
        <v>46</v>
      </c>
      <c r="J15" t="s">
        <v>47</v>
      </c>
      <c r="K15">
        <f>100-SUM(G8:G11)</f>
        <v>0</v>
      </c>
    </row>
    <row r="16" spans="1:11">
      <c r="F16" s="66" t="s">
        <v>48</v>
      </c>
      <c r="G16" s="67">
        <f t="shared" si="0"/>
        <v>-38.143422974165915</v>
      </c>
    </row>
    <row r="17" spans="1:7">
      <c r="A17" s="69" t="s">
        <v>45</v>
      </c>
      <c r="B17" s="70">
        <f>2*B7*Master!E6+2*Master!B6*'Case 12'!B12+2*'Case 12'!B13*Master!C6+2*Master!D6*'Case 12'!B14+B15</f>
        <v>9.7009763898253283</v>
      </c>
      <c r="C17" t="s">
        <v>62</v>
      </c>
    </row>
    <row r="18" spans="1:7">
      <c r="F18" s="60" t="s">
        <v>49</v>
      </c>
      <c r="G18" s="61" cm="1">
        <f t="array" ref="G18">MMULT(MMULT(TRANSPOSE(G8:G11),Master!B3:E6),G8:G11)</f>
        <v>1931.4235896828588</v>
      </c>
    </row>
    <row r="19" spans="1:7">
      <c r="F19" t="s">
        <v>50</v>
      </c>
      <c r="G19" cm="1">
        <f t="array" ref="G19">MMULT(TRANSPOSE(G8:G11),Master!B9:B12)</f>
        <v>1.1482012666831687</v>
      </c>
    </row>
  </sheetData>
  <mergeCells count="2">
    <mergeCell ref="C12:D15"/>
    <mergeCell ref="F7:G7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FB9C-9ED5-6D4C-9F45-16AE87DE59ED}">
  <sheetPr>
    <tabColor rgb="FF92D050"/>
  </sheetPr>
  <dimension ref="A1:K19"/>
  <sheetViews>
    <sheetView zoomScale="173" workbookViewId="0">
      <selection activeCell="A12" sqref="A12:B14"/>
    </sheetView>
  </sheetViews>
  <sheetFormatPr defaultColWidth="11.42578125" defaultRowHeight="15"/>
  <sheetData>
    <row r="1" spans="1:11">
      <c r="A1" s="12"/>
      <c r="B1" s="38" t="s">
        <v>54</v>
      </c>
      <c r="D1" s="30" t="s">
        <v>55</v>
      </c>
      <c r="E1" s="30" t="str">
        <f>A3</f>
        <v>JNJ (W2)</v>
      </c>
      <c r="F1" s="30" t="str">
        <f>A4</f>
        <v>JPM (W3)</v>
      </c>
      <c r="G1" s="30" t="str">
        <f>A5</f>
        <v>AAPL (W4)</v>
      </c>
      <c r="H1" s="30" t="s">
        <v>48</v>
      </c>
      <c r="J1" s="30" t="s">
        <v>56</v>
      </c>
    </row>
    <row r="2" spans="1:11">
      <c r="A2" s="27" t="s">
        <v>5</v>
      </c>
      <c r="B2" s="26" t="s">
        <v>33</v>
      </c>
      <c r="D2" t="s">
        <v>57</v>
      </c>
      <c r="E2" s="1">
        <v>1</v>
      </c>
      <c r="F2" s="2">
        <v>1</v>
      </c>
      <c r="G2" s="2">
        <v>1</v>
      </c>
      <c r="H2" s="3">
        <v>0</v>
      </c>
      <c r="J2" s="9">
        <v>95</v>
      </c>
    </row>
    <row r="3" spans="1:11">
      <c r="A3" s="27" t="s">
        <v>6</v>
      </c>
      <c r="B3" s="26" t="s">
        <v>52</v>
      </c>
      <c r="D3" t="s">
        <v>59</v>
      </c>
      <c r="E3" s="4">
        <f>-2*Master!C4</f>
        <v>-0.50419999999999998</v>
      </c>
      <c r="F3">
        <f>-2*Master!D4</f>
        <v>-0.29659999999999997</v>
      </c>
      <c r="G3">
        <f>-2*Master!E4</f>
        <v>-0.3412</v>
      </c>
      <c r="H3" s="5">
        <v>-1</v>
      </c>
      <c r="J3" s="10">
        <f>2*$B$7*Master!B4</f>
        <v>0.81199999999999994</v>
      </c>
    </row>
    <row r="4" spans="1:11">
      <c r="A4" s="27" t="s">
        <v>7</v>
      </c>
      <c r="B4" s="26" t="s">
        <v>52</v>
      </c>
      <c r="D4" t="s">
        <v>61</v>
      </c>
      <c r="E4" s="4">
        <f>-2*Master!C5</f>
        <v>-0.29659999999999997</v>
      </c>
      <c r="F4">
        <f>-2*Master!D5</f>
        <v>-1.2782</v>
      </c>
      <c r="G4">
        <f>-2*Master!E5</f>
        <v>-0.45539999999999997</v>
      </c>
      <c r="H4" s="5">
        <v>-1</v>
      </c>
      <c r="J4" s="10">
        <f>2*$B$7*Master!B5</f>
        <v>1.3680000000000001</v>
      </c>
    </row>
    <row r="5" spans="1:11">
      <c r="A5" s="27" t="s">
        <v>8</v>
      </c>
      <c r="B5" s="26" t="s">
        <v>52</v>
      </c>
      <c r="D5" t="s">
        <v>62</v>
      </c>
      <c r="E5" s="6">
        <f>-2*Master!C6</f>
        <v>-0.3412</v>
      </c>
      <c r="F5" s="7">
        <f>-2*Master!D6</f>
        <v>-0.45539999999999997</v>
      </c>
      <c r="G5" s="7">
        <f>-2*Master!E6</f>
        <v>-1.3655999999999999</v>
      </c>
      <c r="H5" s="8">
        <v>-1</v>
      </c>
      <c r="J5" s="11">
        <f>2*$B$7*Master!B6</f>
        <v>3.0509999999999997</v>
      </c>
    </row>
    <row r="6" spans="1:11">
      <c r="C6" s="30"/>
    </row>
    <row r="7" spans="1:11">
      <c r="A7" s="31" t="s">
        <v>5</v>
      </c>
      <c r="B7" s="32">
        <v>5</v>
      </c>
      <c r="C7" s="30"/>
      <c r="F7" s="106" t="s">
        <v>35</v>
      </c>
      <c r="G7" s="107"/>
    </row>
    <row r="8" spans="1:11">
      <c r="A8" s="22" t="s">
        <v>41</v>
      </c>
      <c r="B8" s="23">
        <v>0</v>
      </c>
      <c r="F8" s="56" t="s">
        <v>5</v>
      </c>
      <c r="G8" s="57">
        <f>VLOOKUP(F8, $A$7:$D$17, 2, FALSE)</f>
        <v>5</v>
      </c>
      <c r="I8" s="30" t="s">
        <v>36</v>
      </c>
    </row>
    <row r="9" spans="1:11">
      <c r="A9" s="22" t="s">
        <v>43</v>
      </c>
      <c r="B9" s="23">
        <v>0</v>
      </c>
      <c r="F9" s="56" t="s">
        <v>6</v>
      </c>
      <c r="G9" s="57">
        <f t="shared" ref="G9:G10" si="0">VLOOKUP(F9, $A$7:$D$17, 2, FALSE)</f>
        <v>73.540579309066388</v>
      </c>
    </row>
    <row r="10" spans="1:11">
      <c r="A10" s="24" t="s">
        <v>45</v>
      </c>
      <c r="B10" s="25">
        <v>0</v>
      </c>
      <c r="F10" s="56" t="s">
        <v>7</v>
      </c>
      <c r="G10" s="57">
        <f t="shared" si="0"/>
        <v>14.13460735722569</v>
      </c>
      <c r="I10" s="30"/>
    </row>
    <row r="11" spans="1:11">
      <c r="F11" s="58" t="s">
        <v>8</v>
      </c>
      <c r="G11" s="59">
        <f>VLOOKUP(F11, $A$7:$D$17, 2, FALSE)</f>
        <v>7.32481333370791</v>
      </c>
      <c r="I11" s="30" t="s">
        <v>37</v>
      </c>
      <c r="J11" t="s">
        <v>38</v>
      </c>
      <c r="K11" s="55" cm="1">
        <f t="array" ref="K11">-2*MMULT(Master!B3:E3,$G$8:$G$11)-$G$16+G12</f>
        <v>0</v>
      </c>
    </row>
    <row r="12" spans="1:11">
      <c r="A12" s="45" t="str" cm="1">
        <f t="array" ref="A12:A15">TRANSPOSE(E1:H1)</f>
        <v>JNJ (W2)</v>
      </c>
      <c r="B12" s="46" cm="1">
        <f t="array" ref="B12:B15">MMULT(MINVERSE(E2:H5),J2:J5)</f>
        <v>73.540579309066388</v>
      </c>
      <c r="C12" s="112" t="s">
        <v>60</v>
      </c>
      <c r="D12" s="113"/>
      <c r="F12" s="62" t="s">
        <v>39</v>
      </c>
      <c r="G12" s="63">
        <f t="shared" ref="G12:G16" si="1">VLOOKUP(F12, $A$7:$D$17, 2, FALSE)</f>
        <v>-20.191891190287656</v>
      </c>
      <c r="J12" t="s">
        <v>40</v>
      </c>
      <c r="K12" s="55" cm="1">
        <f t="array" ref="K12">-2*MMULT(Master!B4:E4,$G$8:$G$11)-$G$16+G13</f>
        <v>7.1054273576010019E-15</v>
      </c>
    </row>
    <row r="13" spans="1:11">
      <c r="A13" s="47" t="str">
        <v>JPM (W3)</v>
      </c>
      <c r="B13" s="48">
        <v>14.13460735722569</v>
      </c>
      <c r="C13" s="112"/>
      <c r="D13" s="113"/>
      <c r="F13" s="62" t="s">
        <v>41</v>
      </c>
      <c r="G13" s="63">
        <f t="shared" si="1"/>
        <v>0</v>
      </c>
      <c r="J13" t="s">
        <v>42</v>
      </c>
      <c r="K13" s="55" cm="1">
        <f t="array" ref="K13">-2*MMULT(Master!B5:E5,$G$8:$G$11)-$G$16+G14</f>
        <v>7.1054273576010019E-15</v>
      </c>
    </row>
    <row r="14" spans="1:11">
      <c r="A14" s="47" t="str">
        <v>AAPL (W4)</v>
      </c>
      <c r="B14" s="48">
        <v>7.32481333370791</v>
      </c>
      <c r="C14" s="112"/>
      <c r="D14" s="113"/>
      <c r="F14" s="62" t="s">
        <v>43</v>
      </c>
      <c r="G14" s="63">
        <f t="shared" si="1"/>
        <v>0</v>
      </c>
      <c r="J14" t="s">
        <v>44</v>
      </c>
      <c r="K14" s="55" cm="1">
        <f t="array" ref="K14">-2*MMULT(Master!B6:E6,$G$8:$G$11)-$G$16+G15</f>
        <v>0</v>
      </c>
    </row>
    <row r="15" spans="1:11">
      <c r="A15" s="68" t="str">
        <v>Lambda</v>
      </c>
      <c r="B15" s="50">
        <v>-44.582710939245551</v>
      </c>
      <c r="C15" s="112"/>
      <c r="D15" s="113"/>
      <c r="F15" s="64" t="s">
        <v>45</v>
      </c>
      <c r="G15" s="65">
        <f t="shared" si="1"/>
        <v>0</v>
      </c>
      <c r="I15" s="30" t="s">
        <v>46</v>
      </c>
      <c r="J15" t="s">
        <v>47</v>
      </c>
      <c r="K15">
        <f>100-SUM(G8:G11)</f>
        <v>0</v>
      </c>
    </row>
    <row r="16" spans="1:11">
      <c r="F16" s="66" t="s">
        <v>48</v>
      </c>
      <c r="G16" s="67">
        <f t="shared" si="1"/>
        <v>-44.582710939245551</v>
      </c>
    </row>
    <row r="17" spans="1:7">
      <c r="A17" s="69" t="s">
        <v>39</v>
      </c>
      <c r="B17" s="70">
        <f>2*(B7*Master!B3+'Case 13'!B12*Master!C3+'Case 13'!B13*Master!D3+'Case 13'!B14*Master!E3)+'Case 13'!B15</f>
        <v>-20.191891190287656</v>
      </c>
      <c r="C17" t="s">
        <v>58</v>
      </c>
    </row>
    <row r="18" spans="1:7">
      <c r="F18" s="60" t="s">
        <v>49</v>
      </c>
      <c r="G18" s="61" cm="1">
        <f t="array" ref="G18">MMULT(MMULT(TRANSPOSE(G8:G11),Master!B3:E6),G8:G11)</f>
        <v>2178.6558189865577</v>
      </c>
    </row>
    <row r="19" spans="1:7">
      <c r="F19" t="s">
        <v>50</v>
      </c>
      <c r="G19" cm="1">
        <f t="array" ref="G19">MMULT(TRANSPOSE(G8:G11),Master!B9:B12)</f>
        <v>0.89541343570753829</v>
      </c>
    </row>
  </sheetData>
  <mergeCells count="2">
    <mergeCell ref="C12:D15"/>
    <mergeCell ref="F7:G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5E5C-78F3-DF41-85CF-F326C553356D}">
  <sheetPr>
    <tabColor rgb="FF92D050"/>
  </sheetPr>
  <dimension ref="A1:K19"/>
  <sheetViews>
    <sheetView topLeftCell="C5" zoomScale="200" workbookViewId="0">
      <selection activeCell="F7" sqref="F7"/>
    </sheetView>
  </sheetViews>
  <sheetFormatPr defaultColWidth="11.42578125" defaultRowHeight="15"/>
  <sheetData>
    <row r="1" spans="1:11">
      <c r="A1" s="12"/>
      <c r="B1" s="38" t="s">
        <v>54</v>
      </c>
      <c r="D1" s="30" t="s">
        <v>55</v>
      </c>
      <c r="E1" s="30" t="str">
        <f>A2</f>
        <v>COST (W1)</v>
      </c>
      <c r="F1" s="30" t="str">
        <f>A4</f>
        <v>JPM (W3)</v>
      </c>
      <c r="G1" s="30" t="str">
        <f>A5</f>
        <v>AAPL (W4)</v>
      </c>
      <c r="H1" s="30" t="s">
        <v>48</v>
      </c>
      <c r="J1" s="30" t="s">
        <v>56</v>
      </c>
    </row>
    <row r="2" spans="1:11">
      <c r="A2" s="27" t="s">
        <v>5</v>
      </c>
      <c r="B2" s="26" t="s">
        <v>52</v>
      </c>
      <c r="D2" t="s">
        <v>57</v>
      </c>
      <c r="E2" s="1">
        <v>1</v>
      </c>
      <c r="F2" s="2">
        <v>1</v>
      </c>
      <c r="G2" s="2">
        <v>1</v>
      </c>
      <c r="H2" s="3">
        <v>0</v>
      </c>
      <c r="J2" s="9">
        <v>95</v>
      </c>
    </row>
    <row r="3" spans="1:11">
      <c r="A3" s="27" t="s">
        <v>6</v>
      </c>
      <c r="B3" s="26" t="s">
        <v>33</v>
      </c>
      <c r="D3" t="s">
        <v>58</v>
      </c>
      <c r="E3" s="4">
        <f>-2*Master!B3</f>
        <v>-0.82220000000000004</v>
      </c>
      <c r="F3">
        <f>-2*Master!D3</f>
        <v>-0.27360000000000001</v>
      </c>
      <c r="G3">
        <f>-2*Master!E3</f>
        <v>-0.61019999999999996</v>
      </c>
      <c r="H3" s="5">
        <v>-1</v>
      </c>
      <c r="J3" s="10">
        <f>2*$B$7*Master!C3</f>
        <v>0.81199999999999994</v>
      </c>
    </row>
    <row r="4" spans="1:11">
      <c r="A4" s="27" t="s">
        <v>7</v>
      </c>
      <c r="B4" s="26" t="s">
        <v>52</v>
      </c>
      <c r="D4" t="s">
        <v>61</v>
      </c>
      <c r="E4" s="4">
        <f>-2*Master!B5</f>
        <v>-0.27360000000000001</v>
      </c>
      <c r="F4">
        <f>-2*Master!D5</f>
        <v>-1.2782</v>
      </c>
      <c r="G4">
        <f>-2*Master!E5</f>
        <v>-0.45539999999999997</v>
      </c>
      <c r="H4" s="5">
        <v>-1</v>
      </c>
      <c r="J4" s="10">
        <f>2*$B$7*Master!C5</f>
        <v>1.4829999999999999</v>
      </c>
    </row>
    <row r="5" spans="1:11">
      <c r="A5" s="27" t="s">
        <v>8</v>
      </c>
      <c r="B5" s="26" t="s">
        <v>52</v>
      </c>
      <c r="D5" t="s">
        <v>62</v>
      </c>
      <c r="E5" s="6">
        <f>-2*Master!B6</f>
        <v>-0.61019999999999996</v>
      </c>
      <c r="F5" s="7">
        <f>-2*Master!D6</f>
        <v>-0.45539999999999997</v>
      </c>
      <c r="G5" s="7">
        <f>-2*Master!E6</f>
        <v>-1.3655999999999999</v>
      </c>
      <c r="H5" s="8">
        <v>-1</v>
      </c>
      <c r="J5" s="11">
        <f>2*$B$7*Master!C6</f>
        <v>1.706</v>
      </c>
    </row>
    <row r="7" spans="1:11">
      <c r="A7" s="31" t="s">
        <v>6</v>
      </c>
      <c r="B7" s="32">
        <v>5</v>
      </c>
      <c r="C7" s="30"/>
      <c r="F7" s="106" t="s">
        <v>35</v>
      </c>
      <c r="G7" s="107"/>
    </row>
    <row r="8" spans="1:11">
      <c r="A8" s="22" t="s">
        <v>39</v>
      </c>
      <c r="B8" s="23">
        <v>0</v>
      </c>
      <c r="F8" s="56" t="s">
        <v>5</v>
      </c>
      <c r="G8" s="57">
        <f>VLOOKUP(F8, $A$7:$D$17, 2, FALSE)</f>
        <v>56.540832104651322</v>
      </c>
      <c r="I8" s="30" t="s">
        <v>36</v>
      </c>
    </row>
    <row r="9" spans="1:11">
      <c r="A9" s="22" t="s">
        <v>43</v>
      </c>
      <c r="B9" s="23">
        <v>0</v>
      </c>
      <c r="F9" s="56" t="s">
        <v>6</v>
      </c>
      <c r="G9" s="57">
        <f t="shared" ref="G9:G10" si="0">VLOOKUP(F9, $A$7:$D$17, 2, FALSE)</f>
        <v>5</v>
      </c>
    </row>
    <row r="10" spans="1:11">
      <c r="A10" s="24" t="s">
        <v>45</v>
      </c>
      <c r="B10" s="25">
        <v>0</v>
      </c>
      <c r="F10" s="56" t="s">
        <v>7</v>
      </c>
      <c r="G10" s="57">
        <f t="shared" si="0"/>
        <v>31.309970400907098</v>
      </c>
      <c r="I10" s="30"/>
    </row>
    <row r="11" spans="1:11">
      <c r="F11" s="58" t="s">
        <v>8</v>
      </c>
      <c r="G11" s="59">
        <f>VLOOKUP(F11, $A$7:$D$17, 2, FALSE)</f>
        <v>7.1491974944415855</v>
      </c>
      <c r="I11" s="30" t="s">
        <v>37</v>
      </c>
      <c r="J11" t="s">
        <v>38</v>
      </c>
      <c r="K11" s="55" cm="1">
        <f t="array" ref="K11">-2*MMULT(Master!B3:E3,$G$8:$G$11)-$G$16+G12</f>
        <v>0</v>
      </c>
    </row>
    <row r="12" spans="1:11">
      <c r="A12" s="28" t="str" cm="1">
        <f t="array" ref="A12:A15">TRANSPOSE(E1:H1)</f>
        <v>COST (W1)</v>
      </c>
      <c r="B12" s="13" cm="1">
        <f t="array" ref="B12:B15">MMULT(MINVERSE(E2:H5),J2:J5)</f>
        <v>56.540832104651322</v>
      </c>
      <c r="C12" s="112" t="s">
        <v>60</v>
      </c>
      <c r="D12" s="113"/>
      <c r="F12" s="62" t="s">
        <v>39</v>
      </c>
      <c r="G12" s="63">
        <f t="shared" ref="G12:G16" si="1">VLOOKUP(F12, $A$7:$D$17, 2, FALSE)</f>
        <v>0</v>
      </c>
      <c r="J12" t="s">
        <v>40</v>
      </c>
      <c r="K12" s="55" cm="1">
        <f t="array" ref="K12">-2*MMULT(Master!B4:E4,$G$8:$G$11)-$G$16+G13</f>
        <v>0</v>
      </c>
    </row>
    <row r="13" spans="1:11">
      <c r="A13" s="29" t="str">
        <v>JPM (W3)</v>
      </c>
      <c r="B13" s="14">
        <v>31.309970400907098</v>
      </c>
      <c r="C13" s="112"/>
      <c r="D13" s="113"/>
      <c r="F13" s="62" t="s">
        <v>41</v>
      </c>
      <c r="G13" s="63">
        <f t="shared" si="1"/>
        <v>-36.799645829432862</v>
      </c>
      <c r="J13" t="s">
        <v>42</v>
      </c>
      <c r="K13" s="55" cm="1">
        <f t="array" ref="K13">-2*MMULT(Master!B5:E5,$G$8:$G$11)-$G$16+G14</f>
        <v>-7.1054273576010019E-15</v>
      </c>
    </row>
    <row r="14" spans="1:11">
      <c r="A14" s="29" t="str">
        <v>AAPL (W4)</v>
      </c>
      <c r="B14" s="14">
        <v>7.1491974944415855</v>
      </c>
      <c r="C14" s="112"/>
      <c r="D14" s="113"/>
      <c r="F14" s="62" t="s">
        <v>43</v>
      </c>
      <c r="G14" s="63">
        <f t="shared" si="1"/>
        <v>0</v>
      </c>
      <c r="J14" t="s">
        <v>44</v>
      </c>
      <c r="K14" s="55" cm="1">
        <f t="array" ref="K14">-2*MMULT(Master!B6:E6,$G$8:$G$11)-$G$16+G15</f>
        <v>-7.1054273576010019E-15</v>
      </c>
    </row>
    <row r="15" spans="1:11">
      <c r="A15" s="18" t="str">
        <v>Lambda</v>
      </c>
      <c r="B15" s="19">
        <v>-60.228720369240747</v>
      </c>
      <c r="C15" s="112"/>
      <c r="D15" s="113"/>
      <c r="F15" s="64" t="s">
        <v>45</v>
      </c>
      <c r="G15" s="65">
        <f t="shared" si="1"/>
        <v>0</v>
      </c>
      <c r="I15" s="30" t="s">
        <v>46</v>
      </c>
      <c r="J15" t="s">
        <v>47</v>
      </c>
      <c r="K15">
        <f>100-SUM(G8:G11)</f>
        <v>0</v>
      </c>
    </row>
    <row r="16" spans="1:11">
      <c r="F16" s="66" t="s">
        <v>48</v>
      </c>
      <c r="G16" s="67">
        <f t="shared" si="1"/>
        <v>-60.228720369240747</v>
      </c>
    </row>
    <row r="17" spans="1:7">
      <c r="A17" s="20" t="s">
        <v>41</v>
      </c>
      <c r="B17" s="21">
        <f>2*(B7*Master!C4+'Case 14'!B12*Master!B4+'Case 14'!B13*Master!D4+B14*Master!E4)+B15</f>
        <v>-36.799645829432862</v>
      </c>
      <c r="C17" t="s">
        <v>59</v>
      </c>
    </row>
    <row r="18" spans="1:7">
      <c r="F18" s="60" t="s">
        <v>49</v>
      </c>
      <c r="G18" s="61" cm="1">
        <f t="array" ref="G18">MMULT(MMULT(TRANSPOSE(G8:G11),Master!B3:E6),G8:G11)</f>
        <v>2919.4369038884556</v>
      </c>
    </row>
    <row r="19" spans="1:7">
      <c r="F19" t="s">
        <v>50</v>
      </c>
      <c r="G19" cm="1">
        <f t="array" ref="G19">MMULT(TRANSPOSE(G8:G11),Master!B9:B12)</f>
        <v>1.7242681498266359</v>
      </c>
    </row>
  </sheetData>
  <mergeCells count="2">
    <mergeCell ref="C12:D15"/>
    <mergeCell ref="F7:G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5916-9000-4B43-B093-B17632E54899}">
  <sheetPr>
    <tabColor rgb="FFFF0000"/>
  </sheetPr>
  <dimension ref="A1:K19"/>
  <sheetViews>
    <sheetView zoomScale="200" workbookViewId="0">
      <selection activeCell="G12" sqref="G12"/>
    </sheetView>
  </sheetViews>
  <sheetFormatPr defaultColWidth="11.42578125" defaultRowHeight="15"/>
  <sheetData>
    <row r="1" spans="1:11">
      <c r="A1" s="12"/>
      <c r="B1" s="38" t="s">
        <v>54</v>
      </c>
      <c r="D1" s="30" t="s">
        <v>55</v>
      </c>
      <c r="E1" s="30" t="str">
        <f>A2</f>
        <v>COST (W1)</v>
      </c>
      <c r="F1" s="30" t="str">
        <f>A3</f>
        <v>JNJ (W2)</v>
      </c>
      <c r="G1" s="30" t="str">
        <f>A5</f>
        <v>AAPL (W4)</v>
      </c>
      <c r="H1" s="30" t="s">
        <v>48</v>
      </c>
      <c r="J1" s="30" t="s">
        <v>56</v>
      </c>
    </row>
    <row r="2" spans="1:11">
      <c r="A2" s="27" t="s">
        <v>5</v>
      </c>
      <c r="B2" s="26" t="s">
        <v>52</v>
      </c>
      <c r="D2" t="s">
        <v>57</v>
      </c>
      <c r="E2" s="1">
        <v>1</v>
      </c>
      <c r="F2" s="2">
        <v>1</v>
      </c>
      <c r="G2" s="2">
        <v>1</v>
      </c>
      <c r="H2" s="3">
        <v>0</v>
      </c>
      <c r="J2" s="9">
        <v>95</v>
      </c>
    </row>
    <row r="3" spans="1:11">
      <c r="A3" s="27" t="s">
        <v>6</v>
      </c>
      <c r="B3" s="26" t="s">
        <v>52</v>
      </c>
      <c r="D3" t="s">
        <v>58</v>
      </c>
      <c r="E3" s="4">
        <f>-2*Master!B3</f>
        <v>-0.82220000000000004</v>
      </c>
      <c r="F3">
        <f>-2*Master!C3</f>
        <v>-0.16239999999999999</v>
      </c>
      <c r="G3">
        <f>-2*Master!E3</f>
        <v>-0.61019999999999996</v>
      </c>
      <c r="H3" s="5">
        <v>-1</v>
      </c>
      <c r="J3" s="10">
        <f>2*$B$7*Master!D3</f>
        <v>1.3680000000000001</v>
      </c>
    </row>
    <row r="4" spans="1:11">
      <c r="A4" s="27" t="s">
        <v>7</v>
      </c>
      <c r="B4" s="26" t="s">
        <v>33</v>
      </c>
      <c r="D4" t="s">
        <v>59</v>
      </c>
      <c r="E4" s="4">
        <f>-2*Master!B4</f>
        <v>-0.16239999999999999</v>
      </c>
      <c r="F4">
        <f>-2*Master!C4</f>
        <v>-0.50419999999999998</v>
      </c>
      <c r="G4">
        <f>-2*Master!E4</f>
        <v>-0.3412</v>
      </c>
      <c r="H4" s="5">
        <v>-1</v>
      </c>
      <c r="J4" s="10">
        <f>2*$B$7*Master!D4</f>
        <v>1.4829999999999999</v>
      </c>
    </row>
    <row r="5" spans="1:11">
      <c r="A5" s="27" t="s">
        <v>8</v>
      </c>
      <c r="B5" s="26" t="s">
        <v>52</v>
      </c>
      <c r="D5" t="s">
        <v>62</v>
      </c>
      <c r="E5" s="6">
        <f>-2*Master!B6</f>
        <v>-0.61019999999999996</v>
      </c>
      <c r="F5" s="7">
        <f>-2*Master!C6</f>
        <v>-0.3412</v>
      </c>
      <c r="G5" s="7">
        <f>-2*Master!E6</f>
        <v>-1.3655999999999999</v>
      </c>
      <c r="H5" s="8">
        <v>-1</v>
      </c>
      <c r="J5" s="11">
        <f>2*$B$7*Master!D6</f>
        <v>2.2769999999999997</v>
      </c>
    </row>
    <row r="7" spans="1:11">
      <c r="A7" s="31" t="s">
        <v>7</v>
      </c>
      <c r="B7" s="32">
        <v>5</v>
      </c>
      <c r="C7" s="30"/>
      <c r="F7" s="106" t="s">
        <v>35</v>
      </c>
      <c r="G7" s="107"/>
    </row>
    <row r="8" spans="1:11">
      <c r="A8" s="22" t="s">
        <v>39</v>
      </c>
      <c r="B8" s="23">
        <v>0</v>
      </c>
      <c r="F8" s="56" t="s">
        <v>5</v>
      </c>
      <c r="G8" s="57">
        <f>VLOOKUP(F8, $A$7:$D$17, 2, FALSE)</f>
        <v>36.410817041221065</v>
      </c>
      <c r="I8" s="30" t="s">
        <v>36</v>
      </c>
    </row>
    <row r="9" spans="1:11">
      <c r="A9" s="22" t="s">
        <v>41</v>
      </c>
      <c r="B9" s="23">
        <v>0</v>
      </c>
      <c r="F9" s="56" t="s">
        <v>6</v>
      </c>
      <c r="G9" s="57">
        <f t="shared" ref="G9:G10" si="0">VLOOKUP(F9, $A$7:$D$17, 2, FALSE)</f>
        <v>64.946541093171575</v>
      </c>
    </row>
    <row r="10" spans="1:11">
      <c r="A10" s="24" t="s">
        <v>45</v>
      </c>
      <c r="B10" s="25">
        <v>0</v>
      </c>
      <c r="F10" s="56" t="s">
        <v>7</v>
      </c>
      <c r="G10" s="57">
        <f t="shared" si="0"/>
        <v>5</v>
      </c>
      <c r="I10" s="30"/>
    </row>
    <row r="11" spans="1:11">
      <c r="F11" s="58" t="s">
        <v>8</v>
      </c>
      <c r="G11" s="71">
        <f>VLOOKUP(F11, $A$7:$D$17, 2, FALSE)</f>
        <v>-6.3573581343926531</v>
      </c>
      <c r="I11" s="30" t="s">
        <v>37</v>
      </c>
      <c r="J11" t="s">
        <v>38</v>
      </c>
      <c r="K11" s="55" cm="1">
        <f t="array" ref="K11">-2*MMULT(Master!B3:E3,$G$8:$G$11)-$G$16+G12</f>
        <v>1.4210854715202004E-14</v>
      </c>
    </row>
    <row r="12" spans="1:11">
      <c r="A12" s="28" t="str" cm="1">
        <f t="array" ref="A12:A15">TRANSPOSE(E1:H1)</f>
        <v>COST (W1)</v>
      </c>
      <c r="B12" s="13" cm="1">
        <f t="array" ref="B12:B15">MMULT(MINVERSE(E2:H5),J2:J5)</f>
        <v>36.410817041221065</v>
      </c>
      <c r="C12" s="112" t="s">
        <v>60</v>
      </c>
      <c r="D12" s="113"/>
      <c r="F12" s="62" t="s">
        <v>39</v>
      </c>
      <c r="G12" s="63">
        <f t="shared" ref="G12:G16" si="1">VLOOKUP(F12, $A$7:$D$17, 2, FALSE)</f>
        <v>0</v>
      </c>
      <c r="J12" t="s">
        <v>40</v>
      </c>
      <c r="K12" s="55" cm="1">
        <f t="array" ref="K12">-2*MMULT(Master!B4:E4,$G$8:$G$11)-$G$16+G13</f>
        <v>7.1054273576010019E-15</v>
      </c>
    </row>
    <row r="13" spans="1:11">
      <c r="A13" s="29" t="str">
        <v>JNJ (W2)</v>
      </c>
      <c r="B13" s="14">
        <v>64.946541093171575</v>
      </c>
      <c r="C13" s="112"/>
      <c r="D13" s="113"/>
      <c r="F13" s="62" t="s">
        <v>41</v>
      </c>
      <c r="G13" s="63">
        <f t="shared" si="1"/>
        <v>0</v>
      </c>
      <c r="J13" t="s">
        <v>42</v>
      </c>
      <c r="K13" s="55" cm="1">
        <f t="array" ref="K13">-2*MMULT(Master!B5:E5,$G$8:$G$11)-$G$16+G14</f>
        <v>0</v>
      </c>
    </row>
    <row r="14" spans="1:11">
      <c r="A14" s="29" t="str">
        <v>AAPL (W4)</v>
      </c>
      <c r="B14" s="14">
        <v>-6.3573581343926531</v>
      </c>
      <c r="C14" s="112"/>
      <c r="D14" s="113"/>
      <c r="F14" s="62" t="s">
        <v>43</v>
      </c>
      <c r="G14" s="63">
        <f t="shared" si="1"/>
        <v>-5.2520293749062859</v>
      </c>
      <c r="J14" t="s">
        <v>44</v>
      </c>
      <c r="K14" s="55" cm="1">
        <f t="array" ref="K14">-2*MMULT(Master!B6:E6,$G$8:$G$11)-$G$16+G15</f>
        <v>7.1054273576010019E-15</v>
      </c>
    </row>
    <row r="15" spans="1:11">
      <c r="A15" s="18" t="str">
        <v>Lambda</v>
      </c>
      <c r="B15" s="19">
        <v>-37.973032111216639</v>
      </c>
      <c r="C15" s="112"/>
      <c r="D15" s="113"/>
      <c r="F15" s="64" t="s">
        <v>45</v>
      </c>
      <c r="G15" s="65">
        <f t="shared" si="1"/>
        <v>0</v>
      </c>
      <c r="I15" s="30" t="s">
        <v>46</v>
      </c>
      <c r="J15" t="s">
        <v>47</v>
      </c>
      <c r="K15">
        <f>100-SUM(G8:G11)</f>
        <v>0</v>
      </c>
    </row>
    <row r="16" spans="1:11">
      <c r="F16" s="66" t="s">
        <v>48</v>
      </c>
      <c r="G16" s="67">
        <f t="shared" si="1"/>
        <v>-37.973032111216639</v>
      </c>
    </row>
    <row r="17" spans="1:7">
      <c r="A17" s="20" t="s">
        <v>43</v>
      </c>
      <c r="B17" s="21">
        <f>2*(B7*Master!D5+B12*Master!B5+Master!C5*'Case 15'!B13+'Case 15'!B14*Master!E5)+B15</f>
        <v>-5.2520293749062859</v>
      </c>
      <c r="C17" t="s">
        <v>61</v>
      </c>
    </row>
    <row r="18" spans="1:7">
      <c r="F18" s="60" t="s">
        <v>49</v>
      </c>
      <c r="G18" s="61" cm="1">
        <f t="array" ref="G18">MMULT(MMULT(TRANSPOSE(G8:G11),Master!B3:E6),G8:G11)</f>
        <v>1885.5215321235657</v>
      </c>
    </row>
    <row r="19" spans="1:7">
      <c r="F19" t="s">
        <v>50</v>
      </c>
      <c r="G19" cm="1">
        <f t="array" ref="G19">MMULT(TRANSPOSE(G8:G11),Master!B9:B12)</f>
        <v>1.0327902496758237</v>
      </c>
    </row>
  </sheetData>
  <mergeCells count="2">
    <mergeCell ref="C12:D15"/>
    <mergeCell ref="F7:G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5D49-26C9-B140-90B3-7F832C329505}">
  <sheetPr>
    <tabColor rgb="FFFF0000"/>
  </sheetPr>
  <dimension ref="A1:K20"/>
  <sheetViews>
    <sheetView zoomScale="194" workbookViewId="0">
      <selection activeCell="H2" sqref="H2"/>
    </sheetView>
  </sheetViews>
  <sheetFormatPr defaultColWidth="11.42578125" defaultRowHeight="15"/>
  <sheetData>
    <row r="1" spans="1:11">
      <c r="A1" s="12"/>
      <c r="B1" s="38" t="s">
        <v>54</v>
      </c>
      <c r="D1" s="30" t="s">
        <v>55</v>
      </c>
      <c r="E1" s="30" t="str">
        <f>A2</f>
        <v>COST (W1)</v>
      </c>
      <c r="F1" s="30" t="str">
        <f>A3</f>
        <v>JNJ (W2)</v>
      </c>
      <c r="G1" s="30" t="str">
        <f>A4</f>
        <v>JPM (W3)</v>
      </c>
      <c r="H1" s="30" t="str">
        <f>A5</f>
        <v>AAPL (W4)</v>
      </c>
      <c r="I1" s="30" t="s">
        <v>48</v>
      </c>
      <c r="K1" t="s">
        <v>56</v>
      </c>
    </row>
    <row r="2" spans="1:11">
      <c r="A2" s="27" t="s">
        <v>5</v>
      </c>
      <c r="B2" s="26" t="s">
        <v>52</v>
      </c>
      <c r="D2" t="s">
        <v>58</v>
      </c>
      <c r="E2" s="73">
        <f>-2*Master!B3</f>
        <v>-0.82220000000000004</v>
      </c>
      <c r="F2" s="74">
        <f>-2*Master!C3</f>
        <v>-0.16239999999999999</v>
      </c>
      <c r="G2" s="74">
        <f>-2*Master!D3</f>
        <v>-0.27360000000000001</v>
      </c>
      <c r="H2" s="74">
        <f>-2*Master!E3</f>
        <v>-0.61019999999999996</v>
      </c>
      <c r="I2" s="13">
        <v>-1</v>
      </c>
      <c r="K2">
        <v>0</v>
      </c>
    </row>
    <row r="3" spans="1:11">
      <c r="A3" s="27" t="s">
        <v>6</v>
      </c>
      <c r="B3" s="26" t="s">
        <v>52</v>
      </c>
      <c r="D3" t="s">
        <v>59</v>
      </c>
      <c r="E3" s="75">
        <f>-2*Master!B4</f>
        <v>-0.16239999999999999</v>
      </c>
      <c r="F3">
        <f>-2*Master!C4</f>
        <v>-0.50419999999999998</v>
      </c>
      <c r="G3">
        <f>-2*Master!D4</f>
        <v>-0.29659999999999997</v>
      </c>
      <c r="H3">
        <f>-2*Master!E4</f>
        <v>-0.3412</v>
      </c>
      <c r="I3" s="14">
        <v>-1</v>
      </c>
      <c r="K3">
        <v>0</v>
      </c>
    </row>
    <row r="4" spans="1:11">
      <c r="A4" s="27" t="s">
        <v>7</v>
      </c>
      <c r="B4" s="26" t="s">
        <v>52</v>
      </c>
      <c r="D4" t="s">
        <v>61</v>
      </c>
      <c r="E4" s="75">
        <f>-2*Master!B5</f>
        <v>-0.27360000000000001</v>
      </c>
      <c r="F4">
        <f>-2*Master!C5</f>
        <v>-0.29659999999999997</v>
      </c>
      <c r="G4">
        <f>-2*Master!D5</f>
        <v>-1.2782</v>
      </c>
      <c r="H4">
        <f>-2*Master!E5</f>
        <v>-0.45539999999999997</v>
      </c>
      <c r="I4" s="14">
        <v>-1</v>
      </c>
      <c r="K4">
        <v>0</v>
      </c>
    </row>
    <row r="5" spans="1:11">
      <c r="A5" s="27" t="s">
        <v>8</v>
      </c>
      <c r="B5" s="26" t="s">
        <v>52</v>
      </c>
      <c r="D5" t="s">
        <v>62</v>
      </c>
      <c r="E5" s="75">
        <f>-2*Master!B6</f>
        <v>-0.61019999999999996</v>
      </c>
      <c r="F5">
        <f>-2*Master!C6</f>
        <v>-0.3412</v>
      </c>
      <c r="G5">
        <f>-2*Master!D6</f>
        <v>-0.45539999999999997</v>
      </c>
      <c r="H5">
        <f>-2*Master!E6</f>
        <v>-1.3655999999999999</v>
      </c>
      <c r="I5" s="14">
        <v>-1</v>
      </c>
      <c r="K5">
        <v>0</v>
      </c>
    </row>
    <row r="6" spans="1:11">
      <c r="D6" t="s">
        <v>57</v>
      </c>
      <c r="E6" s="76">
        <v>-1</v>
      </c>
      <c r="F6" s="77">
        <v>-1</v>
      </c>
      <c r="G6" s="77">
        <v>-1</v>
      </c>
      <c r="H6" s="77">
        <v>-1</v>
      </c>
      <c r="I6" s="78">
        <v>0</v>
      </c>
      <c r="K6">
        <v>-100</v>
      </c>
    </row>
    <row r="7" spans="1:11">
      <c r="A7" s="79" t="s">
        <v>39</v>
      </c>
      <c r="B7" s="32">
        <v>0</v>
      </c>
    </row>
    <row r="8" spans="1:11">
      <c r="A8" s="22" t="s">
        <v>41</v>
      </c>
      <c r="B8" s="23">
        <v>0</v>
      </c>
      <c r="F8" s="106" t="s">
        <v>35</v>
      </c>
      <c r="G8" s="107"/>
    </row>
    <row r="9" spans="1:11">
      <c r="A9" s="22" t="s">
        <v>43</v>
      </c>
      <c r="B9" s="23">
        <v>0</v>
      </c>
      <c r="F9" s="56" t="s">
        <v>5</v>
      </c>
      <c r="G9" s="57">
        <f>VLOOKUP(F9, $A$7:$D$17, 2, FALSE)</f>
        <v>35.314177450793501</v>
      </c>
      <c r="I9" s="30" t="s">
        <v>36</v>
      </c>
    </row>
    <row r="10" spans="1:11">
      <c r="A10" s="24" t="s">
        <v>45</v>
      </c>
      <c r="B10" s="25">
        <v>0</v>
      </c>
      <c r="F10" s="56" t="s">
        <v>6</v>
      </c>
      <c r="G10" s="57">
        <f t="shared" ref="G10:G11" si="0">VLOOKUP(F10, $A$7:$D$17, 2, FALSE)</f>
        <v>61.89355685968988</v>
      </c>
    </row>
    <row r="11" spans="1:11">
      <c r="F11" s="56" t="s">
        <v>7</v>
      </c>
      <c r="G11" s="57">
        <f t="shared" si="0"/>
        <v>9.9184795132586761</v>
      </c>
      <c r="I11" s="30"/>
    </row>
    <row r="12" spans="1:11" ht="15" customHeight="1">
      <c r="A12" s="28" t="str" cm="1">
        <f t="array" ref="A12:A16">TRANSPOSE(E1:I1)</f>
        <v>COST (W1)</v>
      </c>
      <c r="B12" s="13" cm="1">
        <f t="array" ref="B12:B16">MMULT(MINVERSE(E2:I6),K2:K6)</f>
        <v>35.314177450793501</v>
      </c>
      <c r="C12" s="112" t="s">
        <v>60</v>
      </c>
      <c r="D12" s="113"/>
      <c r="F12" s="58" t="s">
        <v>8</v>
      </c>
      <c r="G12" s="71">
        <f>VLOOKUP(F12, $A$7:$D$17, 2, FALSE)</f>
        <v>-7.1262138237420558</v>
      </c>
      <c r="I12" s="30" t="s">
        <v>37</v>
      </c>
      <c r="J12" t="s">
        <v>38</v>
      </c>
      <c r="K12" s="55" cm="1">
        <f t="array" ref="K12">-2*MMULT(Master!B4:E4,$G$9:$G$12)-G17+G13</f>
        <v>-7.1054273576010019E-15</v>
      </c>
    </row>
    <row r="13" spans="1:11">
      <c r="A13" s="29" t="str">
        <v>JNJ (W2)</v>
      </c>
      <c r="B13" s="14">
        <v>61.89355685968988</v>
      </c>
      <c r="C13" s="112"/>
      <c r="D13" s="113"/>
      <c r="F13" s="62" t="s">
        <v>39</v>
      </c>
      <c r="G13" s="63">
        <f t="shared" ref="G13:G17" si="1">VLOOKUP(F13, $A$7:$D$17, 2, FALSE)</f>
        <v>0</v>
      </c>
      <c r="J13" t="s">
        <v>40</v>
      </c>
      <c r="K13" s="55" cm="1">
        <f t="array" ref="K13">-2*MMULT(Master!B5:E5,$G$9:$G$12)-G17+G14</f>
        <v>0</v>
      </c>
    </row>
    <row r="14" spans="1:11">
      <c r="A14" s="29" t="str">
        <v>JPM (W3)</v>
      </c>
      <c r="B14" s="14">
        <v>9.9184795132586761</v>
      </c>
      <c r="C14" s="112"/>
      <c r="D14" s="113"/>
      <c r="F14" s="62" t="s">
        <v>41</v>
      </c>
      <c r="G14" s="63">
        <f t="shared" si="1"/>
        <v>0</v>
      </c>
      <c r="J14" t="s">
        <v>42</v>
      </c>
      <c r="K14" s="55" cm="1">
        <f t="array" ref="K14">-2*MMULT(Master!B6:E6,$G$9:$G$12)-G17+G15</f>
        <v>-7.1054273576010019E-15</v>
      </c>
    </row>
    <row r="15" spans="1:11">
      <c r="A15" s="81" t="str">
        <v>AAPL (W4)</v>
      </c>
      <c r="B15" s="80">
        <v>-7.1262138237420558</v>
      </c>
      <c r="C15" s="112"/>
      <c r="D15" s="113"/>
      <c r="F15" s="62" t="s">
        <v>43</v>
      </c>
      <c r="G15" s="63">
        <f t="shared" si="1"/>
        <v>0</v>
      </c>
      <c r="J15" t="s">
        <v>44</v>
      </c>
      <c r="K15" s="55" cm="1">
        <f t="array" ref="K15">-2*MMULT(Master!B6:E6,$G$9:$G$12)-G17+G16</f>
        <v>-7.1054273576010019E-15</v>
      </c>
    </row>
    <row r="16" spans="1:11">
      <c r="A16" s="17" t="str">
        <v>Lambda</v>
      </c>
      <c r="B16" s="78">
        <v>-37.452110653636225</v>
      </c>
      <c r="C16" s="112"/>
      <c r="D16" s="113"/>
      <c r="F16" s="64" t="s">
        <v>45</v>
      </c>
      <c r="G16" s="65">
        <f t="shared" si="1"/>
        <v>0</v>
      </c>
      <c r="I16" s="30" t="s">
        <v>46</v>
      </c>
      <c r="J16" t="s">
        <v>47</v>
      </c>
      <c r="K16">
        <f>100-SUM(G9:G12)</f>
        <v>0</v>
      </c>
    </row>
    <row r="17" spans="6:7">
      <c r="F17" s="66" t="s">
        <v>48</v>
      </c>
      <c r="G17" s="67">
        <f t="shared" si="1"/>
        <v>-37.452110653636225</v>
      </c>
    </row>
    <row r="19" spans="6:7">
      <c r="F19" s="60" t="s">
        <v>49</v>
      </c>
      <c r="G19" s="61" cm="1">
        <f t="array" ref="G19">MMULT(MMULT(TRANSPOSE(G9:G12),Master!B3:E6),G9:G12)</f>
        <v>1872.6055326818114</v>
      </c>
    </row>
    <row r="20" spans="6:7">
      <c r="F20" t="s">
        <v>50</v>
      </c>
      <c r="G20" cm="1">
        <f t="array" ref="G20">MMULT(TRANSPOSE(G9:G12),Master!B9:B12)</f>
        <v>1.0333385525927323</v>
      </c>
    </row>
  </sheetData>
  <mergeCells count="2">
    <mergeCell ref="C12:D16"/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Pujan Patel</cp:lastModifiedBy>
  <cp:revision/>
  <dcterms:created xsi:type="dcterms:W3CDTF">2024-12-05T22:41:55Z</dcterms:created>
  <dcterms:modified xsi:type="dcterms:W3CDTF">2024-12-11T19:56:36Z</dcterms:modified>
  <cp:category/>
  <cp:contentStatus/>
</cp:coreProperties>
</file>