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 tabRatio="674"/>
  </bookViews>
  <sheets>
    <sheet name="Income Statement" sheetId="1" r:id="rId1"/>
    <sheet name="Revenue Driver" sheetId="2" r:id="rId2"/>
    <sheet name="Cost Driver" sheetId="3" r:id="rId3"/>
    <sheet name="Asset and Liability Driver" sheetId="4" r:id="rId4"/>
    <sheet name="Valuation - DCF" sheetId="5" r:id="rId5"/>
    <sheet name="Valuation - Relative" sheetId="6" r:id="rId6"/>
  </sheets>
  <calcPr calcId="124519" iterate="1"/>
</workbook>
</file>

<file path=xl/calcChain.xml><?xml version="1.0" encoding="utf-8"?>
<calcChain xmlns="http://schemas.openxmlformats.org/spreadsheetml/2006/main">
  <c r="I16" i="6"/>
  <c r="K18" s="1"/>
  <c r="H16"/>
  <c r="G16" s="1"/>
  <c r="F16"/>
  <c r="E16"/>
  <c r="C16"/>
  <c r="K10"/>
  <c r="J10"/>
  <c r="G10"/>
  <c r="D10"/>
  <c r="K14"/>
  <c r="K12"/>
  <c r="G12"/>
  <c r="J12" s="1"/>
  <c r="D12"/>
  <c r="K11"/>
  <c r="G11"/>
  <c r="J11" s="1"/>
  <c r="D11"/>
  <c r="K9"/>
  <c r="D9"/>
  <c r="G9" s="1"/>
  <c r="J9" s="1"/>
  <c r="C23" i="5"/>
  <c r="D23"/>
  <c r="E23"/>
  <c r="F23"/>
  <c r="B23"/>
  <c r="C22"/>
  <c r="D22"/>
  <c r="E22"/>
  <c r="F22"/>
  <c r="B22"/>
  <c r="C20"/>
  <c r="D20"/>
  <c r="E20"/>
  <c r="F20"/>
  <c r="B20"/>
  <c r="B15"/>
  <c r="H19" i="4"/>
  <c r="I19"/>
  <c r="J19"/>
  <c r="K19"/>
  <c r="G19"/>
  <c r="I20"/>
  <c r="J20" s="1"/>
  <c r="K20" s="1"/>
  <c r="H20"/>
  <c r="G20"/>
  <c r="C20"/>
  <c r="D20"/>
  <c r="E20"/>
  <c r="F20"/>
  <c r="B20"/>
  <c r="C19"/>
  <c r="D19"/>
  <c r="E19"/>
  <c r="F19"/>
  <c r="B19"/>
  <c r="I12"/>
  <c r="J12"/>
  <c r="K12" s="1"/>
  <c r="H12"/>
  <c r="G12"/>
  <c r="H14"/>
  <c r="I14"/>
  <c r="J14"/>
  <c r="K14"/>
  <c r="G14"/>
  <c r="H15"/>
  <c r="I15" s="1"/>
  <c r="J15" s="1"/>
  <c r="K15" s="1"/>
  <c r="G15"/>
  <c r="C15"/>
  <c r="D15"/>
  <c r="E15"/>
  <c r="F15"/>
  <c r="B15"/>
  <c r="C12"/>
  <c r="D12"/>
  <c r="E12"/>
  <c r="F12"/>
  <c r="B12"/>
  <c r="H35" i="3"/>
  <c r="I35" s="1"/>
  <c r="J35" s="1"/>
  <c r="K35" s="1"/>
  <c r="G35"/>
  <c r="C35"/>
  <c r="D35"/>
  <c r="E35"/>
  <c r="F35"/>
  <c r="B35"/>
  <c r="H26" i="1"/>
  <c r="I26"/>
  <c r="J26"/>
  <c r="K26"/>
  <c r="G26"/>
  <c r="H23" i="2"/>
  <c r="I23"/>
  <c r="J23"/>
  <c r="K23" s="1"/>
  <c r="G23"/>
  <c r="H15" i="3"/>
  <c r="H15" i="1" s="1"/>
  <c r="I26" i="3"/>
  <c r="J26" s="1"/>
  <c r="K26" s="1"/>
  <c r="H30"/>
  <c r="H26"/>
  <c r="G27"/>
  <c r="H27" s="1"/>
  <c r="I27" s="1"/>
  <c r="J27" s="1"/>
  <c r="K27" s="1"/>
  <c r="G29"/>
  <c r="H29" s="1"/>
  <c r="G30"/>
  <c r="G26"/>
  <c r="H10"/>
  <c r="I11"/>
  <c r="J11"/>
  <c r="K12" i="1"/>
  <c r="K12" i="3" s="1"/>
  <c r="H10" i="1"/>
  <c r="H12" s="1"/>
  <c r="H12" i="3" s="1"/>
  <c r="I10" i="1"/>
  <c r="I10" i="3" s="1"/>
  <c r="I15" s="1"/>
  <c r="I15" i="1" s="1"/>
  <c r="J10"/>
  <c r="J10" i="3" s="1"/>
  <c r="J15" s="1"/>
  <c r="K10" i="1"/>
  <c r="K10" i="3" s="1"/>
  <c r="K15" s="1"/>
  <c r="H11" i="1"/>
  <c r="H11" i="3" s="1"/>
  <c r="H16" s="1"/>
  <c r="H16" i="1" s="1"/>
  <c r="I11"/>
  <c r="J11"/>
  <c r="K11"/>
  <c r="K11" i="3" s="1"/>
  <c r="G11" i="1"/>
  <c r="G11" i="3" s="1"/>
  <c r="G16" s="1"/>
  <c r="G16" i="1" s="1"/>
  <c r="G10"/>
  <c r="G10" i="3" s="1"/>
  <c r="G15" s="1"/>
  <c r="C29"/>
  <c r="D29"/>
  <c r="E29"/>
  <c r="F29"/>
  <c r="C30"/>
  <c r="D30"/>
  <c r="E30"/>
  <c r="F30"/>
  <c r="B30"/>
  <c r="B29"/>
  <c r="C26"/>
  <c r="D26"/>
  <c r="E26"/>
  <c r="F26"/>
  <c r="C27"/>
  <c r="D27"/>
  <c r="E27"/>
  <c r="F27"/>
  <c r="B27"/>
  <c r="B26"/>
  <c r="H20" i="2"/>
  <c r="I20"/>
  <c r="J20"/>
  <c r="K20"/>
  <c r="G20"/>
  <c r="H15"/>
  <c r="I15"/>
  <c r="J15" s="1"/>
  <c r="K15" s="1"/>
  <c r="G15"/>
  <c r="I16"/>
  <c r="J16"/>
  <c r="K16"/>
  <c r="H16"/>
  <c r="G16"/>
  <c r="F18"/>
  <c r="F17"/>
  <c r="E17"/>
  <c r="D17"/>
  <c r="C17"/>
  <c r="H10"/>
  <c r="I10" s="1"/>
  <c r="J10" s="1"/>
  <c r="K10" s="1"/>
  <c r="G10"/>
  <c r="I11"/>
  <c r="J11" s="1"/>
  <c r="K11" s="1"/>
  <c r="H11"/>
  <c r="G11"/>
  <c r="F13"/>
  <c r="D12"/>
  <c r="E12"/>
  <c r="F12"/>
  <c r="C12"/>
  <c r="D16" i="6" l="1"/>
  <c r="J18" s="1"/>
  <c r="J14"/>
  <c r="G17" i="3"/>
  <c r="G17" i="1" s="1"/>
  <c r="G18" s="1"/>
  <c r="I12"/>
  <c r="I12" i="3" s="1"/>
  <c r="J12" i="1"/>
  <c r="J12" i="3" s="1"/>
  <c r="H21"/>
  <c r="H22" i="1" s="1"/>
  <c r="G12"/>
  <c r="G12" i="3" s="1"/>
  <c r="J15" i="1"/>
  <c r="J17" i="3"/>
  <c r="J17" i="1" s="1"/>
  <c r="J18" s="1"/>
  <c r="I29" i="3"/>
  <c r="H20"/>
  <c r="K16"/>
  <c r="K16" i="1" s="1"/>
  <c r="K15"/>
  <c r="I16" i="3"/>
  <c r="I16" i="1" s="1"/>
  <c r="J16" i="3"/>
  <c r="J16" i="1" s="1"/>
  <c r="H17" i="3"/>
  <c r="H17" i="1" s="1"/>
  <c r="H18" s="1"/>
  <c r="G15"/>
  <c r="I30" i="3"/>
  <c r="G20" l="1"/>
  <c r="G21"/>
  <c r="G22" i="1" s="1"/>
  <c r="H21"/>
  <c r="H22" i="3"/>
  <c r="H23" i="1" s="1"/>
  <c r="H25" s="1"/>
  <c r="H27" s="1"/>
  <c r="K17" i="3"/>
  <c r="K17" i="1" s="1"/>
  <c r="K18" s="1"/>
  <c r="J30" i="3"/>
  <c r="I21"/>
  <c r="I22" i="1" s="1"/>
  <c r="J29" i="3"/>
  <c r="I20"/>
  <c r="I17"/>
  <c r="I17" i="1" s="1"/>
  <c r="I18" s="1"/>
  <c r="G21" l="1"/>
  <c r="G22" i="3"/>
  <c r="G23" i="1" s="1"/>
  <c r="G25" s="1"/>
  <c r="G27" s="1"/>
  <c r="G33" i="3" s="1"/>
  <c r="G34" s="1"/>
  <c r="G28" i="1" s="1"/>
  <c r="G29" s="1"/>
  <c r="I21"/>
  <c r="I22" i="3"/>
  <c r="I23" i="1" s="1"/>
  <c r="H29"/>
  <c r="H33" i="3"/>
  <c r="H34" s="1"/>
  <c r="H28" i="1" s="1"/>
  <c r="K30" i="3"/>
  <c r="K21" s="1"/>
  <c r="K22" i="1" s="1"/>
  <c r="J21" i="3"/>
  <c r="J22" i="1" s="1"/>
  <c r="K29" i="3"/>
  <c r="K20" s="1"/>
  <c r="J20"/>
  <c r="I25" i="1"/>
  <c r="I27" s="1"/>
  <c r="J21" l="1"/>
  <c r="J22" i="3"/>
  <c r="J23" i="1" s="1"/>
  <c r="J25" s="1"/>
  <c r="J27" s="1"/>
  <c r="I29"/>
  <c r="I33" i="3"/>
  <c r="I34" s="1"/>
  <c r="I28" i="1" s="1"/>
  <c r="K21"/>
  <c r="K22" i="3"/>
  <c r="K23" i="1" s="1"/>
  <c r="K25" s="1"/>
  <c r="K27" s="1"/>
  <c r="J33" i="3" l="1"/>
  <c r="J34" s="1"/>
  <c r="J28" i="1" s="1"/>
  <c r="J29" s="1"/>
  <c r="K33" i="3"/>
  <c r="K34" s="1"/>
  <c r="K28" i="1" s="1"/>
  <c r="K29" s="1"/>
  <c r="G9" i="4"/>
  <c r="H9"/>
  <c r="I9"/>
  <c r="J9"/>
  <c r="K9"/>
  <c r="G11"/>
  <c r="H11"/>
  <c r="I11"/>
  <c r="J11"/>
  <c r="K11"/>
  <c r="B21" i="5"/>
  <c r="C21"/>
  <c r="D21"/>
  <c r="E21"/>
  <c r="F21"/>
  <c r="B25"/>
  <c r="C25"/>
  <c r="D25"/>
  <c r="E25"/>
  <c r="F25"/>
  <c r="F26"/>
  <c r="B27"/>
  <c r="C27"/>
  <c r="D27"/>
  <c r="E27"/>
  <c r="F27"/>
  <c r="B29"/>
  <c r="B30"/>
  <c r="B32"/>
</calcChain>
</file>

<file path=xl/sharedStrings.xml><?xml version="1.0" encoding="utf-8"?>
<sst xmlns="http://schemas.openxmlformats.org/spreadsheetml/2006/main" count="169" uniqueCount="82">
  <si>
    <t>In millions, except per share amounts</t>
  </si>
  <si>
    <r>
      <rPr>
        <sz val="11"/>
        <color theme="3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= Actual,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= Assumption, </t>
    </r>
    <r>
      <rPr>
        <b/>
        <sz val="1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= Calculation</t>
    </r>
  </si>
  <si>
    <t>Income Statement</t>
  </si>
  <si>
    <t>Year</t>
  </si>
  <si>
    <t>2017-A</t>
  </si>
  <si>
    <t>2018-A</t>
  </si>
  <si>
    <t>2019-A</t>
  </si>
  <si>
    <t>2020-A</t>
  </si>
  <si>
    <t>2021-A</t>
  </si>
  <si>
    <t>2022-E</t>
  </si>
  <si>
    <t>2023-E</t>
  </si>
  <si>
    <t>2024-E</t>
  </si>
  <si>
    <t>2025-E</t>
  </si>
  <si>
    <t>2026-E</t>
  </si>
  <si>
    <t>Net sales:</t>
  </si>
  <si>
    <t>Products</t>
  </si>
  <si>
    <t>Services</t>
  </si>
  <si>
    <t>Total net sales</t>
  </si>
  <si>
    <t>Cost of sales:</t>
  </si>
  <si>
    <t>Total cost of sales</t>
  </si>
  <si>
    <t>Gross margin</t>
  </si>
  <si>
    <t>Operating expenses:</t>
  </si>
  <si>
    <t>Research and development</t>
  </si>
  <si>
    <t>Selling, general and administrative</t>
  </si>
  <si>
    <t>Total operating expenses</t>
  </si>
  <si>
    <t>Operating income</t>
  </si>
  <si>
    <t>Other income/(expense), net</t>
  </si>
  <si>
    <t>Income before provision for income taxes</t>
  </si>
  <si>
    <t>Provision for income taxes</t>
  </si>
  <si>
    <t>Net income</t>
  </si>
  <si>
    <t>Apple</t>
  </si>
  <si>
    <t>YOY growth rate</t>
  </si>
  <si>
    <t xml:space="preserve">CAGR </t>
  </si>
  <si>
    <t>Revenue driver</t>
  </si>
  <si>
    <t>Cost driver</t>
  </si>
  <si>
    <t>Products growth</t>
  </si>
  <si>
    <t>Services growth</t>
  </si>
  <si>
    <t>Total Net Sales</t>
  </si>
  <si>
    <t>Common size analysis (As a % of revenue)</t>
  </si>
  <si>
    <t>Tax rate</t>
  </si>
  <si>
    <t>Property, plant and equipment, net</t>
  </si>
  <si>
    <t>Asset and liability driver</t>
  </si>
  <si>
    <t>Depreciation and Amortization</t>
  </si>
  <si>
    <t>Payments for acquisition of property, plant and equipment</t>
  </si>
  <si>
    <t>As a % of assets</t>
  </si>
  <si>
    <t>As a % of revenue</t>
  </si>
  <si>
    <t>Total current assets</t>
  </si>
  <si>
    <t>Total current liabilities</t>
  </si>
  <si>
    <t>Working capital</t>
  </si>
  <si>
    <t>Working capital as a % of revenue</t>
  </si>
  <si>
    <t>Alphabet</t>
  </si>
  <si>
    <t>Valuation - DCF</t>
  </si>
  <si>
    <t>Valuation - Metric</t>
  </si>
  <si>
    <t>GDP</t>
  </si>
  <si>
    <t>WACC</t>
  </si>
  <si>
    <t>Valuation - Data</t>
  </si>
  <si>
    <t>Debt</t>
  </si>
  <si>
    <t>Cash</t>
  </si>
  <si>
    <t>Number of diluted shares</t>
  </si>
  <si>
    <t>NOPAT</t>
  </si>
  <si>
    <t>D&amp;A</t>
  </si>
  <si>
    <t>Capex</t>
  </si>
  <si>
    <t>Change in working capital</t>
  </si>
  <si>
    <t>FCFF</t>
  </si>
  <si>
    <t>Terminal value</t>
  </si>
  <si>
    <t>Total</t>
  </si>
  <si>
    <t>Enterprise value</t>
  </si>
  <si>
    <t>Equity value</t>
  </si>
  <si>
    <t>Intrinsic value</t>
  </si>
  <si>
    <t>Valuation - Relative</t>
  </si>
  <si>
    <t>Company</t>
  </si>
  <si>
    <t>Market price</t>
  </si>
  <si>
    <t>Number of shares</t>
  </si>
  <si>
    <t>Revenue</t>
  </si>
  <si>
    <t>EPS</t>
  </si>
  <si>
    <t>EV/Revenue</t>
  </si>
  <si>
    <t>P/E</t>
  </si>
  <si>
    <t>Microsoft</t>
  </si>
  <si>
    <t>Amazon</t>
  </si>
  <si>
    <t>Meta</t>
  </si>
  <si>
    <t>Median</t>
  </si>
  <si>
    <t>Implied market price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</si>
</sst>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>
      <alignment vertical="top"/>
    </xf>
  </cellStyleXfs>
  <cellXfs count="76">
    <xf numFmtId="0" fontId="0" fillId="0" borderId="0" xfId="0"/>
    <xf numFmtId="0" fontId="4" fillId="2" borderId="0" xfId="0" applyFont="1" applyFill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3" applyFont="1">
      <alignment vertical="top"/>
    </xf>
    <xf numFmtId="0" fontId="7" fillId="0" borderId="0" xfId="3" applyFont="1">
      <alignment vertical="top"/>
    </xf>
    <xf numFmtId="0" fontId="6" fillId="0" borderId="1" xfId="3" applyFont="1" applyBorder="1">
      <alignment vertical="top"/>
    </xf>
    <xf numFmtId="0" fontId="6" fillId="0" borderId="0" xfId="3" applyFont="1" applyBorder="1">
      <alignment vertical="top"/>
    </xf>
    <xf numFmtId="0" fontId="0" fillId="0" borderId="0" xfId="0"/>
    <xf numFmtId="0" fontId="4" fillId="2" borderId="0" xfId="0" applyFont="1" applyFill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/>
    <xf numFmtId="0" fontId="0" fillId="0" borderId="0" xfId="0" applyFont="1"/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6" fillId="0" borderId="0" xfId="3" applyFont="1" applyFill="1" applyBorder="1">
      <alignment vertical="top"/>
    </xf>
    <xf numFmtId="0" fontId="0" fillId="0" borderId="0" xfId="0" applyFont="1" applyAlignment="1"/>
    <xf numFmtId="0" fontId="6" fillId="0" borderId="0" xfId="0" applyFont="1" applyAlignment="1"/>
    <xf numFmtId="0" fontId="0" fillId="3" borderId="0" xfId="0" applyFill="1"/>
    <xf numFmtId="164" fontId="0" fillId="3" borderId="0" xfId="1" applyNumberFormat="1" applyFont="1" applyFill="1"/>
    <xf numFmtId="164" fontId="10" fillId="2" borderId="1" xfId="1" applyNumberFormat="1" applyFont="1" applyFill="1" applyBorder="1"/>
    <xf numFmtId="43" fontId="0" fillId="3" borderId="0" xfId="1" applyNumberFormat="1" applyFont="1" applyFill="1"/>
    <xf numFmtId="164" fontId="0" fillId="3" borderId="1" xfId="1" applyNumberFormat="1" applyFont="1" applyFill="1" applyBorder="1"/>
    <xf numFmtId="43" fontId="0" fillId="3" borderId="1" xfId="1" applyNumberFormat="1" applyFont="1" applyFill="1" applyBorder="1"/>
    <xf numFmtId="165" fontId="0" fillId="3" borderId="1" xfId="1" applyNumberFormat="1" applyFont="1" applyFill="1" applyBorder="1"/>
    <xf numFmtId="164" fontId="0" fillId="3" borderId="2" xfId="1" applyNumberFormat="1" applyFont="1" applyFill="1" applyBorder="1"/>
    <xf numFmtId="43" fontId="0" fillId="3" borderId="2" xfId="1" applyNumberFormat="1" applyFont="1" applyFill="1" applyBorder="1"/>
    <xf numFmtId="165" fontId="3" fillId="3" borderId="2" xfId="1" applyNumberFormat="1" applyFont="1" applyFill="1" applyBorder="1"/>
    <xf numFmtId="164" fontId="4" fillId="2" borderId="2" xfId="1" applyNumberFormat="1" applyFont="1" applyFill="1" applyBorder="1"/>
    <xf numFmtId="164" fontId="10" fillId="2" borderId="2" xfId="1" applyNumberFormat="1" applyFont="1" applyFill="1" applyBorder="1"/>
    <xf numFmtId="0" fontId="0" fillId="3" borderId="0" xfId="0" applyFont="1" applyFill="1"/>
    <xf numFmtId="164" fontId="3" fillId="3" borderId="0" xfId="0" applyNumberFormat="1" applyFont="1" applyFill="1"/>
    <xf numFmtId="164" fontId="0" fillId="3" borderId="0" xfId="0" applyNumberFormat="1" applyFont="1" applyFill="1"/>
    <xf numFmtId="9" fontId="0" fillId="3" borderId="0" xfId="0" applyNumberFormat="1" applyFill="1"/>
    <xf numFmtId="164" fontId="0" fillId="3" borderId="0" xfId="0" applyNumberFormat="1" applyFill="1"/>
    <xf numFmtId="43" fontId="0" fillId="3" borderId="0" xfId="0" applyNumberFormat="1" applyFill="1"/>
    <xf numFmtId="164" fontId="1" fillId="3" borderId="0" xfId="1" applyNumberFormat="1" applyFont="1" applyFill="1"/>
    <xf numFmtId="164" fontId="0" fillId="3" borderId="0" xfId="1" applyNumberFormat="1" applyFont="1" applyFill="1" applyAlignment="1"/>
    <xf numFmtId="0" fontId="0" fillId="3" borderId="0" xfId="0" applyFont="1" applyFill="1" applyAlignment="1"/>
    <xf numFmtId="37" fontId="0" fillId="3" borderId="0" xfId="0" applyNumberFormat="1" applyFont="1" applyFill="1" applyAlignment="1"/>
    <xf numFmtId="37" fontId="0" fillId="3" borderId="0" xfId="0" applyNumberFormat="1" applyFill="1"/>
    <xf numFmtId="1" fontId="4" fillId="2" borderId="0" xfId="0" applyNumberFormat="1" applyFont="1" applyFill="1"/>
    <xf numFmtId="43" fontId="0" fillId="3" borderId="0" xfId="1" applyNumberFormat="1" applyFont="1" applyFill="1" applyAlignment="1"/>
    <xf numFmtId="165" fontId="0" fillId="3" borderId="0" xfId="1" applyNumberFormat="1" applyFont="1" applyFill="1" applyAlignment="1"/>
    <xf numFmtId="0" fontId="0" fillId="3" borderId="0" xfId="0" applyFill="1" applyAlignment="1"/>
    <xf numFmtId="164" fontId="0" fillId="3" borderId="0" xfId="0" applyNumberFormat="1" applyFill="1" applyAlignment="1"/>
    <xf numFmtId="164" fontId="0" fillId="3" borderId="0" xfId="1" applyNumberFormat="1" applyFont="1" applyFill="1" applyBorder="1" applyAlignment="1"/>
    <xf numFmtId="43" fontId="0" fillId="3" borderId="0" xfId="1" applyNumberFormat="1" applyFont="1" applyFill="1" applyBorder="1" applyAlignment="1"/>
    <xf numFmtId="165" fontId="0" fillId="3" borderId="0" xfId="1" applyNumberFormat="1" applyFont="1" applyFill="1" applyBorder="1" applyAlignment="1"/>
    <xf numFmtId="164" fontId="0" fillId="3" borderId="1" xfId="1" applyNumberFormat="1" applyFont="1" applyFill="1" applyBorder="1" applyAlignment="1"/>
    <xf numFmtId="164" fontId="0" fillId="3" borderId="2" xfId="1" applyNumberFormat="1" applyFont="1" applyFill="1" applyBorder="1" applyAlignment="1"/>
    <xf numFmtId="164" fontId="6" fillId="3" borderId="0" xfId="1" applyNumberFormat="1" applyFont="1" applyFill="1" applyAlignment="1"/>
    <xf numFmtId="43" fontId="3" fillId="3" borderId="1" xfId="1" applyFont="1" applyFill="1" applyBorder="1" applyAlignment="1">
      <alignment vertical="center"/>
    </xf>
    <xf numFmtId="164" fontId="5" fillId="0" borderId="0" xfId="1" applyNumberFormat="1" applyFont="1" applyAlignment="1">
      <alignment vertical="top"/>
    </xf>
    <xf numFmtId="164" fontId="5" fillId="0" borderId="1" xfId="1" applyNumberFormat="1" applyFont="1" applyBorder="1" applyAlignment="1">
      <alignment vertical="top"/>
    </xf>
    <xf numFmtId="164" fontId="9" fillId="0" borderId="0" xfId="1" applyNumberFormat="1" applyFont="1" applyAlignment="1">
      <alignment vertical="top"/>
    </xf>
    <xf numFmtId="164" fontId="5" fillId="0" borderId="0" xfId="1" applyNumberFormat="1" applyFont="1"/>
    <xf numFmtId="164" fontId="5" fillId="0" borderId="0" xfId="1" applyNumberFormat="1" applyFont="1" applyBorder="1" applyAlignment="1">
      <alignment vertical="top"/>
    </xf>
    <xf numFmtId="9" fontId="5" fillId="0" borderId="0" xfId="1" applyNumberFormat="1" applyFont="1" applyAlignment="1">
      <alignment vertical="top"/>
    </xf>
    <xf numFmtId="0" fontId="5" fillId="0" borderId="0" xfId="0" applyFont="1"/>
    <xf numFmtId="9" fontId="5" fillId="0" borderId="0" xfId="0" applyNumberFormat="1" applyFont="1"/>
    <xf numFmtId="9" fontId="5" fillId="0" borderId="0" xfId="0" applyNumberFormat="1" applyFont="1" applyBorder="1"/>
    <xf numFmtId="9" fontId="5" fillId="0" borderId="0" xfId="2" applyFont="1"/>
    <xf numFmtId="37" fontId="5" fillId="0" borderId="0" xfId="0" applyNumberFormat="1" applyFont="1" applyAlignment="1"/>
    <xf numFmtId="0" fontId="5" fillId="0" borderId="0" xfId="0" applyFont="1" applyAlignment="1"/>
    <xf numFmtId="9" fontId="5" fillId="0" borderId="0" xfId="2" applyFont="1" applyAlignment="1"/>
    <xf numFmtId="9" fontId="2" fillId="3" borderId="0" xfId="0" applyNumberFormat="1" applyFont="1" applyFill="1"/>
    <xf numFmtId="9" fontId="2" fillId="3" borderId="0" xfId="0" applyNumberFormat="1" applyFont="1" applyFill="1" applyAlignment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showGridLines="0" tabSelected="1" workbookViewId="0"/>
  </sheetViews>
  <sheetFormatPr defaultRowHeight="15"/>
  <cols>
    <col min="1" max="1" width="47.85546875" style="3" bestFit="1" customWidth="1"/>
    <col min="2" max="11" width="11.5703125" style="3" bestFit="1" customWidth="1"/>
    <col min="12" max="16384" width="9.140625" style="3"/>
  </cols>
  <sheetData>
    <row r="1" spans="1:11">
      <c r="A1" s="1" t="s">
        <v>30</v>
      </c>
    </row>
    <row r="2" spans="1:11">
      <c r="A2" s="3" t="s">
        <v>0</v>
      </c>
    </row>
    <row r="3" spans="1:11">
      <c r="A3" s="3" t="s">
        <v>1</v>
      </c>
    </row>
    <row r="5" spans="1:11">
      <c r="A5" s="2" t="s">
        <v>2</v>
      </c>
    </row>
    <row r="7" spans="1:11">
      <c r="A7" s="4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</row>
    <row r="8" spans="1:11">
      <c r="G8" s="38"/>
      <c r="H8" s="38"/>
      <c r="I8" s="38"/>
      <c r="J8" s="38"/>
      <c r="K8" s="38"/>
    </row>
    <row r="9" spans="1:11">
      <c r="A9" s="6" t="s">
        <v>14</v>
      </c>
      <c r="G9" s="38"/>
      <c r="H9" s="38"/>
      <c r="I9" s="38"/>
      <c r="J9" s="38"/>
      <c r="K9" s="38"/>
    </row>
    <row r="10" spans="1:11">
      <c r="A10" s="6" t="s">
        <v>15</v>
      </c>
      <c r="B10" s="61">
        <v>196534</v>
      </c>
      <c r="C10" s="61">
        <v>225847</v>
      </c>
      <c r="D10" s="61">
        <v>213883</v>
      </c>
      <c r="E10" s="61">
        <v>220747</v>
      </c>
      <c r="F10" s="61">
        <v>297392</v>
      </c>
      <c r="G10" s="27">
        <f>'Revenue Driver'!G10</f>
        <v>329839.131813107</v>
      </c>
      <c r="H10" s="27">
        <f>'Revenue Driver'!H10</f>
        <v>365826.42732563143</v>
      </c>
      <c r="I10" s="27">
        <f>'Revenue Driver'!I10</f>
        <v>405740.13821278635</v>
      </c>
      <c r="J10" s="27">
        <f>'Revenue Driver'!J10</f>
        <v>450008.65836954425</v>
      </c>
      <c r="K10" s="27">
        <f>'Revenue Driver'!K10</f>
        <v>499107.12186269823</v>
      </c>
    </row>
    <row r="11" spans="1:11">
      <c r="A11" s="8" t="s">
        <v>16</v>
      </c>
      <c r="B11" s="62">
        <v>32700</v>
      </c>
      <c r="C11" s="62">
        <v>39748</v>
      </c>
      <c r="D11" s="62">
        <v>46291</v>
      </c>
      <c r="E11" s="62">
        <v>53768</v>
      </c>
      <c r="F11" s="62">
        <v>68425</v>
      </c>
      <c r="G11" s="30">
        <f>'Revenue Driver'!G15</f>
        <v>82296.53865820721</v>
      </c>
      <c r="H11" s="30">
        <f>'Revenue Driver'!H15</f>
        <v>98980.201317088693</v>
      </c>
      <c r="I11" s="30">
        <f>'Revenue Driver'!I15</f>
        <v>119046.07912442707</v>
      </c>
      <c r="J11" s="30">
        <f>'Revenue Driver'!J15</f>
        <v>143179.83562691131</v>
      </c>
      <c r="K11" s="30">
        <f>'Revenue Driver'!K15</f>
        <v>172206.13632072869</v>
      </c>
    </row>
    <row r="12" spans="1:11" s="2" customFormat="1">
      <c r="A12" s="7" t="s">
        <v>17</v>
      </c>
      <c r="B12" s="63">
        <v>229234</v>
      </c>
      <c r="C12" s="63">
        <v>265595</v>
      </c>
      <c r="D12" s="63">
        <v>260174</v>
      </c>
      <c r="E12" s="63">
        <v>274515</v>
      </c>
      <c r="F12" s="63">
        <v>365817</v>
      </c>
      <c r="G12" s="39">
        <f>SUM(G10:G11)</f>
        <v>412135.67047131422</v>
      </c>
      <c r="H12" s="39">
        <f t="shared" ref="H12:K12" si="0">SUM(H10:H11)</f>
        <v>464806.62864272011</v>
      </c>
      <c r="I12" s="39">
        <f t="shared" si="0"/>
        <v>524786.21733721346</v>
      </c>
      <c r="J12" s="39">
        <f t="shared" si="0"/>
        <v>593188.49399645557</v>
      </c>
      <c r="K12" s="39">
        <f t="shared" si="0"/>
        <v>671313.25818342692</v>
      </c>
    </row>
    <row r="13" spans="1:11">
      <c r="B13" s="64"/>
      <c r="C13" s="64"/>
      <c r="D13" s="64"/>
      <c r="E13" s="64"/>
      <c r="F13" s="64"/>
      <c r="G13" s="38"/>
      <c r="H13" s="38"/>
      <c r="I13" s="38"/>
      <c r="J13" s="38"/>
      <c r="K13" s="38"/>
    </row>
    <row r="14" spans="1:11">
      <c r="A14" s="6" t="s">
        <v>18</v>
      </c>
      <c r="B14" s="61"/>
      <c r="C14" s="61"/>
      <c r="D14" s="61"/>
      <c r="E14" s="61"/>
      <c r="F14" s="61"/>
      <c r="G14" s="38"/>
      <c r="H14" s="38"/>
      <c r="I14" s="38"/>
      <c r="J14" s="38"/>
      <c r="K14" s="38"/>
    </row>
    <row r="15" spans="1:11">
      <c r="A15" s="6" t="s">
        <v>15</v>
      </c>
      <c r="B15" s="61">
        <v>126337</v>
      </c>
      <c r="C15" s="61">
        <v>148164</v>
      </c>
      <c r="D15" s="61">
        <v>144996</v>
      </c>
      <c r="E15" s="61">
        <v>151286</v>
      </c>
      <c r="F15" s="61">
        <v>192266</v>
      </c>
      <c r="G15" s="27">
        <f>'Cost Driver'!G15</f>
        <v>218262.98601953773</v>
      </c>
      <c r="H15" s="27">
        <f>'Cost Driver'!H15</f>
        <v>242076.69949299455</v>
      </c>
      <c r="I15" s="27">
        <f>'Cost Driver'!I15</f>
        <v>268488.62240057474</v>
      </c>
      <c r="J15" s="27">
        <f>'Cost Driver'!J15</f>
        <v>297782.23393468116</v>
      </c>
      <c r="K15" s="27">
        <f>'Cost Driver'!K15</f>
        <v>330271.94245434564</v>
      </c>
    </row>
    <row r="16" spans="1:11">
      <c r="A16" s="8" t="s">
        <v>16</v>
      </c>
      <c r="B16" s="62">
        <v>14711</v>
      </c>
      <c r="C16" s="62">
        <v>15592</v>
      </c>
      <c r="D16" s="62">
        <v>16786</v>
      </c>
      <c r="E16" s="62">
        <v>18273</v>
      </c>
      <c r="F16" s="62">
        <v>20715</v>
      </c>
      <c r="G16" s="30">
        <f>'Cost Driver'!G16</f>
        <v>30406.221896698858</v>
      </c>
      <c r="H16" s="30">
        <f>'Cost Driver'!H16</f>
        <v>36570.359017489282</v>
      </c>
      <c r="I16" s="30">
        <f>'Cost Driver'!I16</f>
        <v>43984.128091009479</v>
      </c>
      <c r="J16" s="30">
        <f>'Cost Driver'!J16</f>
        <v>52900.862225638281</v>
      </c>
      <c r="K16" s="30">
        <f>'Cost Driver'!K16</f>
        <v>63625.251782312524</v>
      </c>
    </row>
    <row r="17" spans="1:11">
      <c r="A17" s="9" t="s">
        <v>19</v>
      </c>
      <c r="B17" s="65">
        <v>141048</v>
      </c>
      <c r="C17" s="65">
        <v>163756</v>
      </c>
      <c r="D17" s="65">
        <v>161782</v>
      </c>
      <c r="E17" s="65">
        <v>169559</v>
      </c>
      <c r="F17" s="65">
        <v>212981</v>
      </c>
      <c r="G17" s="27">
        <f>'Cost Driver'!G17</f>
        <v>248669.2079162366</v>
      </c>
      <c r="H17" s="27">
        <f>'Cost Driver'!H17</f>
        <v>278647.05851048382</v>
      </c>
      <c r="I17" s="27">
        <f>'Cost Driver'!I17</f>
        <v>312472.75049158419</v>
      </c>
      <c r="J17" s="27">
        <f>'Cost Driver'!J17</f>
        <v>350683.09616031946</v>
      </c>
      <c r="K17" s="27">
        <f>'Cost Driver'!K17</f>
        <v>393897.19423665816</v>
      </c>
    </row>
    <row r="18" spans="1:11">
      <c r="A18" s="6" t="s">
        <v>20</v>
      </c>
      <c r="B18" s="61">
        <v>88186</v>
      </c>
      <c r="C18" s="61">
        <v>101839</v>
      </c>
      <c r="D18" s="61">
        <v>98392</v>
      </c>
      <c r="E18" s="61">
        <v>104956</v>
      </c>
      <c r="F18" s="61">
        <v>152836</v>
      </c>
      <c r="G18" s="27">
        <f>G12-G17</f>
        <v>163466.46255507763</v>
      </c>
      <c r="H18" s="27">
        <f t="shared" ref="H18:K18" si="1">H12-H17</f>
        <v>186159.57013223629</v>
      </c>
      <c r="I18" s="27">
        <f t="shared" si="1"/>
        <v>212313.46684562927</v>
      </c>
      <c r="J18" s="27">
        <f t="shared" si="1"/>
        <v>242505.39783613611</v>
      </c>
      <c r="K18" s="27">
        <f t="shared" si="1"/>
        <v>277416.06394676876</v>
      </c>
    </row>
    <row r="19" spans="1:11">
      <c r="B19" s="64"/>
      <c r="C19" s="64"/>
      <c r="D19" s="64"/>
      <c r="E19" s="64"/>
      <c r="F19" s="64"/>
      <c r="G19" s="27"/>
      <c r="H19" s="27"/>
      <c r="I19" s="27"/>
      <c r="J19" s="27"/>
      <c r="K19" s="27"/>
    </row>
    <row r="20" spans="1:11">
      <c r="A20" s="6" t="s">
        <v>21</v>
      </c>
      <c r="B20" s="61"/>
      <c r="C20" s="61"/>
      <c r="D20" s="61"/>
      <c r="E20" s="61"/>
      <c r="F20" s="61"/>
      <c r="G20" s="27"/>
      <c r="H20" s="27"/>
      <c r="I20" s="27"/>
      <c r="J20" s="27"/>
      <c r="K20" s="27"/>
    </row>
    <row r="21" spans="1:11">
      <c r="A21" s="6" t="s">
        <v>22</v>
      </c>
      <c r="B21" s="61">
        <v>11581</v>
      </c>
      <c r="C21" s="61">
        <v>14236</v>
      </c>
      <c r="D21" s="61">
        <v>16217</v>
      </c>
      <c r="E21" s="61">
        <v>18752</v>
      </c>
      <c r="F21" s="61">
        <v>21914</v>
      </c>
      <c r="G21" s="27">
        <f>'Cost Driver'!G20</f>
        <v>24288.476500776967</v>
      </c>
      <c r="H21" s="27">
        <f>'Cost Driver'!H20</f>
        <v>27392.544945899921</v>
      </c>
      <c r="I21" s="27">
        <f>'Cost Driver'!I20</f>
        <v>30927.334421575426</v>
      </c>
      <c r="J21" s="27">
        <f>'Cost Driver'!J20</f>
        <v>34958.499904868106</v>
      </c>
      <c r="K21" s="27">
        <f>'Cost Driver'!K20</f>
        <v>39562.642751601066</v>
      </c>
    </row>
    <row r="22" spans="1:11">
      <c r="A22" s="8" t="s">
        <v>23</v>
      </c>
      <c r="B22" s="62">
        <v>15261</v>
      </c>
      <c r="C22" s="62">
        <v>16705</v>
      </c>
      <c r="D22" s="62">
        <v>18245</v>
      </c>
      <c r="E22" s="62">
        <v>19916</v>
      </c>
      <c r="F22" s="62">
        <v>21973</v>
      </c>
      <c r="G22" s="30">
        <f>'Cost Driver'!G21</f>
        <v>27383.272944694785</v>
      </c>
      <c r="H22" s="30">
        <f>'Cost Driver'!H21</f>
        <v>30882.856521667887</v>
      </c>
      <c r="I22" s="30">
        <f>'Cost Driver'!I21</f>
        <v>34868.042871719961</v>
      </c>
      <c r="J22" s="30">
        <f>'Cost Driver'!J21</f>
        <v>39412.852617638142</v>
      </c>
      <c r="K22" s="30">
        <f>'Cost Driver'!K21</f>
        <v>44603.647529967027</v>
      </c>
    </row>
    <row r="23" spans="1:11">
      <c r="A23" s="6" t="s">
        <v>24</v>
      </c>
      <c r="B23" s="61">
        <v>26842</v>
      </c>
      <c r="C23" s="61">
        <v>30941</v>
      </c>
      <c r="D23" s="61">
        <v>34462</v>
      </c>
      <c r="E23" s="61">
        <v>38668</v>
      </c>
      <c r="F23" s="61">
        <v>43887</v>
      </c>
      <c r="G23" s="27">
        <f>'Cost Driver'!G22</f>
        <v>51671.749445471753</v>
      </c>
      <c r="H23" s="27">
        <f>'Cost Driver'!H22</f>
        <v>58275.401467567805</v>
      </c>
      <c r="I23" s="27">
        <f>'Cost Driver'!I22</f>
        <v>65795.377293295387</v>
      </c>
      <c r="J23" s="27">
        <f>'Cost Driver'!J22</f>
        <v>74371.352522506248</v>
      </c>
      <c r="K23" s="27">
        <f>'Cost Driver'!K22</f>
        <v>84166.290281568101</v>
      </c>
    </row>
    <row r="24" spans="1:11">
      <c r="B24" s="64"/>
      <c r="C24" s="64"/>
      <c r="D24" s="64"/>
      <c r="E24" s="64"/>
      <c r="F24" s="64"/>
      <c r="G24" s="38"/>
      <c r="H24" s="38"/>
      <c r="I24" s="38"/>
      <c r="J24" s="38"/>
      <c r="K24" s="38"/>
    </row>
    <row r="25" spans="1:11">
      <c r="A25" s="6" t="s">
        <v>25</v>
      </c>
      <c r="B25" s="61">
        <v>61344</v>
      </c>
      <c r="C25" s="61">
        <v>70898</v>
      </c>
      <c r="D25" s="61">
        <v>63930</v>
      </c>
      <c r="E25" s="61">
        <v>66288</v>
      </c>
      <c r="F25" s="61">
        <v>108949</v>
      </c>
      <c r="G25" s="40">
        <f>G18-G23</f>
        <v>111794.71310960587</v>
      </c>
      <c r="H25" s="40">
        <f t="shared" ref="H25:K25" si="2">H18-H23</f>
        <v>127884.16866466848</v>
      </c>
      <c r="I25" s="40">
        <f t="shared" si="2"/>
        <v>146518.08955233387</v>
      </c>
      <c r="J25" s="40">
        <f t="shared" si="2"/>
        <v>168134.04531362985</v>
      </c>
      <c r="K25" s="40">
        <f t="shared" si="2"/>
        <v>193249.77366520066</v>
      </c>
    </row>
    <row r="26" spans="1:11">
      <c r="A26" s="6" t="s">
        <v>26</v>
      </c>
      <c r="B26" s="61">
        <v>2745</v>
      </c>
      <c r="C26" s="61">
        <v>2005</v>
      </c>
      <c r="D26" s="61">
        <v>1807</v>
      </c>
      <c r="E26" s="61">
        <v>803</v>
      </c>
      <c r="F26" s="61">
        <v>258</v>
      </c>
      <c r="G26" s="27">
        <f>'Revenue Driver'!G23</f>
        <v>258</v>
      </c>
      <c r="H26" s="27">
        <f>'Revenue Driver'!H23</f>
        <v>258</v>
      </c>
      <c r="I26" s="27">
        <f>'Revenue Driver'!I23</f>
        <v>258</v>
      </c>
      <c r="J26" s="27">
        <f>'Revenue Driver'!J23</f>
        <v>258</v>
      </c>
      <c r="K26" s="27">
        <f>'Revenue Driver'!K23</f>
        <v>258</v>
      </c>
    </row>
    <row r="27" spans="1:11">
      <c r="A27" s="6" t="s">
        <v>27</v>
      </c>
      <c r="B27" s="61">
        <v>64089</v>
      </c>
      <c r="C27" s="61">
        <v>72903</v>
      </c>
      <c r="D27" s="61">
        <v>65737</v>
      </c>
      <c r="E27" s="61">
        <v>67091</v>
      </c>
      <c r="F27" s="61">
        <v>109207</v>
      </c>
      <c r="G27" s="40">
        <f>SUM(G25:G26)</f>
        <v>112052.71310960587</v>
      </c>
      <c r="H27" s="40">
        <f t="shared" ref="H27:K27" si="3">SUM(H25:H26)</f>
        <v>128142.16866466848</v>
      </c>
      <c r="I27" s="40">
        <f t="shared" si="3"/>
        <v>146776.08955233387</v>
      </c>
      <c r="J27" s="40">
        <f t="shared" si="3"/>
        <v>168392.04531362985</v>
      </c>
      <c r="K27" s="40">
        <f t="shared" si="3"/>
        <v>193507.77366520066</v>
      </c>
    </row>
    <row r="28" spans="1:11">
      <c r="A28" s="8" t="s">
        <v>28</v>
      </c>
      <c r="B28" s="62">
        <v>15738</v>
      </c>
      <c r="C28" s="62">
        <v>13372</v>
      </c>
      <c r="D28" s="62">
        <v>10481</v>
      </c>
      <c r="E28" s="62">
        <v>9680</v>
      </c>
      <c r="F28" s="62">
        <v>14527</v>
      </c>
      <c r="G28" s="30">
        <f>'Cost Driver'!G34</f>
        <v>14905.5441807141</v>
      </c>
      <c r="H28" s="30">
        <f>'Cost Driver'!H34</f>
        <v>17045.805527041666</v>
      </c>
      <c r="I28" s="30">
        <f>'Cost Driver'!I34</f>
        <v>19524.538288999371</v>
      </c>
      <c r="J28" s="30">
        <f>'Cost Driver'!J34</f>
        <v>22399.949108309</v>
      </c>
      <c r="K28" s="30">
        <f>'Cost Driver'!K34</f>
        <v>25740.908806526782</v>
      </c>
    </row>
    <row r="29" spans="1:11" s="2" customFormat="1">
      <c r="A29" s="7" t="s">
        <v>29</v>
      </c>
      <c r="B29" s="63">
        <v>48351</v>
      </c>
      <c r="C29" s="63">
        <v>59531</v>
      </c>
      <c r="D29" s="63">
        <v>55256</v>
      </c>
      <c r="E29" s="63">
        <v>57411</v>
      </c>
      <c r="F29" s="63">
        <v>94680</v>
      </c>
      <c r="G29" s="39">
        <f>G27-G28</f>
        <v>97147.16892889177</v>
      </c>
      <c r="H29" s="39">
        <f t="shared" ref="H29:K29" si="4">H27-H28</f>
        <v>111096.36313762682</v>
      </c>
      <c r="I29" s="39">
        <f t="shared" si="4"/>
        <v>127251.55126333449</v>
      </c>
      <c r="J29" s="39">
        <f t="shared" si="4"/>
        <v>145992.09620532085</v>
      </c>
      <c r="K29" s="39">
        <f t="shared" si="4"/>
        <v>167766.86485867389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showGridLines="0" topLeftCell="A7" workbookViewId="0">
      <selection activeCell="G16" sqref="G16:K16"/>
    </sheetView>
  </sheetViews>
  <sheetFormatPr defaultRowHeight="15"/>
  <cols>
    <col min="1" max="1" width="47.85546875" bestFit="1" customWidth="1"/>
    <col min="2" max="6" width="11.5703125" bestFit="1" customWidth="1"/>
    <col min="7" max="8" width="11.7109375" bestFit="1" customWidth="1"/>
    <col min="9" max="11" width="12.5703125" bestFit="1" customWidth="1"/>
  </cols>
  <sheetData>
    <row r="1" spans="1:11">
      <c r="A1" s="1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12" t="s">
        <v>33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4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</row>
    <row r="8" spans="1:11">
      <c r="G8" s="26"/>
      <c r="H8" s="26"/>
      <c r="I8" s="26"/>
      <c r="J8" s="26"/>
      <c r="K8" s="26"/>
    </row>
    <row r="9" spans="1:11">
      <c r="A9" s="6" t="s">
        <v>14</v>
      </c>
      <c r="B9" s="13"/>
      <c r="C9" s="13"/>
      <c r="D9" s="13"/>
      <c r="E9" s="13"/>
      <c r="F9" s="13"/>
      <c r="G9" s="27"/>
      <c r="H9" s="27"/>
      <c r="I9" s="27"/>
      <c r="J9" s="27"/>
      <c r="K9" s="27"/>
    </row>
    <row r="10" spans="1:11">
      <c r="A10" s="6" t="s">
        <v>15</v>
      </c>
      <c r="B10" s="61">
        <v>196534</v>
      </c>
      <c r="C10" s="61">
        <v>225847</v>
      </c>
      <c r="D10" s="61">
        <v>213883</v>
      </c>
      <c r="E10" s="61">
        <v>220747</v>
      </c>
      <c r="F10" s="61">
        <v>297392</v>
      </c>
      <c r="G10" s="27">
        <f>F10*(1+G11)</f>
        <v>329839.131813107</v>
      </c>
      <c r="H10" s="27">
        <f t="shared" ref="H10:K10" si="0">G10*(1+H11)</f>
        <v>365826.42732563143</v>
      </c>
      <c r="I10" s="27">
        <f t="shared" si="0"/>
        <v>405740.13821278635</v>
      </c>
      <c r="J10" s="27">
        <f t="shared" si="0"/>
        <v>450008.65836954425</v>
      </c>
      <c r="K10" s="27">
        <f t="shared" si="0"/>
        <v>499107.12186269823</v>
      </c>
    </row>
    <row r="11" spans="1:11" s="10" customFormat="1">
      <c r="A11" s="17" t="s">
        <v>35</v>
      </c>
      <c r="B11" s="61"/>
      <c r="C11" s="61"/>
      <c r="D11" s="61"/>
      <c r="E11" s="61"/>
      <c r="F11" s="61"/>
      <c r="G11" s="74">
        <f>F13</f>
        <v>0.10910559737016134</v>
      </c>
      <c r="H11" s="74">
        <f>G11</f>
        <v>0.10910559737016134</v>
      </c>
      <c r="I11" s="74">
        <f t="shared" ref="I11:K11" si="1">H11</f>
        <v>0.10910559737016134</v>
      </c>
      <c r="J11" s="74">
        <f t="shared" si="1"/>
        <v>0.10910559737016134</v>
      </c>
      <c r="K11" s="74">
        <f t="shared" si="1"/>
        <v>0.10910559737016134</v>
      </c>
    </row>
    <row r="12" spans="1:11" s="10" customFormat="1">
      <c r="A12" s="17" t="s">
        <v>31</v>
      </c>
      <c r="B12" s="61"/>
      <c r="C12" s="66">
        <f>C10/B10-1</f>
        <v>0.14914976543498826</v>
      </c>
      <c r="D12" s="66">
        <f t="shared" ref="D12:F12" si="2">D10/C10-1</f>
        <v>-5.2973915969660834E-2</v>
      </c>
      <c r="E12" s="66">
        <f t="shared" si="2"/>
        <v>3.2092312151970948E-2</v>
      </c>
      <c r="F12" s="66">
        <f t="shared" si="2"/>
        <v>0.34720743656765429</v>
      </c>
      <c r="G12" s="41"/>
      <c r="H12" s="41"/>
      <c r="I12" s="41"/>
      <c r="J12" s="41"/>
      <c r="K12" s="41"/>
    </row>
    <row r="13" spans="1:11" s="10" customFormat="1">
      <c r="A13" s="17" t="s">
        <v>32</v>
      </c>
      <c r="B13" s="61"/>
      <c r="C13" s="66"/>
      <c r="D13" s="66"/>
      <c r="E13" s="66"/>
      <c r="F13" s="66">
        <f>(F10/B10)^(1/4)-1</f>
        <v>0.10910559737016134</v>
      </c>
      <c r="G13" s="41"/>
      <c r="H13" s="41"/>
      <c r="I13" s="41"/>
      <c r="J13" s="41"/>
      <c r="K13" s="41"/>
    </row>
    <row r="14" spans="1:11" s="10" customFormat="1">
      <c r="A14" s="6"/>
      <c r="B14" s="61"/>
      <c r="C14" s="61"/>
      <c r="D14" s="61"/>
      <c r="E14" s="61"/>
      <c r="F14" s="61"/>
      <c r="G14" s="41"/>
      <c r="H14" s="41"/>
      <c r="I14" s="41"/>
      <c r="J14" s="41"/>
      <c r="K14" s="41"/>
    </row>
    <row r="15" spans="1:11" s="10" customFormat="1">
      <c r="A15" s="9" t="s">
        <v>16</v>
      </c>
      <c r="B15" s="65">
        <v>32700</v>
      </c>
      <c r="C15" s="65">
        <v>39748</v>
      </c>
      <c r="D15" s="65">
        <v>46291</v>
      </c>
      <c r="E15" s="65">
        <v>53768</v>
      </c>
      <c r="F15" s="65">
        <v>68425</v>
      </c>
      <c r="G15" s="27">
        <f>F15*(1+G16)</f>
        <v>82296.53865820721</v>
      </c>
      <c r="H15" s="27">
        <f t="shared" ref="H15:K15" si="3">G15*(1+H16)</f>
        <v>98980.201317088693</v>
      </c>
      <c r="I15" s="27">
        <f t="shared" si="3"/>
        <v>119046.07912442707</v>
      </c>
      <c r="J15" s="27">
        <f t="shared" si="3"/>
        <v>143179.83562691131</v>
      </c>
      <c r="K15" s="27">
        <f t="shared" si="3"/>
        <v>172206.13632072869</v>
      </c>
    </row>
    <row r="16" spans="1:11" s="10" customFormat="1">
      <c r="A16" s="17" t="s">
        <v>36</v>
      </c>
      <c r="B16" s="61"/>
      <c r="C16" s="61"/>
      <c r="D16" s="61"/>
      <c r="E16" s="61"/>
      <c r="F16" s="61"/>
      <c r="G16" s="74">
        <f>F18</f>
        <v>0.20272617695589634</v>
      </c>
      <c r="H16" s="74">
        <f>G16</f>
        <v>0.20272617695589634</v>
      </c>
      <c r="I16" s="74">
        <f t="shared" ref="I16:K16" si="4">H16</f>
        <v>0.20272617695589634</v>
      </c>
      <c r="J16" s="74">
        <f t="shared" si="4"/>
        <v>0.20272617695589634</v>
      </c>
      <c r="K16" s="74">
        <f t="shared" si="4"/>
        <v>0.20272617695589634</v>
      </c>
    </row>
    <row r="17" spans="1:11" s="10" customFormat="1">
      <c r="A17" s="17" t="s">
        <v>31</v>
      </c>
      <c r="B17" s="61"/>
      <c r="C17" s="66">
        <f>C15/B15-1</f>
        <v>0.21553516819571872</v>
      </c>
      <c r="D17" s="66">
        <f t="shared" ref="D17:F17" si="5">D15/C15-1</f>
        <v>0.16461205595250084</v>
      </c>
      <c r="E17" s="66">
        <f t="shared" si="5"/>
        <v>0.16152167807997242</v>
      </c>
      <c r="F17" s="66">
        <f t="shared" si="5"/>
        <v>0.27259708376729663</v>
      </c>
      <c r="G17" s="41"/>
      <c r="H17" s="41"/>
      <c r="I17" s="41"/>
      <c r="J17" s="41"/>
      <c r="K17" s="41"/>
    </row>
    <row r="18" spans="1:11" s="10" customFormat="1">
      <c r="A18" s="17" t="s">
        <v>32</v>
      </c>
      <c r="B18" s="61"/>
      <c r="C18" s="66"/>
      <c r="D18" s="66"/>
      <c r="E18" s="66"/>
      <c r="F18" s="66">
        <f>(F15/B15)^(1/4)-1</f>
        <v>0.20272617695589634</v>
      </c>
      <c r="G18" s="41"/>
      <c r="H18" s="41"/>
      <c r="I18" s="41"/>
      <c r="J18" s="41"/>
      <c r="K18" s="41"/>
    </row>
    <row r="19" spans="1:11">
      <c r="B19" s="67"/>
      <c r="C19" s="67"/>
      <c r="D19" s="67"/>
      <c r="E19" s="67"/>
      <c r="F19" s="67"/>
      <c r="G19" s="26"/>
      <c r="H19" s="26"/>
      <c r="I19" s="26"/>
      <c r="J19" s="26"/>
      <c r="K19" s="26"/>
    </row>
    <row r="20" spans="1:11">
      <c r="A20" s="7" t="s">
        <v>37</v>
      </c>
      <c r="B20" s="63"/>
      <c r="C20" s="63"/>
      <c r="D20" s="63"/>
      <c r="E20" s="63"/>
      <c r="F20" s="63"/>
      <c r="G20" s="42">
        <f>G10+G15</f>
        <v>412135.67047131422</v>
      </c>
      <c r="H20" s="42">
        <f t="shared" ref="H20:K20" si="6">H10+H15</f>
        <v>464806.62864272011</v>
      </c>
      <c r="I20" s="42">
        <f t="shared" si="6"/>
        <v>524786.21733721346</v>
      </c>
      <c r="J20" s="42">
        <f t="shared" si="6"/>
        <v>593188.49399645557</v>
      </c>
      <c r="K20" s="42">
        <f t="shared" si="6"/>
        <v>671313.25818342692</v>
      </c>
    </row>
    <row r="21" spans="1:11">
      <c r="A21" s="10"/>
      <c r="B21" s="67"/>
      <c r="C21" s="67"/>
      <c r="D21" s="67"/>
      <c r="E21" s="67"/>
      <c r="F21" s="67"/>
      <c r="G21" s="26"/>
      <c r="H21" s="26"/>
      <c r="I21" s="26"/>
      <c r="J21" s="26"/>
      <c r="K21" s="26"/>
    </row>
    <row r="22" spans="1:11">
      <c r="A22" s="13"/>
      <c r="B22" s="67"/>
      <c r="C22" s="67"/>
      <c r="D22" s="67"/>
      <c r="E22" s="67"/>
      <c r="F22" s="67"/>
      <c r="G22" s="43"/>
      <c r="H22" s="43"/>
      <c r="I22" s="43"/>
      <c r="J22" s="43"/>
      <c r="K22" s="43"/>
    </row>
    <row r="23" spans="1:11">
      <c r="A23" s="6" t="s">
        <v>26</v>
      </c>
      <c r="B23" s="61">
        <v>2745</v>
      </c>
      <c r="C23" s="61">
        <v>2005</v>
      </c>
      <c r="D23" s="61">
        <v>1807</v>
      </c>
      <c r="E23" s="61">
        <v>803</v>
      </c>
      <c r="F23" s="61">
        <v>258</v>
      </c>
      <c r="G23" s="42">
        <f>F23</f>
        <v>258</v>
      </c>
      <c r="H23" s="42">
        <f t="shared" ref="H23:K23" si="7">G23</f>
        <v>258</v>
      </c>
      <c r="I23" s="42">
        <f t="shared" si="7"/>
        <v>258</v>
      </c>
      <c r="J23" s="42">
        <f t="shared" si="7"/>
        <v>258</v>
      </c>
      <c r="K23" s="42">
        <f t="shared" si="7"/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showGridLines="0" topLeftCell="A16" workbookViewId="0">
      <selection activeCell="D34" sqref="D34"/>
    </sheetView>
  </sheetViews>
  <sheetFormatPr defaultRowHeight="15"/>
  <cols>
    <col min="1" max="1" width="47.85546875" bestFit="1" customWidth="1"/>
    <col min="7" max="11" width="11.5703125" bestFit="1" customWidth="1"/>
  </cols>
  <sheetData>
    <row r="1" spans="1:11">
      <c r="A1" s="11" t="s">
        <v>30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>
      <c r="A5" s="12" t="s">
        <v>34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>
      <c r="A7" s="14" t="s">
        <v>3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</row>
    <row r="8" spans="1:11">
      <c r="A8" s="10"/>
      <c r="B8" s="10"/>
      <c r="C8" s="10"/>
      <c r="D8" s="10"/>
      <c r="E8" s="10"/>
      <c r="F8" s="10"/>
      <c r="G8" s="26"/>
      <c r="H8" s="26"/>
      <c r="I8" s="26"/>
      <c r="J8" s="26"/>
      <c r="K8" s="26"/>
    </row>
    <row r="9" spans="1:11">
      <c r="A9" s="6" t="s">
        <v>14</v>
      </c>
      <c r="B9" s="18"/>
      <c r="C9" s="18"/>
      <c r="D9" s="18"/>
      <c r="E9" s="18"/>
      <c r="F9" s="18"/>
      <c r="G9" s="27"/>
      <c r="H9" s="27"/>
      <c r="I9" s="27"/>
      <c r="J9" s="27"/>
      <c r="K9" s="27"/>
    </row>
    <row r="10" spans="1:11">
      <c r="A10" s="6" t="s">
        <v>15</v>
      </c>
      <c r="B10" s="61">
        <v>196534</v>
      </c>
      <c r="C10" s="61">
        <v>225847</v>
      </c>
      <c r="D10" s="61">
        <v>213883</v>
      </c>
      <c r="E10" s="61">
        <v>220747</v>
      </c>
      <c r="F10" s="61">
        <v>297392</v>
      </c>
      <c r="G10" s="27">
        <f>'Income Statement'!G10</f>
        <v>329839.131813107</v>
      </c>
      <c r="H10" s="27">
        <f>'Income Statement'!H10</f>
        <v>365826.42732563143</v>
      </c>
      <c r="I10" s="27">
        <f>'Income Statement'!I10</f>
        <v>405740.13821278635</v>
      </c>
      <c r="J10" s="27">
        <f>'Income Statement'!J10</f>
        <v>450008.65836954425</v>
      </c>
      <c r="K10" s="27">
        <f>'Income Statement'!K10</f>
        <v>499107.12186269823</v>
      </c>
    </row>
    <row r="11" spans="1:11">
      <c r="A11" s="8" t="s">
        <v>16</v>
      </c>
      <c r="B11" s="62">
        <v>32700</v>
      </c>
      <c r="C11" s="62">
        <v>39748</v>
      </c>
      <c r="D11" s="62">
        <v>46291</v>
      </c>
      <c r="E11" s="62">
        <v>53768</v>
      </c>
      <c r="F11" s="62">
        <v>68425</v>
      </c>
      <c r="G11" s="30">
        <f>'Income Statement'!G11</f>
        <v>82296.53865820721</v>
      </c>
      <c r="H11" s="30">
        <f>'Income Statement'!H11</f>
        <v>98980.201317088693</v>
      </c>
      <c r="I11" s="30">
        <f>'Income Statement'!I11</f>
        <v>119046.07912442707</v>
      </c>
      <c r="J11" s="30">
        <f>'Income Statement'!J11</f>
        <v>143179.83562691131</v>
      </c>
      <c r="K11" s="30">
        <f>'Income Statement'!K11</f>
        <v>172206.13632072869</v>
      </c>
    </row>
    <row r="12" spans="1:11">
      <c r="A12" s="6" t="s">
        <v>17</v>
      </c>
      <c r="B12" s="61">
        <v>229234</v>
      </c>
      <c r="C12" s="61">
        <v>265595</v>
      </c>
      <c r="D12" s="61">
        <v>260174</v>
      </c>
      <c r="E12" s="61">
        <v>274515</v>
      </c>
      <c r="F12" s="61">
        <v>365817</v>
      </c>
      <c r="G12" s="44">
        <f>'Income Statement'!G12</f>
        <v>412135.67047131422</v>
      </c>
      <c r="H12" s="44">
        <f>'Income Statement'!H12</f>
        <v>464806.62864272011</v>
      </c>
      <c r="I12" s="44">
        <f>'Income Statement'!I12</f>
        <v>524786.21733721346</v>
      </c>
      <c r="J12" s="44">
        <f>'Income Statement'!J12</f>
        <v>593188.49399645557</v>
      </c>
      <c r="K12" s="44">
        <f>'Income Statement'!K12</f>
        <v>671313.25818342692</v>
      </c>
    </row>
    <row r="13" spans="1:11">
      <c r="A13" s="18"/>
      <c r="B13" s="64"/>
      <c r="C13" s="64"/>
      <c r="D13" s="64"/>
      <c r="E13" s="64"/>
      <c r="F13" s="64"/>
      <c r="G13" s="26"/>
      <c r="H13" s="26"/>
      <c r="I13" s="26"/>
      <c r="J13" s="26"/>
      <c r="K13" s="26"/>
    </row>
    <row r="14" spans="1:11">
      <c r="A14" s="6" t="s">
        <v>18</v>
      </c>
      <c r="B14" s="61"/>
      <c r="C14" s="61"/>
      <c r="D14" s="61"/>
      <c r="E14" s="61"/>
      <c r="F14" s="61"/>
      <c r="G14" s="26"/>
      <c r="H14" s="26"/>
      <c r="I14" s="26"/>
      <c r="J14" s="26"/>
      <c r="K14" s="26"/>
    </row>
    <row r="15" spans="1:11">
      <c r="A15" s="6" t="s">
        <v>15</v>
      </c>
      <c r="B15" s="61">
        <v>126337</v>
      </c>
      <c r="C15" s="61">
        <v>148164</v>
      </c>
      <c r="D15" s="61">
        <v>144996</v>
      </c>
      <c r="E15" s="61">
        <v>151286</v>
      </c>
      <c r="F15" s="61">
        <v>192266</v>
      </c>
      <c r="G15" s="27">
        <f>G10*G26</f>
        <v>218262.98601953773</v>
      </c>
      <c r="H15" s="27">
        <f t="shared" ref="H15:K15" si="0">H10*H26</f>
        <v>242076.69949299455</v>
      </c>
      <c r="I15" s="27">
        <f t="shared" si="0"/>
        <v>268488.62240057474</v>
      </c>
      <c r="J15" s="27">
        <f t="shared" si="0"/>
        <v>297782.23393468116</v>
      </c>
      <c r="K15" s="27">
        <f t="shared" si="0"/>
        <v>330271.94245434564</v>
      </c>
    </row>
    <row r="16" spans="1:11">
      <c r="A16" s="8" t="s">
        <v>16</v>
      </c>
      <c r="B16" s="62">
        <v>14711</v>
      </c>
      <c r="C16" s="62">
        <v>15592</v>
      </c>
      <c r="D16" s="62">
        <v>16786</v>
      </c>
      <c r="E16" s="62">
        <v>18273</v>
      </c>
      <c r="F16" s="62">
        <v>20715</v>
      </c>
      <c r="G16" s="30">
        <f>G11*G27</f>
        <v>30406.221896698858</v>
      </c>
      <c r="H16" s="30">
        <f t="shared" ref="H16:K16" si="1">H11*H27</f>
        <v>36570.359017489282</v>
      </c>
      <c r="I16" s="30">
        <f t="shared" si="1"/>
        <v>43984.128091009479</v>
      </c>
      <c r="J16" s="30">
        <f t="shared" si="1"/>
        <v>52900.862225638281</v>
      </c>
      <c r="K16" s="30">
        <f t="shared" si="1"/>
        <v>63625.251782312524</v>
      </c>
    </row>
    <row r="17" spans="1:11">
      <c r="A17" s="9" t="s">
        <v>19</v>
      </c>
      <c r="B17" s="65">
        <v>141048</v>
      </c>
      <c r="C17" s="65">
        <v>163756</v>
      </c>
      <c r="D17" s="65">
        <v>161782</v>
      </c>
      <c r="E17" s="65">
        <v>169559</v>
      </c>
      <c r="F17" s="65">
        <v>212981</v>
      </c>
      <c r="G17" s="27">
        <f>SUM(G15:G16)</f>
        <v>248669.2079162366</v>
      </c>
      <c r="H17" s="27">
        <f t="shared" ref="H17:K17" si="2">SUM(H15:H16)</f>
        <v>278647.05851048382</v>
      </c>
      <c r="I17" s="27">
        <f t="shared" si="2"/>
        <v>312472.75049158419</v>
      </c>
      <c r="J17" s="27">
        <f t="shared" si="2"/>
        <v>350683.09616031946</v>
      </c>
      <c r="K17" s="27">
        <f t="shared" si="2"/>
        <v>393897.19423665816</v>
      </c>
    </row>
    <row r="18" spans="1:11">
      <c r="A18" s="6"/>
      <c r="B18" s="61"/>
      <c r="C18" s="61"/>
      <c r="D18" s="61"/>
      <c r="E18" s="61"/>
      <c r="F18" s="61"/>
      <c r="G18" s="27"/>
      <c r="H18" s="27"/>
      <c r="I18" s="27"/>
      <c r="J18" s="27"/>
      <c r="K18" s="27"/>
    </row>
    <row r="19" spans="1:11">
      <c r="A19" s="6" t="s">
        <v>21</v>
      </c>
      <c r="B19" s="61"/>
      <c r="C19" s="61"/>
      <c r="D19" s="61"/>
      <c r="E19" s="61"/>
      <c r="F19" s="61"/>
      <c r="G19" s="27"/>
      <c r="H19" s="27"/>
      <c r="I19" s="27"/>
      <c r="J19" s="27"/>
      <c r="K19" s="27"/>
    </row>
    <row r="20" spans="1:11">
      <c r="A20" s="6" t="s">
        <v>22</v>
      </c>
      <c r="B20" s="61">
        <v>11581</v>
      </c>
      <c r="C20" s="61">
        <v>14236</v>
      </c>
      <c r="D20" s="61">
        <v>16217</v>
      </c>
      <c r="E20" s="61">
        <v>18752</v>
      </c>
      <c r="F20" s="61">
        <v>21914</v>
      </c>
      <c r="G20" s="27">
        <f>G12*G29</f>
        <v>24288.476500776967</v>
      </c>
      <c r="H20" s="27">
        <f t="shared" ref="H20:K20" si="3">H12*H29</f>
        <v>27392.544945899921</v>
      </c>
      <c r="I20" s="27">
        <f t="shared" si="3"/>
        <v>30927.334421575426</v>
      </c>
      <c r="J20" s="27">
        <f t="shared" si="3"/>
        <v>34958.499904868106</v>
      </c>
      <c r="K20" s="27">
        <f t="shared" si="3"/>
        <v>39562.642751601066</v>
      </c>
    </row>
    <row r="21" spans="1:11">
      <c r="A21" s="8" t="s">
        <v>23</v>
      </c>
      <c r="B21" s="62">
        <v>15261</v>
      </c>
      <c r="C21" s="62">
        <v>16705</v>
      </c>
      <c r="D21" s="62">
        <v>18245</v>
      </c>
      <c r="E21" s="62">
        <v>19916</v>
      </c>
      <c r="F21" s="62">
        <v>21973</v>
      </c>
      <c r="G21" s="30">
        <f>G12*G30</f>
        <v>27383.272944694785</v>
      </c>
      <c r="H21" s="30">
        <f t="shared" ref="H21:K21" si="4">H12*H30</f>
        <v>30882.856521667887</v>
      </c>
      <c r="I21" s="30">
        <f t="shared" si="4"/>
        <v>34868.042871719961</v>
      </c>
      <c r="J21" s="30">
        <f t="shared" si="4"/>
        <v>39412.852617638142</v>
      </c>
      <c r="K21" s="30">
        <f t="shared" si="4"/>
        <v>44603.647529967027</v>
      </c>
    </row>
    <row r="22" spans="1:11">
      <c r="A22" s="6" t="s">
        <v>24</v>
      </c>
      <c r="B22" s="61">
        <v>26842</v>
      </c>
      <c r="C22" s="61">
        <v>30941</v>
      </c>
      <c r="D22" s="61">
        <v>34462</v>
      </c>
      <c r="E22" s="61">
        <v>38668</v>
      </c>
      <c r="F22" s="61">
        <v>43887</v>
      </c>
      <c r="G22" s="27">
        <f>SUM(G20:G21)</f>
        <v>51671.749445471753</v>
      </c>
      <c r="H22" s="27">
        <f t="shared" ref="H22:K22" si="5">SUM(H20:H21)</f>
        <v>58275.401467567805</v>
      </c>
      <c r="I22" s="27">
        <f t="shared" si="5"/>
        <v>65795.377293295387</v>
      </c>
      <c r="J22" s="27">
        <f t="shared" si="5"/>
        <v>74371.352522506248</v>
      </c>
      <c r="K22" s="27">
        <f t="shared" si="5"/>
        <v>84166.290281568101</v>
      </c>
    </row>
    <row r="23" spans="1:11" s="19" customFormat="1">
      <c r="A23" s="6"/>
      <c r="B23" s="61"/>
      <c r="C23" s="61"/>
      <c r="D23" s="61"/>
      <c r="E23" s="61"/>
      <c r="F23" s="61"/>
      <c r="G23" s="26"/>
      <c r="H23" s="26"/>
      <c r="I23" s="26"/>
      <c r="J23" s="26"/>
      <c r="K23" s="26"/>
    </row>
    <row r="24" spans="1:11">
      <c r="A24" s="19" t="s">
        <v>38</v>
      </c>
      <c r="B24" s="67"/>
      <c r="C24" s="67"/>
      <c r="D24" s="67"/>
      <c r="E24" s="67"/>
      <c r="F24" s="67"/>
      <c r="G24" s="26"/>
      <c r="H24" s="26"/>
      <c r="I24" s="26"/>
      <c r="J24" s="26"/>
      <c r="K24" s="26"/>
    </row>
    <row r="25" spans="1:11">
      <c r="B25" s="67"/>
      <c r="C25" s="67"/>
      <c r="D25" s="67"/>
      <c r="E25" s="67"/>
      <c r="F25" s="67"/>
      <c r="G25" s="26"/>
      <c r="H25" s="26"/>
      <c r="I25" s="26"/>
      <c r="J25" s="26"/>
      <c r="K25" s="26"/>
    </row>
    <row r="26" spans="1:11">
      <c r="A26" s="6" t="s">
        <v>15</v>
      </c>
      <c r="B26" s="68">
        <f>B15/B10</f>
        <v>0.64282516002320211</v>
      </c>
      <c r="C26" s="68">
        <f t="shared" ref="C26:F26" si="6">C15/C10</f>
        <v>0.65603705163229975</v>
      </c>
      <c r="D26" s="68">
        <f t="shared" si="6"/>
        <v>0.67792204148997348</v>
      </c>
      <c r="E26" s="68">
        <f t="shared" si="6"/>
        <v>0.68533660706600774</v>
      </c>
      <c r="F26" s="68">
        <f t="shared" si="6"/>
        <v>0.64650696723516432</v>
      </c>
      <c r="G26" s="74">
        <f>AVERAGE(B26:F26)</f>
        <v>0.66172556548932948</v>
      </c>
      <c r="H26" s="74">
        <f>G26</f>
        <v>0.66172556548932948</v>
      </c>
      <c r="I26" s="74">
        <f t="shared" ref="I26:K26" si="7">H26</f>
        <v>0.66172556548932948</v>
      </c>
      <c r="J26" s="74">
        <f t="shared" si="7"/>
        <v>0.66172556548932948</v>
      </c>
      <c r="K26" s="74">
        <f t="shared" si="7"/>
        <v>0.66172556548932948</v>
      </c>
    </row>
    <row r="27" spans="1:11">
      <c r="A27" s="9" t="s">
        <v>16</v>
      </c>
      <c r="B27" s="69">
        <f>B16/B11</f>
        <v>0.4498776758409786</v>
      </c>
      <c r="C27" s="69">
        <f t="shared" ref="C27:F27" si="8">C16/C11</f>
        <v>0.39227130924826409</v>
      </c>
      <c r="D27" s="69">
        <f t="shared" si="8"/>
        <v>0.36261908362316647</v>
      </c>
      <c r="E27" s="69">
        <f t="shared" si="8"/>
        <v>0.33984898080642761</v>
      </c>
      <c r="F27" s="69">
        <f t="shared" si="8"/>
        <v>0.30274022652539279</v>
      </c>
      <c r="G27" s="74">
        <f t="shared" ref="G27:G30" si="9">AVERAGE(B27:F27)</f>
        <v>0.36947145520884589</v>
      </c>
      <c r="H27" s="74">
        <f t="shared" ref="H27:K30" si="10">G27</f>
        <v>0.36947145520884589</v>
      </c>
      <c r="I27" s="74">
        <f t="shared" si="10"/>
        <v>0.36947145520884589</v>
      </c>
      <c r="J27" s="74">
        <f t="shared" si="10"/>
        <v>0.36947145520884589</v>
      </c>
      <c r="K27" s="74">
        <f t="shared" si="10"/>
        <v>0.36947145520884589</v>
      </c>
    </row>
    <row r="28" spans="1:11">
      <c r="B28" s="68"/>
      <c r="C28" s="68"/>
      <c r="D28" s="68"/>
      <c r="E28" s="68"/>
      <c r="F28" s="68"/>
      <c r="G28" s="74"/>
      <c r="H28" s="74"/>
      <c r="I28" s="74"/>
      <c r="J28" s="74"/>
      <c r="K28" s="74"/>
    </row>
    <row r="29" spans="1:11">
      <c r="A29" s="6" t="s">
        <v>22</v>
      </c>
      <c r="B29" s="68">
        <f>B20/B12</f>
        <v>5.0520428906706681E-2</v>
      </c>
      <c r="C29" s="68">
        <f t="shared" ref="C29:F29" si="11">C20/C12</f>
        <v>5.3600406634161032E-2</v>
      </c>
      <c r="D29" s="68">
        <f t="shared" si="11"/>
        <v>6.233136285716482E-2</v>
      </c>
      <c r="E29" s="68">
        <f t="shared" si="11"/>
        <v>6.8309564140393061E-2</v>
      </c>
      <c r="F29" s="68">
        <f t="shared" si="11"/>
        <v>5.9904269074427925E-2</v>
      </c>
      <c r="G29" s="74">
        <f t="shared" si="9"/>
        <v>5.8933206322570694E-2</v>
      </c>
      <c r="H29" s="74">
        <f t="shared" si="10"/>
        <v>5.8933206322570694E-2</v>
      </c>
      <c r="I29" s="74">
        <f t="shared" si="10"/>
        <v>5.8933206322570694E-2</v>
      </c>
      <c r="J29" s="74">
        <f t="shared" si="10"/>
        <v>5.8933206322570694E-2</v>
      </c>
      <c r="K29" s="74">
        <f t="shared" si="10"/>
        <v>5.8933206322570694E-2</v>
      </c>
    </row>
    <row r="30" spans="1:11">
      <c r="A30" s="9" t="s">
        <v>23</v>
      </c>
      <c r="B30" s="68">
        <f>B21/B12</f>
        <v>6.6573893924984945E-2</v>
      </c>
      <c r="C30" s="68">
        <f t="shared" ref="C30:F30" si="12">C21/C12</f>
        <v>6.2896515371147807E-2</v>
      </c>
      <c r="D30" s="68">
        <f t="shared" si="12"/>
        <v>7.0126146348213125E-2</v>
      </c>
      <c r="E30" s="68">
        <f t="shared" si="12"/>
        <v>7.2549769593646979E-2</v>
      </c>
      <c r="F30" s="68">
        <f t="shared" si="12"/>
        <v>6.006555190163388E-2</v>
      </c>
      <c r="G30" s="74">
        <f t="shared" si="9"/>
        <v>6.6442375427925346E-2</v>
      </c>
      <c r="H30" s="74">
        <f t="shared" si="10"/>
        <v>6.6442375427925346E-2</v>
      </c>
      <c r="I30" s="74">
        <f t="shared" si="10"/>
        <v>6.6442375427925346E-2</v>
      </c>
      <c r="J30" s="74">
        <f t="shared" si="10"/>
        <v>6.6442375427925346E-2</v>
      </c>
      <c r="K30" s="74">
        <f t="shared" si="10"/>
        <v>6.6442375427925346E-2</v>
      </c>
    </row>
    <row r="31" spans="1:11" s="19" customFormat="1">
      <c r="A31" s="9"/>
      <c r="B31" s="68"/>
      <c r="C31" s="68"/>
      <c r="D31" s="68"/>
      <c r="E31" s="68"/>
      <c r="F31" s="68"/>
      <c r="G31" s="41"/>
      <c r="H31" s="41"/>
      <c r="I31" s="41"/>
      <c r="J31" s="41"/>
      <c r="K31" s="41"/>
    </row>
    <row r="32" spans="1:11">
      <c r="B32" s="67"/>
      <c r="C32" s="67"/>
      <c r="D32" s="67"/>
      <c r="E32" s="67"/>
      <c r="F32" s="67"/>
      <c r="G32" s="26"/>
      <c r="H32" s="26"/>
      <c r="I32" s="26"/>
      <c r="J32" s="26"/>
      <c r="K32" s="26"/>
    </row>
    <row r="33" spans="1:11">
      <c r="A33" s="6" t="s">
        <v>27</v>
      </c>
      <c r="B33" s="61">
        <v>64089</v>
      </c>
      <c r="C33" s="61">
        <v>72903</v>
      </c>
      <c r="D33" s="61">
        <v>65737</v>
      </c>
      <c r="E33" s="61">
        <v>67091</v>
      </c>
      <c r="F33" s="61">
        <v>109207</v>
      </c>
      <c r="G33" s="27">
        <f>'Income Statement'!G27</f>
        <v>112052.71310960587</v>
      </c>
      <c r="H33" s="27">
        <f>'Income Statement'!H27</f>
        <v>128142.16866466848</v>
      </c>
      <c r="I33" s="27">
        <f>'Income Statement'!I27</f>
        <v>146776.08955233387</v>
      </c>
      <c r="J33" s="27">
        <f>'Income Statement'!J27</f>
        <v>168392.04531362985</v>
      </c>
      <c r="K33" s="27">
        <f>'Income Statement'!K27</f>
        <v>193507.77366520066</v>
      </c>
    </row>
    <row r="34" spans="1:11">
      <c r="A34" s="9" t="s">
        <v>28</v>
      </c>
      <c r="B34" s="65">
        <v>15738</v>
      </c>
      <c r="C34" s="65">
        <v>13372</v>
      </c>
      <c r="D34" s="65">
        <v>10481</v>
      </c>
      <c r="E34" s="65">
        <v>9680</v>
      </c>
      <c r="F34" s="65">
        <v>14527</v>
      </c>
      <c r="G34" s="42">
        <f>G33*G35</f>
        <v>14905.5441807141</v>
      </c>
      <c r="H34" s="42">
        <f t="shared" ref="H34:K34" si="13">H33*H35</f>
        <v>17045.805527041666</v>
      </c>
      <c r="I34" s="42">
        <f t="shared" si="13"/>
        <v>19524.538288999371</v>
      </c>
      <c r="J34" s="42">
        <f t="shared" si="13"/>
        <v>22399.949108309</v>
      </c>
      <c r="K34" s="42">
        <f t="shared" si="13"/>
        <v>25740.908806526782</v>
      </c>
    </row>
    <row r="35" spans="1:11">
      <c r="A35" s="23" t="s">
        <v>39</v>
      </c>
      <c r="B35" s="70">
        <f>B34/B33</f>
        <v>0.24556476150353415</v>
      </c>
      <c r="C35" s="70">
        <f t="shared" ref="C35:F35" si="14">C34/C33</f>
        <v>0.18342180705869443</v>
      </c>
      <c r="D35" s="70">
        <f t="shared" si="14"/>
        <v>0.15943836804235059</v>
      </c>
      <c r="E35" s="70">
        <f t="shared" si="14"/>
        <v>0.14428164731484103</v>
      </c>
      <c r="F35" s="70">
        <f t="shared" si="14"/>
        <v>0.13302260844085087</v>
      </c>
      <c r="G35" s="74">
        <f>F35</f>
        <v>0.13302260844085087</v>
      </c>
      <c r="H35" s="74">
        <f t="shared" ref="H35:K35" si="15">G35</f>
        <v>0.13302260844085087</v>
      </c>
      <c r="I35" s="74">
        <f t="shared" si="15"/>
        <v>0.13302260844085087</v>
      </c>
      <c r="J35" s="74">
        <f t="shared" si="15"/>
        <v>0.13302260844085087</v>
      </c>
      <c r="K35" s="74">
        <f t="shared" si="15"/>
        <v>0.13302260844085087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showGridLines="0" workbookViewId="0">
      <selection activeCell="G22" sqref="G22"/>
    </sheetView>
  </sheetViews>
  <sheetFormatPr defaultRowHeight="15"/>
  <cols>
    <col min="1" max="1" width="54.28515625" bestFit="1" customWidth="1"/>
    <col min="7" max="10" width="10.7109375" bestFit="1" customWidth="1"/>
    <col min="11" max="11" width="11.5703125" bestFit="1" customWidth="1"/>
  </cols>
  <sheetData>
    <row r="1" spans="1:11">
      <c r="A1" s="11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>
      <c r="A3" s="18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spans="1:1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>
      <c r="A5" s="12" t="s">
        <v>41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>
      <c r="A7" s="14" t="s">
        <v>3</v>
      </c>
      <c r="B7" s="15" t="s">
        <v>4</v>
      </c>
      <c r="C7" s="15" t="s">
        <v>5</v>
      </c>
      <c r="D7" s="15" t="s">
        <v>6</v>
      </c>
      <c r="E7" s="15" t="s">
        <v>7</v>
      </c>
      <c r="F7" s="15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</row>
    <row r="8" spans="1:11">
      <c r="G8" s="26"/>
      <c r="H8" s="26"/>
      <c r="I8" s="26"/>
      <c r="J8" s="26"/>
      <c r="K8" s="26"/>
    </row>
    <row r="9" spans="1:11">
      <c r="A9" s="24" t="s">
        <v>40</v>
      </c>
      <c r="B9" s="71">
        <v>33783</v>
      </c>
      <c r="C9" s="71">
        <v>41304</v>
      </c>
      <c r="D9" s="71">
        <v>37378</v>
      </c>
      <c r="E9" s="71">
        <v>36766</v>
      </c>
      <c r="F9" s="71">
        <v>39440</v>
      </c>
      <c r="G9" s="45">
        <f ca="1">F9+G14-G11</f>
        <v>40024.344572511109</v>
      </c>
      <c r="H9" s="45">
        <f t="shared" ref="H9:K9" ca="1" si="0">G9+H14-H11</f>
        <v>41704.89129860299</v>
      </c>
      <c r="I9" s="45">
        <f t="shared" ca="1" si="0"/>
        <v>44401.041573682443</v>
      </c>
      <c r="J9" s="45">
        <f t="shared" ca="1" si="0"/>
        <v>48076.692788836466</v>
      </c>
      <c r="K9" s="45">
        <f t="shared" ca="1" si="0"/>
        <v>52734.376085986929</v>
      </c>
    </row>
    <row r="10" spans="1:11">
      <c r="A10" s="24"/>
      <c r="B10" s="72"/>
      <c r="C10" s="72"/>
      <c r="D10" s="72"/>
      <c r="E10" s="72"/>
      <c r="F10" s="72"/>
      <c r="G10" s="46"/>
      <c r="H10" s="46"/>
      <c r="I10" s="46"/>
      <c r="J10" s="46"/>
      <c r="K10" s="46"/>
    </row>
    <row r="11" spans="1:11">
      <c r="A11" s="24" t="s">
        <v>42</v>
      </c>
      <c r="B11" s="71">
        <v>10157</v>
      </c>
      <c r="C11" s="71">
        <v>10903</v>
      </c>
      <c r="D11" s="71">
        <v>12547</v>
      </c>
      <c r="E11" s="71">
        <v>11056</v>
      </c>
      <c r="F11" s="71">
        <v>11284</v>
      </c>
      <c r="G11" s="45">
        <f ca="1">G9*G12</f>
        <v>11904.20545981248</v>
      </c>
      <c r="H11" s="45">
        <f t="shared" ref="H11:K11" ca="1" si="1">H9*H12</f>
        <v>12404.040590803053</v>
      </c>
      <c r="I11" s="45">
        <f t="shared" ca="1" si="1"/>
        <v>13205.940713537833</v>
      </c>
      <c r="J11" s="45">
        <f t="shared" ca="1" si="1"/>
        <v>14299.168041334089</v>
      </c>
      <c r="K11" s="45">
        <f t="shared" ca="1" si="1"/>
        <v>15684.475396850325</v>
      </c>
    </row>
    <row r="12" spans="1:11" s="19" customFormat="1">
      <c r="A12" s="24" t="s">
        <v>44</v>
      </c>
      <c r="B12" s="73">
        <f>B11/B9</f>
        <v>0.3006541751768641</v>
      </c>
      <c r="C12" s="73">
        <f t="shared" ref="C12:F12" si="2">C11/C9</f>
        <v>0.26396959132287429</v>
      </c>
      <c r="D12" s="73">
        <f t="shared" si="2"/>
        <v>0.33567874150569854</v>
      </c>
      <c r="E12" s="73">
        <f t="shared" si="2"/>
        <v>0.30071261491595497</v>
      </c>
      <c r="F12" s="73">
        <f t="shared" si="2"/>
        <v>0.28610547667342801</v>
      </c>
      <c r="G12" s="75">
        <f>AVERAGE(B12:F12)</f>
        <v>0.297424119918964</v>
      </c>
      <c r="H12" s="75">
        <f>G12</f>
        <v>0.297424119918964</v>
      </c>
      <c r="I12" s="75">
        <f t="shared" ref="I12:K12" si="3">H12</f>
        <v>0.297424119918964</v>
      </c>
      <c r="J12" s="75">
        <f t="shared" si="3"/>
        <v>0.297424119918964</v>
      </c>
      <c r="K12" s="75">
        <f t="shared" si="3"/>
        <v>0.297424119918964</v>
      </c>
    </row>
    <row r="13" spans="1:11">
      <c r="A13" s="24"/>
      <c r="B13" s="72"/>
      <c r="C13" s="72"/>
      <c r="D13" s="72"/>
      <c r="E13" s="72"/>
      <c r="F13" s="72"/>
      <c r="G13" s="46"/>
      <c r="H13" s="46"/>
      <c r="I13" s="46"/>
      <c r="J13" s="46"/>
      <c r="K13" s="46"/>
    </row>
    <row r="14" spans="1:11">
      <c r="A14" s="25" t="s">
        <v>43</v>
      </c>
      <c r="B14" s="71">
        <v>12451</v>
      </c>
      <c r="C14" s="71">
        <v>13313</v>
      </c>
      <c r="D14" s="71">
        <v>10495</v>
      </c>
      <c r="E14" s="71">
        <v>7309</v>
      </c>
      <c r="F14" s="71">
        <v>11085</v>
      </c>
      <c r="G14" s="45">
        <f>'Income Statement'!G12*'Asset and Liability Driver'!G15</f>
        <v>12488.550032323588</v>
      </c>
      <c r="H14" s="45">
        <f>'Income Statement'!H12*'Asset and Liability Driver'!H15</f>
        <v>14084.587316894929</v>
      </c>
      <c r="I14" s="45">
        <f>'Income Statement'!I12*'Asset and Liability Driver'!I15</f>
        <v>15902.09098861729</v>
      </c>
      <c r="J14" s="45">
        <f>'Income Statement'!J12*'Asset and Liability Driver'!J15</f>
        <v>17974.819256488106</v>
      </c>
      <c r="K14" s="45">
        <f>'Income Statement'!K12*'Asset and Liability Driver'!K15</f>
        <v>20342.158694000791</v>
      </c>
    </row>
    <row r="15" spans="1:11">
      <c r="A15" s="24" t="s">
        <v>45</v>
      </c>
      <c r="B15" s="73">
        <f>B14/'Income Statement'!B12</f>
        <v>5.4315677430049641E-2</v>
      </c>
      <c r="C15" s="73">
        <f>C14/'Income Statement'!C12</f>
        <v>5.0125190609762983E-2</v>
      </c>
      <c r="D15" s="73">
        <f>D14/'Income Statement'!D12</f>
        <v>4.033838892433525E-2</v>
      </c>
      <c r="E15" s="73">
        <f>E14/'Income Statement'!E12</f>
        <v>2.6625138881299748E-2</v>
      </c>
      <c r="F15" s="73">
        <f>F14/'Income Statement'!F12</f>
        <v>3.0302036264033657E-2</v>
      </c>
      <c r="G15" s="75">
        <f>F15</f>
        <v>3.0302036264033657E-2</v>
      </c>
      <c r="H15" s="75">
        <f t="shared" ref="H15:K15" si="4">G15</f>
        <v>3.0302036264033657E-2</v>
      </c>
      <c r="I15" s="75">
        <f t="shared" si="4"/>
        <v>3.0302036264033657E-2</v>
      </c>
      <c r="J15" s="75">
        <f t="shared" si="4"/>
        <v>3.0302036264033657E-2</v>
      </c>
      <c r="K15" s="75">
        <f t="shared" si="4"/>
        <v>3.0302036264033657E-2</v>
      </c>
    </row>
    <row r="16" spans="1:11">
      <c r="A16" s="24"/>
      <c r="B16" s="72"/>
      <c r="C16" s="72"/>
      <c r="D16" s="72"/>
      <c r="E16" s="72"/>
      <c r="F16" s="72"/>
      <c r="G16" s="46"/>
      <c r="H16" s="46"/>
      <c r="I16" s="46"/>
      <c r="J16" s="46"/>
      <c r="K16" s="46"/>
    </row>
    <row r="17" spans="1:11">
      <c r="A17" s="24" t="s">
        <v>46</v>
      </c>
      <c r="B17" s="71">
        <v>128645</v>
      </c>
      <c r="C17" s="71">
        <v>131339</v>
      </c>
      <c r="D17" s="71">
        <v>162819</v>
      </c>
      <c r="E17" s="71">
        <v>143713</v>
      </c>
      <c r="F17" s="71">
        <v>134836</v>
      </c>
      <c r="G17" s="46"/>
      <c r="H17" s="46"/>
      <c r="I17" s="46"/>
      <c r="J17" s="46"/>
      <c r="K17" s="46"/>
    </row>
    <row r="18" spans="1:11">
      <c r="A18" s="24" t="s">
        <v>47</v>
      </c>
      <c r="B18" s="71">
        <v>100814</v>
      </c>
      <c r="C18" s="71">
        <v>115929</v>
      </c>
      <c r="D18" s="71">
        <v>105718</v>
      </c>
      <c r="E18" s="71">
        <v>105392</v>
      </c>
      <c r="F18" s="71">
        <v>125481</v>
      </c>
      <c r="G18" s="46"/>
      <c r="H18" s="46"/>
      <c r="I18" s="46"/>
      <c r="J18" s="46"/>
      <c r="K18" s="46"/>
    </row>
    <row r="19" spans="1:11">
      <c r="A19" s="24" t="s">
        <v>48</v>
      </c>
      <c r="B19" s="71">
        <f>B17-B18</f>
        <v>27831</v>
      </c>
      <c r="C19" s="71">
        <f t="shared" ref="C19:F19" si="5">C17-C18</f>
        <v>15410</v>
      </c>
      <c r="D19" s="71">
        <f t="shared" si="5"/>
        <v>57101</v>
      </c>
      <c r="E19" s="71">
        <f t="shared" si="5"/>
        <v>38321</v>
      </c>
      <c r="F19" s="71">
        <f t="shared" si="5"/>
        <v>9355</v>
      </c>
      <c r="G19" s="47">
        <f>'Income Statement'!G12*'Asset and Liability Driver'!G20</f>
        <v>46494.66505605563</v>
      </c>
      <c r="H19" s="47">
        <f>'Income Statement'!H12*'Asset and Liability Driver'!H20</f>
        <v>52436.685448419325</v>
      </c>
      <c r="I19" s="47">
        <f>'Income Statement'!I12*'Asset and Liability Driver'!I20</f>
        <v>59203.221534367149</v>
      </c>
      <c r="J19" s="47">
        <f>'Income Statement'!J12*'Asset and Liability Driver'!J20</f>
        <v>66919.954567220397</v>
      </c>
      <c r="K19" s="47">
        <f>'Income Statement'!K12*'Asset and Liability Driver'!K20</f>
        <v>75733.520108156488</v>
      </c>
    </row>
    <row r="20" spans="1:11">
      <c r="A20" s="24" t="s">
        <v>49</v>
      </c>
      <c r="B20" s="73">
        <f>B19/'Income Statement'!B12</f>
        <v>0.12140869155535391</v>
      </c>
      <c r="C20" s="73">
        <f>C19/'Income Statement'!C12</f>
        <v>5.8020670569852592E-2</v>
      </c>
      <c r="D20" s="73">
        <f>D19/'Income Statement'!D12</f>
        <v>0.21947235311752905</v>
      </c>
      <c r="E20" s="73">
        <f>E19/'Income Statement'!E12</f>
        <v>0.13959528623208203</v>
      </c>
      <c r="F20" s="73">
        <f>F19/'Income Statement'!F12</f>
        <v>2.557289573748623E-2</v>
      </c>
      <c r="G20" s="75">
        <f>AVERAGE(B20:F20)</f>
        <v>0.11281397944246077</v>
      </c>
      <c r="H20" s="75">
        <f>G20</f>
        <v>0.11281397944246077</v>
      </c>
      <c r="I20" s="75">
        <f t="shared" ref="I20:K20" si="6">H20</f>
        <v>0.11281397944246077</v>
      </c>
      <c r="J20" s="75">
        <f t="shared" si="6"/>
        <v>0.11281397944246077</v>
      </c>
      <c r="K20" s="75">
        <f t="shared" si="6"/>
        <v>0.11281397944246077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2"/>
  <sheetViews>
    <sheetView showGridLines="0" workbookViewId="0">
      <selection activeCell="C30" sqref="C30"/>
    </sheetView>
  </sheetViews>
  <sheetFormatPr defaultRowHeight="15"/>
  <cols>
    <col min="1" max="1" width="47.85546875" bestFit="1" customWidth="1"/>
    <col min="2" max="2" width="13.5703125" bestFit="1" customWidth="1"/>
    <col min="3" max="6" width="11.7109375" bestFit="1" customWidth="1"/>
  </cols>
  <sheetData>
    <row r="1" spans="1:2">
      <c r="A1" s="11" t="s">
        <v>30</v>
      </c>
      <c r="B1" s="19"/>
    </row>
    <row r="2" spans="1:2">
      <c r="A2" s="19" t="s">
        <v>0</v>
      </c>
      <c r="B2" s="19"/>
    </row>
    <row r="3" spans="1:2">
      <c r="A3" s="19" t="s">
        <v>1</v>
      </c>
      <c r="B3" s="19"/>
    </row>
    <row r="4" spans="1:2">
      <c r="A4" s="19"/>
      <c r="B4" s="19"/>
    </row>
    <row r="5" spans="1:2">
      <c r="A5" s="12" t="s">
        <v>51</v>
      </c>
      <c r="B5" s="19"/>
    </row>
    <row r="6" spans="1:2">
      <c r="A6" s="19"/>
      <c r="B6" s="19"/>
    </row>
    <row r="7" spans="1:2">
      <c r="A7" s="26" t="s">
        <v>52</v>
      </c>
      <c r="B7" s="19"/>
    </row>
    <row r="8" spans="1:2">
      <c r="A8" s="19" t="s">
        <v>53</v>
      </c>
      <c r="B8" s="21">
        <v>0.03</v>
      </c>
    </row>
    <row r="9" spans="1:2">
      <c r="A9" s="19" t="s">
        <v>54</v>
      </c>
      <c r="B9" s="21">
        <v>0.08</v>
      </c>
    </row>
    <row r="10" spans="1:2">
      <c r="A10" s="19"/>
      <c r="B10" s="20"/>
    </row>
    <row r="11" spans="1:2">
      <c r="A11" s="26" t="s">
        <v>55</v>
      </c>
      <c r="B11" s="20"/>
    </row>
    <row r="12" spans="1:2">
      <c r="A12" s="19" t="s">
        <v>56</v>
      </c>
      <c r="B12" s="20">
        <v>109106</v>
      </c>
    </row>
    <row r="13" spans="1:2">
      <c r="A13" s="19" t="s">
        <v>57</v>
      </c>
      <c r="B13" s="20">
        <v>34940</v>
      </c>
    </row>
    <row r="14" spans="1:2">
      <c r="A14" s="19" t="s">
        <v>58</v>
      </c>
      <c r="B14" s="20">
        <v>16864</v>
      </c>
    </row>
    <row r="15" spans="1:2">
      <c r="A15" s="19" t="s">
        <v>39</v>
      </c>
      <c r="B15" s="21">
        <f>'Cost Driver'!G35</f>
        <v>0.13302260844085087</v>
      </c>
    </row>
    <row r="17" spans="1:6">
      <c r="A17" s="26" t="s">
        <v>51</v>
      </c>
    </row>
    <row r="18" spans="1:6">
      <c r="A18" s="14" t="s">
        <v>3</v>
      </c>
      <c r="B18" s="60" t="s">
        <v>9</v>
      </c>
      <c r="C18" s="60" t="s">
        <v>10</v>
      </c>
      <c r="D18" s="60" t="s">
        <v>11</v>
      </c>
      <c r="E18" s="60" t="s">
        <v>12</v>
      </c>
      <c r="F18" s="60" t="s">
        <v>13</v>
      </c>
    </row>
    <row r="19" spans="1:6">
      <c r="A19" s="19"/>
      <c r="B19" s="26"/>
      <c r="C19" s="26"/>
      <c r="D19" s="26"/>
      <c r="E19" s="26"/>
      <c r="F19" s="26"/>
    </row>
    <row r="20" spans="1:6">
      <c r="A20" s="19" t="s">
        <v>59</v>
      </c>
      <c r="B20" s="27">
        <f>'Income Statement'!G25*(1-B15)</f>
        <v>96923.488761869507</v>
      </c>
      <c r="C20" s="27">
        <f>'Income Statement'!H25*(1-C15)</f>
        <v>127884.16866466848</v>
      </c>
      <c r="D20" s="27">
        <f>'Income Statement'!I25*(1-D15)</f>
        <v>146518.08955233387</v>
      </c>
      <c r="E20" s="27">
        <f>'Income Statement'!J25*(1-E15)</f>
        <v>168134.04531362985</v>
      </c>
      <c r="F20" s="27">
        <f>'Income Statement'!K25*(1-F15)</f>
        <v>193249.77366520066</v>
      </c>
    </row>
    <row r="21" spans="1:6">
      <c r="A21" s="19" t="s">
        <v>60</v>
      </c>
      <c r="B21" s="27">
        <f ca="1">'Asset and Liability Driver'!G11</f>
        <v>11904.20545981248</v>
      </c>
      <c r="C21" s="27">
        <f ca="1">'Asset and Liability Driver'!H11</f>
        <v>12404.040590803053</v>
      </c>
      <c r="D21" s="27">
        <f ca="1">'Asset and Liability Driver'!I11</f>
        <v>13205.940713537833</v>
      </c>
      <c r="E21" s="27">
        <f ca="1">'Asset and Liability Driver'!J11</f>
        <v>14299.168041334089</v>
      </c>
      <c r="F21" s="27">
        <f ca="1">'Asset and Liability Driver'!K11</f>
        <v>15684.475396850325</v>
      </c>
    </row>
    <row r="22" spans="1:6">
      <c r="A22" s="19" t="s">
        <v>61</v>
      </c>
      <c r="B22" s="27">
        <f>-'Asset and Liability Driver'!G14</f>
        <v>-12488.550032323588</v>
      </c>
      <c r="C22" s="27">
        <f>-'Asset and Liability Driver'!H14</f>
        <v>-14084.587316894929</v>
      </c>
      <c r="D22" s="27">
        <f>-'Asset and Liability Driver'!I14</f>
        <v>-15902.09098861729</v>
      </c>
      <c r="E22" s="27">
        <f>-'Asset and Liability Driver'!J14</f>
        <v>-17974.819256488106</v>
      </c>
      <c r="F22" s="27">
        <f>-'Asset and Liability Driver'!K14</f>
        <v>-20342.158694000791</v>
      </c>
    </row>
    <row r="23" spans="1:6">
      <c r="A23" s="19" t="s">
        <v>62</v>
      </c>
      <c r="B23" s="48">
        <f>'Asset and Liability Driver'!F19-'Asset and Liability Driver'!G19</f>
        <v>-37139.66505605563</v>
      </c>
      <c r="C23" s="48">
        <f>'Asset and Liability Driver'!G19-'Asset and Liability Driver'!H19</f>
        <v>-5942.0203923636946</v>
      </c>
      <c r="D23" s="48">
        <f>'Asset and Liability Driver'!H19-'Asset and Liability Driver'!I19</f>
        <v>-6766.5360859478242</v>
      </c>
      <c r="E23" s="48">
        <f>'Asset and Liability Driver'!I19-'Asset and Liability Driver'!J19</f>
        <v>-7716.733032853248</v>
      </c>
      <c r="F23" s="48">
        <f>'Asset and Liability Driver'!J19-'Asset and Liability Driver'!K19</f>
        <v>-8813.5655409360916</v>
      </c>
    </row>
    <row r="24" spans="1:6">
      <c r="A24" s="19"/>
      <c r="B24" s="26"/>
      <c r="C24" s="26"/>
      <c r="D24" s="26"/>
      <c r="E24" s="26"/>
      <c r="F24" s="26"/>
    </row>
    <row r="25" spans="1:6">
      <c r="A25" s="19" t="s">
        <v>63</v>
      </c>
      <c r="B25" s="42">
        <f ca="1">SUM(B20:B23)</f>
        <v>59199.479133302768</v>
      </c>
      <c r="C25" s="42">
        <f t="shared" ref="C25:F25" ca="1" si="0">SUM(C20:C23)</f>
        <v>120261.60154621291</v>
      </c>
      <c r="D25" s="42">
        <f t="shared" ca="1" si="0"/>
        <v>137055.40319130657</v>
      </c>
      <c r="E25" s="42">
        <f t="shared" ca="1" si="0"/>
        <v>156741.66106562255</v>
      </c>
      <c r="F25" s="42">
        <f t="shared" ca="1" si="0"/>
        <v>179778.52482711407</v>
      </c>
    </row>
    <row r="26" spans="1:6">
      <c r="A26" s="19" t="s">
        <v>64</v>
      </c>
      <c r="B26" s="26"/>
      <c r="C26" s="26"/>
      <c r="D26" s="26"/>
      <c r="E26" s="26"/>
      <c r="F26" s="27">
        <f ca="1">F25/(B9-B8)</f>
        <v>3595570.4965422815</v>
      </c>
    </row>
    <row r="27" spans="1:6">
      <c r="A27" s="19" t="s">
        <v>65</v>
      </c>
      <c r="B27" s="42">
        <f ca="1">SUM(B25:B26)</f>
        <v>59199.479133302768</v>
      </c>
      <c r="C27" s="42">
        <f t="shared" ref="C27:F27" ca="1" si="1">SUM(C25:C26)</f>
        <v>120261.60154621291</v>
      </c>
      <c r="D27" s="42">
        <f t="shared" ca="1" si="1"/>
        <v>137055.40319130657</v>
      </c>
      <c r="E27" s="42">
        <f t="shared" ca="1" si="1"/>
        <v>156741.66106562255</v>
      </c>
      <c r="F27" s="42">
        <f t="shared" ca="1" si="1"/>
        <v>3775349.0213693958</v>
      </c>
    </row>
    <row r="28" spans="1:6">
      <c r="A28" s="19"/>
    </row>
    <row r="29" spans="1:6">
      <c r="A29" s="19" t="s">
        <v>66</v>
      </c>
      <c r="B29" s="20">
        <f ca="1">NPV(B9,B27:F27)</f>
        <v>2951367.1769293169</v>
      </c>
    </row>
    <row r="30" spans="1:6">
      <c r="A30" s="19" t="s">
        <v>67</v>
      </c>
      <c r="B30" s="22">
        <f ca="1">B29-B12+B13</f>
        <v>2877201.1769293169</v>
      </c>
    </row>
    <row r="31" spans="1:6">
      <c r="A31" s="19"/>
    </row>
    <row r="32" spans="1:6">
      <c r="A32" s="11" t="s">
        <v>68</v>
      </c>
      <c r="B32" s="49">
        <f ca="1">B30/B14</f>
        <v>170.61202424865493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showGridLines="0" workbookViewId="0">
      <selection activeCell="A19" sqref="A19"/>
    </sheetView>
  </sheetViews>
  <sheetFormatPr defaultRowHeight="15"/>
  <cols>
    <col min="1" max="1" width="47.85546875" bestFit="1" customWidth="1"/>
    <col min="2" max="2" width="13.85546875" bestFit="1" customWidth="1"/>
    <col min="3" max="3" width="18.42578125" bestFit="1" customWidth="1"/>
    <col min="4" max="4" width="13.42578125" bestFit="1" customWidth="1"/>
    <col min="5" max="5" width="9" bestFit="1" customWidth="1"/>
    <col min="6" max="6" width="8" bestFit="1" customWidth="1"/>
    <col min="7" max="7" width="17" bestFit="1" customWidth="1"/>
    <col min="8" max="8" width="10.28515625" bestFit="1" customWidth="1"/>
    <col min="9" max="9" width="7" bestFit="1" customWidth="1"/>
    <col min="10" max="10" width="13.5703125" bestFit="1" customWidth="1"/>
    <col min="11" max="11" width="6" bestFit="1" customWidth="1"/>
  </cols>
  <sheetData>
    <row r="1" spans="1:11">
      <c r="A1" s="11" t="s">
        <v>50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>
      <c r="A5" s="12" t="s">
        <v>69</v>
      </c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>
      <c r="A7" s="28" t="s">
        <v>70</v>
      </c>
      <c r="B7" s="28" t="s">
        <v>71</v>
      </c>
      <c r="C7" s="28" t="s">
        <v>72</v>
      </c>
      <c r="D7" s="28" t="s">
        <v>67</v>
      </c>
      <c r="E7" s="28" t="s">
        <v>56</v>
      </c>
      <c r="F7" s="28" t="s">
        <v>57</v>
      </c>
      <c r="G7" s="28" t="s">
        <v>66</v>
      </c>
      <c r="H7" s="28" t="s">
        <v>73</v>
      </c>
      <c r="I7" s="28" t="s">
        <v>74</v>
      </c>
      <c r="J7" s="28" t="s">
        <v>75</v>
      </c>
      <c r="K7" s="28" t="s">
        <v>76</v>
      </c>
    </row>
    <row r="8" spans="1:1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>
      <c r="A9" s="51" t="s">
        <v>77</v>
      </c>
      <c r="B9" s="45">
        <v>338</v>
      </c>
      <c r="C9" s="45">
        <v>7608</v>
      </c>
      <c r="D9" s="45">
        <f>B9*C9</f>
        <v>2571504</v>
      </c>
      <c r="E9" s="45">
        <v>67775</v>
      </c>
      <c r="F9" s="45">
        <v>14224</v>
      </c>
      <c r="G9" s="45">
        <f>D9+E9-F9</f>
        <v>2625055</v>
      </c>
      <c r="H9" s="45">
        <v>168088</v>
      </c>
      <c r="I9" s="50">
        <v>8.0500000000000007</v>
      </c>
      <c r="J9" s="51">
        <f>G9/H9</f>
        <v>15.61714697063443</v>
      </c>
      <c r="K9" s="51">
        <f>B9/I9</f>
        <v>41.987577639751549</v>
      </c>
    </row>
    <row r="10" spans="1:11">
      <c r="A10" s="51" t="s">
        <v>50</v>
      </c>
      <c r="B10" s="45">
        <v>144</v>
      </c>
      <c r="C10" s="45">
        <v>13553</v>
      </c>
      <c r="D10" s="53">
        <f>B10*C10</f>
        <v>1951632</v>
      </c>
      <c r="E10" s="45">
        <v>14817</v>
      </c>
      <c r="F10" s="45">
        <v>20945</v>
      </c>
      <c r="G10" s="45">
        <f>D10+E10-F10</f>
        <v>1945504</v>
      </c>
      <c r="H10" s="59">
        <v>257637</v>
      </c>
      <c r="I10" s="50">
        <v>5.61</v>
      </c>
      <c r="J10" s="51">
        <f>G10/H10</f>
        <v>7.5513377348750375</v>
      </c>
      <c r="K10" s="51">
        <f>B10/I10</f>
        <v>25.668449197860962</v>
      </c>
    </row>
    <row r="11" spans="1:11">
      <c r="A11" s="51" t="s">
        <v>78</v>
      </c>
      <c r="B11" s="45">
        <v>168</v>
      </c>
      <c r="C11" s="45">
        <v>10300</v>
      </c>
      <c r="D11" s="45">
        <f t="shared" ref="D11:D12" si="0">B11*C11</f>
        <v>1730400</v>
      </c>
      <c r="E11" s="45">
        <v>116395</v>
      </c>
      <c r="F11" s="45">
        <v>42122</v>
      </c>
      <c r="G11" s="45">
        <f t="shared" ref="G11:G12" si="1">D11+E11-F11</f>
        <v>1804673</v>
      </c>
      <c r="H11" s="45">
        <v>469822</v>
      </c>
      <c r="I11" s="50">
        <v>3.24</v>
      </c>
      <c r="J11" s="51">
        <f t="shared" ref="J11:J12" si="2">G11/H11</f>
        <v>3.841184533717025</v>
      </c>
      <c r="K11" s="51">
        <f t="shared" ref="K11:K12" si="3">B11/I11</f>
        <v>51.851851851851848</v>
      </c>
    </row>
    <row r="12" spans="1:11">
      <c r="A12" s="56" t="s">
        <v>79</v>
      </c>
      <c r="B12" s="54">
        <v>338</v>
      </c>
      <c r="C12" s="54">
        <v>2859</v>
      </c>
      <c r="D12" s="54">
        <f t="shared" si="0"/>
        <v>966342</v>
      </c>
      <c r="E12" s="54">
        <v>13873</v>
      </c>
      <c r="F12" s="54">
        <v>16601</v>
      </c>
      <c r="G12" s="54">
        <f t="shared" si="1"/>
        <v>963614</v>
      </c>
      <c r="H12" s="54">
        <v>117929</v>
      </c>
      <c r="I12" s="55">
        <v>13.77</v>
      </c>
      <c r="J12" s="56">
        <f t="shared" si="2"/>
        <v>8.171136870489871</v>
      </c>
      <c r="K12" s="56">
        <f t="shared" si="3"/>
        <v>24.546114742193176</v>
      </c>
    </row>
    <row r="13" spans="1:11">
      <c r="A13" s="57"/>
      <c r="B13" s="30"/>
      <c r="C13" s="30"/>
      <c r="D13" s="30"/>
      <c r="E13" s="30"/>
      <c r="F13" s="30"/>
      <c r="G13" s="30"/>
      <c r="H13" s="30"/>
      <c r="I13" s="31"/>
      <c r="J13" s="32"/>
      <c r="K13" s="32"/>
    </row>
    <row r="14" spans="1:11">
      <c r="A14" s="58" t="s">
        <v>80</v>
      </c>
      <c r="B14" s="33"/>
      <c r="C14" s="33"/>
      <c r="D14" s="33"/>
      <c r="E14" s="33"/>
      <c r="F14" s="33"/>
      <c r="G14" s="33"/>
      <c r="H14" s="33"/>
      <c r="I14" s="34"/>
      <c r="J14" s="35">
        <f>MEDIAN(J9:J12)</f>
        <v>7.8612373026824542</v>
      </c>
      <c r="K14" s="35">
        <f>MEDIAN(K9:K12)</f>
        <v>33.828013418806258</v>
      </c>
    </row>
    <row r="15" spans="1:11">
      <c r="A15" s="52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45" t="s">
        <v>30</v>
      </c>
      <c r="B16" s="27"/>
      <c r="C16" s="27">
        <f>'Valuation - DCF'!B14</f>
        <v>16864</v>
      </c>
      <c r="D16" s="27">
        <f>G16-E16+F16</f>
        <v>2801608.2463553874</v>
      </c>
      <c r="E16" s="27">
        <f>'Valuation - DCF'!B12</f>
        <v>109106</v>
      </c>
      <c r="F16" s="27">
        <f>'Valuation - DCF'!B13</f>
        <v>34940</v>
      </c>
      <c r="G16" s="27">
        <f>J14*H16</f>
        <v>2875774.2463553874</v>
      </c>
      <c r="H16" s="27">
        <f>'Income Statement'!F12</f>
        <v>365817</v>
      </c>
      <c r="I16" s="29">
        <f>'Income Statement'!F29/'Valuation - Relative'!C16</f>
        <v>5.6143263757115749</v>
      </c>
      <c r="J16" s="27"/>
      <c r="K16" s="27"/>
    </row>
    <row r="17" spans="1:11">
      <c r="A17" s="27"/>
      <c r="B17" s="27"/>
      <c r="C17" s="27"/>
      <c r="D17" s="27"/>
      <c r="E17" s="27"/>
      <c r="F17" s="27"/>
      <c r="G17" s="27"/>
      <c r="H17" s="27"/>
      <c r="I17" s="29"/>
      <c r="J17" s="27"/>
      <c r="K17" s="27"/>
    </row>
    <row r="18" spans="1:11">
      <c r="A18" s="36" t="s">
        <v>81</v>
      </c>
      <c r="B18" s="36"/>
      <c r="C18" s="36"/>
      <c r="D18" s="36"/>
      <c r="E18" s="36"/>
      <c r="F18" s="36"/>
      <c r="G18" s="36"/>
      <c r="H18" s="36"/>
      <c r="I18" s="36"/>
      <c r="J18" s="37">
        <f>D16/C16</f>
        <v>166.12952124972648</v>
      </c>
      <c r="K18" s="37">
        <f>K14*I16</f>
        <v>189.92150797512906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Revenue Driver</vt:lpstr>
      <vt:lpstr>Cost Driver</vt:lpstr>
      <vt:lpstr>Asset and Liability Driver</vt:lpstr>
      <vt:lpstr>Valuation - DCF</vt:lpstr>
      <vt:lpstr>Valuation - Relative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Harhare</dc:creator>
  <cp:lastModifiedBy>Sarvesh Harhare</cp:lastModifiedBy>
  <dcterms:created xsi:type="dcterms:W3CDTF">2022-08-12T12:23:05Z</dcterms:created>
  <dcterms:modified xsi:type="dcterms:W3CDTF">2022-08-31T08:02:43Z</dcterms:modified>
</cp:coreProperties>
</file>