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計算精度検証" sheetId="1" r:id="rId1"/>
    <sheet name="理論値" sheetId="2" r:id="rId2"/>
    <sheet name="梁要素" sheetId="3" r:id="rId3"/>
    <sheet name="固有振動" sheetId="4" r:id="rId4"/>
    <sheet name="線形座屈" sheetId="5" r:id="rId5"/>
  </sheets>
  <calcPr calcId="152511"/>
</workbook>
</file>

<file path=xl/calcChain.xml><?xml version="1.0" encoding="utf-8"?>
<calcChain xmlns="http://schemas.openxmlformats.org/spreadsheetml/2006/main">
  <c r="E22" i="4" l="1"/>
  <c r="E21" i="4"/>
  <c r="E20" i="4"/>
  <c r="E19" i="4"/>
  <c r="E18" i="4"/>
  <c r="E17" i="4"/>
  <c r="E16" i="4"/>
  <c r="E15" i="4"/>
  <c r="E14" i="4"/>
  <c r="K60" i="3" l="1"/>
  <c r="K59" i="3"/>
  <c r="I59" i="3"/>
  <c r="T50" i="5" l="1"/>
  <c r="N50" i="5"/>
  <c r="J26" i="5" l="1"/>
  <c r="P50" i="5"/>
  <c r="R50" i="5" s="1"/>
  <c r="S50" i="5" s="1"/>
  <c r="T51" i="5" s="1"/>
  <c r="D56" i="5" s="1"/>
  <c r="J50" i="5"/>
  <c r="L50" i="5" s="1"/>
  <c r="M50" i="5" s="1"/>
  <c r="N51" i="5" s="1"/>
  <c r="D55" i="5" s="1"/>
  <c r="K50" i="5" l="1"/>
  <c r="D50" i="5" s="1"/>
  <c r="Q50" i="5"/>
  <c r="D51" i="5" s="1"/>
  <c r="T47" i="5"/>
  <c r="S47" i="5"/>
  <c r="R47" i="5"/>
  <c r="Q47" i="5"/>
  <c r="P47" i="5"/>
  <c r="N47" i="5"/>
  <c r="M47" i="5"/>
  <c r="L47" i="5"/>
  <c r="K47" i="5"/>
  <c r="J47" i="5"/>
  <c r="R48" i="5" l="1"/>
  <c r="D46" i="5" s="1"/>
  <c r="Q48" i="5"/>
  <c r="S48" i="5"/>
  <c r="E46" i="5" s="1"/>
  <c r="M48" i="5"/>
  <c r="E45" i="5" s="1"/>
  <c r="K48" i="5"/>
  <c r="L48" i="5"/>
  <c r="D45" i="5" s="1"/>
  <c r="Z40" i="5"/>
  <c r="T40" i="5"/>
  <c r="N40" i="5"/>
  <c r="Y40" i="5" l="1"/>
  <c r="X40" i="5"/>
  <c r="W40" i="5"/>
  <c r="V40" i="5"/>
  <c r="S40" i="5"/>
  <c r="R40" i="5"/>
  <c r="Q40" i="5"/>
  <c r="P40" i="5"/>
  <c r="W41" i="5" l="1"/>
  <c r="Y41" i="5"/>
  <c r="E40" i="5" s="1"/>
  <c r="X41" i="5"/>
  <c r="D40" i="5" s="1"/>
  <c r="Q41" i="5"/>
  <c r="R41" i="5"/>
  <c r="D39" i="5" s="1"/>
  <c r="S41" i="5"/>
  <c r="E39" i="5" s="1"/>
  <c r="M40" i="5"/>
  <c r="L40" i="5"/>
  <c r="K40" i="5" l="1"/>
  <c r="J40" i="5"/>
  <c r="M41" i="5" s="1"/>
  <c r="E38" i="5" s="1"/>
  <c r="K41" i="5" l="1"/>
  <c r="L41" i="5"/>
  <c r="D38" i="5" s="1"/>
  <c r="C33" i="5"/>
  <c r="C32" i="5"/>
  <c r="C31" i="5"/>
  <c r="C30" i="5"/>
  <c r="C29" i="5"/>
  <c r="G14" i="5"/>
  <c r="F14" i="5"/>
  <c r="D14" i="5"/>
  <c r="C14" i="5"/>
  <c r="G13" i="5"/>
  <c r="F13" i="5"/>
  <c r="E13" i="5"/>
  <c r="D13" i="5"/>
  <c r="C13" i="5"/>
  <c r="G12" i="5"/>
  <c r="F12" i="5"/>
  <c r="E12" i="5"/>
  <c r="D12" i="5"/>
  <c r="C12" i="5"/>
  <c r="G11" i="5"/>
  <c r="F11" i="5"/>
  <c r="D11" i="5"/>
  <c r="C11" i="5"/>
  <c r="G10" i="5"/>
  <c r="F10" i="5"/>
  <c r="E10" i="5"/>
  <c r="D10" i="5"/>
  <c r="C10" i="5"/>
  <c r="J5" i="5"/>
  <c r="K5" i="5"/>
  <c r="J7" i="5"/>
  <c r="J9" i="5" s="1"/>
  <c r="K7" i="5"/>
  <c r="K9" i="5" s="1"/>
  <c r="J24" i="5"/>
  <c r="J28" i="5" s="1"/>
  <c r="K24" i="5"/>
  <c r="K26" i="5" s="1"/>
  <c r="K28" i="5" s="1"/>
  <c r="K30" i="5" l="1"/>
  <c r="K31" i="5"/>
  <c r="D23" i="5"/>
  <c r="K32" i="5"/>
  <c r="K29" i="5"/>
  <c r="D26" i="5" s="1"/>
  <c r="J30" i="5"/>
  <c r="D25" i="5" s="1"/>
  <c r="J31" i="5"/>
  <c r="J29" i="5"/>
  <c r="D24" i="5" s="1"/>
  <c r="D22" i="5"/>
  <c r="J32" i="5"/>
  <c r="H4" i="5"/>
  <c r="K12" i="5"/>
  <c r="K13" i="5"/>
  <c r="K11" i="5"/>
  <c r="K10" i="5"/>
  <c r="H7" i="5" s="1"/>
  <c r="J13" i="5"/>
  <c r="J11" i="5"/>
  <c r="H6" i="5" s="1"/>
  <c r="J10" i="5"/>
  <c r="H5" i="5" s="1"/>
  <c r="J12" i="5"/>
  <c r="H3" i="5"/>
  <c r="N26" i="4"/>
  <c r="M27" i="4" s="1"/>
  <c r="L27" i="4" l="1"/>
  <c r="R20" i="4"/>
  <c r="I60" i="3"/>
  <c r="H60" i="3"/>
  <c r="H59" i="3"/>
  <c r="J60" i="3"/>
  <c r="F60" i="3"/>
  <c r="G60" i="3"/>
  <c r="S30" i="4" l="1"/>
  <c r="E32" i="1" l="1"/>
  <c r="D32" i="1"/>
  <c r="E21" i="1"/>
  <c r="D21" i="1"/>
  <c r="N15" i="1"/>
  <c r="M15" i="1"/>
  <c r="L15" i="1"/>
  <c r="K15" i="1"/>
  <c r="J15" i="1"/>
  <c r="I15" i="1"/>
  <c r="H15" i="1"/>
  <c r="G15" i="1"/>
  <c r="F15" i="1"/>
  <c r="E15" i="1"/>
  <c r="D15" i="1"/>
  <c r="J4" i="1"/>
  <c r="I4" i="1"/>
  <c r="H4" i="1"/>
  <c r="G4" i="1"/>
  <c r="F4" i="1"/>
  <c r="E4" i="1"/>
  <c r="D4" i="1"/>
  <c r="Z2" i="4" l="1"/>
  <c r="Z28" i="4"/>
  <c r="Z37" i="4"/>
  <c r="R59" i="4" l="1"/>
  <c r="D53" i="4" s="1"/>
  <c r="E53" i="4" s="1"/>
  <c r="V59" i="4"/>
  <c r="W59" i="4" s="1"/>
  <c r="V40" i="4"/>
  <c r="X40" i="4" s="1"/>
  <c r="V14" i="4"/>
  <c r="X14" i="4" s="1"/>
  <c r="R14" i="4"/>
  <c r="R40" i="4"/>
  <c r="E34" i="4" s="1"/>
  <c r="G34" i="4" l="1"/>
  <c r="F34" i="4"/>
  <c r="T14" i="4"/>
  <c r="O8" i="4"/>
  <c r="X59" i="4"/>
  <c r="S59" i="4"/>
  <c r="D56" i="4" s="1"/>
  <c r="E56" i="4" s="1"/>
  <c r="T59" i="4"/>
  <c r="S14" i="4"/>
  <c r="W14" i="4"/>
  <c r="S40" i="4"/>
  <c r="T40" i="4"/>
  <c r="W40" i="4"/>
  <c r="D19" i="4" l="1"/>
  <c r="G19" i="4"/>
  <c r="C19" i="4"/>
  <c r="N19" i="4"/>
  <c r="F19" i="4"/>
  <c r="M19" i="4"/>
  <c r="K19" i="4"/>
  <c r="J19" i="4"/>
  <c r="H19" i="4"/>
  <c r="L19" i="4"/>
  <c r="I19" i="4"/>
  <c r="T7" i="4"/>
  <c r="S7" i="4"/>
  <c r="R7" i="4"/>
  <c r="X7" i="4"/>
  <c r="W7" i="4"/>
  <c r="V7" i="4"/>
  <c r="T4" i="4"/>
  <c r="V4" i="4" s="1"/>
  <c r="S4" i="4"/>
  <c r="R4" i="4"/>
  <c r="X4" i="4" s="1"/>
  <c r="U4" i="4" l="1"/>
  <c r="V15" i="4" s="1"/>
  <c r="V9" i="4"/>
  <c r="V12" i="4" s="1"/>
  <c r="W10" i="4"/>
  <c r="W13" i="4" s="1"/>
  <c r="R10" i="4"/>
  <c r="R13" i="4" s="1"/>
  <c r="O3" i="4" s="1"/>
  <c r="S10" i="4"/>
  <c r="S13" i="4" s="1"/>
  <c r="O5" i="4" s="1"/>
  <c r="T10" i="4"/>
  <c r="T13" i="4" s="1"/>
  <c r="O9" i="4" s="1"/>
  <c r="S9" i="4"/>
  <c r="S12" i="4" s="1"/>
  <c r="O7" i="4" s="1"/>
  <c r="T9" i="4"/>
  <c r="T12" i="4" s="1"/>
  <c r="O11" i="4" s="1"/>
  <c r="X10" i="4"/>
  <c r="X13" i="4" s="1"/>
  <c r="V10" i="4"/>
  <c r="V13" i="4" s="1"/>
  <c r="W9" i="4"/>
  <c r="W12" i="4" s="1"/>
  <c r="R9" i="4"/>
  <c r="R12" i="4" s="1"/>
  <c r="O4" i="4" s="1"/>
  <c r="X9" i="4"/>
  <c r="X12" i="4" s="1"/>
  <c r="T33" i="4"/>
  <c r="S33" i="4"/>
  <c r="R33" i="4"/>
  <c r="X33" i="4"/>
  <c r="W33" i="4"/>
  <c r="V33" i="4"/>
  <c r="T30" i="4"/>
  <c r="V30" i="4" s="1"/>
  <c r="R30" i="4"/>
  <c r="X30" i="4" s="1"/>
  <c r="R15" i="4" l="1"/>
  <c r="O6" i="4" s="1"/>
  <c r="L22" i="4"/>
  <c r="K22" i="4"/>
  <c r="J22" i="4"/>
  <c r="C22" i="4"/>
  <c r="F22" i="4"/>
  <c r="M22" i="4"/>
  <c r="I22" i="4"/>
  <c r="H22" i="4"/>
  <c r="D22" i="4"/>
  <c r="G22" i="4"/>
  <c r="N22" i="4"/>
  <c r="K15" i="4"/>
  <c r="J15" i="4"/>
  <c r="L15" i="4"/>
  <c r="I15" i="4"/>
  <c r="N15" i="4"/>
  <c r="H15" i="4"/>
  <c r="D15" i="4"/>
  <c r="G15" i="4"/>
  <c r="C15" i="4"/>
  <c r="F15" i="4"/>
  <c r="M15" i="4"/>
  <c r="D20" i="4"/>
  <c r="C20" i="4"/>
  <c r="N20" i="4"/>
  <c r="F20" i="4"/>
  <c r="M20" i="4"/>
  <c r="G20" i="4"/>
  <c r="L20" i="4"/>
  <c r="K20" i="4"/>
  <c r="J20" i="4"/>
  <c r="I20" i="4"/>
  <c r="H20" i="4"/>
  <c r="J16" i="4"/>
  <c r="I16" i="4"/>
  <c r="H16" i="4"/>
  <c r="L16" i="4"/>
  <c r="D16" i="4"/>
  <c r="G16" i="4"/>
  <c r="C16" i="4"/>
  <c r="N16" i="4"/>
  <c r="M16" i="4"/>
  <c r="F16" i="4"/>
  <c r="K16" i="4"/>
  <c r="L14" i="4"/>
  <c r="M14" i="4"/>
  <c r="K14" i="4"/>
  <c r="J14" i="4"/>
  <c r="H14" i="4"/>
  <c r="D14" i="4"/>
  <c r="G14" i="4"/>
  <c r="F14" i="4"/>
  <c r="I14" i="4"/>
  <c r="C14" i="4"/>
  <c r="N14" i="4"/>
  <c r="H18" i="4"/>
  <c r="D18" i="4"/>
  <c r="G18" i="4"/>
  <c r="C18" i="4"/>
  <c r="N18" i="4"/>
  <c r="F18" i="4"/>
  <c r="J18" i="4"/>
  <c r="M18" i="4"/>
  <c r="L18" i="4"/>
  <c r="K18" i="4"/>
  <c r="I18" i="4"/>
  <c r="U30" i="4"/>
  <c r="R41" i="4" s="1"/>
  <c r="V36" i="4"/>
  <c r="V39" i="4" s="1"/>
  <c r="E41" i="4" s="1"/>
  <c r="V35" i="4"/>
  <c r="V38" i="4" s="1"/>
  <c r="E42" i="4" s="1"/>
  <c r="X35" i="4"/>
  <c r="X38" i="4" s="1"/>
  <c r="X36" i="4"/>
  <c r="X39" i="4" s="1"/>
  <c r="T36" i="4"/>
  <c r="T39" i="4" s="1"/>
  <c r="E35" i="4" s="1"/>
  <c r="T35" i="4"/>
  <c r="T38" i="4" s="1"/>
  <c r="E37" i="4" s="1"/>
  <c r="W35" i="4"/>
  <c r="W38" i="4" s="1"/>
  <c r="W36" i="4"/>
  <c r="W39" i="4" s="1"/>
  <c r="E44" i="4" s="1"/>
  <c r="R36" i="4"/>
  <c r="R39" i="4" s="1"/>
  <c r="E29" i="4" s="1"/>
  <c r="R35" i="4"/>
  <c r="R38" i="4" s="1"/>
  <c r="E30" i="4" s="1"/>
  <c r="S36" i="4"/>
  <c r="S39" i="4" s="1"/>
  <c r="E31" i="4" s="1"/>
  <c r="S35" i="4"/>
  <c r="S38" i="4" s="1"/>
  <c r="E33" i="4" s="1"/>
  <c r="X15" i="4"/>
  <c r="W15" i="4"/>
  <c r="T54" i="4"/>
  <c r="S54" i="4"/>
  <c r="R54" i="4"/>
  <c r="T15" i="4" l="1"/>
  <c r="G42" i="4"/>
  <c r="F42" i="4"/>
  <c r="G41" i="4"/>
  <c r="F41" i="4"/>
  <c r="G44" i="4"/>
  <c r="F44" i="4"/>
  <c r="S15" i="4"/>
  <c r="O10" i="4" s="1"/>
  <c r="L21" i="4" s="1"/>
  <c r="G33" i="4"/>
  <c r="F33" i="4"/>
  <c r="G29" i="4"/>
  <c r="F29" i="4"/>
  <c r="G31" i="4"/>
  <c r="F31" i="4"/>
  <c r="F30" i="4"/>
  <c r="G30" i="4"/>
  <c r="G37" i="4"/>
  <c r="F37" i="4"/>
  <c r="G35" i="4"/>
  <c r="F35" i="4"/>
  <c r="I17" i="4"/>
  <c r="H17" i="4"/>
  <c r="D17" i="4"/>
  <c r="G17" i="4"/>
  <c r="M17" i="4"/>
  <c r="L17" i="4"/>
  <c r="J17" i="4"/>
  <c r="C17" i="4"/>
  <c r="N17" i="4"/>
  <c r="F17" i="4"/>
  <c r="K17" i="4"/>
  <c r="F21" i="4"/>
  <c r="V41" i="4"/>
  <c r="X41" i="4" s="1"/>
  <c r="E32" i="4"/>
  <c r="T41" i="4"/>
  <c r="S41" i="4"/>
  <c r="E36" i="4" s="1"/>
  <c r="X49" i="4"/>
  <c r="R51" i="4"/>
  <c r="S51" i="4"/>
  <c r="S56" i="4" s="1"/>
  <c r="S58" i="4" s="1"/>
  <c r="D52" i="4" s="1"/>
  <c r="E52" i="4" s="1"/>
  <c r="V54" i="4"/>
  <c r="W54" i="4"/>
  <c r="X54" i="4"/>
  <c r="M21" i="4" l="1"/>
  <c r="D21" i="4"/>
  <c r="I21" i="4"/>
  <c r="J21" i="4"/>
  <c r="G21" i="4"/>
  <c r="C21" i="4"/>
  <c r="H21" i="4"/>
  <c r="N21" i="4"/>
  <c r="K21" i="4"/>
  <c r="G36" i="4"/>
  <c r="F36" i="4"/>
  <c r="G32" i="4"/>
  <c r="F32" i="4"/>
  <c r="W41" i="4"/>
  <c r="E43" i="4"/>
  <c r="R56" i="4"/>
  <c r="R58" i="4" s="1"/>
  <c r="D50" i="4" s="1"/>
  <c r="E50" i="4" s="1"/>
  <c r="T56" i="4"/>
  <c r="T58" i="4" s="1"/>
  <c r="D55" i="4" s="1"/>
  <c r="E55" i="4" s="1"/>
  <c r="X56" i="4"/>
  <c r="X58" i="4" s="1"/>
  <c r="W56" i="4"/>
  <c r="W58" i="4" s="1"/>
  <c r="V56" i="4"/>
  <c r="V58" i="4" s="1"/>
  <c r="R60" i="4"/>
  <c r="V60" i="4"/>
  <c r="F43" i="4" l="1"/>
  <c r="G43" i="4"/>
  <c r="X60" i="4"/>
  <c r="W60" i="4"/>
  <c r="D51" i="4"/>
  <c r="E51" i="4" s="1"/>
  <c r="T60" i="4"/>
  <c r="S60" i="4"/>
  <c r="D54" i="4" s="1"/>
  <c r="E54" i="4" s="1"/>
  <c r="H49" i="3"/>
  <c r="G49" i="3"/>
  <c r="F49" i="3"/>
  <c r="O47" i="3"/>
  <c r="G47" i="3"/>
  <c r="F47" i="3"/>
  <c r="I49" i="3" l="1"/>
  <c r="J51" i="3" s="1"/>
  <c r="H52" i="3"/>
  <c r="G52" i="3"/>
  <c r="F59" i="3"/>
  <c r="J59" i="3" s="1"/>
  <c r="G59" i="3"/>
  <c r="O57" i="3"/>
  <c r="G38" i="3"/>
  <c r="I42" i="3" s="1"/>
  <c r="F38" i="3"/>
  <c r="J42" i="3" s="1"/>
  <c r="H40" i="3"/>
  <c r="G40" i="3"/>
  <c r="F40" i="3"/>
  <c r="O38" i="3"/>
  <c r="H34" i="3"/>
  <c r="K34" i="3" s="1"/>
  <c r="G34" i="3"/>
  <c r="F34" i="3"/>
  <c r="L34" i="3" s="1"/>
  <c r="N32" i="3"/>
  <c r="I40" i="3" l="1"/>
  <c r="I43" i="3" s="1"/>
  <c r="J40" i="3"/>
  <c r="K51" i="3"/>
  <c r="K42" i="3"/>
  <c r="L49" i="3"/>
  <c r="J49" i="3"/>
  <c r="J52" i="3" s="1"/>
  <c r="K40" i="3"/>
  <c r="K43" i="3" s="1"/>
  <c r="K49" i="3"/>
  <c r="L51" i="3"/>
  <c r="I34" i="3"/>
  <c r="J34" i="3"/>
  <c r="G27" i="3"/>
  <c r="K27" i="3" s="1"/>
  <c r="I27" i="3" s="1"/>
  <c r="F27" i="3"/>
  <c r="J27" i="3" s="1"/>
  <c r="H27" i="3" s="1"/>
  <c r="M25" i="3"/>
  <c r="G18" i="3"/>
  <c r="J20" i="3" s="1"/>
  <c r="F18" i="3"/>
  <c r="O16" i="3"/>
  <c r="G11" i="3"/>
  <c r="J11" i="3" s="1"/>
  <c r="F11" i="3"/>
  <c r="L9" i="3"/>
  <c r="L52" i="3" l="1"/>
  <c r="K18" i="3"/>
  <c r="H20" i="3"/>
  <c r="L20" i="3" s="1"/>
  <c r="I20" i="3"/>
  <c r="I18" i="3"/>
  <c r="H18" i="3"/>
  <c r="J18" i="3"/>
  <c r="J21" i="3" s="1"/>
  <c r="M34" i="3"/>
  <c r="L18" i="3"/>
  <c r="K11" i="3"/>
  <c r="H11" i="3"/>
  <c r="I11" i="3"/>
  <c r="F5" i="3"/>
  <c r="G5" i="3"/>
  <c r="J5" i="3" s="1"/>
  <c r="L3" i="3"/>
  <c r="L21" i="3" l="1"/>
  <c r="K5" i="3"/>
  <c r="H21" i="3"/>
  <c r="L11" i="3"/>
  <c r="H5" i="3"/>
  <c r="I5" i="3"/>
  <c r="L5" i="3" l="1"/>
  <c r="D15" i="2"/>
  <c r="C15" i="2"/>
  <c r="B15" i="2"/>
  <c r="I10" i="2"/>
  <c r="I12" i="2" s="1"/>
  <c r="J10" i="2"/>
  <c r="H10" i="2"/>
  <c r="C12" i="2"/>
  <c r="D12" i="2" s="1"/>
  <c r="B9" i="2"/>
  <c r="E7" i="2"/>
  <c r="D7" i="2"/>
  <c r="C7" i="2"/>
  <c r="B7" i="2"/>
  <c r="B4" i="2"/>
  <c r="B2" i="2"/>
  <c r="H12" i="2" l="1"/>
  <c r="G13" i="2" s="1"/>
  <c r="H13" i="2" s="1"/>
  <c r="K46" i="1"/>
  <c r="J46" i="1"/>
  <c r="I46" i="1"/>
  <c r="H46" i="1"/>
  <c r="G46" i="1"/>
  <c r="F46" i="1"/>
  <c r="E46" i="1"/>
  <c r="K45" i="1"/>
  <c r="J45" i="1"/>
  <c r="I45" i="1"/>
  <c r="H45" i="1"/>
  <c r="G45" i="1"/>
  <c r="F45" i="1"/>
  <c r="E45" i="1"/>
  <c r="D46" i="1"/>
  <c r="D45" i="1"/>
  <c r="I13" i="2" l="1"/>
  <c r="G14" i="2" s="1"/>
  <c r="I14" i="2" l="1"/>
  <c r="H14" i="2"/>
  <c r="G15" i="2" s="1"/>
  <c r="H15" i="2" s="1"/>
  <c r="I15" i="2" l="1"/>
  <c r="G16" i="2"/>
  <c r="I16" i="2" s="1"/>
  <c r="H16" i="2" l="1"/>
  <c r="G17" i="2" s="1"/>
  <c r="H17" i="2" s="1"/>
  <c r="I17" i="2" l="1"/>
  <c r="G18" i="2" s="1"/>
  <c r="I18" i="2" s="1"/>
  <c r="H18" i="2" l="1"/>
  <c r="G19" i="2" s="1"/>
  <c r="I19" i="2" s="1"/>
  <c r="H19" i="2" l="1"/>
  <c r="G20" i="2" s="1"/>
  <c r="H20" i="2" s="1"/>
  <c r="I20" i="2" l="1"/>
</calcChain>
</file>

<file path=xl/sharedStrings.xml><?xml version="1.0" encoding="utf-8"?>
<sst xmlns="http://schemas.openxmlformats.org/spreadsheetml/2006/main" count="655" uniqueCount="261">
  <si>
    <t>①sampleBeam**.fem（単純梁）</t>
    <rPh sb="18" eb="20">
      <t>タンジュン</t>
    </rPh>
    <rPh sb="20" eb="21">
      <t>ハリ</t>
    </rPh>
    <phoneticPr fontId="14"/>
  </si>
  <si>
    <t>Z方向たわみ</t>
    <rPh sb="1" eb="3">
      <t>ホウコウ</t>
    </rPh>
    <phoneticPr fontId="14"/>
  </si>
  <si>
    <t>材力理論</t>
  </si>
  <si>
    <t>Tetra1</t>
  </si>
  <si>
    <t>Wedge1</t>
  </si>
  <si>
    <t>Hexa1</t>
  </si>
  <si>
    <t>Tetra2</t>
  </si>
  <si>
    <t>Wedge2</t>
  </si>
  <si>
    <t>Hexa2</t>
  </si>
  <si>
    <t>Hexa1非適合</t>
  </si>
  <si>
    <t>４面体１次要素は理論より硬過ぎ、６面体要素でもせん断ロッキングの影響が見られる。
２次要素および非適合要素では理論解に近い値が得られる。</t>
    <phoneticPr fontId="14"/>
  </si>
  <si>
    <t>②sampleThickBeam**.fem（①より太い梁）</t>
    <rPh sb="26" eb="27">
      <t>フト</t>
    </rPh>
    <rPh sb="28" eb="29">
      <t>ハリ</t>
    </rPh>
    <phoneticPr fontId="14"/>
  </si>
  <si>
    <t>①と違い梁が太いため材力理論との乖離が見られる。
要素の傾向は①と同様だがアスペクト比が正方形に近いためせん断ロッキングの影響はやや小さい。
（高さ方向分割数ではないと思う。）
その代わり非適合要素と２次要素の結果にやや差が見られる。
（Wilson-Taylorの非適合要素には曲げ以外のせん断などに補正がかからないためか。）</t>
    <phoneticPr fontId="14"/>
  </si>
  <si>
    <t>③sampleBend**.fem（曲がり梁）</t>
    <rPh sb="18" eb="19">
      <t>マ</t>
    </rPh>
    <rPh sb="21" eb="22">
      <t>ハリ</t>
    </rPh>
    <phoneticPr fontId="14"/>
  </si>
  <si>
    <t>材力理論は曲げ（X方向梁＋Y方向梁）＋X方向棒の捩れを大胆に仮定したものでラフなものだが、
２次要素は理論解に近い値となっている。
せん断ロッキングの影響は非適合要素で小さくなっているものの、曲げ以外のモード
もあり完全には無くなっていない。</t>
    <phoneticPr fontId="14"/>
  </si>
  <si>
    <t>④shell**.fem（薄板）</t>
    <rPh sb="13" eb="15">
      <t>ウスイタ</t>
    </rPh>
    <phoneticPr fontId="14"/>
  </si>
  <si>
    <t>Tri1</t>
  </si>
  <si>
    <t>Quad1</t>
  </si>
  <si>
    <t>薄板曲げに関しては３角形・４角形共に２次精度のため理論値に近い値となる。</t>
    <phoneticPr fontId="14"/>
  </si>
  <si>
    <t>⑤shellRib**.fem（リブ付き板）</t>
    <rPh sb="18" eb="19">
      <t>ツ</t>
    </rPh>
    <rPh sb="20" eb="21">
      <t>イタ</t>
    </rPh>
    <phoneticPr fontId="14"/>
  </si>
  <si>
    <t>（材力理論）</t>
  </si>
  <si>
    <t>Z方向たわみ</t>
    <phoneticPr fontId="14"/>
  </si>
  <si>
    <t>断面が大きく歪み理論計算はあまり参考にならない。リブの面内歪があるため３角形と４角形の差が現れる。</t>
    <phoneticPr fontId="14"/>
  </si>
  <si>
    <t>⑥heat**.fem（円筒形熱解析）</t>
    <rPh sb="12" eb="15">
      <t>エントウケイ</t>
    </rPh>
    <rPh sb="15" eb="16">
      <t>ネツ</t>
    </rPh>
    <rPh sb="16" eb="18">
      <t>カイセキ</t>
    </rPh>
    <phoneticPr fontId="14"/>
  </si>
  <si>
    <t>最低温度</t>
    <rPh sb="0" eb="2">
      <t>サイテイ</t>
    </rPh>
    <rPh sb="2" eb="4">
      <t>オンド</t>
    </rPh>
    <phoneticPr fontId="14"/>
  </si>
  <si>
    <t>最高温度</t>
    <rPh sb="0" eb="2">
      <t>サイコウ</t>
    </rPh>
    <rPh sb="2" eb="4">
      <t>オンド</t>
    </rPh>
    <phoneticPr fontId="14"/>
  </si>
  <si>
    <t>Tri1</t>
    <phoneticPr fontId="14"/>
  </si>
  <si>
    <t>理論解（円筒）</t>
    <phoneticPr fontId="14"/>
  </si>
  <si>
    <t>理論との差</t>
    <rPh sb="0" eb="2">
      <t>リロン</t>
    </rPh>
    <rPh sb="4" eb="5">
      <t>サ</t>
    </rPh>
    <phoneticPr fontId="14"/>
  </si>
  <si>
    <t>構造解析と違いせん断が無いため４面体１次要素も含め誤差は0.2以下で十分な精度が得られる。</t>
    <rPh sb="23" eb="24">
      <t>フク</t>
    </rPh>
    <rPh sb="25" eb="27">
      <t>ゴサ</t>
    </rPh>
    <rPh sb="31" eb="33">
      <t>イカ</t>
    </rPh>
    <phoneticPr fontId="14"/>
  </si>
  <si>
    <t>曲げ1</t>
    <rPh sb="0" eb="1">
      <t>マ</t>
    </rPh>
    <phoneticPr fontId="14"/>
  </si>
  <si>
    <t>曲げ2</t>
    <rPh sb="0" eb="1">
      <t>マ</t>
    </rPh>
    <phoneticPr fontId="14"/>
  </si>
  <si>
    <t>捩り</t>
    <rPh sb="0" eb="1">
      <t>ネジ</t>
    </rPh>
    <phoneticPr fontId="14"/>
  </si>
  <si>
    <t>合計</t>
    <rPh sb="0" eb="2">
      <t>ゴウケイ</t>
    </rPh>
    <phoneticPr fontId="14"/>
  </si>
  <si>
    <t>図心y0</t>
    <rPh sb="0" eb="1">
      <t>ズ</t>
    </rPh>
    <rPh sb="1" eb="2">
      <t>シン</t>
    </rPh>
    <phoneticPr fontId="14"/>
  </si>
  <si>
    <t>I</t>
    <phoneticPr fontId="14"/>
  </si>
  <si>
    <t>たわみ</t>
    <phoneticPr fontId="14"/>
  </si>
  <si>
    <t>３次関数の係数</t>
    <rPh sb="1" eb="2">
      <t>ジ</t>
    </rPh>
    <rPh sb="2" eb="4">
      <t>カンスウ</t>
    </rPh>
    <rPh sb="5" eb="7">
      <t>ケイスウ</t>
    </rPh>
    <phoneticPr fontId="14"/>
  </si>
  <si>
    <t>y</t>
    <phoneticPr fontId="14"/>
  </si>
  <si>
    <t>x</t>
    <phoneticPr fontId="14"/>
  </si>
  <si>
    <t>dy</t>
    <phoneticPr fontId="14"/>
  </si>
  <si>
    <t>Newton-Raphson法</t>
    <rPh sb="14" eb="15">
      <t>ホウ</t>
    </rPh>
    <phoneticPr fontId="14"/>
  </si>
  <si>
    <t>単位高さ当たりの半径方向熱流量Q</t>
    <rPh sb="0" eb="2">
      <t>タンイ</t>
    </rPh>
    <rPh sb="2" eb="3">
      <t>タカ</t>
    </rPh>
    <rPh sb="4" eb="5">
      <t>ア</t>
    </rPh>
    <rPh sb="8" eb="10">
      <t>ハンケイ</t>
    </rPh>
    <rPh sb="10" eb="12">
      <t>ホウコウ</t>
    </rPh>
    <rPh sb="12" eb="13">
      <t>ネツ</t>
    </rPh>
    <rPh sb="13" eb="15">
      <t>リュウリョウ</t>
    </rPh>
    <phoneticPr fontId="14"/>
  </si>
  <si>
    <t>Q=2π*(T2-T1)/(1/λln(r2/r1)+1/(h1*r1)+1/(h2*r2))</t>
    <phoneticPr fontId="14"/>
  </si>
  <si>
    <t>Tin=T1+Q/(2π*h1*r1)</t>
    <phoneticPr fontId="14"/>
  </si>
  <si>
    <t>Tout=Tin+Q/(2πλ)*ln(r2/r1)</t>
    <phoneticPr fontId="14"/>
  </si>
  <si>
    <r>
      <rPr>
        <sz val="11"/>
        <color theme="1"/>
        <rFont val="ＭＳ Ｐゴシック"/>
        <family val="3"/>
        <charset val="128"/>
        <scheme val="minor"/>
      </rPr>
      <t>(</t>
    </r>
    <r>
      <rPr>
        <sz val="11"/>
        <color theme="1"/>
        <rFont val="ＭＳ Ｐゴシック"/>
        <family val="2"/>
        <scheme val="minor"/>
      </rPr>
      <t>-2t^3-2h^3+t^2b)</t>
    </r>
    <phoneticPr fontId="14"/>
  </si>
  <si>
    <t>(3*(2t^2+2h^2-bt))</t>
    <phoneticPr fontId="14"/>
  </si>
  <si>
    <t>(-3*(2t+2h-b))</t>
    <phoneticPr fontId="14"/>
  </si>
  <si>
    <t>内側温度Tin</t>
    <rPh sb="0" eb="2">
      <t>ウチガワ</t>
    </rPh>
    <rPh sb="2" eb="4">
      <t>オンド</t>
    </rPh>
    <phoneticPr fontId="14"/>
  </si>
  <si>
    <t>外側温度Tout</t>
    <rPh sb="0" eb="2">
      <t>ソトガワ</t>
    </rPh>
    <rPh sb="2" eb="4">
      <t>オンド</t>
    </rPh>
    <phoneticPr fontId="14"/>
  </si>
  <si>
    <t>⑧heat**.fem（円筒形熱解析）</t>
    <rPh sb="12" eb="15">
      <t>エントウケイ</t>
    </rPh>
    <rPh sb="15" eb="16">
      <t>ネツ</t>
    </rPh>
    <rPh sb="16" eb="18">
      <t>カイセキ</t>
    </rPh>
    <phoneticPr fontId="14"/>
  </si>
  <si>
    <t>⑥shellBeam**.fem（①の梁、シェル要素）</t>
    <rPh sb="19" eb="20">
      <t>ハリ</t>
    </rPh>
    <rPh sb="24" eb="26">
      <t>ヨウソ</t>
    </rPh>
    <phoneticPr fontId="14"/>
  </si>
  <si>
    <t>⑦shellThickBeam**.fem（②の梁、シェル要素）</t>
    <phoneticPr fontId="14"/>
  </si>
  <si>
    <t>厚みがある梁では薄肉シェルとMITC4要素の差が現れる。何れも肉厚の影響を考慮したQuad1(MITC4)要素の方がソリッド２次要素の結果≒正解に近い。⑦は幅より厚さの方が大きいというシェル要素としてあるまじき条件と思われるが、比較的良好な解が得られている。</t>
    <phoneticPr fontId="14"/>
  </si>
  <si>
    <t>（参考）Tetra2</t>
    <rPh sb="1" eb="3">
      <t>サンコウ</t>
    </rPh>
    <phoneticPr fontId="14"/>
  </si>
  <si>
    <t>BEBar</t>
    <phoneticPr fontId="14"/>
  </si>
  <si>
    <t>変位</t>
    <rPh sb="0" eb="2">
      <t>ヘンイ</t>
    </rPh>
    <phoneticPr fontId="14"/>
  </si>
  <si>
    <t>たわみ角</t>
    <rPh sb="3" eb="4">
      <t>カク</t>
    </rPh>
    <phoneticPr fontId="14"/>
  </si>
  <si>
    <t>応力</t>
    <rPh sb="0" eb="2">
      <t>オウリョク</t>
    </rPh>
    <phoneticPr fontId="14"/>
  </si>
  <si>
    <t>F</t>
    <phoneticPr fontId="14"/>
  </si>
  <si>
    <t>l</t>
    <phoneticPr fontId="14"/>
  </si>
  <si>
    <t>d1</t>
    <phoneticPr fontId="14"/>
  </si>
  <si>
    <t>d2</t>
    <phoneticPr fontId="14"/>
  </si>
  <si>
    <t>E</t>
    <phoneticPr fontId="14"/>
  </si>
  <si>
    <t>ν</t>
    <phoneticPr fontId="14"/>
  </si>
  <si>
    <t>G</t>
    <phoneticPr fontId="14"/>
  </si>
  <si>
    <t>Tbar</t>
    <phoneticPr fontId="14"/>
  </si>
  <si>
    <t>A</t>
    <phoneticPr fontId="14"/>
  </si>
  <si>
    <t>補正係数α</t>
    <rPh sb="0" eb="2">
      <t>ホセイ</t>
    </rPh>
    <rPh sb="2" eb="4">
      <t>ケイスウ</t>
    </rPh>
    <phoneticPr fontId="14"/>
  </si>
  <si>
    <t>せん断考慮変位</t>
    <rPh sb="2" eb="3">
      <t>ダン</t>
    </rPh>
    <rPh sb="3" eb="5">
      <t>コウリョ</t>
    </rPh>
    <rPh sb="5" eb="7">
      <t>ヘンイ</t>
    </rPh>
    <phoneticPr fontId="14"/>
  </si>
  <si>
    <t>0.1020+τ-0.0133</t>
    <phoneticPr fontId="14"/>
  </si>
  <si>
    <t>13.641+τ-0.4620</t>
    <phoneticPr fontId="14"/>
  </si>
  <si>
    <t>θy</t>
    <phoneticPr fontId="14"/>
  </si>
  <si>
    <t>θz</t>
    <phoneticPr fontId="14"/>
  </si>
  <si>
    <t>Fy</t>
    <phoneticPr fontId="14"/>
  </si>
  <si>
    <t>Fz</t>
    <phoneticPr fontId="14"/>
  </si>
  <si>
    <t>My</t>
    <phoneticPr fontId="14"/>
  </si>
  <si>
    <t>Mz</t>
    <phoneticPr fontId="14"/>
  </si>
  <si>
    <t>v</t>
    <phoneticPr fontId="14"/>
  </si>
  <si>
    <t>θz</t>
    <phoneticPr fontId="14"/>
  </si>
  <si>
    <t>w</t>
    <phoneticPr fontId="14"/>
  </si>
  <si>
    <t>θy</t>
    <phoneticPr fontId="14"/>
  </si>
  <si>
    <t>22.548+τ0.2310,-0.4620</t>
    <phoneticPr fontId="14"/>
  </si>
  <si>
    <t>T</t>
    <phoneticPr fontId="14"/>
  </si>
  <si>
    <t>Ip</t>
    <phoneticPr fontId="14"/>
  </si>
  <si>
    <t>σ</t>
    <phoneticPr fontId="14"/>
  </si>
  <si>
    <t>τ</t>
    <phoneticPr fontId="14"/>
  </si>
  <si>
    <t>u</t>
    <phoneticPr fontId="14"/>
  </si>
  <si>
    <t>θ</t>
    <phoneticPr fontId="14"/>
  </si>
  <si>
    <t>b1</t>
    <phoneticPr fontId="14"/>
  </si>
  <si>
    <t>h1</t>
    <phoneticPr fontId="14"/>
  </si>
  <si>
    <t>b2</t>
    <phoneticPr fontId="14"/>
  </si>
  <si>
    <t>h2</t>
    <phoneticPr fontId="14"/>
  </si>
  <si>
    <t>Iy</t>
    <phoneticPr fontId="14"/>
  </si>
  <si>
    <t>Iz</t>
    <phoneticPr fontId="14"/>
  </si>
  <si>
    <t>32.413+τ-0.8389</t>
    <phoneticPr fontId="14"/>
  </si>
  <si>
    <t>Fz</t>
    <phoneticPr fontId="14"/>
  </si>
  <si>
    <t>w</t>
    <phoneticPr fontId="14"/>
  </si>
  <si>
    <t>θx</t>
    <phoneticPr fontId="14"/>
  </si>
  <si>
    <t>Ip</t>
    <phoneticPr fontId="14"/>
  </si>
  <si>
    <t>τ</t>
    <phoneticPr fontId="14"/>
  </si>
  <si>
    <t>θx</t>
    <phoneticPr fontId="14"/>
  </si>
  <si>
    <t>F</t>
    <phoneticPr fontId="14"/>
  </si>
  <si>
    <t>σ</t>
    <phoneticPr fontId="14"/>
  </si>
  <si>
    <t>u</t>
    <phoneticPr fontId="14"/>
  </si>
  <si>
    <t>F'</t>
    <phoneticPr fontId="14"/>
  </si>
  <si>
    <t>w</t>
    <phoneticPr fontId="14"/>
  </si>
  <si>
    <t>変位</t>
    <rPh sb="0" eb="2">
      <t>ヘンイ</t>
    </rPh>
    <phoneticPr fontId="14"/>
  </si>
  <si>
    <t>応力</t>
    <rPh sb="0" eb="2">
      <t>オウリョク</t>
    </rPh>
    <phoneticPr fontId="14"/>
  </si>
  <si>
    <t>u</t>
    <phoneticPr fontId="14"/>
  </si>
  <si>
    <t>v</t>
    <phoneticPr fontId="14"/>
  </si>
  <si>
    <t>w</t>
    <phoneticPr fontId="14"/>
  </si>
  <si>
    <t>斜め方向曲げの場合</t>
    <rPh sb="0" eb="1">
      <t>ナナ</t>
    </rPh>
    <rPh sb="2" eb="4">
      <t>ホウコウ</t>
    </rPh>
    <rPh sb="4" eb="5">
      <t>マ</t>
    </rPh>
    <rPh sb="7" eb="9">
      <t>バアイ</t>
    </rPh>
    <phoneticPr fontId="14"/>
  </si>
  <si>
    <t>①barBend1*.fem　円形断面梁　外径φ2 内径φ1 長さ10 荷重Fz=-1</t>
    <rPh sb="15" eb="17">
      <t>エンケイ</t>
    </rPh>
    <rPh sb="17" eb="19">
      <t>ダンメン</t>
    </rPh>
    <rPh sb="19" eb="20">
      <t>ハリ</t>
    </rPh>
    <rPh sb="21" eb="23">
      <t>ガイケイ</t>
    </rPh>
    <rPh sb="26" eb="28">
      <t>ナイケイ</t>
    </rPh>
    <rPh sb="31" eb="32">
      <t>ナガ</t>
    </rPh>
    <rPh sb="36" eb="38">
      <t>カジュウ</t>
    </rPh>
    <phoneticPr fontId="14"/>
  </si>
  <si>
    <t>②barThickBend*.fem　円形断面梁　外径φ10 内径φ2 長さ10 荷重Fz=-1</t>
    <rPh sb="19" eb="21">
      <t>エンケイ</t>
    </rPh>
    <rPh sb="21" eb="23">
      <t>ダンメン</t>
    </rPh>
    <rPh sb="25" eb="27">
      <t>ガイケイ</t>
    </rPh>
    <rPh sb="31" eb="33">
      <t>ナイケイ</t>
    </rPh>
    <rPh sb="36" eb="37">
      <t>ナガ</t>
    </rPh>
    <rPh sb="41" eb="43">
      <t>カジュウ</t>
    </rPh>
    <phoneticPr fontId="14"/>
  </si>
  <si>
    <t>③barBend2*.fem　円形断面梁　外径φ2 内径φ1 長さ10 荷重Fy=0.5Fz=-1My=5Mz=2</t>
    <rPh sb="15" eb="17">
      <t>エンケイ</t>
    </rPh>
    <rPh sb="17" eb="19">
      <t>ダンメン</t>
    </rPh>
    <rPh sb="21" eb="23">
      <t>ガイケイ</t>
    </rPh>
    <rPh sb="26" eb="28">
      <t>ナイケイ</t>
    </rPh>
    <rPh sb="31" eb="32">
      <t>ナガ</t>
    </rPh>
    <rPh sb="36" eb="38">
      <t>カジュウ</t>
    </rPh>
    <phoneticPr fontId="14"/>
  </si>
  <si>
    <t>④barTensTor1*.fem　円形断面軸　外径φ2 内径φ1 長さ10 荷重Fx=2Mx=1</t>
    <rPh sb="18" eb="20">
      <t>エンケイ</t>
    </rPh>
    <rPh sb="20" eb="22">
      <t>ダンメン</t>
    </rPh>
    <rPh sb="22" eb="23">
      <t>ジク</t>
    </rPh>
    <rPh sb="24" eb="26">
      <t>ガイケイ</t>
    </rPh>
    <rPh sb="29" eb="31">
      <t>ナイケイ</t>
    </rPh>
    <rPh sb="34" eb="35">
      <t>ナガ</t>
    </rPh>
    <rPh sb="39" eb="41">
      <t>カジュウ</t>
    </rPh>
    <phoneticPr fontId="14"/>
  </si>
  <si>
    <t>⑤barRect1*.fem　矩形断面梁　外2X1 内1X0.5 長さ10 荷重Fz=-1</t>
    <rPh sb="15" eb="17">
      <t>クケイ</t>
    </rPh>
    <rPh sb="17" eb="19">
      <t>ダンメン</t>
    </rPh>
    <rPh sb="19" eb="20">
      <t>ハリ</t>
    </rPh>
    <rPh sb="21" eb="22">
      <t>ソト</t>
    </rPh>
    <rPh sb="26" eb="27">
      <t>ウチ</t>
    </rPh>
    <rPh sb="33" eb="34">
      <t>ナガ</t>
    </rPh>
    <rPh sb="38" eb="40">
      <t>カジュウ</t>
    </rPh>
    <phoneticPr fontId="14"/>
  </si>
  <si>
    <t>⑥barRect2*.fem　矩形断面梁　外2X1 内1X0.5 長さ10 荷重Fy=sin45°Fz=-cos45°</t>
    <rPh sb="15" eb="17">
      <t>クケイ</t>
    </rPh>
    <rPh sb="17" eb="19">
      <t>ダンメン</t>
    </rPh>
    <rPh sb="19" eb="20">
      <t>ハリ</t>
    </rPh>
    <rPh sb="21" eb="22">
      <t>ソト</t>
    </rPh>
    <rPh sb="26" eb="27">
      <t>ウチ</t>
    </rPh>
    <rPh sb="33" eb="34">
      <t>ナガ</t>
    </rPh>
    <rPh sb="38" eb="40">
      <t>カジュウ</t>
    </rPh>
    <phoneticPr fontId="14"/>
  </si>
  <si>
    <t>⑦barRect3*.fem　矩形断面梁　外2X1 内1X0.5 長さ10 荷重Fy=sin45°Fz=-cos45°荷重垂直方向移動拘束</t>
    <rPh sb="15" eb="17">
      <t>クケイ</t>
    </rPh>
    <rPh sb="17" eb="19">
      <t>ダンメン</t>
    </rPh>
    <rPh sb="19" eb="20">
      <t>ハリ</t>
    </rPh>
    <rPh sb="21" eb="22">
      <t>ソト</t>
    </rPh>
    <rPh sb="26" eb="27">
      <t>ウチ</t>
    </rPh>
    <rPh sb="33" eb="34">
      <t>ナガ</t>
    </rPh>
    <rPh sb="38" eb="40">
      <t>カジュウ</t>
    </rPh>
    <rPh sb="59" eb="61">
      <t>カジュウ</t>
    </rPh>
    <rPh sb="61" eb="63">
      <t>スイチョク</t>
    </rPh>
    <rPh sb="63" eb="65">
      <t>ホウコウ</t>
    </rPh>
    <rPh sb="65" eb="67">
      <t>イドウ</t>
    </rPh>
    <rPh sb="67" eb="69">
      <t>コウソク</t>
    </rPh>
    <phoneticPr fontId="14"/>
  </si>
  <si>
    <t>⑧barRectTor1*.fem　矩形断面梁　外2X1 内1X0.5 長さ10 荷重Fx=1Mx=1</t>
    <rPh sb="18" eb="20">
      <t>クケイ</t>
    </rPh>
    <rPh sb="20" eb="22">
      <t>ダンメン</t>
    </rPh>
    <rPh sb="22" eb="23">
      <t>ハリ</t>
    </rPh>
    <rPh sb="24" eb="25">
      <t>ソト</t>
    </rPh>
    <rPh sb="29" eb="30">
      <t>ウチ</t>
    </rPh>
    <rPh sb="36" eb="37">
      <t>ナガ</t>
    </rPh>
    <rPh sb="41" eb="43">
      <t>カジュウ</t>
    </rPh>
    <phoneticPr fontId="14"/>
  </si>
  <si>
    <t>太い梁はせん断の影響が大きく、ベルヌーイ=オイラー梁とティモシェンコ梁の差が大きくなる</t>
    <rPh sb="0" eb="1">
      <t>フト</t>
    </rPh>
    <rPh sb="2" eb="3">
      <t>ハリ</t>
    </rPh>
    <rPh sb="6" eb="7">
      <t>ダン</t>
    </rPh>
    <rPh sb="8" eb="10">
      <t>エイキョウ</t>
    </rPh>
    <rPh sb="11" eb="12">
      <t>オオ</t>
    </rPh>
    <rPh sb="25" eb="26">
      <t>ハリ</t>
    </rPh>
    <rPh sb="34" eb="35">
      <t>ハリ</t>
    </rPh>
    <rPh sb="36" eb="37">
      <t>サ</t>
    </rPh>
    <rPh sb="38" eb="39">
      <t>オオ</t>
    </rPh>
    <phoneticPr fontId="14"/>
  </si>
  <si>
    <t>変位方向を拘束することで矩形斜め方向曲げの理論値と合うようになる</t>
    <rPh sb="0" eb="2">
      <t>ヘンイ</t>
    </rPh>
    <rPh sb="2" eb="4">
      <t>ホウコウ</t>
    </rPh>
    <rPh sb="5" eb="7">
      <t>コウソク</t>
    </rPh>
    <rPh sb="12" eb="14">
      <t>クケイ</t>
    </rPh>
    <rPh sb="14" eb="15">
      <t>ナナ</t>
    </rPh>
    <rPh sb="16" eb="18">
      <t>ホウコウ</t>
    </rPh>
    <rPh sb="18" eb="19">
      <t>マ</t>
    </rPh>
    <rPh sb="21" eb="24">
      <t>リロンチ</t>
    </rPh>
    <rPh sb="25" eb="26">
      <t>ア</t>
    </rPh>
    <phoneticPr fontId="14"/>
  </si>
  <si>
    <t>（参考）</t>
    <rPh sb="1" eb="3">
      <t>サンコウ</t>
    </rPh>
    <phoneticPr fontId="14"/>
  </si>
  <si>
    <t>BEBar</t>
  </si>
  <si>
    <t>TBar</t>
  </si>
  <si>
    <t>４角形（MITC4）や梁要素は理論値に近い</t>
    <rPh sb="1" eb="3">
      <t>カッケイ</t>
    </rPh>
    <rPh sb="11" eb="12">
      <t>ハリ</t>
    </rPh>
    <rPh sb="12" eb="14">
      <t>ヨウソ</t>
    </rPh>
    <rPh sb="15" eb="18">
      <t>リロンチ</t>
    </rPh>
    <rPh sb="19" eb="20">
      <t>チカ</t>
    </rPh>
    <phoneticPr fontId="14"/>
  </si>
  <si>
    <t>f</t>
    <phoneticPr fontId="16"/>
  </si>
  <si>
    <t>ω</t>
    <phoneticPr fontId="16"/>
  </si>
  <si>
    <t>k</t>
    <phoneticPr fontId="16"/>
  </si>
  <si>
    <t>A</t>
    <phoneticPr fontId="14"/>
  </si>
  <si>
    <t>ρ</t>
    <phoneticPr fontId="16"/>
  </si>
  <si>
    <t>G</t>
    <phoneticPr fontId="14"/>
  </si>
  <si>
    <t>ν</t>
    <phoneticPr fontId="14"/>
  </si>
  <si>
    <t>d2</t>
    <phoneticPr fontId="14"/>
  </si>
  <si>
    <t>d1</t>
    <phoneticPr fontId="14"/>
  </si>
  <si>
    <t>l</t>
    <phoneticPr fontId="14"/>
  </si>
  <si>
    <t>F</t>
    <phoneticPr fontId="14"/>
  </si>
  <si>
    <t>自由端</t>
    <rPh sb="0" eb="2">
      <t>ジユウ</t>
    </rPh>
    <rPh sb="2" eb="3">
      <t>タン</t>
    </rPh>
    <phoneticPr fontId="14"/>
  </si>
  <si>
    <t>片持ち梁</t>
    <rPh sb="0" eb="2">
      <t>カタモ</t>
    </rPh>
    <rPh sb="3" eb="4">
      <t>ハリ</t>
    </rPh>
    <phoneticPr fontId="14"/>
  </si>
  <si>
    <t>k</t>
    <phoneticPr fontId="14"/>
  </si>
  <si>
    <t>f</t>
    <phoneticPr fontId="14"/>
  </si>
  <si>
    <t>m</t>
    <phoneticPr fontId="14"/>
  </si>
  <si>
    <t>Ip</t>
    <phoneticPr fontId="14"/>
  </si>
  <si>
    <t>Iγ</t>
    <phoneticPr fontId="14"/>
  </si>
  <si>
    <t>曲げ</t>
    <rPh sb="0" eb="1">
      <t>マ</t>
    </rPh>
    <phoneticPr fontId="14"/>
  </si>
  <si>
    <t>伸縮</t>
    <rPh sb="0" eb="2">
      <t>シンシュク</t>
    </rPh>
    <phoneticPr fontId="14"/>
  </si>
  <si>
    <t>捩り</t>
    <rPh sb="0" eb="1">
      <t>ネジ</t>
    </rPh>
    <phoneticPr fontId="14"/>
  </si>
  <si>
    <r>
      <t>B</t>
    </r>
    <r>
      <rPr>
        <sz val="11"/>
        <color theme="1"/>
        <rFont val="ＭＳ Ｐゴシック"/>
        <family val="2"/>
        <charset val="128"/>
        <scheme val="minor"/>
      </rPr>
      <t>EBar</t>
    </r>
    <phoneticPr fontId="14"/>
  </si>
  <si>
    <t>曲げ１次</t>
    <rPh sb="0" eb="1">
      <t>マ</t>
    </rPh>
    <rPh sb="3" eb="4">
      <t>ジ</t>
    </rPh>
    <phoneticPr fontId="14"/>
  </si>
  <si>
    <t>捩り１次</t>
    <rPh sb="0" eb="1">
      <t>ネジ</t>
    </rPh>
    <rPh sb="3" eb="4">
      <t>ジ</t>
    </rPh>
    <phoneticPr fontId="14"/>
  </si>
  <si>
    <t>理論値</t>
    <rPh sb="0" eb="3">
      <t>リロンチ</t>
    </rPh>
    <phoneticPr fontId="14"/>
  </si>
  <si>
    <t>曲げ２次</t>
    <rPh sb="0" eb="1">
      <t>マ</t>
    </rPh>
    <rPh sb="3" eb="4">
      <t>ジ</t>
    </rPh>
    <phoneticPr fontId="14"/>
  </si>
  <si>
    <t>伸縮１次</t>
    <rPh sb="0" eb="2">
      <t>シンシュク</t>
    </rPh>
    <rPh sb="3" eb="4">
      <t>ジ</t>
    </rPh>
    <phoneticPr fontId="14"/>
  </si>
  <si>
    <t>捩り２次</t>
    <rPh sb="0" eb="1">
      <t>ネジ</t>
    </rPh>
    <rPh sb="3" eb="4">
      <t>ジ</t>
    </rPh>
    <phoneticPr fontId="14"/>
  </si>
  <si>
    <t>曲げ３次</t>
    <rPh sb="0" eb="1">
      <t>マ</t>
    </rPh>
    <rPh sb="3" eb="4">
      <t>ジ</t>
    </rPh>
    <phoneticPr fontId="14"/>
  </si>
  <si>
    <t>伸縮２次</t>
    <rPh sb="0" eb="2">
      <t>シンシュク</t>
    </rPh>
    <rPh sb="3" eb="4">
      <t>ジ</t>
    </rPh>
    <phoneticPr fontId="14"/>
  </si>
  <si>
    <t>Hexa1非適合</t>
    <rPh sb="5" eb="6">
      <t>ヒ</t>
    </rPh>
    <rPh sb="6" eb="8">
      <t>テキゴウ</t>
    </rPh>
    <phoneticPr fontId="14"/>
  </si>
  <si>
    <t>拘束なし</t>
    <rPh sb="0" eb="2">
      <t>コウソク</t>
    </rPh>
    <phoneticPr fontId="14"/>
  </si>
  <si>
    <r>
      <t>T</t>
    </r>
    <r>
      <rPr>
        <sz val="11"/>
        <color theme="1"/>
        <rFont val="ＭＳ Ｐゴシック"/>
        <family val="2"/>
        <charset val="128"/>
        <scheme val="minor"/>
      </rPr>
      <t>etra1</t>
    </r>
    <phoneticPr fontId="14"/>
  </si>
  <si>
    <r>
      <t>W</t>
    </r>
    <r>
      <rPr>
        <sz val="11"/>
        <color theme="1"/>
        <rFont val="ＭＳ Ｐゴシック"/>
        <family val="2"/>
        <charset val="128"/>
        <scheme val="minor"/>
      </rPr>
      <t>edge1</t>
    </r>
    <phoneticPr fontId="14"/>
  </si>
  <si>
    <r>
      <t>H</t>
    </r>
    <r>
      <rPr>
        <sz val="11"/>
        <color theme="1"/>
        <rFont val="ＭＳ Ｐゴシック"/>
        <family val="2"/>
        <charset val="128"/>
        <scheme val="minor"/>
      </rPr>
      <t>exa1</t>
    </r>
    <phoneticPr fontId="14"/>
  </si>
  <si>
    <t>Tetra2</t>
    <phoneticPr fontId="14"/>
  </si>
  <si>
    <t>Wedge2</t>
    <phoneticPr fontId="14"/>
  </si>
  <si>
    <t>Hexa2</t>
    <phoneticPr fontId="14"/>
  </si>
  <si>
    <t>Tri1</t>
    <phoneticPr fontId="14"/>
  </si>
  <si>
    <t>Quad1</t>
    <phoneticPr fontId="14"/>
  </si>
  <si>
    <t>①*Beam*.fem　矩形断面片持ち梁　外2X1 内0X0 長さ10</t>
    <rPh sb="12" eb="14">
      <t>クケイ</t>
    </rPh>
    <rPh sb="14" eb="16">
      <t>ダンメン</t>
    </rPh>
    <rPh sb="16" eb="18">
      <t>カタモ</t>
    </rPh>
    <rPh sb="19" eb="20">
      <t>ハリ</t>
    </rPh>
    <rPh sb="21" eb="22">
      <t>ソト</t>
    </rPh>
    <rPh sb="26" eb="27">
      <t>ウチ</t>
    </rPh>
    <rPh sb="31" eb="32">
      <t>ナガ</t>
    </rPh>
    <phoneticPr fontId="14"/>
  </si>
  <si>
    <t>誤差[%]</t>
    <rPh sb="0" eb="2">
      <t>ゴサ</t>
    </rPh>
    <phoneticPr fontId="14"/>
  </si>
  <si>
    <t>②*Rect1*.fem　矩形断面梁　外2X1 内1X0.5 長さ10</t>
    <rPh sb="13" eb="15">
      <t>クケイ</t>
    </rPh>
    <rPh sb="15" eb="17">
      <t>ダンメン</t>
    </rPh>
    <rPh sb="17" eb="18">
      <t>ハリ</t>
    </rPh>
    <rPh sb="19" eb="20">
      <t>ソト</t>
    </rPh>
    <rPh sb="24" eb="25">
      <t>ウチ</t>
    </rPh>
    <rPh sb="31" eb="32">
      <t>ナガ</t>
    </rPh>
    <phoneticPr fontId="14"/>
  </si>
  <si>
    <t>固有振動数</t>
    <rPh sb="0" eb="2">
      <t>コユウ</t>
    </rPh>
    <rPh sb="2" eb="5">
      <t>シンドウスウ</t>
    </rPh>
    <phoneticPr fontId="14"/>
  </si>
  <si>
    <t>BEBar細分</t>
    <rPh sb="5" eb="7">
      <t>サイブン</t>
    </rPh>
    <phoneticPr fontId="14"/>
  </si>
  <si>
    <t>拘束なしの場合固有値数を多め（ランチョス法のサイズを大きめ）にしないと解が求まらないことがある。</t>
    <rPh sb="0" eb="2">
      <t>コウソク</t>
    </rPh>
    <rPh sb="5" eb="7">
      <t>バアイ</t>
    </rPh>
    <rPh sb="7" eb="10">
      <t>コユウチ</t>
    </rPh>
    <rPh sb="10" eb="11">
      <t>カズ</t>
    </rPh>
    <rPh sb="12" eb="13">
      <t>オオ</t>
    </rPh>
    <rPh sb="35" eb="36">
      <t>カイ</t>
    </rPh>
    <rPh sb="37" eb="38">
      <t>モト</t>
    </rPh>
    <phoneticPr fontId="14"/>
  </si>
  <si>
    <t>また時間のかかるソリッド要素でも反復解法が使えないこともある。</t>
    <rPh sb="2" eb="4">
      <t>ジカン</t>
    </rPh>
    <rPh sb="12" eb="14">
      <t>ヨウソ</t>
    </rPh>
    <rPh sb="16" eb="18">
      <t>ハンプク</t>
    </rPh>
    <rPh sb="18" eb="20">
      <t>カイホウ</t>
    </rPh>
    <rPh sb="21" eb="22">
      <t>ツカ</t>
    </rPh>
    <phoneticPr fontId="14"/>
  </si>
  <si>
    <t>理論との差[%]</t>
    <rPh sb="0" eb="2">
      <t>リロン</t>
    </rPh>
    <rPh sb="4" eb="5">
      <t>サ</t>
    </rPh>
    <phoneticPr fontId="14"/>
  </si>
  <si>
    <t>-</t>
    <phoneticPr fontId="14"/>
  </si>
  <si>
    <r>
      <t>誤差[</t>
    </r>
    <r>
      <rPr>
        <sz val="11"/>
        <color theme="1"/>
        <rFont val="ＭＳ Ｐゴシック"/>
        <family val="2"/>
        <charset val="128"/>
        <scheme val="minor"/>
      </rPr>
      <t>%]</t>
    </r>
    <rPh sb="0" eb="2">
      <t>ゴサ</t>
    </rPh>
    <phoneticPr fontId="14"/>
  </si>
  <si>
    <t>中空</t>
    <rPh sb="0" eb="2">
      <t>チュウクウ</t>
    </rPh>
    <phoneticPr fontId="14"/>
  </si>
  <si>
    <t>中実</t>
    <rPh sb="0" eb="2">
      <t>チュウジツ</t>
    </rPh>
    <phoneticPr fontId="14"/>
  </si>
  <si>
    <t>シェル静荷重捩り変形</t>
    <rPh sb="3" eb="4">
      <t>セイ</t>
    </rPh>
    <rPh sb="4" eb="6">
      <t>カジュウ</t>
    </rPh>
    <rPh sb="6" eb="7">
      <t>ネジ</t>
    </rPh>
    <rPh sb="8" eb="10">
      <t>ヘンケイ</t>
    </rPh>
    <phoneticPr fontId="14"/>
  </si>
  <si>
    <r>
      <t>T</t>
    </r>
    <r>
      <rPr>
        <sz val="11"/>
        <color theme="1"/>
        <rFont val="ＭＳ Ｐゴシック"/>
        <family val="2"/>
        <charset val="128"/>
        <scheme val="minor"/>
      </rPr>
      <t>=1</t>
    </r>
    <phoneticPr fontId="14"/>
  </si>
  <si>
    <t>理論値</t>
    <rPh sb="0" eb="2">
      <t>リロン</t>
    </rPh>
    <rPh sb="2" eb="3">
      <t>アタイ</t>
    </rPh>
    <phoneticPr fontId="14"/>
  </si>
  <si>
    <r>
      <t>T</t>
    </r>
    <r>
      <rPr>
        <sz val="11"/>
        <color theme="1"/>
        <rFont val="ＭＳ Ｐゴシック"/>
        <family val="2"/>
        <charset val="128"/>
        <scheme val="minor"/>
      </rPr>
      <t>ri</t>
    </r>
    <phoneticPr fontId="14"/>
  </si>
  <si>
    <r>
      <t>Q</t>
    </r>
    <r>
      <rPr>
        <sz val="11"/>
        <color theme="1"/>
        <rFont val="ＭＳ Ｐゴシック"/>
        <family val="2"/>
        <charset val="128"/>
        <scheme val="minor"/>
      </rPr>
      <t>uad</t>
    </r>
    <phoneticPr fontId="14"/>
  </si>
  <si>
    <r>
      <t xml:space="preserve">（参考）静的捩り荷重 </t>
    </r>
    <r>
      <rPr>
        <sz val="11"/>
        <color theme="1"/>
        <rFont val="ＭＳ Ｐゴシック"/>
        <family val="2"/>
        <charset val="128"/>
        <scheme val="minor"/>
      </rPr>
      <t>T=1</t>
    </r>
    <rPh sb="1" eb="3">
      <t>サンコウ</t>
    </rPh>
    <rPh sb="4" eb="6">
      <t>セイテキ</t>
    </rPh>
    <rPh sb="6" eb="7">
      <t>ネジ</t>
    </rPh>
    <rPh sb="8" eb="10">
      <t>カジュウ</t>
    </rPh>
    <phoneticPr fontId="14"/>
  </si>
  <si>
    <r>
      <t>T</t>
    </r>
    <r>
      <rPr>
        <sz val="11"/>
        <color theme="1"/>
        <rFont val="ＭＳ Ｐゴシック"/>
        <family val="2"/>
        <charset val="128"/>
        <scheme val="minor"/>
      </rPr>
      <t>ri1</t>
    </r>
    <phoneticPr fontId="14"/>
  </si>
  <si>
    <r>
      <t>Q</t>
    </r>
    <r>
      <rPr>
        <sz val="11"/>
        <color theme="1"/>
        <rFont val="ＭＳ Ｐゴシック"/>
        <family val="2"/>
        <charset val="128"/>
        <scheme val="minor"/>
      </rPr>
      <t>uad1</t>
    </r>
    <phoneticPr fontId="14"/>
  </si>
  <si>
    <t>理論値</t>
    <rPh sb="0" eb="3">
      <t>リロンチ</t>
    </rPh>
    <phoneticPr fontId="14"/>
  </si>
  <si>
    <t>捩り角度</t>
    <rPh sb="0" eb="1">
      <t>ネジ</t>
    </rPh>
    <rPh sb="2" eb="4">
      <t>カクド</t>
    </rPh>
    <phoneticPr fontId="14"/>
  </si>
  <si>
    <r>
      <t>誤差[</t>
    </r>
    <r>
      <rPr>
        <sz val="11"/>
        <color theme="1"/>
        <rFont val="ＭＳ Ｐゴシック"/>
        <family val="2"/>
        <charset val="128"/>
        <scheme val="minor"/>
      </rPr>
      <t>%]</t>
    </r>
    <rPh sb="0" eb="2">
      <t>ゴサ</t>
    </rPh>
    <phoneticPr fontId="14"/>
  </si>
  <si>
    <t>Pc2</t>
    <phoneticPr fontId="14"/>
  </si>
  <si>
    <t>Pc1</t>
    <phoneticPr fontId="14"/>
  </si>
  <si>
    <t>３次－２</t>
    <rPh sb="1" eb="2">
      <t>ジ</t>
    </rPh>
    <phoneticPr fontId="14"/>
  </si>
  <si>
    <t>Pe2</t>
    <phoneticPr fontId="14"/>
  </si>
  <si>
    <t>Pe1</t>
    <phoneticPr fontId="14"/>
  </si>
  <si>
    <t>５次－１</t>
    <rPh sb="1" eb="2">
      <t>ジ</t>
    </rPh>
    <phoneticPr fontId="14"/>
  </si>
  <si>
    <t>３次－１</t>
    <rPh sb="1" eb="2">
      <t>ジ</t>
    </rPh>
    <phoneticPr fontId="14"/>
  </si>
  <si>
    <t>I2</t>
    <phoneticPr fontId="14"/>
  </si>
  <si>
    <t>I1</t>
    <phoneticPr fontId="14"/>
  </si>
  <si>
    <t>１次－２</t>
    <rPh sb="1" eb="2">
      <t>ジ</t>
    </rPh>
    <phoneticPr fontId="14"/>
  </si>
  <si>
    <t>１次－１</t>
    <rPh sb="1" eb="2">
      <t>ジ</t>
    </rPh>
    <phoneticPr fontId="14"/>
  </si>
  <si>
    <t>h</t>
    <phoneticPr fontId="14"/>
  </si>
  <si>
    <t>b</t>
    <phoneticPr fontId="14"/>
  </si>
  <si>
    <t>l</t>
    <phoneticPr fontId="14"/>
  </si>
  <si>
    <t>座屈荷重</t>
    <rPh sb="0" eb="2">
      <t>ザクツ</t>
    </rPh>
    <rPh sb="2" eb="4">
      <t>カジュウ</t>
    </rPh>
    <phoneticPr fontId="14"/>
  </si>
  <si>
    <t>I1</t>
    <phoneticPr fontId="14"/>
  </si>
  <si>
    <t>l</t>
    <phoneticPr fontId="14"/>
  </si>
  <si>
    <t>Quad1</t>
    <phoneticPr fontId="14"/>
  </si>
  <si>
    <t>Tri1</t>
    <phoneticPr fontId="14"/>
  </si>
  <si>
    <t>Tbar</t>
    <phoneticPr fontId="14"/>
  </si>
  <si>
    <t>BEBar</t>
    <phoneticPr fontId="14"/>
  </si>
  <si>
    <t>三角形１次は変形は面外曲げだが応力は面内圧縮モードになるため精度悪い。</t>
    <rPh sb="6" eb="8">
      <t>ヘンケイ</t>
    </rPh>
    <rPh sb="9" eb="10">
      <t>メン</t>
    </rPh>
    <rPh sb="10" eb="11">
      <t>ガイ</t>
    </rPh>
    <rPh sb="11" eb="12">
      <t>マ</t>
    </rPh>
    <rPh sb="15" eb="17">
      <t>オウリョク</t>
    </rPh>
    <rPh sb="18" eb="20">
      <t>メンナイ</t>
    </rPh>
    <phoneticPr fontId="14"/>
  </si>
  <si>
    <t>柱が太いため理論との乖離大きい。</t>
    <rPh sb="0" eb="1">
      <t>ハシラ</t>
    </rPh>
    <rPh sb="2" eb="3">
      <t>フト</t>
    </rPh>
    <rPh sb="6" eb="8">
      <t>リロン</t>
    </rPh>
    <rPh sb="10" eb="12">
      <t>カイリ</t>
    </rPh>
    <rPh sb="12" eb="13">
      <t>オオ</t>
    </rPh>
    <phoneticPr fontId="14"/>
  </si>
  <si>
    <t>ティモシェンコ梁・三角形１次を除き低次モードの精度は良い。</t>
    <rPh sb="7" eb="8">
      <t>ハリ</t>
    </rPh>
    <rPh sb="9" eb="12">
      <t>サンカッケイ</t>
    </rPh>
    <rPh sb="13" eb="14">
      <t>ジ</t>
    </rPh>
    <rPh sb="15" eb="16">
      <t>ノゾ</t>
    </rPh>
    <rPh sb="17" eb="19">
      <t>テイジ</t>
    </rPh>
    <rPh sb="23" eb="25">
      <t>セイド</t>
    </rPh>
    <rPh sb="26" eb="27">
      <t>ヨ</t>
    </rPh>
    <phoneticPr fontId="14"/>
  </si>
  <si>
    <t>ティモシェンコ梁は固有振動でも異常モード発生が見られ、固有値計算に向かないようである。</t>
    <rPh sb="7" eb="8">
      <t>ハリ</t>
    </rPh>
    <rPh sb="9" eb="11">
      <t>コユウ</t>
    </rPh>
    <rPh sb="11" eb="13">
      <t>シンドウ</t>
    </rPh>
    <rPh sb="15" eb="17">
      <t>イジョウ</t>
    </rPh>
    <rPh sb="20" eb="22">
      <t>ハッセイ</t>
    </rPh>
    <rPh sb="23" eb="24">
      <t>ミ</t>
    </rPh>
    <rPh sb="27" eb="30">
      <t>コユウチ</t>
    </rPh>
    <rPh sb="30" eb="32">
      <t>ケイサン</t>
    </rPh>
    <rPh sb="33" eb="34">
      <t>ム</t>
    </rPh>
    <phoneticPr fontId="14"/>
  </si>
  <si>
    <t>E</t>
    <phoneticPr fontId="14"/>
  </si>
  <si>
    <t>ν</t>
    <phoneticPr fontId="14"/>
  </si>
  <si>
    <t>R</t>
    <phoneticPr fontId="14"/>
  </si>
  <si>
    <t>t</t>
    <phoneticPr fontId="14"/>
  </si>
  <si>
    <t>F</t>
    <phoneticPr fontId="14"/>
  </si>
  <si>
    <t>σ</t>
    <phoneticPr fontId="14"/>
  </si>
  <si>
    <t>L</t>
    <phoneticPr fontId="14"/>
  </si>
  <si>
    <t>ティモシェンコ有限変形</t>
    <rPh sb="7" eb="9">
      <t>ユウゲン</t>
    </rPh>
    <rPh sb="9" eb="11">
      <t>ヘンケイ</t>
    </rPh>
    <phoneticPr fontId="14"/>
  </si>
  <si>
    <t>軸対称モード</t>
    <rPh sb="0" eb="1">
      <t>ジク</t>
    </rPh>
    <rPh sb="1" eb="3">
      <t>タイショウ</t>
    </rPh>
    <phoneticPr fontId="14"/>
  </si>
  <si>
    <t>比</t>
    <rPh sb="0" eb="1">
      <t>ヒ</t>
    </rPh>
    <phoneticPr fontId="14"/>
  </si>
  <si>
    <t>①buck1*.fem　矩形断面一端固定柱　外2X1 長さ20</t>
    <rPh sb="12" eb="14">
      <t>クケイ</t>
    </rPh>
    <rPh sb="14" eb="16">
      <t>ダンメン</t>
    </rPh>
    <rPh sb="16" eb="18">
      <t>イッタン</t>
    </rPh>
    <rPh sb="18" eb="20">
      <t>コテイ</t>
    </rPh>
    <rPh sb="20" eb="21">
      <t>ハシラ</t>
    </rPh>
    <rPh sb="22" eb="23">
      <t>ソト</t>
    </rPh>
    <rPh sb="27" eb="28">
      <t>ナガ</t>
    </rPh>
    <phoneticPr fontId="14"/>
  </si>
  <si>
    <t>②buck2*.fem　矩形断面一端固定柱　外50X20 長さ100</t>
    <rPh sb="20" eb="21">
      <t>ハシラ</t>
    </rPh>
    <phoneticPr fontId="14"/>
  </si>
  <si>
    <t>③buck3*.fem　一端固定円筒殻　半径20 長さ50</t>
    <rPh sb="12" eb="14">
      <t>イッタン</t>
    </rPh>
    <rPh sb="14" eb="16">
      <t>コテイ</t>
    </rPh>
    <rPh sb="16" eb="18">
      <t>エントウ</t>
    </rPh>
    <rPh sb="18" eb="19">
      <t>カラ</t>
    </rPh>
    <rPh sb="20" eb="22">
      <t>ハンケイ</t>
    </rPh>
    <phoneticPr fontId="14"/>
  </si>
  <si>
    <t>Quad1</t>
    <phoneticPr fontId="14"/>
  </si>
  <si>
    <t>肉厚0.1</t>
    <rPh sb="0" eb="2">
      <t>ニクアツ</t>
    </rPh>
    <phoneticPr fontId="14"/>
  </si>
  <si>
    <t>肉厚0.01</t>
    <rPh sb="0" eb="2">
      <t>ニクアツ</t>
    </rPh>
    <phoneticPr fontId="14"/>
  </si>
  <si>
    <t>肉厚0.05</t>
    <rPh sb="0" eb="2">
      <t>ニクアツ</t>
    </rPh>
    <phoneticPr fontId="14"/>
  </si>
  <si>
    <t>波数</t>
    <rPh sb="0" eb="2">
      <t>ハスウ</t>
    </rPh>
    <phoneticPr fontId="14"/>
  </si>
  <si>
    <t>実験式（NASA）</t>
    <rPh sb="0" eb="2">
      <t>ジッケン</t>
    </rPh>
    <rPh sb="2" eb="3">
      <t>シキ</t>
    </rPh>
    <phoneticPr fontId="14"/>
  </si>
  <si>
    <t>実験式（ティモシェンコ）</t>
    <rPh sb="0" eb="2">
      <t>ジッケン</t>
    </rPh>
    <rPh sb="2" eb="3">
      <t>シキ</t>
    </rPh>
    <phoneticPr fontId="14"/>
  </si>
  <si>
    <t>肉厚が薄いときの実験式との乖離はメッシュ分割によるものか？</t>
    <rPh sb="0" eb="2">
      <t>ニクアツ</t>
    </rPh>
    <rPh sb="3" eb="4">
      <t>ウス</t>
    </rPh>
    <rPh sb="8" eb="10">
      <t>ジッケン</t>
    </rPh>
    <rPh sb="10" eb="11">
      <t>シキ</t>
    </rPh>
    <rPh sb="13" eb="15">
      <t>カイリ</t>
    </rPh>
    <rPh sb="20" eb="22">
      <t>ブンカツ</t>
    </rPh>
    <phoneticPr fontId="14"/>
  </si>
  <si>
    <t>④buck4*.fem　一端固定円筒殻　半径5 長さ100 肉厚0.1</t>
    <rPh sb="12" eb="14">
      <t>イッタン</t>
    </rPh>
    <rPh sb="14" eb="16">
      <t>コテイ</t>
    </rPh>
    <rPh sb="16" eb="18">
      <t>エントウ</t>
    </rPh>
    <rPh sb="18" eb="19">
      <t>カラ</t>
    </rPh>
    <rPh sb="20" eb="22">
      <t>ハンケイ</t>
    </rPh>
    <rPh sb="30" eb="32">
      <t>ニクアツ</t>
    </rPh>
    <phoneticPr fontId="14"/>
  </si>
  <si>
    <t>肉厚1</t>
    <rPh sb="0" eb="2">
      <t>ニクアツ</t>
    </rPh>
    <phoneticPr fontId="14"/>
  </si>
  <si>
    <t>I</t>
    <phoneticPr fontId="14"/>
  </si>
  <si>
    <t>Pc</t>
    <phoneticPr fontId="14"/>
  </si>
  <si>
    <t>シェル座屈</t>
    <rPh sb="3" eb="5">
      <t>ザクツ</t>
    </rPh>
    <phoneticPr fontId="14"/>
  </si>
  <si>
    <t>柱座屈</t>
    <rPh sb="0" eb="1">
      <t>ハシラ</t>
    </rPh>
    <rPh sb="1" eb="3">
      <t>ザクツ</t>
    </rPh>
    <phoneticPr fontId="14"/>
  </si>
  <si>
    <t>理論値</t>
    <rPh sb="0" eb="3">
      <t>リロンチ</t>
    </rPh>
    <phoneticPr fontId="14"/>
  </si>
  <si>
    <t>NASA</t>
    <phoneticPr fontId="14"/>
  </si>
  <si>
    <t>NASA曲げ</t>
    <rPh sb="4" eb="5">
      <t>マ</t>
    </rPh>
    <phoneticPr fontId="14"/>
  </si>
  <si>
    <t>曲げ座屈</t>
    <rPh sb="0" eb="1">
      <t>マ</t>
    </rPh>
    <rPh sb="2" eb="4">
      <t>ザクツ</t>
    </rPh>
    <phoneticPr fontId="14"/>
  </si>
  <si>
    <t>柱座屈は理論値よりやや小さいが誤差はあまり大きくない</t>
    <rPh sb="0" eb="1">
      <t>ハシラ</t>
    </rPh>
    <rPh sb="1" eb="3">
      <t>ザクツ</t>
    </rPh>
    <rPh sb="4" eb="7">
      <t>リロンチ</t>
    </rPh>
    <rPh sb="11" eb="12">
      <t>チイ</t>
    </rPh>
    <rPh sb="15" eb="17">
      <t>ゴサ</t>
    </rPh>
    <rPh sb="21" eb="22">
      <t>オオ</t>
    </rPh>
    <phoneticPr fontId="14"/>
  </si>
  <si>
    <t>Z</t>
    <phoneticPr fontId="14"/>
  </si>
  <si>
    <t>σM</t>
    <phoneticPr fontId="14"/>
  </si>
  <si>
    <t>R/tが小さい場合シェル座屈荷重はティモシェンコの実験式より小さくなる</t>
    <rPh sb="4" eb="5">
      <t>チイ</t>
    </rPh>
    <rPh sb="7" eb="9">
      <t>バアイ</t>
    </rPh>
    <rPh sb="12" eb="14">
      <t>ザクツ</t>
    </rPh>
    <rPh sb="14" eb="16">
      <t>カジュウ</t>
    </rPh>
    <rPh sb="25" eb="27">
      <t>ジッケン</t>
    </rPh>
    <rPh sb="27" eb="28">
      <t>シキ</t>
    </rPh>
    <rPh sb="30" eb="31">
      <t>チイ</t>
    </rPh>
    <phoneticPr fontId="14"/>
  </si>
  <si>
    <t>曲げ座屈荷重はNASA実験式より大きくなる傾向</t>
    <rPh sb="0" eb="1">
      <t>マ</t>
    </rPh>
    <rPh sb="2" eb="4">
      <t>ザクツ</t>
    </rPh>
    <rPh sb="4" eb="6">
      <t>カジュウ</t>
    </rPh>
    <rPh sb="11" eb="13">
      <t>ジッケン</t>
    </rPh>
    <rPh sb="13" eb="14">
      <t>シキ</t>
    </rPh>
    <rPh sb="16" eb="17">
      <t>オオ</t>
    </rPh>
    <rPh sb="21" eb="23">
      <t>ケイコウ</t>
    </rPh>
    <phoneticPr fontId="14"/>
  </si>
  <si>
    <t>シェル座屈や曲げ座屈は理論通りにはならず実験式との誤差も大きいが、オーダーは同程度</t>
    <rPh sb="3" eb="5">
      <t>ザクツ</t>
    </rPh>
    <rPh sb="6" eb="7">
      <t>マ</t>
    </rPh>
    <rPh sb="8" eb="10">
      <t>ザクツ</t>
    </rPh>
    <rPh sb="11" eb="13">
      <t>リロン</t>
    </rPh>
    <rPh sb="13" eb="14">
      <t>ドオ</t>
    </rPh>
    <rPh sb="20" eb="22">
      <t>ジッケン</t>
    </rPh>
    <rPh sb="22" eb="23">
      <t>シキ</t>
    </rPh>
    <rPh sb="25" eb="27">
      <t>ゴサ</t>
    </rPh>
    <rPh sb="28" eb="29">
      <t>オオ</t>
    </rPh>
    <rPh sb="38" eb="41">
      <t>ドウテイド</t>
    </rPh>
    <phoneticPr fontId="14"/>
  </si>
  <si>
    <t>（次数低減積分のためアワーグラスモード発生する模様。）</t>
    <rPh sb="1" eb="3">
      <t>ジスウ</t>
    </rPh>
    <rPh sb="3" eb="5">
      <t>テイゲン</t>
    </rPh>
    <rPh sb="5" eb="7">
      <t>セキブン</t>
    </rPh>
    <rPh sb="19" eb="21">
      <t>ハッセイ</t>
    </rPh>
    <rPh sb="23" eb="25">
      <t>モヨウ</t>
    </rPh>
    <phoneticPr fontId="14"/>
  </si>
  <si>
    <t>①bar1*.fem　円形断面梁　外径φ2 内径φ1 長さ10</t>
    <rPh sb="11" eb="13">
      <t>エンケイ</t>
    </rPh>
    <rPh sb="13" eb="15">
      <t>ダンメン</t>
    </rPh>
    <rPh sb="15" eb="16">
      <t>ハリ</t>
    </rPh>
    <rPh sb="17" eb="19">
      <t>ガイケイ</t>
    </rPh>
    <rPh sb="22" eb="24">
      <t>ナイケイ</t>
    </rPh>
    <rPh sb="27" eb="28">
      <t>ナガ</t>
    </rPh>
    <phoneticPr fontId="14"/>
  </si>
  <si>
    <t>TBar</t>
    <phoneticPr fontId="14"/>
  </si>
  <si>
    <t>ただし理論解にせん断の影響含まないためティモシェンコ梁の結果はずれが生じる。</t>
    <phoneticPr fontId="14"/>
  </si>
  <si>
    <t>梁要素は精度良好で細分化すると高次モードも精度向上する。</t>
    <rPh sb="0" eb="1">
      <t>ハリ</t>
    </rPh>
    <rPh sb="1" eb="3">
      <t>ヨウソ</t>
    </rPh>
    <rPh sb="4" eb="6">
      <t>セイド</t>
    </rPh>
    <rPh sb="6" eb="8">
      <t>リョウコウ</t>
    </rPh>
    <rPh sb="9" eb="12">
      <t>サイブンカ</t>
    </rPh>
    <rPh sb="15" eb="17">
      <t>コウジ</t>
    </rPh>
    <rPh sb="21" eb="23">
      <t>セイド</t>
    </rPh>
    <rPh sb="23" eb="25">
      <t>コウジョウ</t>
    </rPh>
    <phoneticPr fontId="14"/>
  </si>
  <si>
    <t>矩形断面と同様に精度良い。</t>
    <rPh sb="0" eb="2">
      <t>クケイ</t>
    </rPh>
    <rPh sb="2" eb="4">
      <t>ダンメン</t>
    </rPh>
    <rPh sb="5" eb="7">
      <t>ドウヨウ</t>
    </rPh>
    <rPh sb="8" eb="10">
      <t>セイド</t>
    </rPh>
    <rPh sb="10" eb="11">
      <t>ヨ</t>
    </rPh>
    <phoneticPr fontId="14"/>
  </si>
  <si>
    <r>
      <t>H</t>
    </r>
    <r>
      <rPr>
        <sz val="11"/>
        <color theme="1"/>
        <rFont val="ＭＳ Ｐゴシック"/>
        <family val="2"/>
        <charset val="128"/>
        <scheme val="minor"/>
      </rPr>
      <t>exa要素は</t>
    </r>
    <r>
      <rPr>
        <sz val="11"/>
        <color theme="1"/>
        <rFont val="ＭＳ Ｐゴシック"/>
        <family val="2"/>
        <charset val="128"/>
        <scheme val="minor"/>
      </rPr>
      <t>曲げ高次モード以外は精度良い。（捩りや伸縮は長手方向分布が無いため。）</t>
    </r>
    <rPh sb="4" eb="6">
      <t>ヨウソ</t>
    </rPh>
    <rPh sb="7" eb="8">
      <t>マ</t>
    </rPh>
    <rPh sb="9" eb="11">
      <t>コウジ</t>
    </rPh>
    <rPh sb="14" eb="16">
      <t>イガイ</t>
    </rPh>
    <rPh sb="17" eb="19">
      <t>セイド</t>
    </rPh>
    <rPh sb="19" eb="20">
      <t>ヨ</t>
    </rPh>
    <rPh sb="23" eb="24">
      <t>ネジ</t>
    </rPh>
    <rPh sb="26" eb="28">
      <t>シンシュク</t>
    </rPh>
    <rPh sb="29" eb="33">
      <t>ナガテホウコウ</t>
    </rPh>
    <rPh sb="33" eb="35">
      <t>ブンプ</t>
    </rPh>
    <rPh sb="36" eb="37">
      <t>ナ</t>
    </rPh>
    <phoneticPr fontId="14"/>
  </si>
  <si>
    <t>高次曲げモード・シェルの捩り振動は精度悪い。</t>
    <rPh sb="0" eb="2">
      <t>コウジ</t>
    </rPh>
    <rPh sb="2" eb="3">
      <t>マ</t>
    </rPh>
    <rPh sb="12" eb="13">
      <t>ネジ</t>
    </rPh>
    <rPh sb="14" eb="16">
      <t>シンドウ</t>
    </rPh>
    <rPh sb="17" eb="19">
      <t>セイド</t>
    </rPh>
    <rPh sb="19" eb="20">
      <t>ワル</t>
    </rPh>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</si>
</sst>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_ "/>
    <numFmt numFmtId="177" formatCode="0.000_ "/>
    <numFmt numFmtId="178" formatCode="0.000_);[Red]\(0.000\)"/>
    <numFmt numFmtId="179" formatCode="0.00_ "/>
    <numFmt numFmtId="180" formatCode="0.000E+00"/>
  </numFmts>
  <fonts count="17"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1"/>
      <color theme="1"/>
      <name val="ＭＳ Ｐゴシック"/>
      <family val="3"/>
      <charset val="128"/>
      <scheme val="minor"/>
    </font>
    <font>
      <sz val="6"/>
      <name val="ＭＳ Ｐ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66FFFF"/>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13" fillId="0" borderId="0">
      <alignment vertical="center"/>
    </xf>
  </cellStyleXfs>
  <cellXfs count="63">
    <xf numFmtId="0" fontId="0" fillId="0" borderId="0" xfId="0"/>
    <xf numFmtId="0" fontId="0" fillId="0" borderId="1" xfId="0" applyBorder="1"/>
    <xf numFmtId="0" fontId="0" fillId="0" borderId="1" xfId="0" applyBorder="1" applyAlignment="1">
      <alignment wrapText="1"/>
    </xf>
    <xf numFmtId="0" fontId="0" fillId="0" borderId="3" xfId="0" applyBorder="1"/>
    <xf numFmtId="0" fontId="0" fillId="0" borderId="4" xfId="0" applyBorder="1"/>
    <xf numFmtId="0" fontId="0" fillId="0" borderId="0" xfId="0" quotePrefix="1"/>
    <xf numFmtId="0" fontId="15" fillId="0" borderId="0" xfId="0" applyFont="1"/>
    <xf numFmtId="0" fontId="0" fillId="2" borderId="0" xfId="0" applyFill="1"/>
    <xf numFmtId="0" fontId="0" fillId="0" borderId="0" xfId="0" applyFill="1"/>
    <xf numFmtId="11" fontId="0" fillId="0" borderId="1" xfId="0" applyNumberFormat="1" applyBorder="1"/>
    <xf numFmtId="0" fontId="0" fillId="0" borderId="0" xfId="0" applyBorder="1"/>
    <xf numFmtId="0" fontId="0" fillId="0" borderId="0" xfId="0" applyFill="1" applyBorder="1"/>
    <xf numFmtId="176" fontId="0" fillId="0" borderId="1" xfId="0" applyNumberFormat="1" applyBorder="1"/>
    <xf numFmtId="0" fontId="0" fillId="0" borderId="5" xfId="0" applyFill="1" applyBorder="1"/>
    <xf numFmtId="0" fontId="13" fillId="0" borderId="0" xfId="1">
      <alignment vertical="center"/>
    </xf>
    <xf numFmtId="11" fontId="13" fillId="0" borderId="0" xfId="1" applyNumberFormat="1">
      <alignment vertical="center"/>
    </xf>
    <xf numFmtId="0" fontId="13" fillId="0" borderId="0" xfId="1" applyAlignment="1"/>
    <xf numFmtId="0" fontId="12" fillId="0" borderId="0" xfId="1" applyFont="1">
      <alignment vertical="center"/>
    </xf>
    <xf numFmtId="0" fontId="13" fillId="0" borderId="0" xfId="1" applyFill="1" applyBorder="1" applyAlignment="1"/>
    <xf numFmtId="0" fontId="11" fillId="0" borderId="0" xfId="1" applyFont="1">
      <alignment vertical="center"/>
    </xf>
    <xf numFmtId="11" fontId="0" fillId="0" borderId="0" xfId="0" applyNumberFormat="1" applyFill="1"/>
    <xf numFmtId="0" fontId="10" fillId="0" borderId="0" xfId="1" applyFont="1">
      <alignment vertical="center"/>
    </xf>
    <xf numFmtId="0" fontId="9" fillId="0" borderId="0" xfId="1" applyFont="1">
      <alignment vertical="center"/>
    </xf>
    <xf numFmtId="0" fontId="8" fillId="0" borderId="0" xfId="1" applyFont="1">
      <alignment vertical="center"/>
    </xf>
    <xf numFmtId="0" fontId="8" fillId="0" borderId="1" xfId="1" applyFont="1" applyBorder="1">
      <alignment vertical="center"/>
    </xf>
    <xf numFmtId="179" fontId="8" fillId="0" borderId="1" xfId="1" applyNumberFormat="1" applyFont="1" applyBorder="1">
      <alignment vertical="center"/>
    </xf>
    <xf numFmtId="179" fontId="8" fillId="3" borderId="1" xfId="1" applyNumberFormat="1" applyFont="1" applyFill="1" applyBorder="1">
      <alignment vertical="center"/>
    </xf>
    <xf numFmtId="179" fontId="13" fillId="0" borderId="1" xfId="1" applyNumberFormat="1" applyBorder="1">
      <alignment vertical="center"/>
    </xf>
    <xf numFmtId="179" fontId="13" fillId="3" borderId="1" xfId="1" applyNumberFormat="1" applyFill="1" applyBorder="1">
      <alignment vertical="center"/>
    </xf>
    <xf numFmtId="0" fontId="13" fillId="0" borderId="1" xfId="1" applyBorder="1">
      <alignment vertical="center"/>
    </xf>
    <xf numFmtId="178" fontId="13" fillId="0" borderId="1" xfId="1" applyNumberFormat="1" applyBorder="1">
      <alignment vertical="center"/>
    </xf>
    <xf numFmtId="177" fontId="13" fillId="0" borderId="1" xfId="1" applyNumberFormat="1" applyBorder="1">
      <alignment vertical="center"/>
    </xf>
    <xf numFmtId="177" fontId="8" fillId="0" borderId="1" xfId="1" applyNumberFormat="1" applyFont="1" applyBorder="1">
      <alignment vertical="center"/>
    </xf>
    <xf numFmtId="0" fontId="8" fillId="4" borderId="1" xfId="1" applyFont="1" applyFill="1" applyBorder="1">
      <alignment vertical="center"/>
    </xf>
    <xf numFmtId="179" fontId="0" fillId="0" borderId="1" xfId="0" applyNumberFormat="1" applyBorder="1" applyAlignment="1">
      <alignment horizontal="right"/>
    </xf>
    <xf numFmtId="0" fontId="0" fillId="0" borderId="1" xfId="0" applyBorder="1" applyAlignment="1">
      <alignment horizontal="center"/>
    </xf>
    <xf numFmtId="0" fontId="7" fillId="0" borderId="0" xfId="1" applyFont="1">
      <alignment vertical="center"/>
    </xf>
    <xf numFmtId="0" fontId="0" fillId="0" borderId="0" xfId="0" applyNumberFormat="1"/>
    <xf numFmtId="0" fontId="6" fillId="0" borderId="0" xfId="1" applyFont="1">
      <alignment vertical="center"/>
    </xf>
    <xf numFmtId="0" fontId="5" fillId="0" borderId="0" xfId="1" applyFont="1">
      <alignment vertical="center"/>
    </xf>
    <xf numFmtId="0" fontId="5" fillId="0" borderId="1" xfId="1" applyFont="1" applyBorder="1">
      <alignment vertical="center"/>
    </xf>
    <xf numFmtId="0" fontId="0" fillId="0" borderId="1" xfId="0" applyNumberFormat="1" applyBorder="1"/>
    <xf numFmtId="0" fontId="13" fillId="3" borderId="1" xfId="1" applyFill="1" applyBorder="1">
      <alignment vertical="center"/>
    </xf>
    <xf numFmtId="180" fontId="0" fillId="0" borderId="1" xfId="0" applyNumberFormat="1" applyBorder="1"/>
    <xf numFmtId="178" fontId="0" fillId="0" borderId="1" xfId="0" applyNumberFormat="1" applyBorder="1" applyAlignment="1"/>
    <xf numFmtId="177" fontId="0" fillId="0" borderId="1" xfId="0" applyNumberFormat="1" applyBorder="1"/>
    <xf numFmtId="178" fontId="0" fillId="0" borderId="1" xfId="0" applyNumberFormat="1" applyFill="1" applyBorder="1" applyAlignment="1"/>
    <xf numFmtId="0" fontId="0" fillId="0" borderId="1" xfId="0" applyFill="1" applyBorder="1"/>
    <xf numFmtId="179" fontId="0" fillId="0" borderId="1" xfId="0" applyNumberFormat="1" applyBorder="1"/>
    <xf numFmtId="0" fontId="0" fillId="0" borderId="2" xfId="0" applyFill="1" applyBorder="1"/>
    <xf numFmtId="0" fontId="4" fillId="0" borderId="0" xfId="1" applyFont="1">
      <alignment vertical="center"/>
    </xf>
    <xf numFmtId="179" fontId="13" fillId="0" borderId="1" xfId="1" applyNumberFormat="1" applyFill="1" applyBorder="1">
      <alignment vertical="center"/>
    </xf>
    <xf numFmtId="0" fontId="5" fillId="0" borderId="0" xfId="1" applyFont="1" applyBorder="1">
      <alignment vertical="center"/>
    </xf>
    <xf numFmtId="0" fontId="13" fillId="0" borderId="0" xfId="1" applyBorder="1">
      <alignment vertical="center"/>
    </xf>
    <xf numFmtId="0" fontId="3" fillId="0" borderId="1" xfId="1" applyFont="1" applyBorder="1">
      <alignment vertical="center"/>
    </xf>
    <xf numFmtId="0" fontId="3" fillId="0" borderId="0" xfId="1" applyFont="1">
      <alignment vertical="center"/>
    </xf>
    <xf numFmtId="0" fontId="2" fillId="0" borderId="1" xfId="1" applyFont="1" applyBorder="1">
      <alignment vertical="center"/>
    </xf>
    <xf numFmtId="0" fontId="2" fillId="0" borderId="0" xfId="1" applyFont="1">
      <alignment vertical="center"/>
    </xf>
    <xf numFmtId="0" fontId="0" fillId="0" borderId="2" xfId="0" applyFill="1" applyBorder="1" applyAlignment="1"/>
    <xf numFmtId="0" fontId="0" fillId="0" borderId="2" xfId="0" applyBorder="1" applyAlignment="1"/>
    <xf numFmtId="0" fontId="0" fillId="0" borderId="0" xfId="0" applyAlignment="1">
      <alignment wrapText="1"/>
    </xf>
    <xf numFmtId="0" fontId="0" fillId="0" borderId="0" xfId="0" applyAlignment="1"/>
    <xf numFmtId="0" fontId="0" fillId="0" borderId="2" xfId="0" applyBorder="1" applyAlignment="1">
      <alignment horizontal="left" vertical="top"/>
    </xf>
  </cellXfs>
  <cellStyles count="2">
    <cellStyle name="標準" xfId="0" builtinId="0"/>
    <cellStyle name="標準 2" xfId="1"/>
  </cellStyles>
  <dxfs count="8">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s>
  <tableStyles count="0" defaultTableStyle="TableStyleMedium2" defaultPivotStyle="PivotStyleMedium9"/>
  <colors>
    <mruColors>
      <color rgb="FF66FFFF"/>
      <color rgb="FF996600"/>
      <color rgb="FF6633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7"/>
  <sheetViews>
    <sheetView workbookViewId="0"/>
  </sheetViews>
  <sheetFormatPr defaultRowHeight="13.5" x14ac:dyDescent="0.15"/>
  <cols>
    <col min="1" max="1" width="2.125" customWidth="1"/>
    <col min="2" max="2" width="12.125" customWidth="1"/>
    <col min="3" max="3" width="12.625" customWidth="1"/>
    <col min="4" max="6" width="9" customWidth="1"/>
    <col min="10" max="10" width="12.375" bestFit="1" customWidth="1"/>
  </cols>
  <sheetData>
    <row r="1" spans="2:14" x14ac:dyDescent="0.15">
      <c r="B1" t="s">
        <v>0</v>
      </c>
    </row>
    <row r="2" spans="2:14" x14ac:dyDescent="0.15">
      <c r="B2" s="1"/>
      <c r="C2" s="1" t="s">
        <v>2</v>
      </c>
      <c r="D2" s="1" t="s">
        <v>3</v>
      </c>
      <c r="E2" s="1" t="s">
        <v>4</v>
      </c>
      <c r="F2" s="1" t="s">
        <v>5</v>
      </c>
      <c r="G2" s="1" t="s">
        <v>6</v>
      </c>
      <c r="H2" s="1" t="s">
        <v>7</v>
      </c>
      <c r="I2" s="1" t="s">
        <v>8</v>
      </c>
      <c r="J2" s="1" t="s">
        <v>9</v>
      </c>
    </row>
    <row r="3" spans="2:14" x14ac:dyDescent="0.15">
      <c r="B3" s="1" t="s">
        <v>1</v>
      </c>
      <c r="C3" s="1">
        <v>9.5239999999999991</v>
      </c>
      <c r="D3" s="1">
        <v>6.4459999999999997</v>
      </c>
      <c r="E3" s="1">
        <v>9.093</v>
      </c>
      <c r="F3" s="1">
        <v>8.5280000000000005</v>
      </c>
      <c r="G3" s="1">
        <v>9.4570000000000007</v>
      </c>
      <c r="H3" s="1">
        <v>9.468</v>
      </c>
      <c r="I3" s="1">
        <v>9.4629999999999992</v>
      </c>
      <c r="J3" s="1">
        <v>9.4239999999999995</v>
      </c>
    </row>
    <row r="4" spans="2:14" x14ac:dyDescent="0.15">
      <c r="B4" s="1" t="s">
        <v>175</v>
      </c>
      <c r="C4" s="35" t="s">
        <v>176</v>
      </c>
      <c r="D4" s="34">
        <f>100*(D3/$C3-1)</f>
        <v>-32.318353632927341</v>
      </c>
      <c r="E4" s="34">
        <f t="shared" ref="E4:J4" si="0">100*(E3/$C3-1)</f>
        <v>-4.5254094918101506</v>
      </c>
      <c r="F4" s="34">
        <f t="shared" si="0"/>
        <v>-10.457790844183101</v>
      </c>
      <c r="G4" s="34">
        <f t="shared" si="0"/>
        <v>-0.70348593028137785</v>
      </c>
      <c r="H4" s="34">
        <f t="shared" si="0"/>
        <v>-0.58798824023518215</v>
      </c>
      <c r="I4" s="34">
        <f t="shared" si="0"/>
        <v>-0.64048719025618928</v>
      </c>
      <c r="J4" s="34">
        <f t="shared" si="0"/>
        <v>-1.0499790004199872</v>
      </c>
    </row>
    <row r="5" spans="2:14" ht="27" customHeight="1" x14ac:dyDescent="0.15">
      <c r="B5" s="60" t="s">
        <v>10</v>
      </c>
      <c r="C5" s="61"/>
      <c r="D5" s="61"/>
      <c r="E5" s="61"/>
      <c r="F5" s="61"/>
      <c r="G5" s="61"/>
      <c r="H5" s="61"/>
      <c r="I5" s="61"/>
    </row>
    <row r="7" spans="2:14" x14ac:dyDescent="0.15">
      <c r="B7" t="s">
        <v>11</v>
      </c>
    </row>
    <row r="8" spans="2:14" x14ac:dyDescent="0.15">
      <c r="B8" s="1"/>
      <c r="C8" s="1" t="s">
        <v>2</v>
      </c>
      <c r="D8" s="1" t="s">
        <v>3</v>
      </c>
      <c r="E8" s="1" t="s">
        <v>4</v>
      </c>
      <c r="F8" s="1" t="s">
        <v>5</v>
      </c>
      <c r="G8" s="1" t="s">
        <v>6</v>
      </c>
      <c r="H8" s="1" t="s">
        <v>7</v>
      </c>
      <c r="I8" s="1" t="s">
        <v>8</v>
      </c>
      <c r="J8" s="1" t="s">
        <v>9</v>
      </c>
    </row>
    <row r="9" spans="2:14" x14ac:dyDescent="0.15">
      <c r="B9" s="1" t="s">
        <v>1</v>
      </c>
      <c r="C9" s="1">
        <v>7.6200000000000004E-2</v>
      </c>
      <c r="D9" s="1">
        <v>7.7799999999999994E-2</v>
      </c>
      <c r="E9" s="1">
        <v>8.8400000000000006E-2</v>
      </c>
      <c r="F9" s="1">
        <v>8.7499999999999994E-2</v>
      </c>
      <c r="G9" s="1">
        <v>9.0499999999999997E-2</v>
      </c>
      <c r="H9" s="1">
        <v>9.0899999999999995E-2</v>
      </c>
      <c r="I9" s="1">
        <v>9.0899999999999995E-2</v>
      </c>
      <c r="J9" s="1">
        <v>8.9399999999999993E-2</v>
      </c>
    </row>
    <row r="10" spans="2:14" ht="67.5" customHeight="1" x14ac:dyDescent="0.15">
      <c r="B10" s="60" t="s">
        <v>12</v>
      </c>
      <c r="C10" s="61"/>
      <c r="D10" s="61"/>
      <c r="E10" s="61"/>
      <c r="F10" s="61"/>
      <c r="G10" s="61"/>
      <c r="H10" s="61"/>
      <c r="I10" s="61"/>
      <c r="J10" s="61"/>
    </row>
    <row r="12" spans="2:14" x14ac:dyDescent="0.15">
      <c r="B12" t="s">
        <v>13</v>
      </c>
      <c r="K12" s="13" t="s">
        <v>124</v>
      </c>
    </row>
    <row r="13" spans="2:14" x14ac:dyDescent="0.15">
      <c r="B13" s="1"/>
      <c r="C13" s="1" t="s">
        <v>2</v>
      </c>
      <c r="D13" s="1" t="s">
        <v>3</v>
      </c>
      <c r="E13" s="1" t="s">
        <v>4</v>
      </c>
      <c r="F13" s="1" t="s">
        <v>5</v>
      </c>
      <c r="G13" s="1" t="s">
        <v>6</v>
      </c>
      <c r="H13" s="1" t="s">
        <v>7</v>
      </c>
      <c r="I13" s="1" t="s">
        <v>8</v>
      </c>
      <c r="J13" s="1" t="s">
        <v>9</v>
      </c>
      <c r="K13" s="1" t="s">
        <v>16</v>
      </c>
      <c r="L13" s="1" t="s">
        <v>17</v>
      </c>
      <c r="M13" s="1" t="s">
        <v>125</v>
      </c>
      <c r="N13" s="1" t="s">
        <v>126</v>
      </c>
    </row>
    <row r="14" spans="2:14" x14ac:dyDescent="0.15">
      <c r="B14" s="1" t="s">
        <v>1</v>
      </c>
      <c r="C14" s="12">
        <v>0.59430000000000005</v>
      </c>
      <c r="D14" s="12">
        <v>0.3952</v>
      </c>
      <c r="E14" s="12">
        <v>0.51480000000000004</v>
      </c>
      <c r="F14" s="12">
        <v>0.55900000000000005</v>
      </c>
      <c r="G14" s="12">
        <v>0.59499999999999997</v>
      </c>
      <c r="H14" s="12">
        <v>0.5968</v>
      </c>
      <c r="I14" s="12">
        <v>0.59640000000000004</v>
      </c>
      <c r="J14" s="12">
        <v>0.5756</v>
      </c>
      <c r="K14" s="12">
        <v>0.438</v>
      </c>
      <c r="L14" s="12">
        <v>0.5887</v>
      </c>
      <c r="M14" s="12">
        <v>0.59260000000000002</v>
      </c>
      <c r="N14" s="12">
        <v>0.59899999999999998</v>
      </c>
    </row>
    <row r="15" spans="2:14" x14ac:dyDescent="0.15">
      <c r="B15" s="1" t="s">
        <v>175</v>
      </c>
      <c r="C15" s="35" t="s">
        <v>176</v>
      </c>
      <c r="D15" s="34">
        <f>100*(D14/$C14-1)</f>
        <v>-33.501598519266373</v>
      </c>
      <c r="E15" s="34">
        <f t="shared" ref="E15:N15" si="1">100*(E14/$C14-1)</f>
        <v>-13.377082281675923</v>
      </c>
      <c r="F15" s="34">
        <f t="shared" si="1"/>
        <v>-5.9397610634359772</v>
      </c>
      <c r="G15" s="34">
        <f t="shared" si="1"/>
        <v>0.11778563015309995</v>
      </c>
      <c r="H15" s="34">
        <f t="shared" si="1"/>
        <v>0.42066296483256327</v>
      </c>
      <c r="I15" s="34">
        <f t="shared" si="1"/>
        <v>0.35335689045936647</v>
      </c>
      <c r="J15" s="34">
        <f t="shared" si="1"/>
        <v>-3.1465589769476776</v>
      </c>
      <c r="K15" s="34">
        <f t="shared" si="1"/>
        <v>-26.299848561332663</v>
      </c>
      <c r="L15" s="34">
        <f t="shared" si="1"/>
        <v>-0.94228504122497725</v>
      </c>
      <c r="M15" s="34">
        <f t="shared" si="1"/>
        <v>-0.28605081608615857</v>
      </c>
      <c r="N15" s="34">
        <f t="shared" si="1"/>
        <v>0.79084637388522339</v>
      </c>
    </row>
    <row r="16" spans="2:14" ht="54" customHeight="1" x14ac:dyDescent="0.15">
      <c r="B16" s="60" t="s">
        <v>14</v>
      </c>
      <c r="C16" s="60"/>
      <c r="D16" s="60"/>
      <c r="E16" s="60"/>
      <c r="F16" s="60"/>
      <c r="G16" s="60"/>
      <c r="H16" s="60"/>
      <c r="I16" s="60"/>
      <c r="J16" s="60"/>
      <c r="K16" s="62" t="s">
        <v>127</v>
      </c>
      <c r="L16" s="62"/>
      <c r="M16" s="62"/>
      <c r="N16" s="62"/>
    </row>
    <row r="18" spans="2:10" x14ac:dyDescent="0.15">
      <c r="B18" t="s">
        <v>15</v>
      </c>
    </row>
    <row r="19" spans="2:10" x14ac:dyDescent="0.15">
      <c r="B19" s="1"/>
      <c r="C19" s="1" t="s">
        <v>2</v>
      </c>
      <c r="D19" s="1" t="s">
        <v>16</v>
      </c>
      <c r="E19" s="1" t="s">
        <v>17</v>
      </c>
    </row>
    <row r="20" spans="2:10" x14ac:dyDescent="0.15">
      <c r="B20" s="1" t="s">
        <v>1</v>
      </c>
      <c r="C20" s="1">
        <v>3.883</v>
      </c>
      <c r="D20" s="1">
        <v>3.7389999999999999</v>
      </c>
      <c r="E20" s="1">
        <v>3.738</v>
      </c>
    </row>
    <row r="21" spans="2:10" x14ac:dyDescent="0.15">
      <c r="B21" s="1" t="s">
        <v>175</v>
      </c>
      <c r="C21" s="35" t="s">
        <v>176</v>
      </c>
      <c r="D21" s="34">
        <f>100*(D20/$C20-1)</f>
        <v>-3.7084728302858694</v>
      </c>
      <c r="E21" s="34">
        <f>100*(E20/$C20-1)</f>
        <v>-3.7342261138295085</v>
      </c>
    </row>
    <row r="22" spans="2:10" x14ac:dyDescent="0.15">
      <c r="B22" s="61" t="s">
        <v>18</v>
      </c>
      <c r="C22" s="61"/>
      <c r="D22" s="61"/>
      <c r="E22" s="61"/>
      <c r="F22" s="61"/>
      <c r="G22" s="61"/>
      <c r="H22" s="61"/>
      <c r="I22" s="61"/>
      <c r="J22" s="61"/>
    </row>
    <row r="24" spans="2:10" x14ac:dyDescent="0.15">
      <c r="B24" t="s">
        <v>19</v>
      </c>
    </row>
    <row r="25" spans="2:10" x14ac:dyDescent="0.15">
      <c r="B25" s="1"/>
      <c r="C25" s="1" t="s">
        <v>20</v>
      </c>
      <c r="D25" s="1" t="s">
        <v>16</v>
      </c>
      <c r="E25" s="1" t="s">
        <v>17</v>
      </c>
    </row>
    <row r="26" spans="2:10" x14ac:dyDescent="0.15">
      <c r="B26" s="1" t="s">
        <v>21</v>
      </c>
      <c r="C26" s="1">
        <v>2.5499999999999998E-2</v>
      </c>
      <c r="D26" s="1">
        <v>0.10780000000000001</v>
      </c>
      <c r="E26" s="1">
        <v>0.1134</v>
      </c>
    </row>
    <row r="27" spans="2:10" x14ac:dyDescent="0.15">
      <c r="B27" s="61" t="s">
        <v>22</v>
      </c>
      <c r="C27" s="61"/>
      <c r="D27" s="61"/>
      <c r="E27" s="61"/>
      <c r="F27" s="61"/>
      <c r="G27" s="61"/>
      <c r="H27" s="61"/>
      <c r="I27" s="61"/>
      <c r="J27" s="61"/>
    </row>
    <row r="29" spans="2:10" x14ac:dyDescent="0.15">
      <c r="B29" t="s">
        <v>52</v>
      </c>
    </row>
    <row r="30" spans="2:10" x14ac:dyDescent="0.15">
      <c r="B30" s="1"/>
      <c r="C30" s="1" t="s">
        <v>2</v>
      </c>
      <c r="D30" s="1" t="s">
        <v>16</v>
      </c>
      <c r="E30" s="1" t="s">
        <v>17</v>
      </c>
    </row>
    <row r="31" spans="2:10" x14ac:dyDescent="0.15">
      <c r="B31" s="1" t="s">
        <v>1</v>
      </c>
      <c r="C31" s="1">
        <v>9.5239999999999991</v>
      </c>
      <c r="D31" s="1">
        <v>9.3249999999999993</v>
      </c>
      <c r="E31" s="1">
        <v>9.4529999999999994</v>
      </c>
    </row>
    <row r="32" spans="2:10" x14ac:dyDescent="0.15">
      <c r="B32" s="1" t="s">
        <v>175</v>
      </c>
      <c r="C32" s="35" t="s">
        <v>176</v>
      </c>
      <c r="D32" s="34">
        <f>100*(D31/$C31-1)</f>
        <v>-2.0894582108357818</v>
      </c>
      <c r="E32" s="34">
        <f>100*(E31/$C31-1)</f>
        <v>-0.74548509029819243</v>
      </c>
    </row>
    <row r="34" spans="2:11" x14ac:dyDescent="0.15">
      <c r="B34" t="s">
        <v>53</v>
      </c>
    </row>
    <row r="35" spans="2:11" x14ac:dyDescent="0.15">
      <c r="B35" s="1"/>
      <c r="C35" s="1" t="s">
        <v>2</v>
      </c>
      <c r="D35" s="1" t="s">
        <v>16</v>
      </c>
      <c r="E35" s="1" t="s">
        <v>17</v>
      </c>
      <c r="F35" s="1" t="s">
        <v>55</v>
      </c>
    </row>
    <row r="36" spans="2:11" x14ac:dyDescent="0.15">
      <c r="B36" s="1" t="s">
        <v>1</v>
      </c>
      <c r="C36" s="1">
        <v>7.6200000000000004E-2</v>
      </c>
      <c r="D36" s="1">
        <v>7.46E-2</v>
      </c>
      <c r="E36" s="1">
        <v>8.9899999999999994E-2</v>
      </c>
      <c r="F36" s="1">
        <v>9.0499999999999997E-2</v>
      </c>
    </row>
    <row r="37" spans="2:11" x14ac:dyDescent="0.15">
      <c r="B37" s="60" t="s">
        <v>54</v>
      </c>
      <c r="C37" s="60"/>
      <c r="D37" s="60"/>
      <c r="E37" s="60"/>
      <c r="F37" s="60"/>
      <c r="G37" s="60"/>
      <c r="H37" s="60"/>
      <c r="I37" s="60"/>
      <c r="J37" s="60"/>
    </row>
    <row r="38" spans="2:11" x14ac:dyDescent="0.15">
      <c r="B38" s="60"/>
      <c r="C38" s="60"/>
      <c r="D38" s="60"/>
      <c r="E38" s="60"/>
      <c r="F38" s="60"/>
      <c r="G38" s="60"/>
      <c r="H38" s="60"/>
      <c r="I38" s="60"/>
      <c r="J38" s="60"/>
    </row>
    <row r="39" spans="2:11" x14ac:dyDescent="0.15">
      <c r="B39" s="60"/>
      <c r="C39" s="60"/>
      <c r="D39" s="60"/>
      <c r="E39" s="60"/>
      <c r="F39" s="60"/>
      <c r="G39" s="60"/>
      <c r="H39" s="60"/>
      <c r="I39" s="60"/>
      <c r="J39" s="60"/>
    </row>
    <row r="41" spans="2:11" x14ac:dyDescent="0.15">
      <c r="B41" t="s">
        <v>51</v>
      </c>
    </row>
    <row r="42" spans="2:11" x14ac:dyDescent="0.15">
      <c r="B42" s="1"/>
      <c r="C42" s="2" t="s">
        <v>27</v>
      </c>
      <c r="D42" s="1" t="s">
        <v>3</v>
      </c>
      <c r="E42" s="1" t="s">
        <v>4</v>
      </c>
      <c r="F42" s="1" t="s">
        <v>5</v>
      </c>
      <c r="G42" s="1" t="s">
        <v>6</v>
      </c>
      <c r="H42" s="1" t="s">
        <v>7</v>
      </c>
      <c r="I42" s="1" t="s">
        <v>8</v>
      </c>
      <c r="J42" s="1" t="s">
        <v>26</v>
      </c>
      <c r="K42" s="1" t="s">
        <v>17</v>
      </c>
    </row>
    <row r="43" spans="2:11" x14ac:dyDescent="0.15">
      <c r="B43" s="1" t="s">
        <v>25</v>
      </c>
      <c r="C43" s="1">
        <v>87.472999999999999</v>
      </c>
      <c r="D43" s="1">
        <v>87.503</v>
      </c>
      <c r="E43" s="1">
        <v>87.444999999999993</v>
      </c>
      <c r="F43" s="1">
        <v>87.444999999999993</v>
      </c>
      <c r="G43" s="1">
        <v>87.625</v>
      </c>
      <c r="H43" s="1">
        <v>87.617999999999995</v>
      </c>
      <c r="I43" s="1">
        <v>87.608000000000004</v>
      </c>
      <c r="J43" s="1">
        <v>87.444999999999993</v>
      </c>
      <c r="K43" s="1">
        <v>87.444999999999993</v>
      </c>
    </row>
    <row r="44" spans="2:11" x14ac:dyDescent="0.15">
      <c r="B44" s="1" t="s">
        <v>24</v>
      </c>
      <c r="C44" s="1">
        <v>70.106999999999999</v>
      </c>
      <c r="D44" s="1">
        <v>70.058999999999997</v>
      </c>
      <c r="E44" s="1">
        <v>70.22</v>
      </c>
      <c r="F44" s="1">
        <v>70.22</v>
      </c>
      <c r="G44" s="1">
        <v>70.072999999999993</v>
      </c>
      <c r="H44" s="1">
        <v>70.075999999999993</v>
      </c>
      <c r="I44" s="1">
        <v>70.069999999999993</v>
      </c>
      <c r="J44" s="1">
        <v>70.22</v>
      </c>
      <c r="K44" s="1">
        <v>70.22</v>
      </c>
    </row>
    <row r="45" spans="2:11" x14ac:dyDescent="0.15">
      <c r="B45" s="3" t="s">
        <v>28</v>
      </c>
      <c r="C45" s="1">
        <v>0</v>
      </c>
      <c r="D45" s="1">
        <f>D43-$C43</f>
        <v>3.0000000000001137E-2</v>
      </c>
      <c r="E45" s="1">
        <f t="shared" ref="E45:K45" si="2">E43-$C43</f>
        <v>-2.8000000000005798E-2</v>
      </c>
      <c r="F45" s="1">
        <f t="shared" si="2"/>
        <v>-2.8000000000005798E-2</v>
      </c>
      <c r="G45" s="1">
        <f t="shared" si="2"/>
        <v>0.15200000000000102</v>
      </c>
      <c r="H45" s="1">
        <f t="shared" si="2"/>
        <v>0.14499999999999602</v>
      </c>
      <c r="I45" s="1">
        <f t="shared" si="2"/>
        <v>0.13500000000000512</v>
      </c>
      <c r="J45" s="1">
        <f t="shared" si="2"/>
        <v>-2.8000000000005798E-2</v>
      </c>
      <c r="K45" s="1">
        <f t="shared" si="2"/>
        <v>-2.8000000000005798E-2</v>
      </c>
    </row>
    <row r="46" spans="2:11" x14ac:dyDescent="0.15">
      <c r="B46" s="4"/>
      <c r="C46" s="1">
        <v>0</v>
      </c>
      <c r="D46" s="1">
        <f>D44-$C44</f>
        <v>-4.8000000000001819E-2</v>
      </c>
      <c r="E46" s="1">
        <f t="shared" ref="E46:K46" si="3">E44-$C44</f>
        <v>0.11299999999999955</v>
      </c>
      <c r="F46" s="1">
        <f t="shared" si="3"/>
        <v>0.11299999999999955</v>
      </c>
      <c r="G46" s="1">
        <f t="shared" si="3"/>
        <v>-3.4000000000006025E-2</v>
      </c>
      <c r="H46" s="1">
        <f t="shared" si="3"/>
        <v>-3.1000000000005912E-2</v>
      </c>
      <c r="I46" s="1">
        <f t="shared" si="3"/>
        <v>-3.7000000000006139E-2</v>
      </c>
      <c r="J46" s="1">
        <f t="shared" si="3"/>
        <v>0.11299999999999955</v>
      </c>
      <c r="K46" s="1">
        <f t="shared" si="3"/>
        <v>0.11299999999999955</v>
      </c>
    </row>
    <row r="47" spans="2:11" x14ac:dyDescent="0.15">
      <c r="B47" s="58" t="s">
        <v>29</v>
      </c>
      <c r="C47" s="59"/>
      <c r="D47" s="59"/>
      <c r="E47" s="59"/>
      <c r="F47" s="59"/>
      <c r="G47" s="59"/>
      <c r="H47" s="59"/>
      <c r="I47" s="59"/>
      <c r="J47" s="59"/>
      <c r="K47" s="59"/>
    </row>
  </sheetData>
  <mergeCells count="8">
    <mergeCell ref="B47:K47"/>
    <mergeCell ref="B5:I5"/>
    <mergeCell ref="B10:J10"/>
    <mergeCell ref="B16:J16"/>
    <mergeCell ref="B22:J22"/>
    <mergeCell ref="B27:J27"/>
    <mergeCell ref="B37:J39"/>
    <mergeCell ref="K16:N16"/>
  </mergeCells>
  <phoneticPr fontId="1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workbookViewId="0"/>
  </sheetViews>
  <sheetFormatPr defaultRowHeight="13.5" x14ac:dyDescent="0.15"/>
  <cols>
    <col min="1" max="1" width="3.625" customWidth="1"/>
  </cols>
  <sheetData>
    <row r="1" spans="2:10" x14ac:dyDescent="0.15">
      <c r="B1" t="s">
        <v>0</v>
      </c>
    </row>
    <row r="2" spans="2:10" x14ac:dyDescent="0.15">
      <c r="B2">
        <f>100*10^3/(3*21000*2*1^3/12)</f>
        <v>9.5238095238095237</v>
      </c>
    </row>
    <row r="3" spans="2:10" x14ac:dyDescent="0.15">
      <c r="B3" t="s">
        <v>11</v>
      </c>
    </row>
    <row r="4" spans="2:10" x14ac:dyDescent="0.15">
      <c r="B4">
        <f>100*10^3/(3*21000*2*5^3/12)</f>
        <v>7.6190476190476197E-2</v>
      </c>
    </row>
    <row r="5" spans="2:10" x14ac:dyDescent="0.15">
      <c r="B5" t="s">
        <v>13</v>
      </c>
    </row>
    <row r="6" spans="2:10" x14ac:dyDescent="0.15">
      <c r="B6" t="s">
        <v>30</v>
      </c>
      <c r="C6" t="s">
        <v>31</v>
      </c>
      <c r="D6" t="s">
        <v>32</v>
      </c>
      <c r="E6" t="s">
        <v>33</v>
      </c>
    </row>
    <row r="7" spans="2:10" x14ac:dyDescent="0.15">
      <c r="B7">
        <f>100*90^3/(3*21000*20*15^3/12)</f>
        <v>0.20571428571428571</v>
      </c>
      <c r="C7">
        <f>100*60^3/(3*21000*20*15^3/12)</f>
        <v>6.0952380952380952E-2</v>
      </c>
      <c r="D7">
        <f>100*60*60*90/(0.18*20*15^3*21000/(2*1.29))</f>
        <v>0.3276190476190477</v>
      </c>
      <c r="E7">
        <f>B7+C7+D7</f>
        <v>0.59428571428571431</v>
      </c>
    </row>
    <row r="8" spans="2:10" x14ac:dyDescent="0.15">
      <c r="B8" t="s">
        <v>15</v>
      </c>
    </row>
    <row r="9" spans="2:10" x14ac:dyDescent="0.15">
      <c r="B9">
        <f>10*100^3/(3*206000*50*1*1*1/12)</f>
        <v>3.883495145631068</v>
      </c>
      <c r="G9" t="s">
        <v>37</v>
      </c>
      <c r="H9" s="5" t="s">
        <v>48</v>
      </c>
      <c r="I9" s="5" t="s">
        <v>47</v>
      </c>
      <c r="J9" s="6" t="s">
        <v>46</v>
      </c>
    </row>
    <row r="10" spans="2:10" x14ac:dyDescent="0.15">
      <c r="B10" t="s">
        <v>19</v>
      </c>
      <c r="G10">
        <v>4</v>
      </c>
      <c r="H10">
        <f>-3*(2*1+2*10-100)</f>
        <v>234</v>
      </c>
      <c r="I10">
        <f>3*(2*1^2+2*10^2-1*100)</f>
        <v>306</v>
      </c>
      <c r="J10">
        <f>-2*1^3-2*10^3+1^2*100</f>
        <v>-1902</v>
      </c>
    </row>
    <row r="11" spans="2:10" x14ac:dyDescent="0.15">
      <c r="B11" t="s">
        <v>34</v>
      </c>
      <c r="C11" t="s">
        <v>35</v>
      </c>
      <c r="D11" t="s">
        <v>36</v>
      </c>
      <c r="F11" t="s">
        <v>41</v>
      </c>
      <c r="G11" t="s">
        <v>39</v>
      </c>
      <c r="H11" t="s">
        <v>38</v>
      </c>
      <c r="I11" t="s">
        <v>40</v>
      </c>
    </row>
    <row r="12" spans="2:10" x14ac:dyDescent="0.15">
      <c r="B12">
        <v>2.2382209999999998</v>
      </c>
      <c r="C12">
        <f>2*1/3*((10-B12)^3+(B12-1)^3)+100/3*(B12^3-(B12-1)^3)</f>
        <v>623.48019822457127</v>
      </c>
      <c r="D12">
        <f>1*100^3/(3*21000*C12)</f>
        <v>2.5458732960912053E-2</v>
      </c>
      <c r="G12">
        <v>2</v>
      </c>
      <c r="H12">
        <f t="shared" ref="H12:H20" si="0">(($G$10*$G12+$H$10)*$G12+$I$10)*$G12+$J$10</f>
        <v>-322</v>
      </c>
      <c r="I12">
        <f t="shared" ref="I12:I20" si="1">(3*$G$10*$G12+2*$H$10)*$G12+$I$10</f>
        <v>1290</v>
      </c>
    </row>
    <row r="13" spans="2:10" x14ac:dyDescent="0.15">
      <c r="B13" t="s">
        <v>23</v>
      </c>
      <c r="G13">
        <f t="shared" ref="G13:G20" si="2">G12-H12/I12</f>
        <v>2.2496124031007754</v>
      </c>
      <c r="H13">
        <f t="shared" si="0"/>
        <v>16.137248512477072</v>
      </c>
      <c r="I13">
        <f t="shared" si="1"/>
        <v>1419.5476762213809</v>
      </c>
    </row>
    <row r="14" spans="2:10" x14ac:dyDescent="0.15">
      <c r="B14" t="s">
        <v>42</v>
      </c>
      <c r="C14" t="s">
        <v>49</v>
      </c>
      <c r="D14" t="s">
        <v>50</v>
      </c>
      <c r="G14">
        <f t="shared" si="2"/>
        <v>2.2382445224844427</v>
      </c>
      <c r="H14">
        <f t="shared" si="0"/>
        <v>3.3722215943498668E-2</v>
      </c>
      <c r="I14">
        <f t="shared" si="1"/>
        <v>1413.6152990318985</v>
      </c>
    </row>
    <row r="15" spans="2:10" x14ac:dyDescent="0.15">
      <c r="B15">
        <f>2*PI()*(100-20)/(LN(1/0.5)/1+1/(1*2)+1/(0.5*1))</f>
        <v>157.41674158790954</v>
      </c>
      <c r="C15">
        <f>20+B15/(2*PI()*1*0.5)</f>
        <v>70.107305098270672</v>
      </c>
      <c r="D15">
        <f>C15+B15/(2*PI()*1)*LN(1/0.5)</f>
        <v>87.473173725432318</v>
      </c>
      <c r="G15">
        <f t="shared" si="2"/>
        <v>2.2382206671852205</v>
      </c>
      <c r="H15">
        <f t="shared" si="0"/>
        <v>1.4844840734440368E-7</v>
      </c>
      <c r="I15">
        <f t="shared" si="1"/>
        <v>1413.6028533028639</v>
      </c>
    </row>
    <row r="16" spans="2:10" x14ac:dyDescent="0.15">
      <c r="B16" t="s">
        <v>43</v>
      </c>
      <c r="G16">
        <f t="shared" si="2"/>
        <v>2.2382206670802063</v>
      </c>
      <c r="H16">
        <f t="shared" si="0"/>
        <v>0</v>
      </c>
      <c r="I16">
        <f t="shared" si="1"/>
        <v>1413.6028532480761</v>
      </c>
    </row>
    <row r="17" spans="2:9" x14ac:dyDescent="0.15">
      <c r="B17" t="s">
        <v>44</v>
      </c>
      <c r="G17">
        <f t="shared" si="2"/>
        <v>2.2382206670802063</v>
      </c>
      <c r="H17">
        <f t="shared" si="0"/>
        <v>0</v>
      </c>
      <c r="I17">
        <f t="shared" si="1"/>
        <v>1413.6028532480761</v>
      </c>
    </row>
    <row r="18" spans="2:9" x14ac:dyDescent="0.15">
      <c r="B18" t="s">
        <v>45</v>
      </c>
      <c r="G18">
        <f t="shared" si="2"/>
        <v>2.2382206670802063</v>
      </c>
      <c r="H18">
        <f t="shared" si="0"/>
        <v>0</v>
      </c>
      <c r="I18">
        <f t="shared" si="1"/>
        <v>1413.6028532480761</v>
      </c>
    </row>
    <row r="19" spans="2:9" x14ac:dyDescent="0.15">
      <c r="G19">
        <f t="shared" si="2"/>
        <v>2.2382206670802063</v>
      </c>
      <c r="H19">
        <f t="shared" si="0"/>
        <v>0</v>
      </c>
      <c r="I19">
        <f t="shared" si="1"/>
        <v>1413.6028532480761</v>
      </c>
    </row>
    <row r="20" spans="2:9" x14ac:dyDescent="0.15">
      <c r="G20">
        <f t="shared" si="2"/>
        <v>2.2382206670802063</v>
      </c>
      <c r="H20">
        <f t="shared" si="0"/>
        <v>0</v>
      </c>
      <c r="I20">
        <f t="shared" si="1"/>
        <v>1413.6028532480761</v>
      </c>
    </row>
  </sheetData>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3"/>
  <sheetViews>
    <sheetView workbookViewId="0"/>
  </sheetViews>
  <sheetFormatPr defaultRowHeight="13.5" x14ac:dyDescent="0.15"/>
  <cols>
    <col min="1" max="1" width="2.625" customWidth="1"/>
    <col min="4" max="4" width="21.125" customWidth="1"/>
    <col min="5" max="5" width="3.625" customWidth="1"/>
    <col min="8" max="8" width="12.75" bestFit="1" customWidth="1"/>
  </cols>
  <sheetData>
    <row r="1" spans="2:15" x14ac:dyDescent="0.15">
      <c r="B1" t="s">
        <v>114</v>
      </c>
    </row>
    <row r="2" spans="2:15" x14ac:dyDescent="0.15">
      <c r="B2" s="1"/>
      <c r="C2" s="1" t="s">
        <v>56</v>
      </c>
      <c r="D2" s="1" t="s">
        <v>67</v>
      </c>
      <c r="F2" t="s">
        <v>60</v>
      </c>
      <c r="G2" t="s">
        <v>61</v>
      </c>
      <c r="H2" t="s">
        <v>62</v>
      </c>
      <c r="I2" t="s">
        <v>63</v>
      </c>
      <c r="J2" t="s">
        <v>64</v>
      </c>
      <c r="K2" t="s">
        <v>65</v>
      </c>
      <c r="L2" t="s">
        <v>66</v>
      </c>
    </row>
    <row r="3" spans="2:15" x14ac:dyDescent="0.15">
      <c r="B3" s="1" t="s">
        <v>57</v>
      </c>
      <c r="C3" s="1">
        <v>2.1600000000000001E-2</v>
      </c>
      <c r="D3" s="1">
        <v>2.2200000000000001E-2</v>
      </c>
      <c r="F3">
        <v>1</v>
      </c>
      <c r="G3">
        <v>10</v>
      </c>
      <c r="H3">
        <v>2</v>
      </c>
      <c r="I3">
        <v>1</v>
      </c>
      <c r="J3">
        <v>21000</v>
      </c>
      <c r="K3">
        <v>0.28999999999999998</v>
      </c>
      <c r="L3">
        <f>J3/(2*(1+K3))</f>
        <v>8139.5348837209303</v>
      </c>
    </row>
    <row r="4" spans="2:15" x14ac:dyDescent="0.15">
      <c r="B4" s="1" t="s">
        <v>58</v>
      </c>
      <c r="C4" s="1">
        <v>3.2339999999999999E-3</v>
      </c>
      <c r="D4" s="1">
        <v>3.2339999999999999E-3</v>
      </c>
      <c r="F4" t="s">
        <v>68</v>
      </c>
      <c r="G4" t="s">
        <v>35</v>
      </c>
      <c r="H4" t="s">
        <v>57</v>
      </c>
      <c r="I4" t="s">
        <v>58</v>
      </c>
      <c r="J4" t="s">
        <v>59</v>
      </c>
      <c r="K4" t="s">
        <v>69</v>
      </c>
      <c r="L4" t="s">
        <v>70</v>
      </c>
    </row>
    <row r="5" spans="2:15" x14ac:dyDescent="0.15">
      <c r="B5" s="1" t="s">
        <v>59</v>
      </c>
      <c r="C5" s="1">
        <v>13.581</v>
      </c>
      <c r="D5" s="1" t="s">
        <v>72</v>
      </c>
      <c r="F5">
        <f>0.25*PI()*(H3*H3-I3*I3)</f>
        <v>2.3561944901923448</v>
      </c>
      <c r="G5">
        <f>PI()/64*(H3^4-I3^4)</f>
        <v>0.73631077818510771</v>
      </c>
      <c r="H5" s="7">
        <f>F3*G3^3/(3*J3*G5)</f>
        <v>2.1557494937314927E-2</v>
      </c>
      <c r="I5" s="7">
        <f>F3*G3*G3/(2*J3*G5)</f>
        <v>3.2336242405972388E-3</v>
      </c>
      <c r="J5" s="7">
        <f>F3*G3*0.5*H3/G5</f>
        <v>13.581221810508403</v>
      </c>
      <c r="K5">
        <f>6/7*L3*F5*G3*G3/(J3*G5)</f>
        <v>106.31229235880397</v>
      </c>
      <c r="L5" s="7">
        <f>H5*(1+3/K5)</f>
        <v>2.2165820497577281E-2</v>
      </c>
    </row>
    <row r="7" spans="2:15" x14ac:dyDescent="0.15">
      <c r="B7" t="s">
        <v>115</v>
      </c>
    </row>
    <row r="8" spans="2:15" x14ac:dyDescent="0.15">
      <c r="B8" s="1"/>
      <c r="C8" s="1" t="s">
        <v>56</v>
      </c>
      <c r="D8" s="1" t="s">
        <v>67</v>
      </c>
      <c r="F8" t="s">
        <v>60</v>
      </c>
      <c r="G8" t="s">
        <v>61</v>
      </c>
      <c r="H8" t="s">
        <v>62</v>
      </c>
      <c r="I8" t="s">
        <v>63</v>
      </c>
      <c r="J8" t="s">
        <v>64</v>
      </c>
      <c r="K8" t="s">
        <v>65</v>
      </c>
      <c r="L8" t="s">
        <v>66</v>
      </c>
    </row>
    <row r="9" spans="2:15" x14ac:dyDescent="0.15">
      <c r="B9" s="1" t="s">
        <v>57</v>
      </c>
      <c r="C9" s="9">
        <v>3.239E-5</v>
      </c>
      <c r="D9" s="9">
        <v>5.1397999999999998E-5</v>
      </c>
      <c r="F9">
        <v>1</v>
      </c>
      <c r="G9">
        <v>10</v>
      </c>
      <c r="H9">
        <v>10</v>
      </c>
      <c r="I9">
        <v>2</v>
      </c>
      <c r="J9">
        <v>21000</v>
      </c>
      <c r="K9">
        <v>0.28999999999999998</v>
      </c>
      <c r="L9">
        <f>J9/(2*(1+K9))</f>
        <v>8139.5348837209303</v>
      </c>
    </row>
    <row r="10" spans="2:15" x14ac:dyDescent="0.15">
      <c r="B10" s="1" t="s">
        <v>58</v>
      </c>
      <c r="C10" s="9">
        <v>4.8579999999999999E-6</v>
      </c>
      <c r="D10" s="9">
        <v>4.8579999999999999E-6</v>
      </c>
      <c r="F10" t="s">
        <v>68</v>
      </c>
      <c r="G10" t="s">
        <v>35</v>
      </c>
      <c r="H10" t="s">
        <v>57</v>
      </c>
      <c r="I10" t="s">
        <v>58</v>
      </c>
      <c r="J10" t="s">
        <v>59</v>
      </c>
      <c r="K10" t="s">
        <v>69</v>
      </c>
      <c r="L10" t="s">
        <v>70</v>
      </c>
    </row>
    <row r="11" spans="2:15" x14ac:dyDescent="0.15">
      <c r="B11" s="1" t="s">
        <v>59</v>
      </c>
      <c r="C11" s="1">
        <v>0.10199999999999999</v>
      </c>
      <c r="D11" s="1" t="s">
        <v>71</v>
      </c>
      <c r="F11">
        <f>0.25*PI()*(H9*H9-I9*I9)</f>
        <v>75.398223686155035</v>
      </c>
      <c r="G11">
        <f>PI()/64*(H9^4-I9^4)</f>
        <v>490.08845396000771</v>
      </c>
      <c r="H11" s="7">
        <f>F9*G9^3/(3*J9*G11)</f>
        <v>3.2388063307264008E-5</v>
      </c>
      <c r="I11" s="7">
        <f>F9*G9*G9/(2*J9*G11)</f>
        <v>4.8582094960896017E-6</v>
      </c>
      <c r="J11" s="7">
        <f>F9*G9*0.5*H9/G11</f>
        <v>0.10202239941788163</v>
      </c>
      <c r="K11">
        <f>6/7*L9*F11*G9*G9/(J9*G11)</f>
        <v>5.111167901865576</v>
      </c>
      <c r="L11" s="7">
        <f>H11*(1+3/K11)</f>
        <v>5.1398237065462623E-5</v>
      </c>
    </row>
    <row r="12" spans="2:15" x14ac:dyDescent="0.15">
      <c r="B12" s="11" t="s">
        <v>122</v>
      </c>
      <c r="C12" s="10"/>
      <c r="D12" s="10"/>
      <c r="H12" s="8"/>
      <c r="I12" s="8"/>
      <c r="J12" s="8"/>
      <c r="K12" s="8"/>
      <c r="L12" s="8"/>
    </row>
    <row r="14" spans="2:15" x14ac:dyDescent="0.15">
      <c r="B14" t="s">
        <v>116</v>
      </c>
    </row>
    <row r="15" spans="2:15" x14ac:dyDescent="0.15">
      <c r="B15" s="1"/>
      <c r="C15" s="1" t="s">
        <v>56</v>
      </c>
      <c r="D15" s="1" t="s">
        <v>67</v>
      </c>
      <c r="F15" t="s">
        <v>75</v>
      </c>
      <c r="G15" t="s">
        <v>76</v>
      </c>
      <c r="H15" t="s">
        <v>77</v>
      </c>
      <c r="I15" t="s">
        <v>78</v>
      </c>
      <c r="J15" t="s">
        <v>61</v>
      </c>
      <c r="K15" t="s">
        <v>62</v>
      </c>
      <c r="L15" t="s">
        <v>63</v>
      </c>
      <c r="M15" t="s">
        <v>64</v>
      </c>
      <c r="N15" t="s">
        <v>65</v>
      </c>
      <c r="O15" t="s">
        <v>66</v>
      </c>
    </row>
    <row r="16" spans="2:15" x14ac:dyDescent="0.15">
      <c r="B16" s="1" t="s">
        <v>111</v>
      </c>
      <c r="C16" s="1">
        <v>1.72E-2</v>
      </c>
      <c r="D16" s="1">
        <v>1.7600000000000001E-2</v>
      </c>
      <c r="F16">
        <v>0.5</v>
      </c>
      <c r="G16">
        <v>1</v>
      </c>
      <c r="H16">
        <v>5</v>
      </c>
      <c r="I16">
        <v>2</v>
      </c>
      <c r="J16">
        <v>10</v>
      </c>
      <c r="K16">
        <v>2</v>
      </c>
      <c r="L16">
        <v>1</v>
      </c>
      <c r="M16">
        <v>21000</v>
      </c>
      <c r="N16">
        <v>0.28999999999999998</v>
      </c>
      <c r="O16">
        <f>M16/(2*(1+N16))</f>
        <v>8139.5348837209303</v>
      </c>
    </row>
    <row r="17" spans="2:14" x14ac:dyDescent="0.15">
      <c r="B17" s="1" t="s">
        <v>112</v>
      </c>
      <c r="C17" s="1">
        <v>-3.7699999999999997E-2</v>
      </c>
      <c r="D17" s="1">
        <v>-3.8300000000000001E-2</v>
      </c>
      <c r="F17" t="s">
        <v>68</v>
      </c>
      <c r="G17" t="s">
        <v>35</v>
      </c>
      <c r="H17" t="s">
        <v>79</v>
      </c>
      <c r="I17" t="s">
        <v>82</v>
      </c>
      <c r="J17" t="s">
        <v>59</v>
      </c>
      <c r="K17" t="s">
        <v>69</v>
      </c>
      <c r="L17" t="s">
        <v>70</v>
      </c>
    </row>
    <row r="18" spans="2:14" x14ac:dyDescent="0.15">
      <c r="B18" s="1" t="s">
        <v>73</v>
      </c>
      <c r="C18" s="9">
        <v>6.4672000000000002E-3</v>
      </c>
      <c r="D18" s="9">
        <v>6.4672000000000002E-3</v>
      </c>
      <c r="F18">
        <f>0.25*PI()*(K16*K16-L16*L16)</f>
        <v>2.3561944901923448</v>
      </c>
      <c r="G18">
        <f>PI()/64*(K16^4-L16^4)</f>
        <v>0.73631077818510771</v>
      </c>
      <c r="H18" s="7">
        <f>$F$16*$J$16^3/(3*$M$16*$G$18)+$I$16*$J$16^2/(2*$M$16*$G$18)</f>
        <v>1.724599594985194E-2</v>
      </c>
      <c r="I18" s="7">
        <f>$G$16*$J$16*$J$16/(2*$M$16*$G$18)+$H$16*$J$16/($M$16*$G$18)</f>
        <v>6.4672484811944776E-3</v>
      </c>
      <c r="J18">
        <f>($F$16*J$16+I$16)*0.5*$K$16/$G$18</f>
        <v>9.506855267355883</v>
      </c>
      <c r="K18">
        <f>6/7*$O$16*$F$18*$J$16*$J$16/($M$16*$G$18)</f>
        <v>106.31229235880397</v>
      </c>
      <c r="L18" s="7">
        <f>H18*(1+3/K18)</f>
        <v>1.7732656398061823E-2</v>
      </c>
    </row>
    <row r="19" spans="2:14" x14ac:dyDescent="0.15">
      <c r="B19" s="1" t="s">
        <v>74</v>
      </c>
      <c r="C19" s="9">
        <v>2.9103000000000002E-3</v>
      </c>
      <c r="D19" s="9">
        <v>2.9103000000000002E-3</v>
      </c>
      <c r="H19" t="s">
        <v>81</v>
      </c>
      <c r="I19" t="s">
        <v>80</v>
      </c>
    </row>
    <row r="20" spans="2:14" x14ac:dyDescent="0.15">
      <c r="B20" s="1" t="s">
        <v>59</v>
      </c>
      <c r="C20" s="1">
        <v>22.481000000000002</v>
      </c>
      <c r="D20" s="1" t="s">
        <v>83</v>
      </c>
      <c r="H20" s="7">
        <f>$G$16*$J$16^3/(3*$M$16*$G$18)+$H$16*$J$16^2/(2*$M$16*$G$18)</f>
        <v>3.7725616140301121E-2</v>
      </c>
      <c r="I20" s="7">
        <f>$F$16*$J$16*$J$16/(2*$M$16*$G$18)+$I$16*$J$16/($M$16*$G$18)</f>
        <v>2.910261816537515E-3</v>
      </c>
      <c r="J20" s="8">
        <f>($G$16*$J$16+$H$16)*0.5*$K$16/$G$18</f>
        <v>20.371832715762604</v>
      </c>
      <c r="L20" s="7">
        <f>H20*(1+3/K18)</f>
        <v>3.879018587076024E-2</v>
      </c>
    </row>
    <row r="21" spans="2:14" x14ac:dyDescent="0.15">
      <c r="H21" s="7">
        <f>SQRT(H18^2+H20^2)</f>
        <v>4.1480676097041355E-2</v>
      </c>
      <c r="J21" s="7">
        <f>SQRT(J18^2+J20^2)</f>
        <v>22.480922251399473</v>
      </c>
      <c r="L21" s="7">
        <f>SQRT(L18^2+L20^2)</f>
        <v>4.2651208925654736E-2</v>
      </c>
    </row>
    <row r="23" spans="2:14" x14ac:dyDescent="0.15">
      <c r="B23" t="s">
        <v>117</v>
      </c>
    </row>
    <row r="24" spans="2:14" x14ac:dyDescent="0.15">
      <c r="B24" s="1"/>
      <c r="C24" s="1" t="s">
        <v>56</v>
      </c>
      <c r="D24" s="1" t="s">
        <v>67</v>
      </c>
      <c r="F24" t="s">
        <v>60</v>
      </c>
      <c r="G24" t="s">
        <v>84</v>
      </c>
      <c r="H24" t="s">
        <v>61</v>
      </c>
      <c r="I24" t="s">
        <v>62</v>
      </c>
      <c r="J24" t="s">
        <v>63</v>
      </c>
      <c r="K24" t="s">
        <v>64</v>
      </c>
      <c r="L24" t="s">
        <v>65</v>
      </c>
      <c r="M24" t="s">
        <v>66</v>
      </c>
    </row>
    <row r="25" spans="2:14" x14ac:dyDescent="0.15">
      <c r="B25" s="1" t="s">
        <v>110</v>
      </c>
      <c r="C25" s="9">
        <v>4.0420000000000001E-4</v>
      </c>
      <c r="D25" s="9">
        <v>4.0420000000000001E-4</v>
      </c>
      <c r="F25">
        <v>2</v>
      </c>
      <c r="G25">
        <v>1</v>
      </c>
      <c r="H25">
        <v>10</v>
      </c>
      <c r="I25">
        <v>2</v>
      </c>
      <c r="J25">
        <v>1</v>
      </c>
      <c r="K25">
        <v>21000</v>
      </c>
      <c r="L25">
        <v>0.28999999999999998</v>
      </c>
      <c r="M25">
        <f>K25/(2*(1+L25))</f>
        <v>8139.5348837209303</v>
      </c>
    </row>
    <row r="26" spans="2:14" x14ac:dyDescent="0.15">
      <c r="B26" s="1" t="s">
        <v>89</v>
      </c>
      <c r="C26" s="9">
        <v>8.3427999999999996E-4</v>
      </c>
      <c r="D26" s="9">
        <v>8.3427999999999996E-4</v>
      </c>
      <c r="F26" t="s">
        <v>68</v>
      </c>
      <c r="G26" t="s">
        <v>85</v>
      </c>
      <c r="H26" t="s">
        <v>88</v>
      </c>
      <c r="I26" t="s">
        <v>89</v>
      </c>
      <c r="J26" t="s">
        <v>86</v>
      </c>
      <c r="K26" t="s">
        <v>87</v>
      </c>
    </row>
    <row r="27" spans="2:14" x14ac:dyDescent="0.15">
      <c r="B27" s="1" t="s">
        <v>86</v>
      </c>
      <c r="C27" s="1">
        <v>0.8488</v>
      </c>
      <c r="D27" s="1">
        <v>0.8488</v>
      </c>
      <c r="F27">
        <f>0.25*PI()*(I25*I25-J25*J25)</f>
        <v>2.3561944901923448</v>
      </c>
      <c r="G27">
        <f>PI()/32*(I25^4-J25^4)</f>
        <v>1.4726215563702154</v>
      </c>
      <c r="H27" s="7">
        <f>J27/K25*H25</f>
        <v>4.0420303007465479E-4</v>
      </c>
      <c r="I27" s="7">
        <f>K27/M25*H25/(0.5*I25)</f>
        <v>8.3427505407408765E-4</v>
      </c>
      <c r="J27" s="7">
        <f>F25/F27</f>
        <v>0.84882636315677518</v>
      </c>
      <c r="K27" s="7">
        <f>G25*0.5*I25/G27</f>
        <v>0.67906109052542019</v>
      </c>
    </row>
    <row r="28" spans="2:14" x14ac:dyDescent="0.15">
      <c r="B28" s="1" t="s">
        <v>87</v>
      </c>
      <c r="C28" s="1">
        <v>0.67910000000000004</v>
      </c>
      <c r="D28" s="1">
        <v>0.67910000000000004</v>
      </c>
    </row>
    <row r="30" spans="2:14" x14ac:dyDescent="0.15">
      <c r="B30" t="s">
        <v>118</v>
      </c>
    </row>
    <row r="31" spans="2:14" x14ac:dyDescent="0.15">
      <c r="B31" s="1"/>
      <c r="C31" s="1" t="s">
        <v>56</v>
      </c>
      <c r="D31" s="1" t="s">
        <v>67</v>
      </c>
      <c r="F31" t="s">
        <v>60</v>
      </c>
      <c r="G31" t="s">
        <v>61</v>
      </c>
      <c r="H31" t="s">
        <v>90</v>
      </c>
      <c r="I31" t="s">
        <v>91</v>
      </c>
      <c r="J31" t="s">
        <v>92</v>
      </c>
      <c r="K31" t="s">
        <v>93</v>
      </c>
      <c r="L31" t="s">
        <v>64</v>
      </c>
      <c r="M31" t="s">
        <v>65</v>
      </c>
      <c r="N31" t="s">
        <v>66</v>
      </c>
    </row>
    <row r="32" spans="2:14" x14ac:dyDescent="0.15">
      <c r="B32" s="1" t="s">
        <v>57</v>
      </c>
      <c r="C32" s="1">
        <v>0.1016</v>
      </c>
      <c r="D32" s="1">
        <v>0.1026</v>
      </c>
      <c r="F32">
        <v>1</v>
      </c>
      <c r="G32">
        <v>10</v>
      </c>
      <c r="H32">
        <v>2</v>
      </c>
      <c r="I32">
        <v>1</v>
      </c>
      <c r="J32">
        <v>1</v>
      </c>
      <c r="K32">
        <v>0.5</v>
      </c>
      <c r="L32">
        <v>21000</v>
      </c>
      <c r="M32">
        <v>0.28999999999999998</v>
      </c>
      <c r="N32">
        <f>L32/(2*(1+M32))</f>
        <v>8139.5348837209303</v>
      </c>
    </row>
    <row r="33" spans="2:15" x14ac:dyDescent="0.15">
      <c r="B33" s="1" t="s">
        <v>58</v>
      </c>
      <c r="C33" s="1">
        <v>1.52E-2</v>
      </c>
      <c r="D33" s="1">
        <v>1.52E-2</v>
      </c>
      <c r="F33" t="s">
        <v>68</v>
      </c>
      <c r="G33" t="s">
        <v>94</v>
      </c>
      <c r="H33" t="s">
        <v>95</v>
      </c>
      <c r="I33" t="s">
        <v>57</v>
      </c>
      <c r="J33" t="s">
        <v>58</v>
      </c>
      <c r="K33" t="s">
        <v>59</v>
      </c>
      <c r="L33" t="s">
        <v>69</v>
      </c>
      <c r="M33" t="s">
        <v>70</v>
      </c>
    </row>
    <row r="34" spans="2:15" x14ac:dyDescent="0.15">
      <c r="B34" s="1" t="s">
        <v>59</v>
      </c>
      <c r="C34" s="1">
        <v>32</v>
      </c>
      <c r="D34" s="1" t="s">
        <v>96</v>
      </c>
      <c r="F34">
        <f>H32*I32-J32*K32</f>
        <v>1.5</v>
      </c>
      <c r="G34">
        <f>($H32^3*$I32-$J32^3*$K32)/12</f>
        <v>0.625</v>
      </c>
      <c r="H34">
        <f>($H32*$I32^3-$J32*$K32^3)/12</f>
        <v>0.15625</v>
      </c>
      <c r="I34" s="7">
        <f>F32*G32^3/(3*L32*H34)</f>
        <v>0.10158730158730159</v>
      </c>
      <c r="J34" s="7">
        <f>F32*G32*G32/(2*L32*H34)</f>
        <v>1.5238095238095238E-2</v>
      </c>
      <c r="K34" s="7">
        <f>F32*G32*0.5*I32/H34</f>
        <v>32</v>
      </c>
      <c r="L34">
        <f>5/6*N32*F34*G32*G32/(L32*H34)</f>
        <v>310.077519379845</v>
      </c>
      <c r="M34" s="7">
        <f>I34*(1+3/L34)</f>
        <v>0.10257015873015873</v>
      </c>
    </row>
    <row r="36" spans="2:15" x14ac:dyDescent="0.15">
      <c r="B36" t="s">
        <v>119</v>
      </c>
    </row>
    <row r="37" spans="2:15" x14ac:dyDescent="0.15">
      <c r="B37" s="1"/>
      <c r="C37" s="1" t="s">
        <v>56</v>
      </c>
      <c r="F37" t="s">
        <v>75</v>
      </c>
      <c r="G37" t="s">
        <v>97</v>
      </c>
      <c r="H37" t="s">
        <v>61</v>
      </c>
      <c r="I37" t="s">
        <v>90</v>
      </c>
      <c r="J37" t="s">
        <v>91</v>
      </c>
      <c r="K37" t="s">
        <v>92</v>
      </c>
      <c r="L37" t="s">
        <v>93</v>
      </c>
      <c r="M37" t="s">
        <v>64</v>
      </c>
      <c r="N37" t="s">
        <v>65</v>
      </c>
      <c r="O37" t="s">
        <v>66</v>
      </c>
    </row>
    <row r="38" spans="2:15" x14ac:dyDescent="0.15">
      <c r="B38" s="1" t="s">
        <v>111</v>
      </c>
      <c r="C38" s="1">
        <v>1.7999999999999999E-2</v>
      </c>
      <c r="F38">
        <f>SQRT(0.5)</f>
        <v>0.70710678118654757</v>
      </c>
      <c r="G38">
        <f>SQRT(0.5)</f>
        <v>0.70710678118654757</v>
      </c>
      <c r="H38">
        <v>10</v>
      </c>
      <c r="I38">
        <v>2</v>
      </c>
      <c r="J38">
        <v>1</v>
      </c>
      <c r="K38">
        <v>1</v>
      </c>
      <c r="L38">
        <v>0.5</v>
      </c>
      <c r="M38">
        <v>21000</v>
      </c>
      <c r="N38">
        <v>0.28999999999999998</v>
      </c>
      <c r="O38">
        <f>M38/(2*(1+N38))</f>
        <v>8139.5348837209303</v>
      </c>
    </row>
    <row r="39" spans="2:15" x14ac:dyDescent="0.15">
      <c r="B39" s="1" t="s">
        <v>112</v>
      </c>
      <c r="C39" s="1">
        <v>7.1800000000000003E-2</v>
      </c>
      <c r="F39" t="s">
        <v>68</v>
      </c>
      <c r="G39" t="s">
        <v>94</v>
      </c>
      <c r="H39" t="s">
        <v>95</v>
      </c>
      <c r="I39" t="s">
        <v>79</v>
      </c>
      <c r="J39" t="s">
        <v>73</v>
      </c>
      <c r="K39" t="s">
        <v>59</v>
      </c>
    </row>
    <row r="40" spans="2:15" x14ac:dyDescent="0.15">
      <c r="B40" s="1" t="s">
        <v>73</v>
      </c>
      <c r="C40" s="1">
        <v>1.0800000000000001E-2</v>
      </c>
      <c r="F40">
        <f>I38*J38-K38*L38</f>
        <v>1.5</v>
      </c>
      <c r="G40">
        <f>($I38^3*$J38-$K38^3*$L38)/12</f>
        <v>0.625</v>
      </c>
      <c r="H40">
        <f>($I38*$J38^3-$K38*$L38^3)/12</f>
        <v>0.15625</v>
      </c>
      <c r="I40" s="7">
        <f>$F$38*$H$38^3/(3*$M$38*$G$40)</f>
        <v>1.7958267458705969E-2</v>
      </c>
      <c r="J40" s="7">
        <f>$G$38*$H$38*$H$38/(2*$M$38*$H$40)</f>
        <v>1.0774960475223581E-2</v>
      </c>
      <c r="K40">
        <f>$F$38*$H$38*0.5*$I$38/$G$40</f>
        <v>11.313708498984761</v>
      </c>
    </row>
    <row r="41" spans="2:15" x14ac:dyDescent="0.15">
      <c r="B41" s="1" t="s">
        <v>74</v>
      </c>
      <c r="C41" s="9">
        <v>2.6936999999999998E-3</v>
      </c>
      <c r="I41" t="s">
        <v>98</v>
      </c>
      <c r="J41" t="s">
        <v>74</v>
      </c>
    </row>
    <row r="42" spans="2:15" x14ac:dyDescent="0.15">
      <c r="B42" s="1" t="s">
        <v>59</v>
      </c>
      <c r="C42" s="1">
        <v>33.941000000000003</v>
      </c>
      <c r="I42" s="7">
        <f>$G$38*$H$38^3/(3*$M$38*$H$40)</f>
        <v>7.1833069834823876E-2</v>
      </c>
      <c r="J42" s="7">
        <f>$F$38*$H$38*$H$38/(2*$M$38*$G$40)</f>
        <v>2.6937401188058953E-3</v>
      </c>
      <c r="K42">
        <f>$G$38*$H$38*0.5*$J$38/$H$40</f>
        <v>22.627416997969522</v>
      </c>
    </row>
    <row r="43" spans="2:15" x14ac:dyDescent="0.15">
      <c r="I43" s="7">
        <f>SQRT(I40*I40+I42*I42)</f>
        <v>7.4043833585337157E-2</v>
      </c>
      <c r="K43" s="7">
        <f>K40+K42</f>
        <v>33.941125496954285</v>
      </c>
    </row>
    <row r="45" spans="2:15" x14ac:dyDescent="0.15">
      <c r="B45" t="s">
        <v>120</v>
      </c>
    </row>
    <row r="46" spans="2:15" x14ac:dyDescent="0.15">
      <c r="B46" s="1"/>
      <c r="C46" s="1" t="s">
        <v>56</v>
      </c>
      <c r="F46" t="s">
        <v>75</v>
      </c>
      <c r="G46" t="s">
        <v>97</v>
      </c>
      <c r="H46" t="s">
        <v>61</v>
      </c>
      <c r="I46" t="s">
        <v>90</v>
      </c>
      <c r="J46" t="s">
        <v>91</v>
      </c>
      <c r="K46" t="s">
        <v>92</v>
      </c>
      <c r="L46" t="s">
        <v>93</v>
      </c>
      <c r="M46" t="s">
        <v>64</v>
      </c>
      <c r="N46" t="s">
        <v>65</v>
      </c>
      <c r="O46" t="s">
        <v>66</v>
      </c>
    </row>
    <row r="47" spans="2:15" x14ac:dyDescent="0.15">
      <c r="B47" s="1" t="s">
        <v>111</v>
      </c>
      <c r="C47" s="1">
        <v>2.87E-2</v>
      </c>
      <c r="F47">
        <f>SQRT(0.5)</f>
        <v>0.70710678118654757</v>
      </c>
      <c r="G47">
        <f>SQRT(0.5)</f>
        <v>0.70710678118654757</v>
      </c>
      <c r="H47">
        <v>10</v>
      </c>
      <c r="I47">
        <v>2</v>
      </c>
      <c r="J47">
        <v>1</v>
      </c>
      <c r="K47">
        <v>1</v>
      </c>
      <c r="L47">
        <v>0.5</v>
      </c>
      <c r="M47">
        <v>21000</v>
      </c>
      <c r="N47">
        <v>0.28999999999999998</v>
      </c>
      <c r="O47">
        <f>M47/(2*(1+N47))</f>
        <v>8139.5348837209303</v>
      </c>
    </row>
    <row r="48" spans="2:15" x14ac:dyDescent="0.15">
      <c r="B48" s="1" t="s">
        <v>112</v>
      </c>
      <c r="C48" s="1">
        <v>-2.87E-2</v>
      </c>
      <c r="F48" t="s">
        <v>68</v>
      </c>
      <c r="G48" t="s">
        <v>94</v>
      </c>
      <c r="H48" t="s">
        <v>95</v>
      </c>
      <c r="I48" t="s">
        <v>106</v>
      </c>
      <c r="J48" t="s">
        <v>79</v>
      </c>
      <c r="K48" t="s">
        <v>73</v>
      </c>
      <c r="L48" t="s">
        <v>59</v>
      </c>
    </row>
    <row r="49" spans="2:15" x14ac:dyDescent="0.15">
      <c r="B49" s="1" t="s">
        <v>73</v>
      </c>
      <c r="C49" s="9">
        <v>4.3099999999999996E-3</v>
      </c>
      <c r="F49">
        <f>I47*J47-K47*L47</f>
        <v>1.5</v>
      </c>
      <c r="G49">
        <f>($I47^3*$J47-$K47^3*$L47)/12</f>
        <v>0.625</v>
      </c>
      <c r="H49">
        <f>($I47*$J47^3-$K47*$L47^3)/12</f>
        <v>0.15625</v>
      </c>
      <c r="I49">
        <f>(1/H49-1/G49)/(1/H49+1/G49)</f>
        <v>0.60000000000000009</v>
      </c>
      <c r="J49" s="7">
        <f>($F$47+I49/SQRT(2))*$H$47^3/(3*$M$47*$G$49)</f>
        <v>2.8733227933929552E-2</v>
      </c>
      <c r="K49" s="7">
        <f>($G$47-I49/SQRT(2))*$H$47*$H$47/(2*$M$47*$H$49)</f>
        <v>4.3099841900894323E-3</v>
      </c>
      <c r="L49">
        <f>($F$47+I49/SQRT(2))*$H$47*0.5*$I$47/$G$49</f>
        <v>18.101933598375616</v>
      </c>
    </row>
    <row r="50" spans="2:15" x14ac:dyDescent="0.15">
      <c r="B50" s="1" t="s">
        <v>74</v>
      </c>
      <c r="C50" s="9">
        <v>4.3099999999999996E-3</v>
      </c>
      <c r="J50" t="s">
        <v>107</v>
      </c>
    </row>
    <row r="51" spans="2:15" x14ac:dyDescent="0.15">
      <c r="B51" s="1" t="s">
        <v>59</v>
      </c>
      <c r="C51" s="1">
        <v>27.152999999999999</v>
      </c>
      <c r="F51" t="s">
        <v>113</v>
      </c>
      <c r="G51" t="s">
        <v>108</v>
      </c>
      <c r="H51" t="s">
        <v>109</v>
      </c>
      <c r="J51" s="7">
        <f>(-$G$47+I49/SQRT(2))*$H$47^3/(3*$M$47*$H$49)</f>
        <v>-2.8733227933929552E-2</v>
      </c>
      <c r="K51" s="7">
        <f>($F$47+I49/SQRT(2))*$H$47*$H$47/(2*$M$47*$G$49)</f>
        <v>4.3099841900894323E-3</v>
      </c>
      <c r="L51">
        <f>($G$47-I49/SQRT(2))*$H$47*0.5*$J$47/$H$49</f>
        <v>9.0509667991878082</v>
      </c>
    </row>
    <row r="52" spans="2:15" x14ac:dyDescent="0.15">
      <c r="G52">
        <f>2*SQRT($F$47*$F$47+$G$47*$G$47)*$H$47^3/(3*$M$47*($G$49+$H$49))</f>
        <v>4.0634920634920635E-2</v>
      </c>
      <c r="H52">
        <f>SQRT($F$47*$F$47+$G$47*$G$47)*$H$47*($I$47+$J$47)*SQRT(0.5)/($G$49+$H$49)</f>
        <v>27.152900397563425</v>
      </c>
      <c r="J52" s="7">
        <f>SQRT(J49^2+J51^2)</f>
        <v>4.0634920634920642E-2</v>
      </c>
      <c r="L52" s="7">
        <f>L49+L51</f>
        <v>27.152900397563425</v>
      </c>
    </row>
    <row r="53" spans="2:15" x14ac:dyDescent="0.15">
      <c r="B53" s="11" t="s">
        <v>123</v>
      </c>
      <c r="J53" s="7"/>
      <c r="L53" s="7"/>
    </row>
    <row r="55" spans="2:15" x14ac:dyDescent="0.15">
      <c r="B55" t="s">
        <v>121</v>
      </c>
    </row>
    <row r="56" spans="2:15" x14ac:dyDescent="0.15">
      <c r="B56" s="1"/>
      <c r="C56" s="1" t="s">
        <v>56</v>
      </c>
      <c r="F56" t="s">
        <v>103</v>
      </c>
      <c r="G56" t="s">
        <v>84</v>
      </c>
      <c r="H56" t="s">
        <v>61</v>
      </c>
      <c r="I56" t="s">
        <v>90</v>
      </c>
      <c r="J56" t="s">
        <v>91</v>
      </c>
      <c r="K56" t="s">
        <v>92</v>
      </c>
      <c r="L56" t="s">
        <v>93</v>
      </c>
      <c r="M56" t="s">
        <v>64</v>
      </c>
      <c r="N56" t="s">
        <v>65</v>
      </c>
      <c r="O56" t="s">
        <v>66</v>
      </c>
    </row>
    <row r="57" spans="2:15" x14ac:dyDescent="0.15">
      <c r="B57" s="1" t="s">
        <v>105</v>
      </c>
      <c r="C57" s="9">
        <v>3.1745999999999999E-4</v>
      </c>
      <c r="F57">
        <v>1</v>
      </c>
      <c r="G57">
        <v>1</v>
      </c>
      <c r="H57">
        <v>10</v>
      </c>
      <c r="I57">
        <v>2</v>
      </c>
      <c r="J57">
        <v>1</v>
      </c>
      <c r="K57">
        <v>1</v>
      </c>
      <c r="L57">
        <v>0.5</v>
      </c>
      <c r="M57">
        <v>21000</v>
      </c>
      <c r="N57">
        <v>0.28999999999999998</v>
      </c>
      <c r="O57">
        <f>M57/(2*(1+N57))</f>
        <v>8139.5348837209303</v>
      </c>
    </row>
    <row r="58" spans="2:15" x14ac:dyDescent="0.15">
      <c r="B58" s="1" t="s">
        <v>99</v>
      </c>
      <c r="C58" s="9">
        <v>2.8613000000000002E-3</v>
      </c>
      <c r="F58" t="s">
        <v>68</v>
      </c>
      <c r="G58" t="s">
        <v>100</v>
      </c>
      <c r="H58" t="s">
        <v>105</v>
      </c>
      <c r="I58" t="s">
        <v>102</v>
      </c>
      <c r="J58" t="s">
        <v>104</v>
      </c>
      <c r="K58" t="s">
        <v>101</v>
      </c>
    </row>
    <row r="59" spans="2:15" x14ac:dyDescent="0.15">
      <c r="B59" s="1" t="s">
        <v>104</v>
      </c>
      <c r="C59" s="1">
        <v>0.66669999999999996</v>
      </c>
      <c r="E59" t="s">
        <v>178</v>
      </c>
      <c r="F59">
        <f>I57*J57-K57*L57</f>
        <v>1.5</v>
      </c>
      <c r="G59">
        <f>0.229*(I57*J57^3-K57*L57^3)</f>
        <v>0.42937500000000001</v>
      </c>
      <c r="H59" s="7">
        <f>J59*H57/M57</f>
        <v>3.1746031746031741E-4</v>
      </c>
      <c r="I59" s="7">
        <f>G57*H57/(O57*G59)</f>
        <v>2.8613017259305467E-3</v>
      </c>
      <c r="J59" s="7">
        <f>F57/F59</f>
        <v>0.66666666666666663</v>
      </c>
      <c r="K59" s="7">
        <f>0.9301*O57*J57*I59/H57</f>
        <v>2.1661717612809315</v>
      </c>
    </row>
    <row r="60" spans="2:15" x14ac:dyDescent="0.15">
      <c r="B60" s="1" t="s">
        <v>87</v>
      </c>
      <c r="C60" s="1">
        <v>2.1659999999999999</v>
      </c>
      <c r="E60" t="s">
        <v>179</v>
      </c>
      <c r="F60">
        <f>I57*J57</f>
        <v>2</v>
      </c>
      <c r="G60">
        <f>0.229*I57*J57^3</f>
        <v>0.45800000000000002</v>
      </c>
      <c r="H60">
        <f>J60*H57/M57</f>
        <v>2.380952380952381E-4</v>
      </c>
      <c r="I60">
        <f>G57*H57/(O57*G60)</f>
        <v>2.6824703680598879E-3</v>
      </c>
      <c r="J60">
        <f>F57/F60</f>
        <v>0.5</v>
      </c>
      <c r="K60">
        <f>0.9301*O57*J57*I60/H57</f>
        <v>2.0307860262008735</v>
      </c>
    </row>
    <row r="62" spans="2:15" x14ac:dyDescent="0.15">
      <c r="H62" s="37"/>
      <c r="I62" s="37"/>
    </row>
    <row r="63" spans="2:15" x14ac:dyDescent="0.15">
      <c r="H63" s="37"/>
      <c r="I63" s="37"/>
    </row>
  </sheetData>
  <phoneticPr fontId="14"/>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60"/>
  <sheetViews>
    <sheetView tabSelected="1" topLeftCell="A15" workbookViewId="0">
      <selection activeCell="B25" sqref="B25"/>
    </sheetView>
  </sheetViews>
  <sheetFormatPr defaultRowHeight="13.5" x14ac:dyDescent="0.15"/>
  <cols>
    <col min="1" max="1" width="3.625" style="14" customWidth="1"/>
    <col min="2" max="2" width="10.75" style="14" customWidth="1"/>
    <col min="3" max="3" width="9.5" style="14" bestFit="1" customWidth="1"/>
    <col min="4" max="4" width="9.5" style="14" customWidth="1"/>
    <col min="5" max="5" width="12.375" style="14" bestFit="1" customWidth="1"/>
    <col min="6" max="10" width="9" style="14"/>
    <col min="11" max="11" width="11.625" style="14" bestFit="1" customWidth="1"/>
    <col min="12" max="13" width="9" style="14" customWidth="1"/>
    <col min="14" max="16384" width="9" style="14"/>
  </cols>
  <sheetData>
    <row r="1" spans="2:28" x14ac:dyDescent="0.15">
      <c r="B1" t="s">
        <v>168</v>
      </c>
      <c r="Q1" t="s">
        <v>60</v>
      </c>
      <c r="R1" t="s">
        <v>61</v>
      </c>
      <c r="S1" t="s">
        <v>90</v>
      </c>
      <c r="T1" t="s">
        <v>91</v>
      </c>
      <c r="U1" t="s">
        <v>92</v>
      </c>
      <c r="V1" t="s">
        <v>93</v>
      </c>
      <c r="W1" t="s">
        <v>64</v>
      </c>
      <c r="X1" t="s">
        <v>65</v>
      </c>
      <c r="Y1" t="s">
        <v>66</v>
      </c>
      <c r="Z1" s="16" t="s">
        <v>132</v>
      </c>
    </row>
    <row r="2" spans="2:28" x14ac:dyDescent="0.15">
      <c r="B2" s="24" t="s">
        <v>171</v>
      </c>
      <c r="C2" s="24" t="s">
        <v>149</v>
      </c>
      <c r="D2" s="24" t="s">
        <v>172</v>
      </c>
      <c r="E2" s="54" t="s">
        <v>255</v>
      </c>
      <c r="F2" s="24" t="s">
        <v>160</v>
      </c>
      <c r="G2" s="24" t="s">
        <v>161</v>
      </c>
      <c r="H2" s="24" t="s">
        <v>162</v>
      </c>
      <c r="I2" s="24" t="s">
        <v>163</v>
      </c>
      <c r="J2" s="24" t="s">
        <v>164</v>
      </c>
      <c r="K2" s="24" t="s">
        <v>165</v>
      </c>
      <c r="L2" s="24" t="s">
        <v>158</v>
      </c>
      <c r="M2" s="24" t="s">
        <v>166</v>
      </c>
      <c r="N2" s="24" t="s">
        <v>167</v>
      </c>
      <c r="O2" s="24" t="s">
        <v>152</v>
      </c>
      <c r="R2">
        <v>1</v>
      </c>
      <c r="S2">
        <v>10</v>
      </c>
      <c r="T2">
        <v>2</v>
      </c>
      <c r="U2">
        <v>1</v>
      </c>
      <c r="V2">
        <v>0</v>
      </c>
      <c r="W2">
        <v>0</v>
      </c>
      <c r="X2" s="16">
        <v>206000</v>
      </c>
      <c r="Y2" s="16">
        <v>0.28999999999999998</v>
      </c>
      <c r="Z2" s="16">
        <f>X2/(2*(1+Y2))</f>
        <v>79844.961240310076</v>
      </c>
      <c r="AA2" s="15">
        <v>7.7999999999999999E-4</v>
      </c>
      <c r="AB2" s="15"/>
    </row>
    <row r="3" spans="2:28" x14ac:dyDescent="0.15">
      <c r="B3" s="24" t="s">
        <v>150</v>
      </c>
      <c r="C3" s="30">
        <v>26.251999999999999</v>
      </c>
      <c r="D3" s="30">
        <v>26.251999999999999</v>
      </c>
      <c r="E3" s="30">
        <v>26.029</v>
      </c>
      <c r="F3" s="30">
        <v>31.888999999999999</v>
      </c>
      <c r="G3" s="30">
        <v>26.884</v>
      </c>
      <c r="H3" s="30">
        <v>27.702999999999999</v>
      </c>
      <c r="I3" s="30">
        <v>26.3</v>
      </c>
      <c r="J3" s="30">
        <v>26.283000000000001</v>
      </c>
      <c r="K3" s="30">
        <v>26.292000000000002</v>
      </c>
      <c r="L3" s="30">
        <v>26.356999999999999</v>
      </c>
      <c r="M3" s="31">
        <v>26.536999999999999</v>
      </c>
      <c r="N3" s="31">
        <v>26.295000000000002</v>
      </c>
      <c r="O3" s="31">
        <f>R13</f>
        <v>26.249338391311493</v>
      </c>
      <c r="R3" t="s">
        <v>68</v>
      </c>
      <c r="S3" t="s">
        <v>94</v>
      </c>
      <c r="T3" t="s">
        <v>95</v>
      </c>
      <c r="U3" s="8" t="s">
        <v>144</v>
      </c>
      <c r="V3" s="8" t="s">
        <v>145</v>
      </c>
      <c r="W3" s="8"/>
      <c r="X3" s="8" t="s">
        <v>143</v>
      </c>
      <c r="Y3" s="8"/>
      <c r="Z3" s="8"/>
      <c r="AB3" s="15"/>
    </row>
    <row r="4" spans="2:28" x14ac:dyDescent="0.15">
      <c r="B4" s="24" t="s">
        <v>150</v>
      </c>
      <c r="C4" s="30">
        <v>52.505000000000003</v>
      </c>
      <c r="D4" s="30">
        <v>52.505000000000003</v>
      </c>
      <c r="E4" s="30">
        <v>50.895000000000003</v>
      </c>
      <c r="F4" s="30">
        <v>54.454000000000001</v>
      </c>
      <c r="G4" s="30">
        <v>54.213000000000001</v>
      </c>
      <c r="H4" s="30">
        <v>52.094999999999999</v>
      </c>
      <c r="I4" s="30">
        <v>51.279000000000003</v>
      </c>
      <c r="J4" s="30">
        <v>51.265999999999998</v>
      </c>
      <c r="K4" s="30">
        <v>51.268000000000001</v>
      </c>
      <c r="L4" s="30">
        <v>51.402000000000001</v>
      </c>
      <c r="M4" s="31">
        <v>68.852000000000004</v>
      </c>
      <c r="N4" s="31">
        <v>54.234000000000002</v>
      </c>
      <c r="O4" s="31">
        <f>R12</f>
        <v>52.498676782622987</v>
      </c>
      <c r="R4">
        <f>T2*U2-V2*W2</f>
        <v>2</v>
      </c>
      <c r="S4">
        <f>($T2^3*$U2-$V2^3*$W2)/12</f>
        <v>0.66666666666666663</v>
      </c>
      <c r="T4">
        <f>($T2*$U2^3-$V2*$W2^3)/12</f>
        <v>0.16666666666666666</v>
      </c>
      <c r="U4" s="8">
        <f>S4+T4</f>
        <v>0.83333333333333326</v>
      </c>
      <c r="V4" s="8">
        <f>0.229*12*T4</f>
        <v>0.45800000000000002</v>
      </c>
      <c r="W4" s="8"/>
      <c r="X4" s="20">
        <f>R4*S2*AA2</f>
        <v>1.5599999999999999E-2</v>
      </c>
      <c r="Y4" s="8"/>
      <c r="Z4" s="8"/>
      <c r="AB4" s="15"/>
    </row>
    <row r="5" spans="2:28" x14ac:dyDescent="0.15">
      <c r="B5" s="24" t="s">
        <v>153</v>
      </c>
      <c r="C5" s="30">
        <v>164.52600000000001</v>
      </c>
      <c r="D5" s="30">
        <v>164.52</v>
      </c>
      <c r="E5" s="30">
        <v>157.797</v>
      </c>
      <c r="F5" s="30">
        <v>190.12299999999999</v>
      </c>
      <c r="G5" s="30">
        <v>162.102</v>
      </c>
      <c r="H5" s="30">
        <v>166.79900000000001</v>
      </c>
      <c r="I5" s="30">
        <v>157.732</v>
      </c>
      <c r="J5" s="30">
        <v>157.625</v>
      </c>
      <c r="K5" s="30">
        <v>157.67599999999999</v>
      </c>
      <c r="L5" s="30">
        <v>159.102</v>
      </c>
      <c r="M5" s="31">
        <v>166.023</v>
      </c>
      <c r="N5" s="31">
        <v>160.99700000000001</v>
      </c>
      <c r="O5" s="31">
        <f>S13</f>
        <v>164.51366893652849</v>
      </c>
      <c r="R5" s="21" t="s">
        <v>140</v>
      </c>
      <c r="V5" s="17" t="s">
        <v>139</v>
      </c>
      <c r="Z5" s="15"/>
    </row>
    <row r="6" spans="2:28" x14ac:dyDescent="0.15">
      <c r="B6" s="24" t="s">
        <v>151</v>
      </c>
      <c r="C6" s="30">
        <v>187.71100000000001</v>
      </c>
      <c r="D6" s="30">
        <v>187.52600000000001</v>
      </c>
      <c r="E6" s="30">
        <v>187.71100000000001</v>
      </c>
      <c r="F6" s="30">
        <v>234.84</v>
      </c>
      <c r="G6" s="30">
        <v>208.37799999999999</v>
      </c>
      <c r="H6" s="30">
        <v>194.261</v>
      </c>
      <c r="I6" s="30">
        <v>191.66900000000001</v>
      </c>
      <c r="J6" s="30">
        <v>191.559</v>
      </c>
      <c r="K6" s="30">
        <v>191.55799999999999</v>
      </c>
      <c r="L6" s="30">
        <v>193.85499999999999</v>
      </c>
      <c r="M6" s="31">
        <v>239.88200000000001</v>
      </c>
      <c r="N6" s="31">
        <v>201.89599999999999</v>
      </c>
      <c r="O6" s="31">
        <f>R15</f>
        <v>187.51664605099324</v>
      </c>
      <c r="R6" s="17" t="s">
        <v>141</v>
      </c>
      <c r="V6" s="14" t="s">
        <v>130</v>
      </c>
    </row>
    <row r="7" spans="2:28" x14ac:dyDescent="0.15">
      <c r="B7" s="24" t="s">
        <v>153</v>
      </c>
      <c r="C7" s="30">
        <v>329.05099999999999</v>
      </c>
      <c r="D7" s="30">
        <v>329.04</v>
      </c>
      <c r="E7" s="30">
        <v>277.185</v>
      </c>
      <c r="F7" s="30">
        <v>292.976</v>
      </c>
      <c r="G7" s="30">
        <v>291.97399999999999</v>
      </c>
      <c r="H7" s="30">
        <v>282.24099999999999</v>
      </c>
      <c r="I7" s="30">
        <v>276.904</v>
      </c>
      <c r="J7" s="30">
        <v>276.851</v>
      </c>
      <c r="K7" s="30">
        <v>276.86200000000002</v>
      </c>
      <c r="L7" s="30">
        <v>278.97500000000002</v>
      </c>
      <c r="M7" s="31">
        <v>357.541</v>
      </c>
      <c r="N7" s="31">
        <v>299.30399999999997</v>
      </c>
      <c r="O7" s="31">
        <f>S12</f>
        <v>329.02733787305698</v>
      </c>
      <c r="R7" s="14">
        <f>1.875/$S$2</f>
        <v>0.1875</v>
      </c>
      <c r="S7" s="14">
        <f>4.694/$S$2</f>
        <v>0.46939999999999998</v>
      </c>
      <c r="T7" s="14">
        <f>7.855/$S$2</f>
        <v>0.78550000000000009</v>
      </c>
      <c r="V7" s="14">
        <f>4.73/$S$2</f>
        <v>0.47300000000000003</v>
      </c>
      <c r="W7" s="14">
        <f>7.8532/$S$2</f>
        <v>0.78532000000000002</v>
      </c>
      <c r="X7" s="14">
        <f>10.9956/$S$2</f>
        <v>1.0995599999999999</v>
      </c>
    </row>
    <row r="8" spans="2:28" x14ac:dyDescent="0.15">
      <c r="B8" s="24" t="s">
        <v>154</v>
      </c>
      <c r="C8" s="30">
        <v>406.69900000000001</v>
      </c>
      <c r="D8" s="30">
        <v>406.298</v>
      </c>
      <c r="E8" s="30">
        <v>406.69900000000001</v>
      </c>
      <c r="F8" s="30">
        <v>409.47899999999998</v>
      </c>
      <c r="G8" s="30">
        <v>408.82600000000002</v>
      </c>
      <c r="H8" s="30">
        <v>408.73399999999998</v>
      </c>
      <c r="I8" s="30">
        <v>408.01600000000002</v>
      </c>
      <c r="J8" s="30">
        <v>407.95499999999998</v>
      </c>
      <c r="K8" s="30">
        <v>407.988</v>
      </c>
      <c r="L8" s="30">
        <v>408.53100000000001</v>
      </c>
      <c r="M8" s="31">
        <v>409.27800000000002</v>
      </c>
      <c r="N8" s="31">
        <v>408.15699999999998</v>
      </c>
      <c r="O8" s="31">
        <f>R14</f>
        <v>406.28081737155958</v>
      </c>
      <c r="R8" s="14" t="s">
        <v>129</v>
      </c>
      <c r="V8" s="14" t="s">
        <v>129</v>
      </c>
    </row>
    <row r="9" spans="2:28" x14ac:dyDescent="0.15">
      <c r="B9" s="24" t="s">
        <v>156</v>
      </c>
      <c r="C9" s="30">
        <v>460.77800000000002</v>
      </c>
      <c r="D9" s="30">
        <v>460.661</v>
      </c>
      <c r="E9" s="30">
        <v>425.05399999999997</v>
      </c>
      <c r="F9" s="30">
        <v>498.7</v>
      </c>
      <c r="G9" s="30">
        <v>431.46199999999999</v>
      </c>
      <c r="H9" s="30">
        <v>442.95499999999998</v>
      </c>
      <c r="I9" s="30">
        <v>415.66300000000001</v>
      </c>
      <c r="J9" s="30">
        <v>415.31700000000001</v>
      </c>
      <c r="K9" s="30">
        <v>415.44600000000003</v>
      </c>
      <c r="L9" s="30">
        <v>423.86399999999998</v>
      </c>
      <c r="M9" s="31">
        <v>467.96499999999997</v>
      </c>
      <c r="N9" s="31">
        <v>439.93599999999998</v>
      </c>
      <c r="O9" s="31">
        <f>T13</f>
        <v>460.6893750942636</v>
      </c>
      <c r="R9" s="15">
        <f>R7^2*SQRT($X$2*$S$4/($AA$2*$R$4))</f>
        <v>329.85891460694683</v>
      </c>
      <c r="S9" s="15">
        <f>S7^2*SQRT($X$2*$S$4/($AA$2*$R$4))</f>
        <v>2067.3397349844049</v>
      </c>
      <c r="T9" s="15">
        <f>T7^2*SQRT($X$2*$S$4/($AA$2*$R$4))</f>
        <v>5789.1934255320448</v>
      </c>
      <c r="V9" s="15">
        <f>V7^2*SQRT($X$2*$S$4/($AA$2*$R$4))</f>
        <v>2099.1717007956654</v>
      </c>
      <c r="W9" s="15">
        <f>W7^2*SQRT($X$2*$S$4/($AA$2*$R$4))</f>
        <v>5786.5405027532006</v>
      </c>
      <c r="X9" s="15">
        <f>X7^2*SQRT($X$2*$S$4/($AA$2*$R$4))</f>
        <v>11343.930228785832</v>
      </c>
    </row>
    <row r="10" spans="2:28" x14ac:dyDescent="0.15">
      <c r="B10" s="24" t="s">
        <v>155</v>
      </c>
      <c r="C10" s="30">
        <v>567.77300000000002</v>
      </c>
      <c r="D10" s="30">
        <v>562.76199999999994</v>
      </c>
      <c r="E10" s="30">
        <v>567.77300000000002</v>
      </c>
      <c r="F10" s="30">
        <v>707.69299999999998</v>
      </c>
      <c r="G10" s="30">
        <v>629.31600000000003</v>
      </c>
      <c r="H10" s="30">
        <v>586.78599999999994</v>
      </c>
      <c r="I10" s="30">
        <v>576.93200000000002</v>
      </c>
      <c r="J10" s="30">
        <v>576.51400000000001</v>
      </c>
      <c r="K10" s="30">
        <v>576.471</v>
      </c>
      <c r="L10" s="30">
        <v>584.91800000000001</v>
      </c>
      <c r="M10" s="31">
        <v>739.35799999999995</v>
      </c>
      <c r="N10" s="31">
        <v>612.54499999999996</v>
      </c>
      <c r="O10" s="31">
        <f>S15</f>
        <v>562.54993815297973</v>
      </c>
      <c r="R10" s="15">
        <f>R7^2*SQRT($X$2*$T$4/($AA$2*$R$4))</f>
        <v>164.92945730347341</v>
      </c>
      <c r="S10" s="15">
        <f>S7^2*SQRT($X$2*$T$4/($AA$2*$R$4))</f>
        <v>1033.6698674922025</v>
      </c>
      <c r="T10" s="15">
        <f>T7^2*SQRT($X$2*$T$4/($AA$2*$R$4))</f>
        <v>2894.5967127660224</v>
      </c>
      <c r="V10" s="15">
        <f>V7^2*SQRT($X$2*$T$4/($AA$2*$R$4))</f>
        <v>1049.5858503978327</v>
      </c>
      <c r="W10" s="15">
        <f>W7^2*SQRT($X$2*$T$4/($AA$2*$R$4))</f>
        <v>2893.2702513766003</v>
      </c>
      <c r="X10" s="15">
        <f>X7^2*SQRT($X$2*$T$4/($AA$2*$R$4))</f>
        <v>5671.9651143929159</v>
      </c>
    </row>
    <row r="11" spans="2:28" x14ac:dyDescent="0.15">
      <c r="B11" s="24" t="s">
        <v>156</v>
      </c>
      <c r="C11" s="30">
        <v>921.55600000000004</v>
      </c>
      <c r="D11" s="30">
        <v>921.322</v>
      </c>
      <c r="E11" s="30">
        <v>673.43499999999995</v>
      </c>
      <c r="F11" s="30">
        <v>700.40200000000004</v>
      </c>
      <c r="G11" s="30">
        <v>698.43399999999997</v>
      </c>
      <c r="H11" s="30">
        <v>677.82</v>
      </c>
      <c r="I11" s="30">
        <v>660.96400000000006</v>
      </c>
      <c r="J11" s="30">
        <v>660.88400000000001</v>
      </c>
      <c r="K11" s="30">
        <v>660.86500000000001</v>
      </c>
      <c r="L11" s="30">
        <v>670.70439999999996</v>
      </c>
      <c r="M11" s="31">
        <v>840.02200000000005</v>
      </c>
      <c r="N11" s="31">
        <v>734.98800000000006</v>
      </c>
      <c r="O11" s="31">
        <f>T12</f>
        <v>921.37875018852719</v>
      </c>
      <c r="V11" s="19" t="s">
        <v>142</v>
      </c>
    </row>
    <row r="12" spans="2:28" x14ac:dyDescent="0.15">
      <c r="Q12" s="22" t="s">
        <v>146</v>
      </c>
      <c r="R12" s="14">
        <f t="shared" ref="R12:T13" si="0">R9/(2*PI())</f>
        <v>52.498676782622987</v>
      </c>
      <c r="S12" s="14">
        <f t="shared" si="0"/>
        <v>329.02733787305698</v>
      </c>
      <c r="T12" s="14">
        <f t="shared" si="0"/>
        <v>921.37875018852719</v>
      </c>
      <c r="V12" s="14">
        <f t="shared" ref="V12:X13" si="1">V9/(2*PI())</f>
        <v>334.0935525802513</v>
      </c>
      <c r="W12" s="14">
        <f t="shared" si="1"/>
        <v>920.95652441463312</v>
      </c>
      <c r="X12" s="14">
        <f t="shared" si="1"/>
        <v>1805.4425700008403</v>
      </c>
    </row>
    <row r="13" spans="2:28" x14ac:dyDescent="0.15">
      <c r="B13" s="24" t="s">
        <v>169</v>
      </c>
      <c r="C13" s="24" t="s">
        <v>149</v>
      </c>
      <c r="D13" s="24" t="s">
        <v>172</v>
      </c>
      <c r="E13" s="54" t="s">
        <v>255</v>
      </c>
      <c r="F13" s="24" t="s">
        <v>160</v>
      </c>
      <c r="G13" s="24" t="s">
        <v>161</v>
      </c>
      <c r="H13" s="24" t="s">
        <v>162</v>
      </c>
      <c r="I13" s="24" t="s">
        <v>163</v>
      </c>
      <c r="J13" s="24" t="s">
        <v>164</v>
      </c>
      <c r="K13" s="24" t="s">
        <v>165</v>
      </c>
      <c r="L13" s="24" t="s">
        <v>158</v>
      </c>
      <c r="M13" s="24" t="s">
        <v>166</v>
      </c>
      <c r="N13" s="24" t="s">
        <v>167</v>
      </c>
      <c r="R13" s="14">
        <f t="shared" si="0"/>
        <v>26.249338391311493</v>
      </c>
      <c r="S13" s="14">
        <f t="shared" si="0"/>
        <v>164.51366893652849</v>
      </c>
      <c r="T13" s="14">
        <f t="shared" si="0"/>
        <v>460.6893750942636</v>
      </c>
      <c r="V13" s="14">
        <f t="shared" si="1"/>
        <v>167.04677629012565</v>
      </c>
      <c r="W13" s="14">
        <f t="shared" si="1"/>
        <v>460.47826220731656</v>
      </c>
      <c r="X13" s="14">
        <f t="shared" si="1"/>
        <v>902.72128500042015</v>
      </c>
    </row>
    <row r="14" spans="2:28" x14ac:dyDescent="0.15">
      <c r="B14" s="24" t="s">
        <v>150</v>
      </c>
      <c r="C14" s="25">
        <f t="shared" ref="C14:D22" si="2">100*(C3-$O3)/$O3</f>
        <v>1.0139717233355539E-2</v>
      </c>
      <c r="D14" s="25">
        <f t="shared" si="2"/>
        <v>1.0139717233355539E-2</v>
      </c>
      <c r="E14" s="25">
        <f t="shared" ref="E14:E22" si="3">100*(E3-$O3)/$O3</f>
        <v>-0.83940550434758832</v>
      </c>
      <c r="F14" s="26">
        <f t="shared" ref="F14:N14" si="4">100*(F3-$O3)/$O3</f>
        <v>21.48496668607552</v>
      </c>
      <c r="G14" s="27">
        <f t="shared" si="4"/>
        <v>2.4178194483506656</v>
      </c>
      <c r="H14" s="27">
        <f t="shared" si="4"/>
        <v>5.5378980872510937</v>
      </c>
      <c r="I14" s="27">
        <f t="shared" si="4"/>
        <v>0.19300146896379067</v>
      </c>
      <c r="J14" s="27">
        <f t="shared" si="4"/>
        <v>0.12823793189259941</v>
      </c>
      <c r="K14" s="27">
        <f t="shared" si="4"/>
        <v>0.16252451034205601</v>
      </c>
      <c r="L14" s="27">
        <f t="shared" si="4"/>
        <v>0.41014979914366889</v>
      </c>
      <c r="M14" s="27">
        <f t="shared" si="4"/>
        <v>1.0958813681327735</v>
      </c>
      <c r="N14" s="27">
        <f t="shared" si="4"/>
        <v>0.1739533698252082</v>
      </c>
      <c r="Q14" s="22" t="s">
        <v>147</v>
      </c>
      <c r="R14" s="14">
        <f>SQRT($X$2/$AA$2)/(4*$S$2)</f>
        <v>406.28081737155958</v>
      </c>
      <c r="S14" s="14">
        <f>3*R14</f>
        <v>1218.8424521146787</v>
      </c>
      <c r="T14" s="14">
        <f>5*R14</f>
        <v>2031.4040868577979</v>
      </c>
      <c r="V14" s="14">
        <f>SQRT($X$2/$AA$2)/(2*$S$2)</f>
        <v>812.56163474311916</v>
      </c>
      <c r="W14" s="14">
        <f t="shared" ref="W14:W15" si="5">2*V14</f>
        <v>1625.1232694862383</v>
      </c>
      <c r="X14" s="14">
        <f t="shared" ref="X14:X15" si="6">3*V14</f>
        <v>2437.6849042293575</v>
      </c>
    </row>
    <row r="15" spans="2:28" x14ac:dyDescent="0.15">
      <c r="B15" s="24" t="s">
        <v>150</v>
      </c>
      <c r="C15" s="25">
        <f t="shared" si="2"/>
        <v>1.2044527147223262E-2</v>
      </c>
      <c r="D15" s="25">
        <f t="shared" si="2"/>
        <v>1.2044527147223262E-2</v>
      </c>
      <c r="E15" s="25">
        <f t="shared" si="3"/>
        <v>-3.0546994341651654</v>
      </c>
      <c r="F15" s="25">
        <f t="shared" ref="F15:N15" si="7">100*(F4-$O4)/$O4</f>
        <v>3.7245190492576841</v>
      </c>
      <c r="G15" s="27">
        <f t="shared" si="7"/>
        <v>3.2654598600177556</v>
      </c>
      <c r="H15" s="27">
        <f t="shared" si="7"/>
        <v>-0.7689275375348209</v>
      </c>
      <c r="I15" s="27">
        <f t="shared" si="7"/>
        <v>-2.3232524272434518</v>
      </c>
      <c r="J15" s="27">
        <f t="shared" si="7"/>
        <v>-2.3480149561236239</v>
      </c>
      <c r="K15" s="27">
        <f t="shared" si="7"/>
        <v>-2.3442053362959019</v>
      </c>
      <c r="L15" s="27">
        <f t="shared" si="7"/>
        <v>-2.0889608078388453</v>
      </c>
      <c r="M15" s="27">
        <f t="shared" si="7"/>
        <v>31.149972188994202</v>
      </c>
      <c r="N15" s="27">
        <f t="shared" si="7"/>
        <v>3.305460868208788</v>
      </c>
      <c r="Q15" s="22" t="s">
        <v>148</v>
      </c>
      <c r="R15" s="14">
        <f>SQRT($Z$2*$V$4/($AA$2*$U$4))/(4*$S$2)</f>
        <v>187.51664605099324</v>
      </c>
      <c r="S15" s="14">
        <f>3*R15</f>
        <v>562.54993815297973</v>
      </c>
      <c r="T15" s="14">
        <f>5*R15</f>
        <v>937.58323025496622</v>
      </c>
      <c r="V15" s="14">
        <f>SQRT($Z$2*$V$4/($AA$2*$U$4))/(2*$S$2)</f>
        <v>375.03329210198649</v>
      </c>
      <c r="W15" s="14">
        <f t="shared" si="5"/>
        <v>750.06658420397298</v>
      </c>
      <c r="X15" s="14">
        <f t="shared" si="6"/>
        <v>1125.0998763059595</v>
      </c>
    </row>
    <row r="16" spans="2:28" x14ac:dyDescent="0.15">
      <c r="B16" s="24" t="s">
        <v>153</v>
      </c>
      <c r="C16" s="25">
        <f t="shared" si="2"/>
        <v>7.4954643898182734E-3</v>
      </c>
      <c r="D16" s="25">
        <f t="shared" si="2"/>
        <v>3.8483510290949737E-3</v>
      </c>
      <c r="E16" s="25">
        <f t="shared" si="3"/>
        <v>-4.0827421696612154</v>
      </c>
      <c r="F16" s="26">
        <f t="shared" ref="F16:N16" si="8">100*(F5-$O5)/$O5</f>
        <v>15.566688913461599</v>
      </c>
      <c r="G16" s="27">
        <f t="shared" si="8"/>
        <v>-1.465938333342343</v>
      </c>
      <c r="H16" s="27">
        <f t="shared" si="8"/>
        <v>1.3891435758771069</v>
      </c>
      <c r="I16" s="27">
        <f t="shared" si="8"/>
        <v>-4.1222525644023813</v>
      </c>
      <c r="J16" s="27">
        <f t="shared" si="8"/>
        <v>-4.1872927526686112</v>
      </c>
      <c r="K16" s="27">
        <f t="shared" si="8"/>
        <v>-4.1562922891024714</v>
      </c>
      <c r="L16" s="27">
        <f t="shared" si="8"/>
        <v>-3.2894950137039238</v>
      </c>
      <c r="M16" s="27">
        <f t="shared" si="8"/>
        <v>0.91745024789023832</v>
      </c>
      <c r="N16" s="27">
        <f t="shared" si="8"/>
        <v>-2.1376150439421857</v>
      </c>
    </row>
    <row r="17" spans="2:27" x14ac:dyDescent="0.15">
      <c r="B17" s="24" t="s">
        <v>151</v>
      </c>
      <c r="C17" s="25">
        <f t="shared" si="2"/>
        <v>0.10364623786728526</v>
      </c>
      <c r="D17" s="25">
        <f t="shared" si="2"/>
        <v>4.988329944970245E-3</v>
      </c>
      <c r="E17" s="25">
        <f t="shared" si="3"/>
        <v>0.10364623786728526</v>
      </c>
      <c r="F17" s="26">
        <f t="shared" ref="F17:N17" si="9">100*(F6-$O6)/$O6</f>
        <v>25.236881602573916</v>
      </c>
      <c r="G17" s="28">
        <f t="shared" si="9"/>
        <v>11.125067767761648</v>
      </c>
      <c r="H17" s="27">
        <f t="shared" si="9"/>
        <v>3.596669464305954</v>
      </c>
      <c r="I17" s="27">
        <f t="shared" si="9"/>
        <v>2.2143921814160308</v>
      </c>
      <c r="J17" s="27">
        <f t="shared" si="9"/>
        <v>2.1557307226514042</v>
      </c>
      <c r="K17" s="27">
        <f t="shared" si="9"/>
        <v>2.1551974366626325</v>
      </c>
      <c r="L17" s="27">
        <f t="shared" si="9"/>
        <v>3.3801553528656298</v>
      </c>
      <c r="M17" s="27">
        <f t="shared" si="9"/>
        <v>27.925709557948544</v>
      </c>
      <c r="N17" s="27">
        <f t="shared" si="9"/>
        <v>7.6683079885592775</v>
      </c>
    </row>
    <row r="18" spans="2:27" x14ac:dyDescent="0.15">
      <c r="B18" s="24" t="s">
        <v>153</v>
      </c>
      <c r="C18" s="25">
        <f t="shared" si="2"/>
        <v>7.1915382764145873E-3</v>
      </c>
      <c r="D18" s="25">
        <f t="shared" si="2"/>
        <v>3.8483510290949737E-3</v>
      </c>
      <c r="E18" s="25">
        <f t="shared" si="3"/>
        <v>-15.756240258995872</v>
      </c>
      <c r="F18" s="26">
        <f t="shared" ref="F18:N18" si="10">100*(F7-$O7)/$O7</f>
        <v>-10.956943002397587</v>
      </c>
      <c r="G18" s="28">
        <f t="shared" si="10"/>
        <v>-11.261476968017973</v>
      </c>
      <c r="H18" s="27">
        <f t="shared" si="10"/>
        <v>-14.219589829677851</v>
      </c>
      <c r="I18" s="27">
        <f t="shared" si="10"/>
        <v>-15.841643496859474</v>
      </c>
      <c r="J18" s="27">
        <f t="shared" si="10"/>
        <v>-15.857751580869335</v>
      </c>
      <c r="K18" s="27">
        <f t="shared" si="10"/>
        <v>-15.854408393621998</v>
      </c>
      <c r="L18" s="27">
        <f t="shared" si="10"/>
        <v>-15.212212516021328</v>
      </c>
      <c r="M18" s="27">
        <f t="shared" si="10"/>
        <v>8.6660465088599903</v>
      </c>
      <c r="N18" s="27">
        <f t="shared" si="10"/>
        <v>-9.0336985568429142</v>
      </c>
      <c r="Q18" s="38" t="s">
        <v>180</v>
      </c>
    </row>
    <row r="19" spans="2:27" x14ac:dyDescent="0.15">
      <c r="B19" s="24" t="s">
        <v>154</v>
      </c>
      <c r="C19" s="25">
        <f t="shared" si="2"/>
        <v>0.10292945434782601</v>
      </c>
      <c r="D19" s="25">
        <f t="shared" si="2"/>
        <v>4.2292492546378594E-3</v>
      </c>
      <c r="E19" s="25">
        <f t="shared" si="3"/>
        <v>0.10292945434782601</v>
      </c>
      <c r="F19" s="25">
        <f t="shared" ref="F19:N19" si="11">100*(F8-$O8)/$O8</f>
        <v>0.78718524028062697</v>
      </c>
      <c r="G19" s="27">
        <f t="shared" si="11"/>
        <v>0.62645897113886506</v>
      </c>
      <c r="H19" s="27">
        <f t="shared" si="11"/>
        <v>0.60381453505762517</v>
      </c>
      <c r="I19" s="27">
        <f t="shared" si="11"/>
        <v>0.42708947955412552</v>
      </c>
      <c r="J19" s="27">
        <f t="shared" si="11"/>
        <v>0.41207523389156236</v>
      </c>
      <c r="K19" s="27">
        <f t="shared" si="11"/>
        <v>0.42019769465983331</v>
      </c>
      <c r="L19" s="27">
        <f t="shared" si="11"/>
        <v>0.55384909457404874</v>
      </c>
      <c r="M19" s="27">
        <f t="shared" si="11"/>
        <v>0.73771207014664486</v>
      </c>
      <c r="N19" s="27">
        <f t="shared" si="11"/>
        <v>0.46179453920034869</v>
      </c>
      <c r="Q19" s="38" t="s">
        <v>181</v>
      </c>
      <c r="R19" s="38" t="s">
        <v>182</v>
      </c>
      <c r="S19" s="38" t="s">
        <v>183</v>
      </c>
      <c r="T19" s="38" t="s">
        <v>184</v>
      </c>
    </row>
    <row r="20" spans="2:27" x14ac:dyDescent="0.15">
      <c r="B20" s="24" t="s">
        <v>156</v>
      </c>
      <c r="C20" s="25">
        <f t="shared" si="2"/>
        <v>1.923745380893362E-2</v>
      </c>
      <c r="D20" s="25">
        <f t="shared" si="2"/>
        <v>-6.1592682179372592E-3</v>
      </c>
      <c r="E20" s="25">
        <f t="shared" si="3"/>
        <v>-7.7352283383944158</v>
      </c>
      <c r="F20" s="25">
        <f t="shared" ref="F20:N20" si="12">100*(F9-$O9)/$O9</f>
        <v>8.2508143145169957</v>
      </c>
      <c r="G20" s="27">
        <f t="shared" si="12"/>
        <v>-6.3442694089229361</v>
      </c>
      <c r="H20" s="27">
        <f t="shared" si="12"/>
        <v>-3.849529868283788</v>
      </c>
      <c r="I20" s="27">
        <f t="shared" si="12"/>
        <v>-9.7736951465508728</v>
      </c>
      <c r="J20" s="27">
        <f t="shared" si="12"/>
        <v>-9.8487999826303252</v>
      </c>
      <c r="K20" s="27">
        <f t="shared" si="12"/>
        <v>-9.8207984686006995</v>
      </c>
      <c r="L20" s="27">
        <f t="shared" si="12"/>
        <v>-7.9935368786676753</v>
      </c>
      <c r="M20" s="27">
        <f t="shared" si="12"/>
        <v>1.579290797459282</v>
      </c>
      <c r="N20" s="27">
        <f t="shared" si="12"/>
        <v>-4.504852122977046</v>
      </c>
      <c r="R20" s="14">
        <f>梁要素!I60</f>
        <v>2.6824703680598879E-3</v>
      </c>
      <c r="S20" s="37">
        <v>1.7443000000000001E-3</v>
      </c>
      <c r="T20" s="37">
        <v>2.3050000000000002E-3</v>
      </c>
    </row>
    <row r="21" spans="2:27" x14ac:dyDescent="0.15">
      <c r="B21" s="24" t="s">
        <v>155</v>
      </c>
      <c r="C21" s="25">
        <f t="shared" si="2"/>
        <v>0.92846190049707755</v>
      </c>
      <c r="D21" s="25">
        <f t="shared" si="2"/>
        <v>3.7696537256136156E-2</v>
      </c>
      <c r="E21" s="25">
        <f t="shared" si="3"/>
        <v>0.92846190049707755</v>
      </c>
      <c r="F21" s="26">
        <f t="shared" ref="F21:N21" si="13">100*(F10-$O10)/$O10</f>
        <v>25.800920416695536</v>
      </c>
      <c r="G21" s="28">
        <f t="shared" si="13"/>
        <v>11.868468436106014</v>
      </c>
      <c r="H21" s="27">
        <f t="shared" si="13"/>
        <v>4.3082507353204011</v>
      </c>
      <c r="I21" s="27">
        <f t="shared" si="13"/>
        <v>2.5565840242096383</v>
      </c>
      <c r="J21" s="27">
        <f t="shared" si="13"/>
        <v>2.4822795097744534</v>
      </c>
      <c r="K21" s="27">
        <f t="shared" si="13"/>
        <v>2.4746357439354258</v>
      </c>
      <c r="L21" s="27">
        <f t="shared" si="13"/>
        <v>3.9761913263134168</v>
      </c>
      <c r="M21" s="27">
        <f t="shared" si="13"/>
        <v>31.429754028155109</v>
      </c>
      <c r="N21" s="27">
        <f t="shared" si="13"/>
        <v>8.8872219968895596</v>
      </c>
    </row>
    <row r="22" spans="2:27" x14ac:dyDescent="0.15">
      <c r="B22" s="24" t="s">
        <v>156</v>
      </c>
      <c r="C22" s="25">
        <f t="shared" si="2"/>
        <v>1.923745380893362E-2</v>
      </c>
      <c r="D22" s="25">
        <f t="shared" si="2"/>
        <v>-6.1592682179372592E-3</v>
      </c>
      <c r="E22" s="25">
        <f t="shared" si="3"/>
        <v>-26.91007906767922</v>
      </c>
      <c r="F22" s="26">
        <f t="shared" ref="F22:N22" si="14">100*(F11-$O11)/$O11</f>
        <v>-23.983269653582976</v>
      </c>
      <c r="G22" s="28">
        <f t="shared" si="14"/>
        <v>-24.196862597808941</v>
      </c>
      <c r="H22" s="27">
        <f t="shared" si="14"/>
        <v>-26.434161862175742</v>
      </c>
      <c r="I22" s="27">
        <f t="shared" si="14"/>
        <v>-28.263594112111072</v>
      </c>
      <c r="J22" s="27">
        <f t="shared" si="14"/>
        <v>-28.272276752120259</v>
      </c>
      <c r="K22" s="27">
        <f t="shared" si="14"/>
        <v>-28.274338879122443</v>
      </c>
      <c r="L22" s="27">
        <f t="shared" si="14"/>
        <v>-27.206439277792732</v>
      </c>
      <c r="M22" s="27">
        <f t="shared" si="14"/>
        <v>-8.8298921775524342</v>
      </c>
      <c r="N22" s="27">
        <f t="shared" si="14"/>
        <v>-20.229547311611967</v>
      </c>
    </row>
    <row r="23" spans="2:27" x14ac:dyDescent="0.15">
      <c r="B23" s="55" t="s">
        <v>257</v>
      </c>
      <c r="C23" s="23"/>
      <c r="D23" s="23"/>
      <c r="E23" s="23"/>
    </row>
    <row r="24" spans="2:27" x14ac:dyDescent="0.15">
      <c r="B24" s="55" t="s">
        <v>256</v>
      </c>
      <c r="L24" s="39" t="s">
        <v>185</v>
      </c>
    </row>
    <row r="25" spans="2:27" x14ac:dyDescent="0.15">
      <c r="B25" s="57" t="s">
        <v>260</v>
      </c>
      <c r="K25" s="29"/>
      <c r="L25" s="40" t="s">
        <v>186</v>
      </c>
      <c r="M25" s="40" t="s">
        <v>187</v>
      </c>
      <c r="N25" s="40" t="s">
        <v>188</v>
      </c>
      <c r="O25" s="52"/>
    </row>
    <row r="26" spans="2:27" x14ac:dyDescent="0.15">
      <c r="K26" s="40" t="s">
        <v>189</v>
      </c>
      <c r="L26" s="41">
        <v>1.7443000000000001E-3</v>
      </c>
      <c r="M26" s="41">
        <v>2.3050000000000002E-3</v>
      </c>
      <c r="N26" s="29">
        <f>梁要素!I60</f>
        <v>2.6824703680598879E-3</v>
      </c>
      <c r="O26" s="53"/>
    </row>
    <row r="27" spans="2:27" x14ac:dyDescent="0.15">
      <c r="B27" t="s">
        <v>170</v>
      </c>
      <c r="F27" s="36" t="s">
        <v>177</v>
      </c>
      <c r="K27" s="40" t="s">
        <v>190</v>
      </c>
      <c r="L27" s="42">
        <f>100*(L26/N26-1)</f>
        <v>-34.97411860465116</v>
      </c>
      <c r="M27" s="42">
        <f>100*(M26/N26-1)</f>
        <v>-14.071744186046509</v>
      </c>
      <c r="N27" s="29"/>
      <c r="O27" s="53"/>
      <c r="R27" t="s">
        <v>60</v>
      </c>
      <c r="S27" t="s">
        <v>61</v>
      </c>
      <c r="T27" t="s">
        <v>90</v>
      </c>
      <c r="U27" t="s">
        <v>91</v>
      </c>
      <c r="V27" t="s">
        <v>92</v>
      </c>
      <c r="W27" t="s">
        <v>93</v>
      </c>
      <c r="X27" t="s">
        <v>64</v>
      </c>
      <c r="Y27" t="s">
        <v>65</v>
      </c>
      <c r="Z27" t="s">
        <v>66</v>
      </c>
      <c r="AA27" s="16" t="s">
        <v>132</v>
      </c>
    </row>
    <row r="28" spans="2:27" x14ac:dyDescent="0.15">
      <c r="B28" s="24" t="s">
        <v>171</v>
      </c>
      <c r="C28" s="24" t="s">
        <v>149</v>
      </c>
      <c r="D28" s="24" t="s">
        <v>158</v>
      </c>
      <c r="E28" s="24" t="s">
        <v>152</v>
      </c>
      <c r="F28" s="24" t="s">
        <v>149</v>
      </c>
      <c r="G28" s="24" t="s">
        <v>158</v>
      </c>
      <c r="R28">
        <v>1</v>
      </c>
      <c r="S28">
        <v>10</v>
      </c>
      <c r="T28">
        <v>2</v>
      </c>
      <c r="U28">
        <v>1</v>
      </c>
      <c r="V28">
        <v>1</v>
      </c>
      <c r="W28">
        <v>0.5</v>
      </c>
      <c r="X28" s="16">
        <v>206000</v>
      </c>
      <c r="Y28" s="16">
        <v>0.28999999999999998</v>
      </c>
      <c r="Z28" s="16">
        <f>X28/(2*(1+Y28))</f>
        <v>79844.961240310076</v>
      </c>
      <c r="AA28" s="15">
        <v>7.7999999999999999E-4</v>
      </c>
    </row>
    <row r="29" spans="2:27" x14ac:dyDescent="0.15">
      <c r="B29" s="24" t="s">
        <v>150</v>
      </c>
      <c r="C29" s="31">
        <v>29.350999999999999</v>
      </c>
      <c r="D29" s="31">
        <v>29.254000000000001</v>
      </c>
      <c r="E29" s="31">
        <f>R39</f>
        <v>29.34765250368374</v>
      </c>
      <c r="F29" s="27">
        <f>100*(C29/$E29-1)</f>
        <v>1.1406351209308774E-2</v>
      </c>
      <c r="G29" s="27">
        <f t="shared" ref="G29:G37" si="15">100*(D29/$E29-1)</f>
        <v>-0.31911412223510904</v>
      </c>
      <c r="R29" t="s">
        <v>68</v>
      </c>
      <c r="S29" t="s">
        <v>94</v>
      </c>
      <c r="T29" t="s">
        <v>95</v>
      </c>
      <c r="U29" s="8" t="s">
        <v>144</v>
      </c>
      <c r="V29" s="8" t="s">
        <v>145</v>
      </c>
      <c r="W29" s="8"/>
      <c r="X29" s="8" t="s">
        <v>143</v>
      </c>
      <c r="Y29" s="8"/>
      <c r="Z29" s="8"/>
    </row>
    <row r="30" spans="2:27" x14ac:dyDescent="0.15">
      <c r="B30" s="24" t="s">
        <v>150</v>
      </c>
      <c r="C30" s="31">
        <v>58.701999999999998</v>
      </c>
      <c r="D30" s="31">
        <v>56.567999999999998</v>
      </c>
      <c r="E30" s="31">
        <f>R38</f>
        <v>58.69530500736748</v>
      </c>
      <c r="F30" s="27">
        <f t="shared" ref="F30:F37" si="16">100*(C30/$E30-1)</f>
        <v>1.1406351209308774E-2</v>
      </c>
      <c r="G30" s="27">
        <f t="shared" si="15"/>
        <v>-3.6243188566793538</v>
      </c>
      <c r="R30">
        <f>T28*U28-V28*W28</f>
        <v>1.5</v>
      </c>
      <c r="S30">
        <f>($T28^3*$U28-$V28^3*$W28)/12</f>
        <v>0.625</v>
      </c>
      <c r="T30">
        <f>($T28*$U28^3-$V28*$W28^3)/12</f>
        <v>0.15625</v>
      </c>
      <c r="U30" s="8">
        <f>S30+T30</f>
        <v>0.78125</v>
      </c>
      <c r="V30" s="8">
        <f>0.229*12*T30</f>
        <v>0.42937500000000006</v>
      </c>
      <c r="W30" s="8"/>
      <c r="X30" s="20">
        <f>R30*S28*AA28</f>
        <v>1.17E-2</v>
      </c>
      <c r="Y30" s="8"/>
      <c r="Z30" s="8"/>
    </row>
    <row r="31" spans="2:27" x14ac:dyDescent="0.15">
      <c r="B31" s="24" t="s">
        <v>153</v>
      </c>
      <c r="C31" s="31">
        <v>183.94499999999999</v>
      </c>
      <c r="D31" s="31">
        <v>171.321</v>
      </c>
      <c r="E31" s="31">
        <f>S39</f>
        <v>183.93187348498662</v>
      </c>
      <c r="F31" s="27">
        <f t="shared" si="16"/>
        <v>7.1366179035026178E-3</v>
      </c>
      <c r="G31" s="27">
        <f t="shared" si="15"/>
        <v>-6.856274144359209</v>
      </c>
      <c r="R31" s="21" t="s">
        <v>140</v>
      </c>
      <c r="V31" s="17" t="s">
        <v>139</v>
      </c>
      <c r="Z31" s="15"/>
    </row>
    <row r="32" spans="2:27" x14ac:dyDescent="0.15">
      <c r="B32" s="24" t="s">
        <v>151</v>
      </c>
      <c r="C32" s="31">
        <v>187.71100000000001</v>
      </c>
      <c r="D32" s="31">
        <v>194.03200000000001</v>
      </c>
      <c r="E32" s="31">
        <f>R41</f>
        <v>187.51664605099324</v>
      </c>
      <c r="F32" s="27">
        <f t="shared" si="16"/>
        <v>0.10364623786729421</v>
      </c>
      <c r="G32" s="27">
        <f t="shared" si="15"/>
        <v>3.47454697287779</v>
      </c>
      <c r="R32" s="17" t="s">
        <v>141</v>
      </c>
      <c r="V32" s="14" t="s">
        <v>130</v>
      </c>
    </row>
    <row r="33" spans="2:26" x14ac:dyDescent="0.15">
      <c r="B33" s="24" t="s">
        <v>153</v>
      </c>
      <c r="C33" s="31">
        <v>367.89</v>
      </c>
      <c r="D33" s="31">
        <v>289.99099999999999</v>
      </c>
      <c r="E33" s="31">
        <f>S38</f>
        <v>367.86374696997325</v>
      </c>
      <c r="F33" s="27">
        <f t="shared" si="16"/>
        <v>7.1366179035026178E-3</v>
      </c>
      <c r="G33" s="27">
        <f t="shared" si="15"/>
        <v>-21.168910394513428</v>
      </c>
      <c r="R33" s="14">
        <f>1.875/$S$28</f>
        <v>0.1875</v>
      </c>
      <c r="S33" s="14">
        <f>4.694/$S$28</f>
        <v>0.46939999999999998</v>
      </c>
      <c r="T33" s="14">
        <f>7.855/$S$28</f>
        <v>0.78550000000000009</v>
      </c>
      <c r="V33" s="14">
        <f>4.73/$S$28</f>
        <v>0.47300000000000003</v>
      </c>
      <c r="W33" s="14">
        <f>7.8532/$S$28</f>
        <v>0.78532000000000002</v>
      </c>
      <c r="X33" s="14">
        <f>10.9956/$S$28</f>
        <v>1.0995599999999999</v>
      </c>
    </row>
    <row r="34" spans="2:26" x14ac:dyDescent="0.15">
      <c r="B34" s="24" t="s">
        <v>154</v>
      </c>
      <c r="C34" s="31">
        <v>406.69900000000001</v>
      </c>
      <c r="D34" s="31">
        <v>408.37200000000001</v>
      </c>
      <c r="E34" s="31">
        <f>R40</f>
        <v>406.28081737155958</v>
      </c>
      <c r="F34" s="27">
        <f t="shared" si="16"/>
        <v>0.10292945434782208</v>
      </c>
      <c r="G34" s="27">
        <f t="shared" si="15"/>
        <v>0.51471360178148018</v>
      </c>
      <c r="R34" s="14" t="s">
        <v>129</v>
      </c>
      <c r="V34" s="14" t="s">
        <v>129</v>
      </c>
    </row>
    <row r="35" spans="2:26" x14ac:dyDescent="0.15">
      <c r="B35" s="24" t="s">
        <v>156</v>
      </c>
      <c r="C35" s="31">
        <v>515.16600000000005</v>
      </c>
      <c r="D35" s="31">
        <v>440.58499999999998</v>
      </c>
      <c r="E35" s="31">
        <f>T39</f>
        <v>515.06637961133606</v>
      </c>
      <c r="F35" s="27">
        <f t="shared" si="16"/>
        <v>1.9341271845219055E-2</v>
      </c>
      <c r="G35" s="27">
        <f t="shared" si="15"/>
        <v>-14.460539953615104</v>
      </c>
      <c r="R35" s="15">
        <f>R33^2*SQRT($X$28*$S$30/($AA$28*$R$30))</f>
        <v>368.79347802271576</v>
      </c>
      <c r="S35" s="15">
        <f>S33^2*SQRT($X$28*$S$30/($AA$28*$R$30))</f>
        <v>2311.3560900057651</v>
      </c>
      <c r="T35" s="15">
        <f>T33^2*SQRT($X$28*$S$30/($AA$28*$R$30))</f>
        <v>6472.5150171922605</v>
      </c>
      <c r="V35" s="15">
        <f>V33^2*SQRT($X$28*$S$30/($AA$28*$R$30))</f>
        <v>2346.9453097114792</v>
      </c>
      <c r="W35" s="15">
        <f>W33^2*SQRT($X$28*$S$30/($AA$28*$R$30))</f>
        <v>6469.5489593559842</v>
      </c>
      <c r="X35" s="15">
        <f>X33^2*SQRT($X$28*$S$30/($AA$28*$R$30))</f>
        <v>12682.899561789933</v>
      </c>
    </row>
    <row r="36" spans="2:26" x14ac:dyDescent="0.15">
      <c r="B36" s="24" t="s">
        <v>155</v>
      </c>
      <c r="C36" s="31">
        <v>567.77300000000002</v>
      </c>
      <c r="D36" s="31">
        <v>567.995</v>
      </c>
      <c r="E36" s="31">
        <f>S41</f>
        <v>562.54993815297973</v>
      </c>
      <c r="F36" s="27">
        <f t="shared" si="16"/>
        <v>0.92846190049706845</v>
      </c>
      <c r="G36" s="27">
        <f t="shared" si="15"/>
        <v>0.96792506366600861</v>
      </c>
      <c r="R36" s="15">
        <f>R33^2*SQRT($X$28*$T$30/($AA$28*$R$30))</f>
        <v>184.39673901135788</v>
      </c>
      <c r="S36" s="15">
        <f>S33^2*SQRT($X$28*$T$30/($AA$28*$R$30))</f>
        <v>1155.6780450028825</v>
      </c>
      <c r="T36" s="15">
        <f>T33^2*SQRT($X$28*$T$30/($AA$28*$R$30))</f>
        <v>3236.2575085961303</v>
      </c>
      <c r="V36" s="15">
        <f>V33^2*SQRT($X$28*$T$30/($AA$28*$R$30))</f>
        <v>1173.4726548557396</v>
      </c>
      <c r="W36" s="15">
        <f>W33^2*SQRT($X$28*$T$30/($AA$28*$R$30))</f>
        <v>3234.7744796779921</v>
      </c>
      <c r="X36" s="15">
        <f>X33^2*SQRT($X$28*$T$30/($AA$28*$R$30))</f>
        <v>6341.4497808949664</v>
      </c>
    </row>
    <row r="37" spans="2:26" x14ac:dyDescent="0.15">
      <c r="B37" s="24" t="s">
        <v>156</v>
      </c>
      <c r="C37" s="31">
        <v>1030.3309999999999</v>
      </c>
      <c r="D37" s="31">
        <v>672.84299999999996</v>
      </c>
      <c r="E37" s="31">
        <f>T38</f>
        <v>1030.1327592226721</v>
      </c>
      <c r="F37" s="27">
        <f t="shared" si="16"/>
        <v>1.9244196978784878E-2</v>
      </c>
      <c r="G37" s="27">
        <f t="shared" si="15"/>
        <v>-34.683855651021076</v>
      </c>
      <c r="U37" s="19" t="s">
        <v>142</v>
      </c>
      <c r="Z37" s="14">
        <f>206000/2.58</f>
        <v>79844.961240310076</v>
      </c>
    </row>
    <row r="38" spans="2:26" x14ac:dyDescent="0.15">
      <c r="B38" s="57" t="s">
        <v>259</v>
      </c>
      <c r="Q38" s="22" t="s">
        <v>146</v>
      </c>
      <c r="R38" s="14">
        <f t="shared" ref="R38:T39" si="17">R35/(2*PI())</f>
        <v>58.69530500736748</v>
      </c>
      <c r="S38" s="14">
        <f t="shared" si="17"/>
        <v>367.86374696997325</v>
      </c>
      <c r="T38" s="14">
        <f t="shared" si="17"/>
        <v>1030.1327592226721</v>
      </c>
      <c r="V38" s="14">
        <f t="shared" ref="V38:X39" si="18">V35/(2*PI())</f>
        <v>373.52794720692117</v>
      </c>
      <c r="W38" s="14">
        <f t="shared" si="18"/>
        <v>1029.6606964565324</v>
      </c>
      <c r="X38" s="14">
        <f t="shared" si="18"/>
        <v>2018.546157996901</v>
      </c>
    </row>
    <row r="39" spans="2:26" x14ac:dyDescent="0.15">
      <c r="R39" s="14">
        <f t="shared" si="17"/>
        <v>29.34765250368374</v>
      </c>
      <c r="S39" s="14">
        <f t="shared" si="17"/>
        <v>183.93187348498662</v>
      </c>
      <c r="T39" s="14">
        <f t="shared" si="17"/>
        <v>515.06637961133606</v>
      </c>
      <c r="V39" s="14">
        <f t="shared" si="18"/>
        <v>186.76397360346058</v>
      </c>
      <c r="W39" s="14">
        <f t="shared" si="18"/>
        <v>514.83034822826619</v>
      </c>
      <c r="X39" s="14">
        <f t="shared" si="18"/>
        <v>1009.2730789984505</v>
      </c>
    </row>
    <row r="40" spans="2:26" x14ac:dyDescent="0.15">
      <c r="B40" s="33" t="s">
        <v>159</v>
      </c>
      <c r="C40" s="24" t="s">
        <v>149</v>
      </c>
      <c r="D40" s="24" t="s">
        <v>158</v>
      </c>
      <c r="E40" s="24" t="s">
        <v>152</v>
      </c>
      <c r="F40" s="24" t="s">
        <v>149</v>
      </c>
      <c r="G40" s="24" t="s">
        <v>158</v>
      </c>
      <c r="Q40" s="22" t="s">
        <v>147</v>
      </c>
      <c r="R40" s="14">
        <f>SQRT($X$28/$AA$28)/(4*$S$28)</f>
        <v>406.28081737155958</v>
      </c>
      <c r="S40" s="14">
        <f t="shared" ref="S40:S41" si="19">3*R40</f>
        <v>1218.8424521146787</v>
      </c>
      <c r="T40" s="14">
        <f t="shared" ref="T40:T41" si="20">5*R40</f>
        <v>2031.4040868577979</v>
      </c>
      <c r="V40" s="14">
        <f>SQRT($X$28/$AA$28)/(2*$S$28)</f>
        <v>812.56163474311916</v>
      </c>
      <c r="W40" s="14">
        <f t="shared" ref="W40:W41" si="21">2*V40</f>
        <v>1625.1232694862383</v>
      </c>
      <c r="X40" s="14">
        <f t="shared" ref="X40:X41" si="22">3*V40</f>
        <v>2437.6849042293575</v>
      </c>
    </row>
    <row r="41" spans="2:26" x14ac:dyDescent="0.15">
      <c r="B41" s="24" t="s">
        <v>150</v>
      </c>
      <c r="C41" s="29">
        <v>186.773</v>
      </c>
      <c r="D41" s="29">
        <v>178.44499999999999</v>
      </c>
      <c r="E41" s="31">
        <f>V39</f>
        <v>186.76397360346058</v>
      </c>
      <c r="F41" s="27">
        <f>100*(C41/$E41-1)</f>
        <v>4.8330501676741022E-3</v>
      </c>
      <c r="G41" s="27">
        <f t="shared" ref="G41" si="23">100*(D41/$E41-1)</f>
        <v>-4.4542710475434237</v>
      </c>
      <c r="Q41" s="22" t="s">
        <v>148</v>
      </c>
      <c r="R41" s="14">
        <f>SQRT($Z$28*$V$30/($AA$28*$U$30))/(4*$S$28)</f>
        <v>187.51664605099324</v>
      </c>
      <c r="S41" s="14">
        <f t="shared" si="19"/>
        <v>562.54993815297973</v>
      </c>
      <c r="T41" s="14">
        <f t="shared" si="20"/>
        <v>937.58323025496622</v>
      </c>
      <c r="V41" s="14">
        <f>SQRT($Z$28*$V$30/($AA$28*$U$30))/(2*$S$28)</f>
        <v>375.03329210198649</v>
      </c>
      <c r="W41" s="14">
        <f t="shared" si="21"/>
        <v>750.06658420397298</v>
      </c>
      <c r="X41" s="14">
        <f t="shared" si="22"/>
        <v>1125.0998763059595</v>
      </c>
    </row>
    <row r="42" spans="2:26" x14ac:dyDescent="0.15">
      <c r="B42" s="24" t="s">
        <v>150</v>
      </c>
      <c r="C42" s="29">
        <v>373.54700000000003</v>
      </c>
      <c r="D42" s="29">
        <v>319.77600000000001</v>
      </c>
      <c r="E42" s="31">
        <f>V38</f>
        <v>373.52794720692117</v>
      </c>
      <c r="F42" s="27">
        <f t="shared" ref="F42:F44" si="24">100*(C42/$E42-1)</f>
        <v>5.1007677527969975E-3</v>
      </c>
      <c r="G42" s="27">
        <f t="shared" ref="G42:G44" si="25">100*(D42/$E42-1)</f>
        <v>-14.390341501581005</v>
      </c>
      <c r="Q42" s="22"/>
    </row>
    <row r="43" spans="2:26" x14ac:dyDescent="0.15">
      <c r="B43" s="24" t="s">
        <v>151</v>
      </c>
      <c r="C43" s="29">
        <v>376.58</v>
      </c>
      <c r="D43" s="29">
        <v>376.15800000000002</v>
      </c>
      <c r="E43" s="32">
        <f>V41</f>
        <v>375.03329210198649</v>
      </c>
      <c r="F43" s="27">
        <f t="shared" si="24"/>
        <v>0.41241882536466878</v>
      </c>
      <c r="G43" s="27">
        <f t="shared" si="25"/>
        <v>0.29989548173436908</v>
      </c>
      <c r="Q43" s="22"/>
    </row>
    <row r="44" spans="2:26" x14ac:dyDescent="0.15">
      <c r="B44" s="24" t="s">
        <v>153</v>
      </c>
      <c r="C44" s="29">
        <v>514.95899999999995</v>
      </c>
      <c r="D44" s="29">
        <v>455.76100000000002</v>
      </c>
      <c r="E44" s="31">
        <f>W39</f>
        <v>514.83034822826619</v>
      </c>
      <c r="F44" s="27">
        <f t="shared" si="24"/>
        <v>2.4989158501731445E-2</v>
      </c>
      <c r="G44" s="27">
        <f t="shared" si="25"/>
        <v>-11.473555984325134</v>
      </c>
      <c r="Q44" s="22"/>
    </row>
    <row r="45" spans="2:26" x14ac:dyDescent="0.15">
      <c r="B45" s="23" t="s">
        <v>173</v>
      </c>
      <c r="Q45" s="22"/>
    </row>
    <row r="46" spans="2:26" x14ac:dyDescent="0.15">
      <c r="B46" s="23" t="s">
        <v>174</v>
      </c>
    </row>
    <row r="48" spans="2:26" x14ac:dyDescent="0.15">
      <c r="B48" s="50" t="s">
        <v>254</v>
      </c>
      <c r="R48" s="16" t="s">
        <v>138</v>
      </c>
      <c r="S48" s="16" t="s">
        <v>137</v>
      </c>
      <c r="T48" s="16" t="s">
        <v>136</v>
      </c>
      <c r="U48" s="16" t="s">
        <v>135</v>
      </c>
      <c r="V48" s="16" t="s">
        <v>64</v>
      </c>
      <c r="W48" s="16" t="s">
        <v>134</v>
      </c>
      <c r="X48" s="16" t="s">
        <v>133</v>
      </c>
      <c r="Y48" s="16" t="s">
        <v>132</v>
      </c>
    </row>
    <row r="49" spans="2:29" x14ac:dyDescent="0.15">
      <c r="B49" s="24" t="s">
        <v>171</v>
      </c>
      <c r="C49" s="24" t="s">
        <v>149</v>
      </c>
      <c r="D49" s="24" t="s">
        <v>152</v>
      </c>
      <c r="E49" s="56" t="s">
        <v>177</v>
      </c>
      <c r="R49" s="16">
        <v>1</v>
      </c>
      <c r="S49" s="16">
        <v>10</v>
      </c>
      <c r="T49" s="16">
        <v>2</v>
      </c>
      <c r="U49" s="16">
        <v>1</v>
      </c>
      <c r="V49" s="16">
        <v>206000</v>
      </c>
      <c r="W49" s="16">
        <v>0.28999999999999998</v>
      </c>
      <c r="X49" s="16">
        <f>V49/(2*(1+W49))</f>
        <v>79844.961240310076</v>
      </c>
      <c r="Y49" s="15">
        <v>7.7999999999999999E-4</v>
      </c>
    </row>
    <row r="50" spans="2:29" x14ac:dyDescent="0.15">
      <c r="B50" s="24" t="s">
        <v>150</v>
      </c>
      <c r="C50" s="31">
        <v>50.837000000000003</v>
      </c>
      <c r="D50" s="31">
        <f>R58</f>
        <v>50.831625219256203</v>
      </c>
      <c r="E50" s="51">
        <f>100*(C50/D50-1)</f>
        <v>1.057369446799683E-2</v>
      </c>
      <c r="R50" s="16" t="s">
        <v>131</v>
      </c>
      <c r="S50" s="16" t="s">
        <v>35</v>
      </c>
      <c r="T50" s="18"/>
      <c r="U50" s="18"/>
      <c r="V50" s="18"/>
      <c r="W50" s="18"/>
      <c r="X50" s="18"/>
    </row>
    <row r="51" spans="2:29" x14ac:dyDescent="0.15">
      <c r="B51" s="24" t="s">
        <v>151</v>
      </c>
      <c r="C51" s="31">
        <v>253.2</v>
      </c>
      <c r="D51" s="31">
        <f>R60</f>
        <v>252.93938864315209</v>
      </c>
      <c r="E51" s="51">
        <f t="shared" ref="E51:E56" si="26">100*(C51/D51-1)</f>
        <v>0.10303312514745588</v>
      </c>
      <c r="R51" s="16">
        <f>0.25*PI()*(T49*T49-U49*U49)</f>
        <v>2.3561944901923448</v>
      </c>
      <c r="S51" s="16">
        <f>PI()/64*(T49^4-U49^4)</f>
        <v>0.73631077818510771</v>
      </c>
      <c r="T51" s="18"/>
      <c r="U51" s="18"/>
      <c r="V51" s="18"/>
      <c r="W51" s="18"/>
      <c r="X51" s="18"/>
    </row>
    <row r="52" spans="2:29" x14ac:dyDescent="0.15">
      <c r="B52" s="24" t="s">
        <v>153</v>
      </c>
      <c r="C52" s="31">
        <v>318.60199999999998</v>
      </c>
      <c r="D52" s="31">
        <f>S58</f>
        <v>318.57935000732766</v>
      </c>
      <c r="E52" s="51">
        <f t="shared" si="26"/>
        <v>7.1096863848207903E-3</v>
      </c>
      <c r="R52" s="21" t="s">
        <v>140</v>
      </c>
      <c r="V52" s="17" t="s">
        <v>139</v>
      </c>
      <c r="AC52" s="22"/>
    </row>
    <row r="53" spans="2:29" x14ac:dyDescent="0.15">
      <c r="B53" s="24" t="s">
        <v>154</v>
      </c>
      <c r="C53" s="31">
        <v>406.69900000000001</v>
      </c>
      <c r="D53" s="31">
        <f>R59</f>
        <v>406.28081737155958</v>
      </c>
      <c r="E53" s="51">
        <f t="shared" si="26"/>
        <v>0.10292945434782208</v>
      </c>
      <c r="R53" s="17" t="s">
        <v>141</v>
      </c>
      <c r="V53" s="14" t="s">
        <v>130</v>
      </c>
    </row>
    <row r="54" spans="2:29" x14ac:dyDescent="0.15">
      <c r="B54" s="24" t="s">
        <v>155</v>
      </c>
      <c r="C54" s="31">
        <v>765.85699999999997</v>
      </c>
      <c r="D54" s="31">
        <f>S60</f>
        <v>758.8181659294562</v>
      </c>
      <c r="E54" s="51">
        <f t="shared" si="26"/>
        <v>0.92760484482103944</v>
      </c>
      <c r="R54" s="14">
        <f>1.875/$S$49</f>
        <v>0.1875</v>
      </c>
      <c r="S54" s="14">
        <f>4.694/$S$49</f>
        <v>0.46939999999999998</v>
      </c>
      <c r="T54" s="14">
        <f>7.855/$S$49</f>
        <v>0.78550000000000009</v>
      </c>
      <c r="V54" s="14">
        <f>4.73/$S$49</f>
        <v>0.47300000000000003</v>
      </c>
      <c r="W54" s="14">
        <f>7.8532/$S$49</f>
        <v>0.78532000000000002</v>
      </c>
      <c r="X54" s="14">
        <f>10.9956/$S$49</f>
        <v>1.0995599999999999</v>
      </c>
    </row>
    <row r="55" spans="2:29" x14ac:dyDescent="0.15">
      <c r="B55" s="24" t="s">
        <v>156</v>
      </c>
      <c r="C55" s="31">
        <v>892.29300000000001</v>
      </c>
      <c r="D55" s="31">
        <f>T58</f>
        <v>892.1211387573926</v>
      </c>
      <c r="E55" s="51">
        <f t="shared" si="26"/>
        <v>1.9264339240598893E-2</v>
      </c>
      <c r="R55" s="14" t="s">
        <v>129</v>
      </c>
      <c r="V55" s="14" t="s">
        <v>129</v>
      </c>
    </row>
    <row r="56" spans="2:29" x14ac:dyDescent="0.15">
      <c r="B56" s="24" t="s">
        <v>157</v>
      </c>
      <c r="C56" s="31">
        <v>1230.1489999999999</v>
      </c>
      <c r="D56" s="31">
        <f>S59</f>
        <v>1218.8424521146787</v>
      </c>
      <c r="E56" s="51">
        <f t="shared" si="26"/>
        <v>0.92764638003086652</v>
      </c>
      <c r="R56" s="15">
        <f>R54^2*SQRT($V$49*$S$51/($Y$49*$R$51))</f>
        <v>319.3845207176899</v>
      </c>
      <c r="S56" s="15">
        <f>S54^2*SQRT($V$49*$S$51/($Y$49*$R$51))</f>
        <v>2001.693091136864</v>
      </c>
      <c r="T56" s="15">
        <f>T54^2*SQRT($V$49*$S$51/($Y$49*$R$51))</f>
        <v>5605.3624312647698</v>
      </c>
      <c r="V56" s="15">
        <f>V54^2*SQRT($V$49*$S$51/($Y$49*$R$51))</f>
        <v>2032.5142595028781</v>
      </c>
      <c r="W56" s="15">
        <f>W54^2*SQRT($V$49*$S$51/($Y$49*$R$51))</f>
        <v>5602.7937498294605</v>
      </c>
      <c r="X56" s="15">
        <f>X54^2*SQRT($V$49*$S$51/($Y$49*$R$51))</f>
        <v>10983.713214156605</v>
      </c>
    </row>
    <row r="57" spans="2:29" x14ac:dyDescent="0.15">
      <c r="B57" s="57" t="s">
        <v>258</v>
      </c>
      <c r="R57" s="14" t="s">
        <v>128</v>
      </c>
      <c r="V57" s="14" t="s">
        <v>128</v>
      </c>
    </row>
    <row r="58" spans="2:29" x14ac:dyDescent="0.15">
      <c r="Q58" s="22" t="s">
        <v>146</v>
      </c>
      <c r="R58" s="14">
        <f>R56/(2*PI())</f>
        <v>50.831625219256203</v>
      </c>
      <c r="S58" s="14">
        <f>S56/(2*PI())</f>
        <v>318.57935000732766</v>
      </c>
      <c r="T58" s="14">
        <f>T56/(2*PI())</f>
        <v>892.1211387573926</v>
      </c>
      <c r="V58" s="14">
        <f>V56/(2*PI())</f>
        <v>323.48469130464639</v>
      </c>
      <c r="W58" s="14">
        <f>W56/(2*PI())</f>
        <v>891.71232040973473</v>
      </c>
      <c r="X58" s="14">
        <f>X56/(2*PI())</f>
        <v>1748.1122515367933</v>
      </c>
    </row>
    <row r="59" spans="2:29" x14ac:dyDescent="0.15">
      <c r="Q59" s="22" t="s">
        <v>147</v>
      </c>
      <c r="R59" s="14">
        <f>SQRT($V$49/$Y$49)/(4*$S$49)</f>
        <v>406.28081737155958</v>
      </c>
      <c r="S59" s="14">
        <f t="shared" ref="S59:S60" si="27">3*R59</f>
        <v>1218.8424521146787</v>
      </c>
      <c r="T59" s="14">
        <f t="shared" ref="T59:T60" si="28">5*R59</f>
        <v>2031.4040868577979</v>
      </c>
      <c r="V59" s="14">
        <f>SQRT($V$49/$Y$49)/(2*$S$49)</f>
        <v>812.56163474311916</v>
      </c>
      <c r="W59" s="14">
        <f>2*V59</f>
        <v>1625.1232694862383</v>
      </c>
      <c r="X59" s="14">
        <f>3*V59</f>
        <v>2437.6849042293575</v>
      </c>
    </row>
    <row r="60" spans="2:29" x14ac:dyDescent="0.15">
      <c r="Q60" s="22" t="s">
        <v>148</v>
      </c>
      <c r="R60" s="14">
        <f>SQRT($X$49/$Y$49)/(4*$S$49)</f>
        <v>252.93938864315209</v>
      </c>
      <c r="S60" s="14">
        <f t="shared" si="27"/>
        <v>758.8181659294562</v>
      </c>
      <c r="T60" s="14">
        <f t="shared" si="28"/>
        <v>1264.6969432157605</v>
      </c>
      <c r="V60" s="14">
        <f>SQRT($X$49/$Y$49)/(2*$S$49)</f>
        <v>505.87877728630417</v>
      </c>
      <c r="W60" s="14">
        <f>2*V60</f>
        <v>1011.7575545726083</v>
      </c>
      <c r="X60" s="14">
        <f>3*V60</f>
        <v>1517.6363318589124</v>
      </c>
    </row>
  </sheetData>
  <phoneticPr fontId="14"/>
  <conditionalFormatting sqref="F29:G37 E50:E56 C14:N22">
    <cfRule type="expression" dxfId="7" priority="7">
      <formula>ABS(C14)&gt;=10</formula>
    </cfRule>
    <cfRule type="expression" dxfId="6" priority="8">
      <formula>ABS(C14)&gt;=5</formula>
    </cfRule>
  </conditionalFormatting>
  <conditionalFormatting sqref="F41:G41">
    <cfRule type="expression" dxfId="5" priority="3">
      <formula>ABS(F41)&gt;=10</formula>
    </cfRule>
    <cfRule type="expression" dxfId="4" priority="4">
      <formula>ABS(F41)&gt;=5</formula>
    </cfRule>
  </conditionalFormatting>
  <conditionalFormatting sqref="F42:G44">
    <cfRule type="expression" dxfId="3" priority="1">
      <formula>ABS(F42)&gt;=10</formula>
    </cfRule>
    <cfRule type="expression" dxfId="2" priority="2">
      <formula>ABS(F42)&gt;=5</formula>
    </cfRule>
  </conditionalFormatting>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58"/>
  <sheetViews>
    <sheetView workbookViewId="0"/>
  </sheetViews>
  <sheetFormatPr defaultRowHeight="13.5" x14ac:dyDescent="0.15"/>
  <cols>
    <col min="1" max="1" width="3.625" customWidth="1"/>
    <col min="2" max="2" width="9" customWidth="1"/>
    <col min="3" max="3" width="12.375" bestFit="1" customWidth="1"/>
    <col min="4" max="5" width="9" customWidth="1"/>
  </cols>
  <sheetData>
    <row r="1" spans="2:14" x14ac:dyDescent="0.15">
      <c r="B1" t="s">
        <v>226</v>
      </c>
    </row>
    <row r="2" spans="2:14" x14ac:dyDescent="0.15">
      <c r="B2" s="1" t="s">
        <v>205</v>
      </c>
      <c r="C2" s="1" t="s">
        <v>158</v>
      </c>
      <c r="D2" s="47" t="s">
        <v>211</v>
      </c>
      <c r="E2" s="47" t="s">
        <v>210</v>
      </c>
      <c r="F2" s="47" t="s">
        <v>209</v>
      </c>
      <c r="G2" s="47" t="s">
        <v>208</v>
      </c>
      <c r="H2" s="1" t="s">
        <v>152</v>
      </c>
      <c r="J2" t="s">
        <v>60</v>
      </c>
      <c r="K2" t="s">
        <v>207</v>
      </c>
      <c r="L2" t="s">
        <v>203</v>
      </c>
      <c r="M2" t="s">
        <v>202</v>
      </c>
      <c r="N2" t="s">
        <v>64</v>
      </c>
    </row>
    <row r="3" spans="2:14" x14ac:dyDescent="0.15">
      <c r="B3" s="1" t="s">
        <v>201</v>
      </c>
      <c r="C3" s="45">
        <v>21.65</v>
      </c>
      <c r="D3" s="45">
        <v>21.600999999999999</v>
      </c>
      <c r="E3" s="1">
        <v>21.567</v>
      </c>
      <c r="F3" s="46">
        <v>26.821000000000002</v>
      </c>
      <c r="G3" s="46">
        <v>21.640999999999998</v>
      </c>
      <c r="H3" s="45">
        <f>J9</f>
        <v>21.589759627382968</v>
      </c>
      <c r="J3">
        <v>1</v>
      </c>
      <c r="K3">
        <v>20</v>
      </c>
      <c r="L3">
        <v>2</v>
      </c>
      <c r="M3">
        <v>1</v>
      </c>
      <c r="N3">
        <v>21000</v>
      </c>
    </row>
    <row r="4" spans="2:14" x14ac:dyDescent="0.15">
      <c r="B4" s="1" t="s">
        <v>200</v>
      </c>
      <c r="C4" s="45">
        <v>85.930999999999997</v>
      </c>
      <c r="D4" s="45">
        <v>86.403000000000006</v>
      </c>
      <c r="E4" s="35" t="s">
        <v>176</v>
      </c>
      <c r="F4" s="44">
        <v>97.861999999999995</v>
      </c>
      <c r="G4" s="44">
        <v>87.453000000000003</v>
      </c>
      <c r="H4" s="45">
        <f>K9</f>
        <v>86.359038509531871</v>
      </c>
      <c r="J4" t="s">
        <v>206</v>
      </c>
      <c r="K4" t="s">
        <v>198</v>
      </c>
    </row>
    <row r="5" spans="2:14" x14ac:dyDescent="0.15">
      <c r="B5" s="1" t="s">
        <v>197</v>
      </c>
      <c r="C5" s="45">
        <v>191.96600000000001</v>
      </c>
      <c r="D5" s="45">
        <v>195.208</v>
      </c>
      <c r="E5" s="1">
        <v>192.43899999999999</v>
      </c>
      <c r="F5" s="46">
        <v>242.11799999999999</v>
      </c>
      <c r="G5" s="46">
        <v>192.702</v>
      </c>
      <c r="H5" s="45">
        <f>J10</f>
        <v>194.3078366464467</v>
      </c>
      <c r="J5">
        <f>L3*M3^3/12</f>
        <v>0.16666666666666666</v>
      </c>
      <c r="K5">
        <f>L3^3*M3/12</f>
        <v>0.66666666666666663</v>
      </c>
    </row>
    <row r="6" spans="2:14" x14ac:dyDescent="0.15">
      <c r="B6" s="1" t="s">
        <v>196</v>
      </c>
      <c r="C6" s="45">
        <v>518.00800000000004</v>
      </c>
      <c r="D6" s="45">
        <v>546.71500000000003</v>
      </c>
      <c r="E6" s="1">
        <v>525.53599999999994</v>
      </c>
      <c r="F6" s="46">
        <v>675.07600000000002</v>
      </c>
      <c r="G6" s="46">
        <v>524.12699999999995</v>
      </c>
      <c r="H6" s="45">
        <f>J11</f>
        <v>539.74399068457421</v>
      </c>
      <c r="J6" t="s">
        <v>195</v>
      </c>
      <c r="K6" t="s">
        <v>194</v>
      </c>
    </row>
    <row r="7" spans="2:14" x14ac:dyDescent="0.15">
      <c r="B7" s="1" t="s">
        <v>193</v>
      </c>
      <c r="C7" s="45">
        <v>727.05600000000004</v>
      </c>
      <c r="D7" s="45">
        <v>780.83399999999995</v>
      </c>
      <c r="E7" s="35" t="s">
        <v>176</v>
      </c>
      <c r="F7" s="44">
        <v>842.31799999999998</v>
      </c>
      <c r="G7" s="44">
        <v>740.92899999999997</v>
      </c>
      <c r="H7" s="45">
        <f>K10</f>
        <v>777.23134658578681</v>
      </c>
      <c r="J7">
        <f>PI()^2*N3*J5/(K3*K3)</f>
        <v>86.359038509531871</v>
      </c>
      <c r="K7">
        <f>PI()^2*N3*K5/(K3*K3)</f>
        <v>345.43615403812748</v>
      </c>
    </row>
    <row r="8" spans="2:14" x14ac:dyDescent="0.15">
      <c r="J8" t="s">
        <v>192</v>
      </c>
      <c r="K8" t="s">
        <v>191</v>
      </c>
    </row>
    <row r="9" spans="2:14" x14ac:dyDescent="0.15">
      <c r="B9" s="1" t="s">
        <v>169</v>
      </c>
      <c r="C9" s="1" t="s">
        <v>158</v>
      </c>
      <c r="D9" s="47" t="s">
        <v>211</v>
      </c>
      <c r="E9" s="47" t="s">
        <v>210</v>
      </c>
      <c r="F9" s="47" t="s">
        <v>209</v>
      </c>
      <c r="G9" s="47" t="s">
        <v>208</v>
      </c>
      <c r="J9">
        <f>J7/4</f>
        <v>21.589759627382968</v>
      </c>
      <c r="K9">
        <f>K7/4</f>
        <v>86.359038509531871</v>
      </c>
    </row>
    <row r="10" spans="2:14" x14ac:dyDescent="0.15">
      <c r="B10" s="1" t="s">
        <v>201</v>
      </c>
      <c r="C10" s="48">
        <f>100*(C3/$H3-1)</f>
        <v>0.27902289630230559</v>
      </c>
      <c r="D10" s="48">
        <f>100*(D3/$H3-1)</f>
        <v>5.2063444943484249E-2</v>
      </c>
      <c r="E10" s="48">
        <f>100*(E3/$H3-1)</f>
        <v>-0.10541862334632057</v>
      </c>
      <c r="F10" s="48">
        <f>100*(F3/$H3-1)</f>
        <v>24.230192752966495</v>
      </c>
      <c r="G10" s="48">
        <f>100*(G3/$H3-1)</f>
        <v>0.23733646646089124</v>
      </c>
      <c r="J10">
        <f>9*J9</f>
        <v>194.3078366464467</v>
      </c>
      <c r="K10">
        <f>9*K9</f>
        <v>777.23134658578681</v>
      </c>
    </row>
    <row r="11" spans="2:14" x14ac:dyDescent="0.15">
      <c r="B11" s="1" t="s">
        <v>200</v>
      </c>
      <c r="C11" s="48">
        <f t="shared" ref="C11:D14" si="0">100*(C4/$H4-1)</f>
        <v>-0.49564992491738513</v>
      </c>
      <c r="D11" s="48">
        <f t="shared" si="0"/>
        <v>5.090548855899435E-2</v>
      </c>
      <c r="E11" s="35" t="s">
        <v>176</v>
      </c>
      <c r="F11" s="48">
        <f t="shared" ref="F11:G14" si="1">100*(F4/$H4-1)</f>
        <v>13.319927698359546</v>
      </c>
      <c r="G11" s="48">
        <f t="shared" si="1"/>
        <v>1.266759692267061</v>
      </c>
      <c r="J11">
        <f>25*J9</f>
        <v>539.74399068457421</v>
      </c>
      <c r="K11">
        <f>25*K9</f>
        <v>2158.9759627382969</v>
      </c>
    </row>
    <row r="12" spans="2:14" x14ac:dyDescent="0.15">
      <c r="B12" s="1" t="s">
        <v>197</v>
      </c>
      <c r="C12" s="48">
        <f t="shared" si="0"/>
        <v>-1.2052198649649903</v>
      </c>
      <c r="D12" s="48">
        <f t="shared" si="0"/>
        <v>0.46326662325575363</v>
      </c>
      <c r="E12" s="48">
        <f>100*(E5/$H5-1)</f>
        <v>-0.96179170058239283</v>
      </c>
      <c r="F12" s="48">
        <f t="shared" si="1"/>
        <v>24.605370621539269</v>
      </c>
      <c r="G12" s="48">
        <f t="shared" si="1"/>
        <v>-0.82643946541827162</v>
      </c>
      <c r="J12">
        <f>49*J9</f>
        <v>1057.8982217417654</v>
      </c>
      <c r="K12">
        <f>49*K9</f>
        <v>4231.5928869670615</v>
      </c>
    </row>
    <row r="13" spans="2:14" x14ac:dyDescent="0.15">
      <c r="B13" s="1" t="s">
        <v>196</v>
      </c>
      <c r="C13" s="48">
        <f t="shared" si="0"/>
        <v>-4.0270926698054987</v>
      </c>
      <c r="D13" s="48">
        <f t="shared" si="0"/>
        <v>1.291539958895016</v>
      </c>
      <c r="E13" s="48">
        <f>100*(E6/$H6-1)</f>
        <v>-2.6323573638224018</v>
      </c>
      <c r="F13" s="48">
        <f t="shared" si="1"/>
        <v>25.073370273892248</v>
      </c>
      <c r="G13" s="48">
        <f t="shared" si="1"/>
        <v>-2.8934070511404397</v>
      </c>
      <c r="J13">
        <f>81*J9</f>
        <v>1748.7705298180203</v>
      </c>
      <c r="K13">
        <f>81*K9</f>
        <v>6995.0821192720814</v>
      </c>
    </row>
    <row r="14" spans="2:14" x14ac:dyDescent="0.15">
      <c r="B14" s="1" t="s">
        <v>193</v>
      </c>
      <c r="C14" s="48">
        <f t="shared" si="0"/>
        <v>-6.4556514358558026</v>
      </c>
      <c r="D14" s="48">
        <f t="shared" si="0"/>
        <v>0.46352394689674892</v>
      </c>
      <c r="E14" s="35" t="s">
        <v>176</v>
      </c>
      <c r="F14" s="48">
        <f t="shared" si="1"/>
        <v>8.3741673184084995</v>
      </c>
      <c r="G14" s="48">
        <f t="shared" si="1"/>
        <v>-4.6707260000841906</v>
      </c>
    </row>
    <row r="15" spans="2:14" x14ac:dyDescent="0.15">
      <c r="B15" s="49" t="s">
        <v>214</v>
      </c>
    </row>
    <row r="16" spans="2:14" x14ac:dyDescent="0.15">
      <c r="B16" s="11" t="s">
        <v>215</v>
      </c>
    </row>
    <row r="17" spans="2:14" x14ac:dyDescent="0.15">
      <c r="B17" s="11" t="s">
        <v>253</v>
      </c>
    </row>
    <row r="18" spans="2:14" x14ac:dyDescent="0.15">
      <c r="B18" s="11" t="s">
        <v>212</v>
      </c>
    </row>
    <row r="20" spans="2:14" x14ac:dyDescent="0.15">
      <c r="B20" t="s">
        <v>227</v>
      </c>
    </row>
    <row r="21" spans="2:14" x14ac:dyDescent="0.15">
      <c r="B21" s="1" t="s">
        <v>205</v>
      </c>
      <c r="C21" s="1" t="s">
        <v>158</v>
      </c>
      <c r="D21" s="1" t="s">
        <v>152</v>
      </c>
      <c r="J21" t="s">
        <v>60</v>
      </c>
      <c r="K21" t="s">
        <v>204</v>
      </c>
      <c r="L21" t="s">
        <v>203</v>
      </c>
      <c r="M21" t="s">
        <v>202</v>
      </c>
      <c r="N21" t="s">
        <v>64</v>
      </c>
    </row>
    <row r="22" spans="2:14" x14ac:dyDescent="0.15">
      <c r="B22" s="1" t="s">
        <v>201</v>
      </c>
      <c r="C22" s="43">
        <v>171710</v>
      </c>
      <c r="D22" s="43">
        <f>J28</f>
        <v>172718.07701906378</v>
      </c>
      <c r="J22">
        <v>1</v>
      </c>
      <c r="K22">
        <v>100</v>
      </c>
      <c r="L22">
        <v>50</v>
      </c>
      <c r="M22">
        <v>20</v>
      </c>
      <c r="N22">
        <v>21000</v>
      </c>
    </row>
    <row r="23" spans="2:14" x14ac:dyDescent="0.15">
      <c r="B23" s="1" t="s">
        <v>200</v>
      </c>
      <c r="C23" s="43">
        <v>910730</v>
      </c>
      <c r="D23" s="43">
        <f>K28</f>
        <v>1079487.9813691487</v>
      </c>
      <c r="J23" t="s">
        <v>199</v>
      </c>
      <c r="K23" t="s">
        <v>198</v>
      </c>
    </row>
    <row r="24" spans="2:14" x14ac:dyDescent="0.15">
      <c r="B24" s="1" t="s">
        <v>197</v>
      </c>
      <c r="C24" s="43">
        <v>1257700</v>
      </c>
      <c r="D24" s="43">
        <f>J29</f>
        <v>1554462.693171574</v>
      </c>
      <c r="J24">
        <f>L22*M22^3/12</f>
        <v>33333.333333333336</v>
      </c>
      <c r="K24">
        <f>L22^3*M22/12</f>
        <v>208333.33333333334</v>
      </c>
    </row>
    <row r="25" spans="2:14" x14ac:dyDescent="0.15">
      <c r="B25" s="1" t="s">
        <v>196</v>
      </c>
      <c r="C25" s="43">
        <v>2599400</v>
      </c>
      <c r="D25" s="43">
        <f>J30</f>
        <v>4317951.9254765948</v>
      </c>
      <c r="J25" t="s">
        <v>195</v>
      </c>
      <c r="K25" t="s">
        <v>194</v>
      </c>
    </row>
    <row r="26" spans="2:14" x14ac:dyDescent="0.15">
      <c r="B26" s="1" t="s">
        <v>193</v>
      </c>
      <c r="C26" s="43">
        <v>3728900</v>
      </c>
      <c r="D26" s="43">
        <f>K29</f>
        <v>9715391.8323223386</v>
      </c>
      <c r="J26">
        <f>PI()^2*N22*J24/(K22*K22)</f>
        <v>690872.30807625514</v>
      </c>
      <c r="K26">
        <f>PI()^2*N22*K24/(K22*K22)</f>
        <v>4317951.9254765948</v>
      </c>
    </row>
    <row r="27" spans="2:14" x14ac:dyDescent="0.15">
      <c r="J27" t="s">
        <v>192</v>
      </c>
      <c r="K27" t="s">
        <v>191</v>
      </c>
    </row>
    <row r="28" spans="2:14" x14ac:dyDescent="0.15">
      <c r="B28" s="1" t="s">
        <v>169</v>
      </c>
      <c r="C28" s="1" t="s">
        <v>158</v>
      </c>
      <c r="J28">
        <f>J26/4</f>
        <v>172718.07701906378</v>
      </c>
      <c r="K28">
        <f>K26/4</f>
        <v>1079487.9813691487</v>
      </c>
    </row>
    <row r="29" spans="2:14" x14ac:dyDescent="0.15">
      <c r="B29" s="1" t="s">
        <v>201</v>
      </c>
      <c r="C29" s="48">
        <f>100*(C22/$D22-1)</f>
        <v>-0.58365461013818454</v>
      </c>
      <c r="J29">
        <f>9*J28</f>
        <v>1554462.693171574</v>
      </c>
      <c r="K29">
        <f>9*K28</f>
        <v>9715391.8323223386</v>
      </c>
    </row>
    <row r="30" spans="2:14" x14ac:dyDescent="0.15">
      <c r="B30" s="1" t="s">
        <v>200</v>
      </c>
      <c r="C30" s="48">
        <f t="shared" ref="C30:C33" si="2">100*(C23/$D23-1)</f>
        <v>-15.63315055672112</v>
      </c>
      <c r="J30">
        <f>25*J28</f>
        <v>4317951.9254765948</v>
      </c>
      <c r="K30">
        <f>25*K28</f>
        <v>26987199.534228716</v>
      </c>
    </row>
    <row r="31" spans="2:14" x14ac:dyDescent="0.15">
      <c r="B31" s="1" t="s">
        <v>197</v>
      </c>
      <c r="C31" s="48">
        <f t="shared" si="2"/>
        <v>-19.091014179702725</v>
      </c>
      <c r="J31">
        <f>49*J28</f>
        <v>8463185.7739341259</v>
      </c>
      <c r="K31">
        <f>49*K28</f>
        <v>52894911.087088287</v>
      </c>
    </row>
    <row r="32" spans="2:14" x14ac:dyDescent="0.15">
      <c r="B32" s="1" t="s">
        <v>196</v>
      </c>
      <c r="C32" s="48">
        <f t="shared" si="2"/>
        <v>-39.800163483453076</v>
      </c>
      <c r="J32">
        <f>81*J28</f>
        <v>13990164.238544166</v>
      </c>
      <c r="K32">
        <f>81*K28</f>
        <v>87438526.490901038</v>
      </c>
    </row>
    <row r="33" spans="2:27" x14ac:dyDescent="0.15">
      <c r="B33" s="1" t="s">
        <v>193</v>
      </c>
      <c r="C33" s="48">
        <f t="shared" si="2"/>
        <v>-61.618635003538969</v>
      </c>
    </row>
    <row r="34" spans="2:27" x14ac:dyDescent="0.15">
      <c r="B34" s="49" t="s">
        <v>213</v>
      </c>
    </row>
    <row r="36" spans="2:27" x14ac:dyDescent="0.15">
      <c r="B36" t="s">
        <v>228</v>
      </c>
    </row>
    <row r="37" spans="2:27" x14ac:dyDescent="0.15">
      <c r="B37" s="1" t="s">
        <v>205</v>
      </c>
      <c r="C37" s="1" t="s">
        <v>229</v>
      </c>
      <c r="D37" s="1" t="s">
        <v>234</v>
      </c>
      <c r="E37" s="1" t="s">
        <v>235</v>
      </c>
      <c r="J37" t="s">
        <v>220</v>
      </c>
      <c r="K37" t="s">
        <v>222</v>
      </c>
      <c r="L37" t="s">
        <v>218</v>
      </c>
      <c r="M37" t="s">
        <v>219</v>
      </c>
      <c r="N37" t="s">
        <v>216</v>
      </c>
      <c r="O37" t="s">
        <v>217</v>
      </c>
      <c r="P37" t="s">
        <v>60</v>
      </c>
      <c r="Q37" t="s">
        <v>222</v>
      </c>
      <c r="R37" t="s">
        <v>218</v>
      </c>
      <c r="S37" t="s">
        <v>219</v>
      </c>
      <c r="T37" t="s">
        <v>64</v>
      </c>
      <c r="U37" t="s">
        <v>65</v>
      </c>
      <c r="V37" t="s">
        <v>60</v>
      </c>
      <c r="W37" t="s">
        <v>222</v>
      </c>
      <c r="X37" t="s">
        <v>218</v>
      </c>
      <c r="Y37" t="s">
        <v>219</v>
      </c>
      <c r="Z37" t="s">
        <v>64</v>
      </c>
      <c r="AA37" t="s">
        <v>65</v>
      </c>
    </row>
    <row r="38" spans="2:27" x14ac:dyDescent="0.15">
      <c r="B38" s="1" t="s">
        <v>230</v>
      </c>
      <c r="C38" s="45">
        <v>342.08600000000001</v>
      </c>
      <c r="D38" s="45">
        <f>L41</f>
        <v>373.09637171837198</v>
      </c>
      <c r="E38" s="45">
        <f>M41</f>
        <v>255.97696941449635</v>
      </c>
      <c r="J38">
        <v>1</v>
      </c>
      <c r="K38">
        <v>50</v>
      </c>
      <c r="L38">
        <v>20</v>
      </c>
      <c r="M38">
        <v>0.1</v>
      </c>
      <c r="N38">
        <v>21000</v>
      </c>
      <c r="O38">
        <v>0.28999999999999998</v>
      </c>
      <c r="P38">
        <v>1</v>
      </c>
      <c r="Q38">
        <v>50</v>
      </c>
      <c r="R38">
        <v>20</v>
      </c>
      <c r="S38">
        <v>0.05</v>
      </c>
      <c r="T38">
        <v>21000</v>
      </c>
      <c r="U38">
        <v>0.28999999999999998</v>
      </c>
      <c r="V38">
        <v>1</v>
      </c>
      <c r="W38">
        <v>50</v>
      </c>
      <c r="X38">
        <v>20</v>
      </c>
      <c r="Y38">
        <v>0.01</v>
      </c>
      <c r="Z38">
        <v>21000</v>
      </c>
      <c r="AA38">
        <v>0.28999999999999998</v>
      </c>
    </row>
    <row r="39" spans="2:27" x14ac:dyDescent="0.15">
      <c r="B39" s="1" t="s">
        <v>232</v>
      </c>
      <c r="C39" s="45">
        <v>92.590999999999994</v>
      </c>
      <c r="D39" s="45">
        <f>R41</f>
        <v>70.685431903876349</v>
      </c>
      <c r="E39" s="45">
        <f>S41</f>
        <v>63.994242353624088</v>
      </c>
      <c r="J39" t="s">
        <v>221</v>
      </c>
      <c r="K39" t="s">
        <v>224</v>
      </c>
      <c r="L39" t="s">
        <v>244</v>
      </c>
      <c r="M39" t="s">
        <v>223</v>
      </c>
      <c r="N39" t="s">
        <v>233</v>
      </c>
      <c r="P39" t="s">
        <v>86</v>
      </c>
      <c r="Q39" t="s">
        <v>224</v>
      </c>
      <c r="R39" t="s">
        <v>244</v>
      </c>
      <c r="S39" t="s">
        <v>223</v>
      </c>
      <c r="T39" t="s">
        <v>233</v>
      </c>
      <c r="V39" t="s">
        <v>86</v>
      </c>
      <c r="W39" t="s">
        <v>224</v>
      </c>
      <c r="X39" t="s">
        <v>244</v>
      </c>
      <c r="Y39" t="s">
        <v>223</v>
      </c>
      <c r="Z39" t="s">
        <v>233</v>
      </c>
    </row>
    <row r="40" spans="2:27" x14ac:dyDescent="0.15">
      <c r="B40" s="1" t="s">
        <v>231</v>
      </c>
      <c r="C40" s="45">
        <v>4.5609999999999999</v>
      </c>
      <c r="D40" s="45">
        <f>X41</f>
        <v>1.2196628848431454</v>
      </c>
      <c r="E40" s="45">
        <f>Y41</f>
        <v>2.559769694144963</v>
      </c>
      <c r="J40">
        <f>J38/(2*PI()*L38*M38)</f>
        <v>7.9577471545947673E-2</v>
      </c>
      <c r="K40">
        <f>N38*M38/(SQRT(3-3*O38*O38)*L38)</f>
        <v>63.343877160032186</v>
      </c>
      <c r="L40">
        <f>N38*0.6*M38/L38*(1-0.901*(1-EXP(-SQRT(L38/M38)/16)))</f>
        <v>29.690065904315063</v>
      </c>
      <c r="M40">
        <f>N38*0.5*0.388*M38/L38</f>
        <v>20.37</v>
      </c>
      <c r="N40">
        <f>(0.75*(1-O38*O38))^0.25*SQRT(L38/M38)</f>
        <v>12.87485446141026</v>
      </c>
      <c r="P40">
        <f>P38/(2*PI()*R38*S38)</f>
        <v>0.15915494309189535</v>
      </c>
      <c r="Q40">
        <f>T38*S38/(SQRT(3-3*U38*U38)*R38)</f>
        <v>31.671938580016093</v>
      </c>
      <c r="R40">
        <f>T38*0.6*S38/R38*(1-0.901*(1-EXP(-SQRT(R38/S38)/16)))</f>
        <v>11.249935892087484</v>
      </c>
      <c r="S40">
        <f>T38*0.5*0.388*S38/R38</f>
        <v>10.185</v>
      </c>
      <c r="T40">
        <f>(0.75*(1-U38*U38))^0.25*SQRT(R38/S38)</f>
        <v>18.207793792906138</v>
      </c>
      <c r="V40">
        <f>V38/(2*PI()*X38*Y38)</f>
        <v>0.79577471545947676</v>
      </c>
      <c r="W40">
        <f>Z38*Y38/(SQRT(3-3*AA38*AA38)*X38)</f>
        <v>6.3343877160032189</v>
      </c>
      <c r="X40">
        <f>Z38*0.6*Y38/X38*(1-0.901*(1-EXP(-SQRT(X38/Y38)/16)))</f>
        <v>0.97057688514253859</v>
      </c>
      <c r="Y40">
        <f>Z38*0.5*0.388*Y38/X38</f>
        <v>2.0369999999999999</v>
      </c>
      <c r="Z40">
        <f>(0.75*(1-AA38*AA38))^0.25*SQRT(X38/Y38)</f>
        <v>40.71386464123686</v>
      </c>
    </row>
    <row r="41" spans="2:27" x14ac:dyDescent="0.15">
      <c r="B41" s="11" t="s">
        <v>236</v>
      </c>
      <c r="J41" t="s">
        <v>225</v>
      </c>
      <c r="K41">
        <f>K40/J40</f>
        <v>796.00263654340563</v>
      </c>
      <c r="L41">
        <f>L40/J40</f>
        <v>373.09637171837198</v>
      </c>
      <c r="M41">
        <f>M40/J40</f>
        <v>255.97696941449635</v>
      </c>
      <c r="P41" t="s">
        <v>225</v>
      </c>
      <c r="Q41">
        <f>Q40/P40</f>
        <v>199.00065913585141</v>
      </c>
      <c r="R41">
        <f>R40/P40</f>
        <v>70.685431903876349</v>
      </c>
      <c r="S41">
        <f>S40/P40</f>
        <v>63.994242353624088</v>
      </c>
      <c r="V41" t="s">
        <v>225</v>
      </c>
      <c r="W41">
        <f>W40/V40</f>
        <v>7.9600263654340564</v>
      </c>
      <c r="X41">
        <f>X40/V40</f>
        <v>1.2196628848431454</v>
      </c>
      <c r="Y41">
        <f>Y40/V40</f>
        <v>2.559769694144963</v>
      </c>
    </row>
    <row r="43" spans="2:27" x14ac:dyDescent="0.15">
      <c r="B43" t="s">
        <v>237</v>
      </c>
    </row>
    <row r="44" spans="2:27" x14ac:dyDescent="0.15">
      <c r="B44" s="1" t="s">
        <v>241</v>
      </c>
      <c r="C44" s="1" t="s">
        <v>208</v>
      </c>
      <c r="D44" s="1" t="s">
        <v>234</v>
      </c>
      <c r="E44" s="1" t="s">
        <v>235</v>
      </c>
      <c r="J44" t="s">
        <v>60</v>
      </c>
      <c r="K44" t="s">
        <v>222</v>
      </c>
      <c r="L44" t="s">
        <v>218</v>
      </c>
      <c r="M44" t="s">
        <v>219</v>
      </c>
      <c r="N44" t="s">
        <v>64</v>
      </c>
      <c r="O44" t="s">
        <v>65</v>
      </c>
      <c r="P44" t="s">
        <v>60</v>
      </c>
      <c r="Q44" t="s">
        <v>222</v>
      </c>
      <c r="R44" t="s">
        <v>218</v>
      </c>
      <c r="S44" t="s">
        <v>219</v>
      </c>
      <c r="T44" t="s">
        <v>64</v>
      </c>
      <c r="U44" t="s">
        <v>65</v>
      </c>
    </row>
    <row r="45" spans="2:27" x14ac:dyDescent="0.15">
      <c r="B45" s="1" t="s">
        <v>238</v>
      </c>
      <c r="C45" s="43">
        <v>22914.663</v>
      </c>
      <c r="D45" s="43">
        <f>L48</f>
        <v>69864.63519703949</v>
      </c>
      <c r="E45" s="43">
        <f>M48</f>
        <v>25597.696941449634</v>
      </c>
      <c r="J45">
        <v>1</v>
      </c>
      <c r="K45">
        <v>100</v>
      </c>
      <c r="L45">
        <v>5</v>
      </c>
      <c r="M45">
        <v>1</v>
      </c>
      <c r="N45">
        <v>21000</v>
      </c>
      <c r="O45">
        <v>0.28999999999999998</v>
      </c>
      <c r="P45">
        <v>1</v>
      </c>
      <c r="Q45">
        <v>100</v>
      </c>
      <c r="R45">
        <v>5</v>
      </c>
      <c r="S45">
        <v>0.1</v>
      </c>
      <c r="T45">
        <v>21000</v>
      </c>
      <c r="U45">
        <v>0.28999999999999998</v>
      </c>
    </row>
    <row r="46" spans="2:27" x14ac:dyDescent="0.15">
      <c r="B46" s="1" t="s">
        <v>230</v>
      </c>
      <c r="C46" s="45">
        <v>255.935</v>
      </c>
      <c r="D46" s="45">
        <f>R48</f>
        <v>536.87962729216906</v>
      </c>
      <c r="E46" s="45">
        <f>S48</f>
        <v>255.97696941449635</v>
      </c>
      <c r="J46" t="s">
        <v>86</v>
      </c>
      <c r="K46" t="s">
        <v>224</v>
      </c>
      <c r="L46" t="s">
        <v>244</v>
      </c>
      <c r="M46" t="s">
        <v>223</v>
      </c>
      <c r="N46" t="s">
        <v>233</v>
      </c>
      <c r="P46" t="s">
        <v>86</v>
      </c>
      <c r="Q46" t="s">
        <v>224</v>
      </c>
      <c r="R46" t="s">
        <v>244</v>
      </c>
      <c r="S46" t="s">
        <v>223</v>
      </c>
      <c r="T46" t="s">
        <v>233</v>
      </c>
    </row>
    <row r="47" spans="2:27" x14ac:dyDescent="0.15">
      <c r="B47" s="11" t="s">
        <v>250</v>
      </c>
      <c r="J47">
        <f>J45/(2*PI()*L45*M45)</f>
        <v>3.1830988618379068E-2</v>
      </c>
      <c r="K47">
        <f>N45*M45/(SQRT(3-3*O45*O45)*L45)</f>
        <v>2533.7550864012874</v>
      </c>
      <c r="L47">
        <f>N45*0.6*M45/L45*(1-0.901*(1-EXP(-SQRT(L45/M45)/16)))</f>
        <v>2223.8604077841696</v>
      </c>
      <c r="M47">
        <f>N45*0.5*0.388*M45/L45</f>
        <v>814.8</v>
      </c>
      <c r="N47">
        <f>(0.75*(1-O45*O45))^0.25*SQRT(L45/M45)</f>
        <v>2.0356932320618428</v>
      </c>
      <c r="P47">
        <f>P45/(2*PI()*R45*S45)</f>
        <v>0.31830988618379069</v>
      </c>
      <c r="Q47">
        <f>T45*S45/(SQRT(3-3*U45*U45)*R45)</f>
        <v>253.37550864012874</v>
      </c>
      <c r="R47">
        <f>T45*0.6*S45/R45*(1-0.901*(1-EXP(-SQRT(R45/S45)/16)))</f>
        <v>170.8940930577663</v>
      </c>
      <c r="S47">
        <f>T45*0.5*0.388*S45/R45</f>
        <v>81.48</v>
      </c>
      <c r="T47">
        <f>(0.75*(1-U45*U45))^0.25*SQRT(R45/S45)</f>
        <v>6.4374272307051301</v>
      </c>
    </row>
    <row r="48" spans="2:27" x14ac:dyDescent="0.15">
      <c r="J48" t="s">
        <v>225</v>
      </c>
      <c r="K48">
        <f>K47/J47</f>
        <v>79600.263654340568</v>
      </c>
      <c r="L48">
        <f>L47/J47</f>
        <v>69864.63519703949</v>
      </c>
      <c r="M48">
        <f>M47/J47</f>
        <v>25597.696941449634</v>
      </c>
      <c r="P48" t="s">
        <v>225</v>
      </c>
      <c r="Q48">
        <f>Q47/P47</f>
        <v>796.00263654340563</v>
      </c>
      <c r="R48">
        <f>R47/P47</f>
        <v>536.87962729216906</v>
      </c>
      <c r="S48">
        <f>S47/P47</f>
        <v>255.97696941449635</v>
      </c>
    </row>
    <row r="49" spans="2:20" x14ac:dyDescent="0.15">
      <c r="B49" s="1" t="s">
        <v>242</v>
      </c>
      <c r="C49" s="1" t="s">
        <v>167</v>
      </c>
      <c r="D49" s="1" t="s">
        <v>243</v>
      </c>
      <c r="J49" t="s">
        <v>239</v>
      </c>
      <c r="K49" t="s">
        <v>240</v>
      </c>
      <c r="L49" t="s">
        <v>248</v>
      </c>
      <c r="M49" t="s">
        <v>249</v>
      </c>
      <c r="N49" t="s">
        <v>245</v>
      </c>
      <c r="P49" t="s">
        <v>239</v>
      </c>
      <c r="Q49" t="s">
        <v>240</v>
      </c>
      <c r="R49" t="s">
        <v>248</v>
      </c>
      <c r="S49" t="s">
        <v>249</v>
      </c>
      <c r="T49" t="s">
        <v>245</v>
      </c>
    </row>
    <row r="50" spans="2:20" x14ac:dyDescent="0.15">
      <c r="B50" s="1" t="s">
        <v>238</v>
      </c>
      <c r="C50" s="45">
        <v>1979.5309999999999</v>
      </c>
      <c r="D50" s="45">
        <f>K50</f>
        <v>2055.1347762161222</v>
      </c>
      <c r="J50">
        <f>0.25*PI()*((L45+0.5*M45)^4-(L45-0.5*M45)^4)</f>
        <v>396.62607251571137</v>
      </c>
      <c r="K50">
        <f>0.25*PI()*PI()*N45*J50/(K45*K45)</f>
        <v>2055.1347762161222</v>
      </c>
      <c r="L50">
        <f>J50/L45</f>
        <v>79.325214503142277</v>
      </c>
      <c r="M50">
        <f>J45*K45/L50</f>
        <v>1.260633212609072</v>
      </c>
      <c r="N50">
        <f>N45*0.6*M45/L45*(1-0.731*(1-EXP(-SQRT(L45/M45)/16)))</f>
        <v>2279.7358025418735</v>
      </c>
      <c r="P50">
        <f>0.25*PI()*((R45+0.5*S45)^4-(R45-0.5*S45)^4)</f>
        <v>39.273835160689309</v>
      </c>
      <c r="Q50">
        <f>0.25*PI()*PI()*T45*P50/(Q45*Q45)</f>
        <v>203.49903858353852</v>
      </c>
      <c r="R50">
        <f>P50/R45</f>
        <v>7.854767032137862</v>
      </c>
      <c r="S50">
        <f>P45*Q45/R50</f>
        <v>12.731122335118146</v>
      </c>
      <c r="T50">
        <f>T45*0.6*S45/R45*(1-0.731*(1-EXP(-SQRT(R45/S45)/16)))</f>
        <v>186.1970943676217</v>
      </c>
    </row>
    <row r="51" spans="2:20" x14ac:dyDescent="0.15">
      <c r="B51" s="1" t="s">
        <v>230</v>
      </c>
      <c r="C51" s="45">
        <v>197.19499999999999</v>
      </c>
      <c r="D51" s="45">
        <f>Q50</f>
        <v>203.49903858353852</v>
      </c>
      <c r="M51" t="s">
        <v>225</v>
      </c>
      <c r="N51">
        <f>N50/M50</f>
        <v>1808.4053154712731</v>
      </c>
      <c r="S51" t="s">
        <v>225</v>
      </c>
      <c r="T51">
        <f>T50/S50</f>
        <v>14.625347983186572</v>
      </c>
    </row>
    <row r="52" spans="2:20" x14ac:dyDescent="0.15">
      <c r="B52" s="11" t="s">
        <v>247</v>
      </c>
    </row>
    <row r="54" spans="2:20" x14ac:dyDescent="0.15">
      <c r="B54" s="47" t="s">
        <v>246</v>
      </c>
      <c r="C54" s="1" t="s">
        <v>167</v>
      </c>
      <c r="D54" s="1" t="s">
        <v>234</v>
      </c>
    </row>
    <row r="55" spans="2:20" x14ac:dyDescent="0.15">
      <c r="B55" s="1" t="s">
        <v>238</v>
      </c>
      <c r="C55" s="45">
        <v>2238.4459999999999</v>
      </c>
      <c r="D55" s="45">
        <f>N51</f>
        <v>1808.4053154712731</v>
      </c>
    </row>
    <row r="56" spans="2:20" x14ac:dyDescent="0.15">
      <c r="B56" s="1" t="s">
        <v>230</v>
      </c>
      <c r="C56" s="45">
        <v>46.523000000000003</v>
      </c>
      <c r="D56" s="45">
        <f>T51</f>
        <v>14.625347983186572</v>
      </c>
    </row>
    <row r="57" spans="2:20" x14ac:dyDescent="0.15">
      <c r="B57" s="11" t="s">
        <v>251</v>
      </c>
    </row>
    <row r="58" spans="2:20" x14ac:dyDescent="0.15">
      <c r="B58" s="11" t="s">
        <v>252</v>
      </c>
    </row>
  </sheetData>
  <phoneticPr fontId="14"/>
  <conditionalFormatting sqref="C10:G14 C29:C33">
    <cfRule type="expression" dxfId="1" priority="3">
      <formula>ABS(C10)&gt;=10</formula>
    </cfRule>
    <cfRule type="expression" dxfId="0" priority="4">
      <formula>ABS(C10)&gt;=5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計算精度検証</vt:lpstr>
      <vt:lpstr>理論値</vt:lpstr>
      <vt:lpstr>梁要素</vt:lpstr>
      <vt:lpstr>固有振動</vt:lpstr>
      <vt:lpstr>線形座屈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2017-07-31T11:15:24Z</dcterms:modified>
</cp:coreProperties>
</file>