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nicamarcarini/Desktop/"/>
    </mc:Choice>
  </mc:AlternateContent>
  <xr:revisionPtr revIDLastSave="0" documentId="13_ncr:1_{BC54F556-3CC9-FE45-9E50-573FFAB34539}" xr6:coauthVersionLast="45" xr6:coauthVersionMax="45" xr10:uidLastSave="{00000000-0000-0000-0000-000000000000}"/>
  <bookViews>
    <workbookView xWindow="0" yWindow="460" windowWidth="23260" windowHeight="12580" activeTab="6" xr2:uid="{00000000-000D-0000-FFFF-FFFF00000000}"/>
  </bookViews>
  <sheets>
    <sheet name="Attività" sheetId="1" r:id="rId1"/>
    <sheet name="Ubicazione" sheetId="3" r:id="rId2"/>
    <sheet name="Produzione" sheetId="2" r:id="rId3"/>
    <sheet name="Magazzini" sheetId="4" r:id="rId4"/>
    <sheet name="Layout" sheetId="5" r:id="rId5"/>
    <sheet name="Idrico" sheetId="6" r:id="rId6"/>
    <sheet name="Elettrico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5" i="7" l="1"/>
  <c r="I55" i="7"/>
  <c r="D47" i="7"/>
  <c r="J47" i="7"/>
  <c r="H55" i="7"/>
  <c r="M55" i="7"/>
  <c r="H56" i="7"/>
  <c r="I56" i="7"/>
  <c r="E21" i="7"/>
  <c r="H21" i="7"/>
  <c r="L21" i="7"/>
  <c r="C10" i="2"/>
  <c r="C11" i="2"/>
  <c r="C5" i="2"/>
  <c r="C49" i="2"/>
  <c r="I49" i="2"/>
  <c r="J49" i="2"/>
  <c r="D67" i="2"/>
  <c r="H67" i="2"/>
  <c r="T56" i="2"/>
  <c r="U56" i="2"/>
  <c r="AB56" i="2"/>
  <c r="L49" i="2"/>
  <c r="D68" i="2"/>
  <c r="H68" i="2"/>
  <c r="T57" i="2"/>
  <c r="U57" i="2"/>
  <c r="AB57" i="2"/>
  <c r="K49" i="2"/>
  <c r="D69" i="2"/>
  <c r="H69" i="2"/>
  <c r="T58" i="2"/>
  <c r="U58" i="2"/>
  <c r="AB58" i="2"/>
  <c r="W56" i="2"/>
  <c r="W57" i="2"/>
  <c r="AA57" i="2"/>
  <c r="C6" i="2"/>
  <c r="C50" i="2"/>
  <c r="I50" i="2"/>
  <c r="J50" i="2"/>
  <c r="D70" i="2"/>
  <c r="H70" i="2"/>
  <c r="T59" i="2"/>
  <c r="U59" i="2"/>
  <c r="AB59" i="2"/>
  <c r="L50" i="2"/>
  <c r="D71" i="2"/>
  <c r="H71" i="2"/>
  <c r="T60" i="2"/>
  <c r="U60" i="2"/>
  <c r="AB60" i="2"/>
  <c r="K50" i="2"/>
  <c r="D72" i="2"/>
  <c r="H72" i="2"/>
  <c r="T61" i="2"/>
  <c r="U61" i="2"/>
  <c r="AB61" i="2"/>
  <c r="W59" i="2"/>
  <c r="W60" i="2"/>
  <c r="W61" i="2"/>
  <c r="AA61" i="2"/>
  <c r="AC56" i="2"/>
  <c r="AD56" i="2"/>
  <c r="E22" i="7"/>
  <c r="H22" i="7"/>
  <c r="L22" i="7"/>
  <c r="E23" i="7"/>
  <c r="H23" i="7"/>
  <c r="L23" i="7"/>
  <c r="F24" i="7"/>
  <c r="H24" i="7"/>
  <c r="L24" i="7"/>
  <c r="F25" i="7"/>
  <c r="H25" i="7"/>
  <c r="L25" i="7"/>
  <c r="F26" i="7"/>
  <c r="H26" i="7"/>
  <c r="L26" i="7"/>
  <c r="F27" i="7"/>
  <c r="H27" i="7"/>
  <c r="L27" i="7"/>
  <c r="F28" i="7"/>
  <c r="H28" i="7"/>
  <c r="L28" i="7"/>
  <c r="F29" i="7"/>
  <c r="H29" i="7"/>
  <c r="L29" i="7"/>
  <c r="E30" i="7"/>
  <c r="H30" i="7"/>
  <c r="L30" i="7"/>
  <c r="E31" i="7"/>
  <c r="H31" i="7"/>
  <c r="L31" i="7"/>
  <c r="E32" i="7"/>
  <c r="H32" i="7"/>
  <c r="L32" i="7"/>
  <c r="E33" i="7"/>
  <c r="H33" i="7"/>
  <c r="L33" i="7"/>
  <c r="H113" i="6"/>
  <c r="B100" i="6"/>
  <c r="E100" i="6"/>
  <c r="G100" i="6"/>
  <c r="I100" i="6"/>
  <c r="J100" i="6"/>
  <c r="H106" i="6"/>
  <c r="J106" i="6"/>
  <c r="H73" i="6"/>
  <c r="H74" i="6"/>
  <c r="H75" i="6"/>
  <c r="J73" i="6"/>
  <c r="B82" i="6"/>
  <c r="F91" i="6"/>
  <c r="H91" i="6"/>
  <c r="I113" i="6"/>
  <c r="J113" i="6"/>
  <c r="E121" i="6"/>
  <c r="F121" i="6"/>
  <c r="J121" i="6"/>
  <c r="F34" i="7"/>
  <c r="H34" i="7"/>
  <c r="L34" i="7"/>
  <c r="V55" i="6"/>
  <c r="N42" i="6"/>
  <c r="Q42" i="6"/>
  <c r="S42" i="6"/>
  <c r="U42" i="6"/>
  <c r="V42" i="6"/>
  <c r="Z42" i="6"/>
  <c r="P24" i="6"/>
  <c r="R33" i="6"/>
  <c r="T33" i="6"/>
  <c r="X55" i="6"/>
  <c r="Z55" i="6"/>
  <c r="R63" i="6"/>
  <c r="T63" i="6"/>
  <c r="Z63" i="6"/>
  <c r="F35" i="7"/>
  <c r="H35" i="7"/>
  <c r="L35" i="7"/>
  <c r="D13" i="7"/>
  <c r="E13" i="7"/>
  <c r="F36" i="7"/>
  <c r="L36" i="7"/>
  <c r="D7" i="7"/>
  <c r="E7" i="7"/>
  <c r="F37" i="7"/>
  <c r="L37" i="7"/>
  <c r="D9" i="7"/>
  <c r="E9" i="7"/>
  <c r="F38" i="7"/>
  <c r="L38" i="7"/>
  <c r="D11" i="7"/>
  <c r="E11" i="7"/>
  <c r="F39" i="7"/>
  <c r="L39" i="7"/>
  <c r="L40" i="7"/>
  <c r="H55" i="6"/>
  <c r="B42" i="6"/>
  <c r="E42" i="6"/>
  <c r="G42" i="6"/>
  <c r="I42" i="6"/>
  <c r="J42" i="6"/>
  <c r="H48" i="6"/>
  <c r="J48" i="6"/>
  <c r="H15" i="6"/>
  <c r="H16" i="6"/>
  <c r="H17" i="6"/>
  <c r="J15" i="6"/>
  <c r="B24" i="6"/>
  <c r="F33" i="6"/>
  <c r="H33" i="6"/>
  <c r="I55" i="6"/>
  <c r="J55" i="6"/>
  <c r="E63" i="6"/>
  <c r="F63" i="6"/>
  <c r="E55" i="6"/>
  <c r="D55" i="6"/>
  <c r="D24" i="6"/>
  <c r="H24" i="6"/>
  <c r="H8" i="6"/>
  <c r="H7" i="6"/>
  <c r="N63" i="6"/>
  <c r="R55" i="6"/>
  <c r="W9" i="2"/>
  <c r="I5" i="2"/>
  <c r="J5" i="2"/>
  <c r="D17" i="2"/>
  <c r="H17" i="2"/>
  <c r="T6" i="2"/>
  <c r="J63" i="6"/>
  <c r="B63" i="6"/>
  <c r="AZ6" i="2"/>
  <c r="BD6" i="2"/>
  <c r="I6" i="2"/>
  <c r="I7" i="2"/>
  <c r="AW6" i="2"/>
  <c r="AX6" i="2"/>
  <c r="AH67" i="4"/>
  <c r="AH68" i="4"/>
  <c r="AH69" i="4"/>
  <c r="AH70" i="4"/>
  <c r="N70" i="4"/>
  <c r="AH19" i="4"/>
  <c r="AH18" i="4"/>
  <c r="AH20" i="4"/>
  <c r="AH21" i="4"/>
  <c r="N21" i="4"/>
  <c r="S21" i="4"/>
  <c r="E6" i="1"/>
  <c r="E7" i="1"/>
  <c r="E8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E5" i="1"/>
  <c r="R56" i="7"/>
  <c r="H57" i="7"/>
  <c r="I57" i="7"/>
  <c r="R57" i="7"/>
  <c r="H58" i="7"/>
  <c r="I58" i="7"/>
  <c r="R58" i="7"/>
  <c r="H59" i="7"/>
  <c r="I59" i="7"/>
  <c r="R59" i="7"/>
  <c r="H60" i="7"/>
  <c r="I60" i="7"/>
  <c r="R60" i="7"/>
  <c r="H61" i="7"/>
  <c r="I61" i="7"/>
  <c r="R61" i="7"/>
  <c r="H62" i="7"/>
  <c r="D62" i="7"/>
  <c r="I62" i="7"/>
  <c r="R62" i="7"/>
  <c r="H63" i="7"/>
  <c r="D63" i="7"/>
  <c r="I63" i="7"/>
  <c r="R63" i="7"/>
  <c r="H64" i="7"/>
  <c r="D64" i="7"/>
  <c r="I64" i="7"/>
  <c r="R64" i="7"/>
  <c r="M64" i="7"/>
  <c r="M63" i="7"/>
  <c r="M62" i="7"/>
  <c r="M56" i="7"/>
  <c r="M57" i="7"/>
  <c r="M58" i="7"/>
  <c r="M59" i="7"/>
  <c r="M60" i="7"/>
  <c r="M61" i="7"/>
  <c r="H36" i="7"/>
  <c r="J24" i="6"/>
  <c r="B121" i="6"/>
  <c r="E113" i="6"/>
  <c r="D113" i="6"/>
  <c r="D82" i="6"/>
  <c r="H82" i="6"/>
  <c r="J82" i="6"/>
  <c r="P55" i="6"/>
  <c r="R24" i="6"/>
  <c r="V24" i="6"/>
  <c r="Y24" i="6"/>
  <c r="J7" i="6"/>
  <c r="Q6" i="4"/>
  <c r="S6" i="4"/>
  <c r="W6" i="4"/>
  <c r="AA6" i="4"/>
  <c r="Q7" i="4"/>
  <c r="S7" i="4"/>
  <c r="W7" i="4"/>
  <c r="AA7" i="4"/>
  <c r="Q8" i="4"/>
  <c r="S8" i="4"/>
  <c r="W8" i="4"/>
  <c r="AA8" i="4"/>
  <c r="Q9" i="4"/>
  <c r="S9" i="4"/>
  <c r="W9" i="4"/>
  <c r="AA9" i="4"/>
  <c r="Q10" i="4"/>
  <c r="S10" i="4"/>
  <c r="W10" i="4"/>
  <c r="AA10" i="4"/>
  <c r="Q11" i="4"/>
  <c r="S11" i="4"/>
  <c r="W11" i="4"/>
  <c r="AA11" i="4"/>
  <c r="Q12" i="4"/>
  <c r="S12" i="4"/>
  <c r="W12" i="4"/>
  <c r="AA12" i="4"/>
  <c r="Q13" i="4"/>
  <c r="S13" i="4"/>
  <c r="W13" i="4"/>
  <c r="AA13" i="4"/>
  <c r="Q14" i="4"/>
  <c r="S14" i="4"/>
  <c r="W14" i="4"/>
  <c r="AA14" i="4"/>
  <c r="Q15" i="4"/>
  <c r="S15" i="4"/>
  <c r="W15" i="4"/>
  <c r="AA15" i="4"/>
  <c r="W21" i="4"/>
  <c r="AA21" i="4"/>
  <c r="M7" i="5"/>
  <c r="G4" i="3"/>
  <c r="G5" i="3"/>
  <c r="G6" i="3"/>
  <c r="G7" i="3"/>
  <c r="G8" i="3"/>
  <c r="G9" i="3"/>
  <c r="F4" i="3"/>
  <c r="F5" i="3"/>
  <c r="F6" i="3"/>
  <c r="F7" i="3"/>
  <c r="F8" i="3"/>
  <c r="F9" i="3"/>
  <c r="D61" i="2"/>
  <c r="H61" i="2"/>
  <c r="D55" i="4"/>
  <c r="E55" i="4"/>
  <c r="G55" i="4"/>
  <c r="D62" i="2"/>
  <c r="H62" i="2"/>
  <c r="D56" i="4"/>
  <c r="E56" i="4"/>
  <c r="G56" i="4"/>
  <c r="D63" i="2"/>
  <c r="H63" i="2"/>
  <c r="D57" i="4"/>
  <c r="E57" i="4"/>
  <c r="G57" i="4"/>
  <c r="D64" i="2"/>
  <c r="H64" i="2"/>
  <c r="D58" i="4"/>
  <c r="E58" i="4"/>
  <c r="G58" i="4"/>
  <c r="D65" i="2"/>
  <c r="H65" i="2"/>
  <c r="D59" i="4"/>
  <c r="E59" i="4"/>
  <c r="G59" i="4"/>
  <c r="D66" i="2"/>
  <c r="H66" i="2"/>
  <c r="D60" i="4"/>
  <c r="E60" i="4"/>
  <c r="G60" i="4"/>
  <c r="D61" i="4"/>
  <c r="E61" i="4"/>
  <c r="G61" i="4"/>
  <c r="D62" i="4"/>
  <c r="E62" i="4"/>
  <c r="G62" i="4"/>
  <c r="D63" i="4"/>
  <c r="E63" i="4"/>
  <c r="G63" i="4"/>
  <c r="D64" i="4"/>
  <c r="E64" i="4"/>
  <c r="G64" i="4"/>
  <c r="D65" i="4"/>
  <c r="E65" i="4"/>
  <c r="G65" i="4"/>
  <c r="D66" i="4"/>
  <c r="E66" i="4"/>
  <c r="G66" i="4"/>
  <c r="D73" i="2"/>
  <c r="H73" i="2"/>
  <c r="D67" i="4"/>
  <c r="E67" i="4"/>
  <c r="G67" i="4"/>
  <c r="D74" i="2"/>
  <c r="H74" i="2"/>
  <c r="D68" i="4"/>
  <c r="E68" i="4"/>
  <c r="G68" i="4"/>
  <c r="D75" i="2"/>
  <c r="H75" i="2"/>
  <c r="D69" i="4"/>
  <c r="E69" i="4"/>
  <c r="G69" i="4"/>
  <c r="D76" i="2"/>
  <c r="H76" i="2"/>
  <c r="D70" i="4"/>
  <c r="E70" i="4"/>
  <c r="G70" i="4"/>
  <c r="D77" i="2"/>
  <c r="H77" i="2"/>
  <c r="D71" i="4"/>
  <c r="E71" i="4"/>
  <c r="G71" i="4"/>
  <c r="D78" i="2"/>
  <c r="H78" i="2"/>
  <c r="D72" i="4"/>
  <c r="E72" i="4"/>
  <c r="G72" i="4"/>
  <c r="D79" i="2"/>
  <c r="H79" i="2"/>
  <c r="D73" i="4"/>
  <c r="E73" i="4"/>
  <c r="G73" i="4"/>
  <c r="D80" i="2"/>
  <c r="H80" i="2"/>
  <c r="D74" i="4"/>
  <c r="E74" i="4"/>
  <c r="G74" i="4"/>
  <c r="D81" i="2"/>
  <c r="H81" i="2"/>
  <c r="D75" i="4"/>
  <c r="E75" i="4"/>
  <c r="G75" i="4"/>
  <c r="D82" i="2"/>
  <c r="H82" i="2"/>
  <c r="D76" i="4"/>
  <c r="E76" i="4"/>
  <c r="G76" i="4"/>
  <c r="D83" i="2"/>
  <c r="H83" i="2"/>
  <c r="D77" i="4"/>
  <c r="E77" i="4"/>
  <c r="G77" i="4"/>
  <c r="D84" i="2"/>
  <c r="H84" i="2"/>
  <c r="D78" i="4"/>
  <c r="E78" i="4"/>
  <c r="G78" i="4"/>
  <c r="C87" i="4"/>
  <c r="E87" i="4"/>
  <c r="G87" i="4"/>
  <c r="H87" i="4"/>
  <c r="M27" i="5"/>
  <c r="Q87" i="4"/>
  <c r="Q88" i="4"/>
  <c r="Q89" i="4"/>
  <c r="Y87" i="4"/>
  <c r="Q90" i="4"/>
  <c r="Q91" i="4"/>
  <c r="Q92" i="4"/>
  <c r="Y90" i="4"/>
  <c r="AA87" i="4"/>
  <c r="Q77" i="4"/>
  <c r="Q38" i="4"/>
  <c r="Q39" i="4"/>
  <c r="Q40" i="4"/>
  <c r="Y38" i="4"/>
  <c r="Q41" i="4"/>
  <c r="Q42" i="4"/>
  <c r="Q43" i="4"/>
  <c r="Y41" i="4"/>
  <c r="AA38" i="4"/>
  <c r="Q28" i="4"/>
  <c r="M29" i="5"/>
  <c r="D6" i="4"/>
  <c r="E6" i="4"/>
  <c r="G6" i="4"/>
  <c r="D7" i="4"/>
  <c r="E7" i="4"/>
  <c r="G7" i="4"/>
  <c r="D8" i="4"/>
  <c r="E8" i="4"/>
  <c r="G8" i="4"/>
  <c r="D9" i="4"/>
  <c r="E9" i="4"/>
  <c r="G9" i="4"/>
  <c r="D10" i="4"/>
  <c r="E10" i="4"/>
  <c r="G10" i="4"/>
  <c r="D11" i="4"/>
  <c r="E11" i="4"/>
  <c r="G11" i="4"/>
  <c r="D12" i="4"/>
  <c r="E12" i="4"/>
  <c r="G12" i="4"/>
  <c r="D13" i="4"/>
  <c r="E13" i="4"/>
  <c r="G13" i="4"/>
  <c r="D14" i="4"/>
  <c r="E14" i="4"/>
  <c r="G14" i="4"/>
  <c r="D15" i="4"/>
  <c r="E15" i="4"/>
  <c r="G15" i="4"/>
  <c r="D16" i="4"/>
  <c r="E16" i="4"/>
  <c r="G16" i="4"/>
  <c r="D17" i="4"/>
  <c r="E17" i="4"/>
  <c r="G17" i="4"/>
  <c r="D18" i="4"/>
  <c r="E18" i="4"/>
  <c r="G18" i="4"/>
  <c r="D19" i="4"/>
  <c r="E19" i="4"/>
  <c r="G19" i="4"/>
  <c r="D20" i="4"/>
  <c r="E20" i="4"/>
  <c r="G20" i="4"/>
  <c r="D21" i="4"/>
  <c r="E21" i="4"/>
  <c r="G21" i="4"/>
  <c r="D22" i="4"/>
  <c r="E22" i="4"/>
  <c r="G22" i="4"/>
  <c r="D23" i="4"/>
  <c r="E23" i="4"/>
  <c r="G23" i="4"/>
  <c r="D24" i="4"/>
  <c r="E24" i="4"/>
  <c r="G24" i="4"/>
  <c r="D25" i="4"/>
  <c r="E25" i="4"/>
  <c r="G25" i="4"/>
  <c r="D26" i="4"/>
  <c r="E26" i="4"/>
  <c r="G26" i="4"/>
  <c r="D27" i="4"/>
  <c r="E27" i="4"/>
  <c r="G27" i="4"/>
  <c r="D28" i="4"/>
  <c r="E28" i="4"/>
  <c r="G28" i="4"/>
  <c r="D29" i="4"/>
  <c r="E29" i="4"/>
  <c r="G29" i="4"/>
  <c r="C38" i="4"/>
  <c r="E38" i="4"/>
  <c r="G38" i="4"/>
  <c r="H38" i="4"/>
  <c r="M6" i="5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I6" i="4"/>
  <c r="M5" i="5"/>
  <c r="S5" i="5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I55" i="4"/>
  <c r="M26" i="5"/>
  <c r="S26" i="5"/>
  <c r="S27" i="5"/>
  <c r="P7" i="5"/>
  <c r="S7" i="5"/>
  <c r="M8" i="5"/>
  <c r="P8" i="5"/>
  <c r="S8" i="5"/>
  <c r="S6" i="5"/>
  <c r="S9" i="5"/>
  <c r="I51" i="2"/>
  <c r="Q55" i="4"/>
  <c r="S55" i="4"/>
  <c r="W55" i="4"/>
  <c r="AA55" i="4"/>
  <c r="Q56" i="4"/>
  <c r="S56" i="4"/>
  <c r="W56" i="4"/>
  <c r="AA56" i="4"/>
  <c r="Q57" i="4"/>
  <c r="S57" i="4"/>
  <c r="W57" i="4"/>
  <c r="AA57" i="4"/>
  <c r="Q58" i="4"/>
  <c r="S58" i="4"/>
  <c r="W58" i="4"/>
  <c r="AA58" i="4"/>
  <c r="Q59" i="4"/>
  <c r="S59" i="4"/>
  <c r="W59" i="4"/>
  <c r="AA59" i="4"/>
  <c r="Q60" i="4"/>
  <c r="S60" i="4"/>
  <c r="W60" i="4"/>
  <c r="AA60" i="4"/>
  <c r="Q61" i="4"/>
  <c r="S61" i="4"/>
  <c r="W61" i="4"/>
  <c r="AA61" i="4"/>
  <c r="Q62" i="4"/>
  <c r="S62" i="4"/>
  <c r="W62" i="4"/>
  <c r="AA62" i="4"/>
  <c r="Q63" i="4"/>
  <c r="S63" i="4"/>
  <c r="W63" i="4"/>
  <c r="AA63" i="4"/>
  <c r="Q64" i="4"/>
  <c r="S64" i="4"/>
  <c r="W64" i="4"/>
  <c r="AA64" i="4"/>
  <c r="S70" i="4"/>
  <c r="W70" i="4"/>
  <c r="AA70" i="4"/>
  <c r="M28" i="5"/>
  <c r="H12" i="5"/>
  <c r="H13" i="5"/>
  <c r="H14" i="5"/>
  <c r="H15" i="5"/>
  <c r="H16" i="5"/>
  <c r="H5" i="5"/>
  <c r="H6" i="5"/>
  <c r="F7" i="5"/>
  <c r="H7" i="5"/>
  <c r="H8" i="5"/>
  <c r="H33" i="5"/>
  <c r="H34" i="5"/>
  <c r="H35" i="5"/>
  <c r="H36" i="5"/>
  <c r="H37" i="5"/>
  <c r="H26" i="5"/>
  <c r="H27" i="5"/>
  <c r="F28" i="5"/>
  <c r="H28" i="5"/>
  <c r="H29" i="5"/>
  <c r="P29" i="5"/>
  <c r="S29" i="5"/>
  <c r="P28" i="5"/>
  <c r="S28" i="5"/>
  <c r="S30" i="5"/>
  <c r="L6" i="2"/>
  <c r="D27" i="2"/>
  <c r="H27" i="2"/>
  <c r="Y28" i="4"/>
  <c r="AA28" i="4"/>
  <c r="Y77" i="4"/>
  <c r="AA77" i="4"/>
  <c r="T50" i="2"/>
  <c r="U50" i="2"/>
  <c r="BB17" i="2"/>
  <c r="AX17" i="2"/>
  <c r="AY17" i="2"/>
  <c r="AZ17" i="2"/>
  <c r="AX8" i="2"/>
  <c r="L5" i="2"/>
  <c r="D18" i="2"/>
  <c r="H18" i="2"/>
  <c r="K5" i="2"/>
  <c r="D19" i="2"/>
  <c r="H19" i="2"/>
  <c r="D21" i="2"/>
  <c r="H21" i="2"/>
  <c r="W6" i="2"/>
  <c r="U6" i="2"/>
  <c r="T68" i="2"/>
  <c r="T69" i="2"/>
  <c r="T70" i="2"/>
  <c r="T53" i="2"/>
  <c r="T54" i="2"/>
  <c r="T55" i="2"/>
  <c r="T51" i="2"/>
  <c r="T52" i="2"/>
  <c r="J6" i="2"/>
  <c r="D32" i="2"/>
  <c r="H32" i="2"/>
  <c r="D33" i="2"/>
  <c r="H33" i="2"/>
  <c r="K6" i="2"/>
  <c r="D34" i="2"/>
  <c r="H34" i="2"/>
  <c r="D29" i="2"/>
  <c r="H29" i="2"/>
  <c r="D30" i="2"/>
  <c r="H30" i="2"/>
  <c r="D31" i="2"/>
  <c r="H31" i="2"/>
  <c r="D23" i="2"/>
  <c r="H23" i="2"/>
  <c r="D24" i="2"/>
  <c r="H24" i="2"/>
  <c r="D25" i="2"/>
  <c r="H25" i="2"/>
  <c r="T71" i="2"/>
  <c r="T72" i="2"/>
  <c r="T73" i="2"/>
  <c r="T65" i="2"/>
  <c r="T66" i="2"/>
  <c r="T67" i="2"/>
  <c r="T62" i="2"/>
  <c r="T63" i="2"/>
  <c r="T64" i="2"/>
  <c r="D38" i="2"/>
  <c r="H38" i="2"/>
  <c r="D39" i="2"/>
  <c r="H39" i="2"/>
  <c r="D40" i="2"/>
  <c r="H40" i="2"/>
  <c r="D35" i="2"/>
  <c r="H35" i="2"/>
  <c r="D36" i="2"/>
  <c r="H36" i="2"/>
  <c r="D37" i="2"/>
  <c r="H37" i="2"/>
  <c r="D26" i="2"/>
  <c r="H26" i="2"/>
  <c r="D28" i="2"/>
  <c r="H28" i="2"/>
  <c r="D20" i="2"/>
  <c r="H20" i="2"/>
  <c r="D22" i="2"/>
  <c r="H22" i="2"/>
  <c r="BB61" i="2"/>
  <c r="BF61" i="2"/>
  <c r="BG61" i="2"/>
  <c r="BE6" i="2"/>
  <c r="AX61" i="2"/>
  <c r="AY61" i="2"/>
  <c r="AZ61" i="2"/>
  <c r="AX63" i="2"/>
  <c r="AY63" i="2"/>
  <c r="AZ63" i="2"/>
  <c r="AZ66" i="2"/>
  <c r="AZ67" i="2"/>
  <c r="AX19" i="2"/>
  <c r="AY19" i="2"/>
  <c r="BF17" i="2"/>
  <c r="BG17" i="2"/>
  <c r="AZ22" i="2"/>
  <c r="AZ23" i="2"/>
  <c r="AW50" i="2"/>
  <c r="U53" i="2"/>
  <c r="AB53" i="2"/>
  <c r="U51" i="2"/>
  <c r="AB6" i="2"/>
  <c r="T7" i="2"/>
  <c r="U7" i="2"/>
  <c r="AB7" i="2"/>
  <c r="T8" i="2"/>
  <c r="U8" i="2"/>
  <c r="AB8" i="2"/>
  <c r="AA6" i="2"/>
  <c r="T9" i="2"/>
  <c r="U9" i="2"/>
  <c r="AB9" i="2"/>
  <c r="T10" i="2"/>
  <c r="U10" i="2"/>
  <c r="AB10" i="2"/>
  <c r="T11" i="2"/>
  <c r="U11" i="2"/>
  <c r="AB11" i="2"/>
  <c r="AA9" i="2"/>
  <c r="AC6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U13" i="2"/>
  <c r="AB13" i="2"/>
  <c r="W12" i="2"/>
  <c r="W13" i="2"/>
  <c r="AA13" i="2"/>
  <c r="U20" i="2"/>
  <c r="AB20" i="2"/>
  <c r="AX50" i="2"/>
  <c r="AZ50" i="2"/>
  <c r="BD50" i="2"/>
  <c r="BE50" i="2"/>
  <c r="AZ54" i="2"/>
  <c r="BD54" i="2"/>
  <c r="AZ52" i="2"/>
  <c r="BD52" i="2"/>
  <c r="AX52" i="2"/>
  <c r="AW52" i="2"/>
  <c r="AW54" i="2"/>
  <c r="AX54" i="2"/>
  <c r="BE54" i="2"/>
  <c r="BE52" i="2"/>
  <c r="AZ19" i="2"/>
  <c r="AZ8" i="2"/>
  <c r="BD8" i="2"/>
  <c r="BE8" i="2"/>
  <c r="AX10" i="2"/>
  <c r="AZ10" i="2"/>
  <c r="BD10" i="2"/>
  <c r="BE10" i="2"/>
  <c r="AW8" i="2"/>
  <c r="AW10" i="2"/>
  <c r="U62" i="2"/>
  <c r="AB62" i="2"/>
  <c r="W68" i="2"/>
  <c r="W69" i="2"/>
  <c r="W70" i="2"/>
  <c r="AA70" i="2"/>
  <c r="W62" i="2"/>
  <c r="W63" i="2"/>
  <c r="W64" i="2"/>
  <c r="W65" i="2"/>
  <c r="AA65" i="2"/>
  <c r="AB51" i="2"/>
  <c r="W53" i="2"/>
  <c r="AA53" i="2"/>
  <c r="W50" i="2"/>
  <c r="W51" i="2"/>
  <c r="AA51" i="2"/>
  <c r="AA50" i="2"/>
  <c r="W27" i="2"/>
  <c r="W7" i="2"/>
  <c r="W8" i="2"/>
  <c r="U52" i="2"/>
  <c r="AB52" i="2"/>
  <c r="W52" i="2"/>
  <c r="AA52" i="2"/>
  <c r="U54" i="2"/>
  <c r="AB54" i="2"/>
  <c r="W54" i="2"/>
  <c r="AA54" i="2"/>
  <c r="U55" i="2"/>
  <c r="AB55" i="2"/>
  <c r="W55" i="2"/>
  <c r="AA55" i="2"/>
  <c r="AA56" i="2"/>
  <c r="W58" i="2"/>
  <c r="AA58" i="2"/>
  <c r="AA59" i="2"/>
  <c r="AA60" i="2"/>
  <c r="AA62" i="2"/>
  <c r="U63" i="2"/>
  <c r="AB63" i="2"/>
  <c r="AA63" i="2"/>
  <c r="U64" i="2"/>
  <c r="AB64" i="2"/>
  <c r="AA64" i="2"/>
  <c r="U65" i="2"/>
  <c r="AB65" i="2"/>
  <c r="U66" i="2"/>
  <c r="AB66" i="2"/>
  <c r="W66" i="2"/>
  <c r="AA66" i="2"/>
  <c r="U67" i="2"/>
  <c r="AB67" i="2"/>
  <c r="W67" i="2"/>
  <c r="AA67" i="2"/>
  <c r="U68" i="2"/>
  <c r="AB68" i="2"/>
  <c r="AA68" i="2"/>
  <c r="U69" i="2"/>
  <c r="AB69" i="2"/>
  <c r="AA69" i="2"/>
  <c r="U70" i="2"/>
  <c r="AB70" i="2"/>
  <c r="U71" i="2"/>
  <c r="AB71" i="2"/>
  <c r="W71" i="2"/>
  <c r="AA71" i="2"/>
  <c r="U72" i="2"/>
  <c r="AB72" i="2"/>
  <c r="W72" i="2"/>
  <c r="AA72" i="2"/>
  <c r="U73" i="2"/>
  <c r="AB73" i="2"/>
  <c r="W73" i="2"/>
  <c r="AA73" i="2"/>
  <c r="AB50" i="2"/>
  <c r="U12" i="2"/>
  <c r="AB12" i="2"/>
  <c r="AA12" i="2"/>
  <c r="U14" i="2"/>
  <c r="AB14" i="2"/>
  <c r="W14" i="2"/>
  <c r="AA14" i="2"/>
  <c r="U15" i="2"/>
  <c r="AB15" i="2"/>
  <c r="W15" i="2"/>
  <c r="AA15" i="2"/>
  <c r="U16" i="2"/>
  <c r="AB16" i="2"/>
  <c r="W16" i="2"/>
  <c r="AA16" i="2"/>
  <c r="U17" i="2"/>
  <c r="AB17" i="2"/>
  <c r="W17" i="2"/>
  <c r="AA17" i="2"/>
  <c r="U18" i="2"/>
  <c r="AB18" i="2"/>
  <c r="W18" i="2"/>
  <c r="AA18" i="2"/>
  <c r="U19" i="2"/>
  <c r="AB19" i="2"/>
  <c r="W19" i="2"/>
  <c r="AA19" i="2"/>
  <c r="W20" i="2"/>
  <c r="AA20" i="2"/>
  <c r="U21" i="2"/>
  <c r="AB21" i="2"/>
  <c r="W21" i="2"/>
  <c r="AA21" i="2"/>
  <c r="U22" i="2"/>
  <c r="AB22" i="2"/>
  <c r="W22" i="2"/>
  <c r="AA22" i="2"/>
  <c r="U23" i="2"/>
  <c r="AB23" i="2"/>
  <c r="W23" i="2"/>
  <c r="AA23" i="2"/>
  <c r="U24" i="2"/>
  <c r="AB24" i="2"/>
  <c r="W24" i="2"/>
  <c r="AA24" i="2"/>
  <c r="U25" i="2"/>
  <c r="AB25" i="2"/>
  <c r="W25" i="2"/>
  <c r="AA25" i="2"/>
  <c r="U26" i="2"/>
  <c r="AB26" i="2"/>
  <c r="W26" i="2"/>
  <c r="AA26" i="2"/>
  <c r="U27" i="2"/>
  <c r="AB27" i="2"/>
  <c r="AA27" i="2"/>
  <c r="U28" i="2"/>
  <c r="AB28" i="2"/>
  <c r="W28" i="2"/>
  <c r="AA28" i="2"/>
  <c r="U29" i="2"/>
  <c r="AB29" i="2"/>
  <c r="W29" i="2"/>
  <c r="AA29" i="2"/>
  <c r="AA7" i="2"/>
  <c r="AA8" i="2"/>
  <c r="W10" i="2"/>
  <c r="AA10" i="2"/>
  <c r="W11" i="2"/>
  <c r="AA11" i="2"/>
  <c r="AC50" i="2"/>
  <c r="U76" i="2"/>
  <c r="AC12" i="2"/>
  <c r="AC18" i="2"/>
  <c r="AD18" i="2"/>
  <c r="U33" i="2"/>
  <c r="AC62" i="2"/>
  <c r="L51" i="2"/>
  <c r="K51" i="2"/>
  <c r="J51" i="2"/>
  <c r="F49" i="2"/>
  <c r="F50" i="2"/>
  <c r="F51" i="2"/>
  <c r="E49" i="2"/>
  <c r="E50" i="2"/>
  <c r="E51" i="2"/>
  <c r="D49" i="2"/>
  <c r="D50" i="2"/>
  <c r="D51" i="2"/>
  <c r="C51" i="2"/>
  <c r="D5" i="2"/>
  <c r="E5" i="2"/>
  <c r="L7" i="2"/>
  <c r="K7" i="2"/>
  <c r="J7" i="2"/>
  <c r="F5" i="2"/>
  <c r="F6" i="2"/>
  <c r="F7" i="2"/>
  <c r="D6" i="2"/>
  <c r="D7" i="2"/>
  <c r="E6" i="2"/>
  <c r="E7" i="2"/>
  <c r="C7" i="2"/>
</calcChain>
</file>

<file path=xl/sharedStrings.xml><?xml version="1.0" encoding="utf-8"?>
<sst xmlns="http://schemas.openxmlformats.org/spreadsheetml/2006/main" count="932" uniqueCount="375">
  <si>
    <t>Predecessori</t>
  </si>
  <si>
    <t>Data di inizio</t>
  </si>
  <si>
    <t>Data di fine</t>
  </si>
  <si>
    <t>Durata (giorni)</t>
  </si>
  <si>
    <t>A</t>
  </si>
  <si>
    <t>-</t>
  </si>
  <si>
    <t>B</t>
  </si>
  <si>
    <t>C</t>
  </si>
  <si>
    <t>D</t>
  </si>
  <si>
    <t>E</t>
  </si>
  <si>
    <t>F</t>
  </si>
  <si>
    <t>G</t>
  </si>
  <si>
    <t>B,E,F</t>
  </si>
  <si>
    <t>H</t>
  </si>
  <si>
    <t>D,G</t>
  </si>
  <si>
    <t>I</t>
  </si>
  <si>
    <t>L</t>
  </si>
  <si>
    <t>M</t>
  </si>
  <si>
    <t>N</t>
  </si>
  <si>
    <t>O</t>
  </si>
  <si>
    <t>H,I,M</t>
  </si>
  <si>
    <t>P</t>
  </si>
  <si>
    <t>L,O</t>
  </si>
  <si>
    <t>Q</t>
  </si>
  <si>
    <t>R</t>
  </si>
  <si>
    <t>P,Q</t>
  </si>
  <si>
    <t>S</t>
  </si>
  <si>
    <t>T</t>
  </si>
  <si>
    <t>U</t>
  </si>
  <si>
    <t>V</t>
  </si>
  <si>
    <t>S,T,U</t>
  </si>
  <si>
    <t>Durata (settimane)</t>
  </si>
  <si>
    <t>Deviazione standard (settimane)</t>
  </si>
  <si>
    <t xml:space="preserve">Descrizione </t>
  </si>
  <si>
    <t>Contatti con istituti di credito per i finanziamenti necessari</t>
  </si>
  <si>
    <t>Dimensionamento degli impianti e del fabbricato</t>
  </si>
  <si>
    <t>Ottenimento dei permessi di costruzione dell'impianto</t>
  </si>
  <si>
    <t>Studio dettagliato del mercato</t>
  </si>
  <si>
    <t>Progetto di massima del fabbricato</t>
  </si>
  <si>
    <t>Approvazione dei finanziamenti</t>
  </si>
  <si>
    <t>Progetto esecutivo del fabbricato</t>
  </si>
  <si>
    <t>Contatti e scelta dell'impresa di costruzione</t>
  </si>
  <si>
    <t>Analisi e studio del layout</t>
  </si>
  <si>
    <t>Sistemazione del terreno</t>
  </si>
  <si>
    <t>Definizione degli accordi commerciali con i futuri utilizzatori del prodotto</t>
  </si>
  <si>
    <t>Realizzazione delle opere murarie</t>
  </si>
  <si>
    <t xml:space="preserve">Installazione delle reti per i servizi generali </t>
  </si>
  <si>
    <t>Acquisto dei macchinari</t>
  </si>
  <si>
    <t>Installazione e collaudo dei macchinari acquistati</t>
  </si>
  <si>
    <t>Collaudo degli impianti di sicurezza</t>
  </si>
  <si>
    <t>Ricerca e assunzione di nuovo personale</t>
  </si>
  <si>
    <t>Traduzione degli accordi con i potenziali clienti in ordini di produzione</t>
  </si>
  <si>
    <t>Avvio della produzione</t>
  </si>
  <si>
    <t>Attività</t>
  </si>
  <si>
    <t>Convocazione riunioni per start-up, formazione gruppi di lavoro e pianificazione</t>
  </si>
  <si>
    <t>Dimensione</t>
  </si>
  <si>
    <t>Richiesta [pezzi/anno]</t>
  </si>
  <si>
    <t>RED</t>
  </si>
  <si>
    <t>BLUE</t>
  </si>
  <si>
    <t>WHITE</t>
  </si>
  <si>
    <t>SMALL</t>
  </si>
  <si>
    <t>LARGE</t>
  </si>
  <si>
    <t>Totale</t>
  </si>
  <si>
    <t>∑Ni*Ci</t>
  </si>
  <si>
    <t>(∑Ni*Ci)/3</t>
  </si>
  <si>
    <t>Fattori ubicazionali</t>
  </si>
  <si>
    <t>Peso</t>
  </si>
  <si>
    <t>Valutazione</t>
  </si>
  <si>
    <t>Punteggio</t>
  </si>
  <si>
    <t>Manodopera</t>
  </si>
  <si>
    <t>Materie prime</t>
  </si>
  <si>
    <t>Mercato</t>
  </si>
  <si>
    <t>Altri</t>
  </si>
  <si>
    <t>Produzione richiesta</t>
  </si>
  <si>
    <t>Produzione effettiva (3% scarti)</t>
  </si>
  <si>
    <t xml:space="preserve">Codice </t>
  </si>
  <si>
    <t>Base corpo principale</t>
  </si>
  <si>
    <t>01.01.R</t>
  </si>
  <si>
    <t>01.01.B</t>
  </si>
  <si>
    <t>01.01.W</t>
  </si>
  <si>
    <t>01.02.R</t>
  </si>
  <si>
    <t>01.02.B</t>
  </si>
  <si>
    <t>01.02.W</t>
  </si>
  <si>
    <t>Parte superiore corpo principale</t>
  </si>
  <si>
    <t>Supporti laterali</t>
  </si>
  <si>
    <t>Eliche</t>
  </si>
  <si>
    <t>02.01.R</t>
  </si>
  <si>
    <t>02.01.B</t>
  </si>
  <si>
    <t>02.01.W</t>
  </si>
  <si>
    <t>02.02.R</t>
  </si>
  <si>
    <t>02.02.B</t>
  </si>
  <si>
    <t>02.02.W</t>
  </si>
  <si>
    <t>03.01.R</t>
  </si>
  <si>
    <t>03.01.B</t>
  </si>
  <si>
    <t>03.01.W</t>
  </si>
  <si>
    <t>03.02.R</t>
  </si>
  <si>
    <t>03.02.B</t>
  </si>
  <si>
    <t>03.02.W</t>
  </si>
  <si>
    <t>04.01.R</t>
  </si>
  <si>
    <t>04.01.B</t>
  </si>
  <si>
    <t>04.01.W</t>
  </si>
  <si>
    <t>04.02.R</t>
  </si>
  <si>
    <t>04.02.B</t>
  </si>
  <si>
    <t>04.02.W</t>
  </si>
  <si>
    <t>10% eliche</t>
  </si>
  <si>
    <t>2% supporti laterali</t>
  </si>
  <si>
    <t>Descrizione</t>
  </si>
  <si>
    <t>Codice</t>
  </si>
  <si>
    <t>Fabbisogno annuo con altri scarti</t>
  </si>
  <si>
    <t>Domanda giornaliera [pz/giorno]</t>
  </si>
  <si>
    <t>Disponibilità</t>
  </si>
  <si>
    <t>Ep</t>
  </si>
  <si>
    <t>Numero macchine effettivo INTERO</t>
  </si>
  <si>
    <t>Presse ad iniezione A</t>
  </si>
  <si>
    <t>Corpo principale</t>
  </si>
  <si>
    <t>Presse ad iniezione B</t>
  </si>
  <si>
    <t>Presse ad iniezione C</t>
  </si>
  <si>
    <t xml:space="preserve">Parte superiore del corpo </t>
  </si>
  <si>
    <t>Cadenza produttiva [stampi/ora]</t>
  </si>
  <si>
    <t>Resa di qualità</t>
  </si>
  <si>
    <t>RISORSE</t>
  </si>
  <si>
    <t>Numero macchine teorico</t>
  </si>
  <si>
    <t>Capacità produttiva teorica [pz/ora]</t>
  </si>
  <si>
    <t xml:space="preserve">Eliche </t>
  </si>
  <si>
    <t>Capacità produttiva effettiva [pz/ora]</t>
  </si>
  <si>
    <t>Costi di trasporto</t>
  </si>
  <si>
    <t>Materiale</t>
  </si>
  <si>
    <t>ABS</t>
  </si>
  <si>
    <t>Unità al giorno</t>
  </si>
  <si>
    <t>Unità per 10 giorni</t>
  </si>
  <si>
    <t>Kg per 10 giorni</t>
  </si>
  <si>
    <t>Numero pallet</t>
  </si>
  <si>
    <t>Numero sacchi per 10 giorni</t>
  </si>
  <si>
    <t>Magazzino materie prime</t>
  </si>
  <si>
    <t>09.00.00</t>
  </si>
  <si>
    <t>Telecamera</t>
  </si>
  <si>
    <t>10.00.00</t>
  </si>
  <si>
    <t>Supporto telecamera</t>
  </si>
  <si>
    <t>11.00.00</t>
  </si>
  <si>
    <t>12.00.00</t>
  </si>
  <si>
    <t>Alimentatore</t>
  </si>
  <si>
    <t xml:space="preserve">Tasto di avvio </t>
  </si>
  <si>
    <t>Etichetta</t>
  </si>
  <si>
    <t>Sacchetti di plastica</t>
  </si>
  <si>
    <t>Scatole</t>
  </si>
  <si>
    <t>Manuali</t>
  </si>
  <si>
    <t>Bollino adesivo</t>
  </si>
  <si>
    <t>Pulsanti sul corpo principale</t>
  </si>
  <si>
    <t>Magazzino componenti</t>
  </si>
  <si>
    <t>Numero di pallet</t>
  </si>
  <si>
    <t>Pallet totali</t>
  </si>
  <si>
    <t>Colore</t>
  </si>
  <si>
    <t>Prodotti per 5 giorni</t>
  </si>
  <si>
    <t>Numero scatole per pallet</t>
  </si>
  <si>
    <t>Magazzino prodotti finiti</t>
  </si>
  <si>
    <t>Red</t>
  </si>
  <si>
    <t>Blue</t>
  </si>
  <si>
    <t>White</t>
  </si>
  <si>
    <t>Tipologia di pressa</t>
  </si>
  <si>
    <t>Quantità</t>
  </si>
  <si>
    <t>Pressa ad iniezione A</t>
  </si>
  <si>
    <t>Pressa ad iniezione B</t>
  </si>
  <si>
    <t>Pressa ad iniezione C</t>
  </si>
  <si>
    <t>Ingombro delle presse</t>
  </si>
  <si>
    <t>Ingombro degli altri macchinari</t>
  </si>
  <si>
    <t xml:space="preserve">Tipologia </t>
  </si>
  <si>
    <t>Isole di assemblaggio</t>
  </si>
  <si>
    <t>Banco di ispezione e controllo</t>
  </si>
  <si>
    <t>Banco di imballaggio</t>
  </si>
  <si>
    <t>Pallettizzatrice</t>
  </si>
  <si>
    <t>Tipologia di magazzino</t>
  </si>
  <si>
    <t>Componenti</t>
  </si>
  <si>
    <t>Prodotti finiti</t>
  </si>
  <si>
    <t>Pressa</t>
  </si>
  <si>
    <t>Assorbimenti impianti di illuminazione</t>
  </si>
  <si>
    <t>Esterno</t>
  </si>
  <si>
    <t>Tipologia di carico</t>
  </si>
  <si>
    <t>Utenza</t>
  </si>
  <si>
    <t>Numero</t>
  </si>
  <si>
    <t>Pressa A</t>
  </si>
  <si>
    <t>Pressa B</t>
  </si>
  <si>
    <t>Pressa C</t>
  </si>
  <si>
    <t>Torre evaporativa A</t>
  </si>
  <si>
    <t>Torre evaporativa B</t>
  </si>
  <si>
    <t>Torre evaporativa C</t>
  </si>
  <si>
    <t>Macchine aria compressa A</t>
  </si>
  <si>
    <t>Macchine aria compressa B</t>
  </si>
  <si>
    <t>Macchine aria compressa C</t>
  </si>
  <si>
    <t>Banco ispezione e controllo</t>
  </si>
  <si>
    <t>Banco imballaggio</t>
  </si>
  <si>
    <t>FEM</t>
  </si>
  <si>
    <t>Pompa 2</t>
  </si>
  <si>
    <t>Pompa 1</t>
  </si>
  <si>
    <t>Alimentazione impianto idrico</t>
  </si>
  <si>
    <t>Raffrescamento/riscaldamento uffici e servizi</t>
  </si>
  <si>
    <t>Raffrescamento/riscaldamento</t>
  </si>
  <si>
    <t>Alimentazione impianti termici</t>
  </si>
  <si>
    <t>Illuminazione aree con prestazioni elevate</t>
  </si>
  <si>
    <t>Illuminazione aree con prestazioni modeste</t>
  </si>
  <si>
    <t>Illuminazione esterna</t>
  </si>
  <si>
    <t>Illuminazione</t>
  </si>
  <si>
    <t>cos φ</t>
  </si>
  <si>
    <t>Sezione minima [mm^2]</t>
  </si>
  <si>
    <t>Ore lavorative [h/gg]</t>
  </si>
  <si>
    <t>Domanda oraria [pz/h]</t>
  </si>
  <si>
    <t>Produzione richiesta con 30% in più della domanda</t>
  </si>
  <si>
    <t>Produzione effettiva (3% scarti) con 30% in più della domanda</t>
  </si>
  <si>
    <t>Totale macchine</t>
  </si>
  <si>
    <t xml:space="preserve">Reparti </t>
  </si>
  <si>
    <t>Reparti</t>
  </si>
  <si>
    <t>SCARTI</t>
  </si>
  <si>
    <t>Fabbisogno annuo</t>
  </si>
  <si>
    <t>Qualità</t>
  </si>
  <si>
    <t>Capacità reale [pz/h]</t>
  </si>
  <si>
    <t>Fabbisogno [pz/h]</t>
  </si>
  <si>
    <t>Cadenza produttiva [s/pz ]</t>
  </si>
  <si>
    <t>Capacità teorica [pz/h ]</t>
  </si>
  <si>
    <t>Pallet</t>
  </si>
  <si>
    <t>Pallet/h</t>
  </si>
  <si>
    <t>Cadenza produttiva [s/pallet]</t>
  </si>
  <si>
    <t>Capacità teorica [pallet/h]</t>
  </si>
  <si>
    <t>Fabbisogno con scarti del 3% + 1% in assemblaggio</t>
  </si>
  <si>
    <t>10% corpo principale</t>
  </si>
  <si>
    <t>5% parte superiore</t>
  </si>
  <si>
    <t>Produzione complessiva con scarti ulteriori</t>
  </si>
  <si>
    <t>Film termoretraibile</t>
  </si>
  <si>
    <t>h/pallet</t>
  </si>
  <si>
    <t>s/pallet</t>
  </si>
  <si>
    <t>Capacità reale [pallet/h]</t>
  </si>
  <si>
    <t>Ingombro delle presse con il 30% di domanda in più</t>
  </si>
  <si>
    <t xml:space="preserve">Ingombro degli altri macchinari con il 30% di domanda in più </t>
  </si>
  <si>
    <t>Chiari</t>
  </si>
  <si>
    <t>Rovato</t>
  </si>
  <si>
    <t>Domanda giornaliera[pz/h]</t>
  </si>
  <si>
    <t>Pezzi per 20 gg</t>
  </si>
  <si>
    <t>Pezzi per scatola o rotolo</t>
  </si>
  <si>
    <t>Numero di scatole o rotoli</t>
  </si>
  <si>
    <t xml:space="preserve">Numero di scatole o rotoli per pallet </t>
  </si>
  <si>
    <t>Sgrassante</t>
  </si>
  <si>
    <t>1 pulizia stampi al giorno per 2 presse B</t>
  </si>
  <si>
    <t>2 pulizie stampi per le presse dedicate alle eliche</t>
  </si>
  <si>
    <t>5 pulizie per le presse dedicate ai supporti laterali</t>
  </si>
  <si>
    <t>Numero scaffali</t>
  </si>
  <si>
    <t>Area totale occupata</t>
  </si>
  <si>
    <t>Dimensione [m^2]</t>
  </si>
  <si>
    <t>Acqua per uso potabile</t>
  </si>
  <si>
    <t>Dipendenti</t>
  </si>
  <si>
    <t xml:space="preserve">Mensa </t>
  </si>
  <si>
    <t>Sanitari</t>
  </si>
  <si>
    <t>Diametro esterno effettivo [mm]</t>
  </si>
  <si>
    <t>Spessore effettivo</t>
  </si>
  <si>
    <t>Velocità effettiva [m/s]</t>
  </si>
  <si>
    <t>Numero curve</t>
  </si>
  <si>
    <t>Numero valvole di ritegno</t>
  </si>
  <si>
    <t>Numero valvole a saracinesca</t>
  </si>
  <si>
    <t>Diametro esterno [m]</t>
  </si>
  <si>
    <t>∆p/(ρ*g)</t>
  </si>
  <si>
    <t>Aree che richiedono modeste prestazioni (magazzini,bagni, spogliatoi,mensa, ristoro, infiermeria)</t>
  </si>
  <si>
    <t>Numero totale</t>
  </si>
  <si>
    <t>Ingombro dei magazzini con il 30% di domanda in più</t>
  </si>
  <si>
    <t>Pallet per scaffale</t>
  </si>
  <si>
    <t>Superficie scaffale [m^2]</t>
  </si>
  <si>
    <t>Silos</t>
  </si>
  <si>
    <t>Film per avvolgere un pallet [m^2]</t>
  </si>
  <si>
    <t>Film per avvolgere un pallet [kg]</t>
  </si>
  <si>
    <t>Peso bobina [kg]</t>
  </si>
  <si>
    <t>Numero bobine</t>
  </si>
  <si>
    <t>Numero di pulizie totali in 20 giorni</t>
  </si>
  <si>
    <t>Consumo per pulizia [kg]</t>
  </si>
  <si>
    <t>Consumo complessivo sgrassante[kg]</t>
  </si>
  <si>
    <t>Dimensione barattolo[kg]</t>
  </si>
  <si>
    <t>Numero barattoli per eccesso</t>
  </si>
  <si>
    <t>Numero barattoli per pallet</t>
  </si>
  <si>
    <t>Silos richiesti</t>
  </si>
  <si>
    <t>Silos richiesti effettivi</t>
  </si>
  <si>
    <t>Magazzino materie prime con 30% in più della domanda</t>
  </si>
  <si>
    <t>Magazzino componenti con 30% in più della domanda</t>
  </si>
  <si>
    <t>Peso al m^2 [g]</t>
  </si>
  <si>
    <t>Peso totale film utilizzato [kg]</t>
  </si>
  <si>
    <t>Ipotesi per la pulizia stampi di cui si ipotizza un consumo di 5kg ciascuno</t>
  </si>
  <si>
    <t>Stoccato a terra</t>
  </si>
  <si>
    <t>Volume al giorno</t>
  </si>
  <si>
    <t>Ingombro per unità [m^2/u]</t>
  </si>
  <si>
    <t>Ingombro totale [m^2]</t>
  </si>
  <si>
    <t>Ingombro dei magazzini</t>
  </si>
  <si>
    <t>Area totale occupata [m^2]</t>
  </si>
  <si>
    <t>Pezzi per 20 giorni</t>
  </si>
  <si>
    <t>Numero pallet di prodotti finiti in 20 giorni</t>
  </si>
  <si>
    <t>Numero totale pallet per 20 giorni</t>
  </si>
  <si>
    <t>Nel caso di componenti e prodotti finiti ipotizzo che ci stiano 24 pallet su uno scaffale, nel caso delle materie prime, stoccate a terra, ipotizzo una dimensione  dei pallet di 0,96 m^2 (1,2 x 0,8)</t>
  </si>
  <si>
    <t>Ipotizzo 16 sacchi per pallet</t>
  </si>
  <si>
    <t>Silos per l'essicazione</t>
  </si>
  <si>
    <t>kg al giorno</t>
  </si>
  <si>
    <t>Densità del materiale</t>
  </si>
  <si>
    <t>Capacità silos [m^3]</t>
  </si>
  <si>
    <t>Assorbimento [W/m^2]</t>
  </si>
  <si>
    <t>Area [m^2]</t>
  </si>
  <si>
    <t>Potenza richiesta [W]</t>
  </si>
  <si>
    <t>Potenza di targa [kW]</t>
  </si>
  <si>
    <t>Ib [A]</t>
  </si>
  <si>
    <t>r [Ω/km]</t>
  </si>
  <si>
    <t>ΔV tollerato (max) [V]</t>
  </si>
  <si>
    <t>L [m]</t>
  </si>
  <si>
    <t>ΔV  [V]</t>
  </si>
  <si>
    <t>Aree che richiedono elevate prestazioni (Area1, Area2, Uffici, Servizi)</t>
  </si>
  <si>
    <t>k</t>
  </si>
  <si>
    <t>sen φ</t>
  </si>
  <si>
    <t>Fattore di potenza</t>
  </si>
  <si>
    <t>Totale [m^3/h]</t>
  </si>
  <si>
    <t>Portata minima necessaria [m^3/h]</t>
  </si>
  <si>
    <t>Portata acqua richiesta a pressa [m^3/h]</t>
  </si>
  <si>
    <t>Portata acqua totale [m^3/h]</t>
  </si>
  <si>
    <t>Portata d'acqua [m^3/h]</t>
  </si>
  <si>
    <t>Portata d'acqua [m^3/s]</t>
  </si>
  <si>
    <t>Diametro interno [mm]</t>
  </si>
  <si>
    <t>Pressione all'utenza [Pa]</t>
  </si>
  <si>
    <t>Spessore minimo [mm]</t>
  </si>
  <si>
    <t>Diametro interno effettivo [mm]</t>
  </si>
  <si>
    <t>Numero presse</t>
  </si>
  <si>
    <t>Numero pulizie per pressa</t>
  </si>
  <si>
    <t>Totale pulizie al giorno</t>
  </si>
  <si>
    <t>Dimensionamento pompa 2</t>
  </si>
  <si>
    <t>Fabbisogno idrico della pompa 2 con il 30% di domanda in più</t>
  </si>
  <si>
    <t>Fabbisogno [L/(gg*persona)]</t>
  </si>
  <si>
    <t>Diametro esterno [mm]</t>
  </si>
  <si>
    <t>Spessore effettivo [mm]</t>
  </si>
  <si>
    <t>Ipotizzo una pressione all'utenza di 300000 pascal e inizialmente una velocità v = 1 m/s</t>
  </si>
  <si>
    <t>Dimensionamento condotto serbatoio-presse</t>
  </si>
  <si>
    <t>Dimensionamento condotto serbatoio-presse con il 30% della domanda in più</t>
  </si>
  <si>
    <t>Lunghezza equivalente [m]</t>
  </si>
  <si>
    <t>Lunghezza effettiva [m]</t>
  </si>
  <si>
    <t>Lunghezza cavo tratto 3 [m]</t>
  </si>
  <si>
    <t>Lunghezza cavo tratto 2 [m]</t>
  </si>
  <si>
    <t>Lunghezza cavo tratto 1 [m]</t>
  </si>
  <si>
    <t>Lunghezza equivalente curve [m]</t>
  </si>
  <si>
    <t>Lunghezza equivalente totale [m]</t>
  </si>
  <si>
    <t>Servizi</t>
  </si>
  <si>
    <t>Lunghezza totale [m]</t>
  </si>
  <si>
    <t>Lunghezza equivalente valvole di ritegno [m]</t>
  </si>
  <si>
    <t>Lunghezza equivalente valvole a saracinesca [m]</t>
  </si>
  <si>
    <t>Numero di Reynolds</t>
  </si>
  <si>
    <t>Rugosità relativa</t>
  </si>
  <si>
    <t>Fattore di attrito λ</t>
  </si>
  <si>
    <t>Viscosità cinematica dell'acqua υ [m^2/s]</t>
  </si>
  <si>
    <t>Y [m]</t>
  </si>
  <si>
    <t>∆z [m]</t>
  </si>
  <si>
    <t>H [m]</t>
  </si>
  <si>
    <t>Portata d'acqua [L/min]</t>
  </si>
  <si>
    <t>Potenza idrica [W]</t>
  </si>
  <si>
    <t xml:space="preserve"> η idrico</t>
  </si>
  <si>
    <t xml:space="preserve"> η elettrico</t>
  </si>
  <si>
    <t>Potenza elettrica [W]</t>
  </si>
  <si>
    <t>Dimensionamento pompa 2 con il 30% della domanda in più</t>
  </si>
  <si>
    <t>Dimensionamento condotto falda serbatoio</t>
  </si>
  <si>
    <t>Lunghezza totale delle tubature che collegano il serbatoio alle presse con il 30% della domanda in più</t>
  </si>
  <si>
    <t>Lunghezza totale equivalente celle tubature che collegano il serbatoio alle presse con il 30% della domanda in più</t>
  </si>
  <si>
    <t>Peso specifico acqua γ [N/m^3]</t>
  </si>
  <si>
    <t>Fabbisogno idrico della pompa 2</t>
  </si>
  <si>
    <t>Lunghezza totale equivalente celle tubature che collegano il serbatoio alle presse</t>
  </si>
  <si>
    <t>Lunghezza totale delle tubature che collegano il serbatoio alle presse</t>
  </si>
  <si>
    <t>Lunghezza totale telle tubature che collegano la falda al serbatoio</t>
  </si>
  <si>
    <t>Dimensionamento pompa 1</t>
  </si>
  <si>
    <t>Potenza totale di targa [kW]</t>
  </si>
  <si>
    <t>Potenza contrattuale [kW]</t>
  </si>
  <si>
    <t>Fu,eff</t>
  </si>
  <si>
    <t>Fu, eff</t>
  </si>
  <si>
    <t>Fc</t>
  </si>
  <si>
    <t>Dimensionamento delle principali condutture</t>
  </si>
  <si>
    <t>Po [W]</t>
  </si>
  <si>
    <t>Pcn [W]</t>
  </si>
  <si>
    <t>Dimensionamento del trasformatore</t>
  </si>
  <si>
    <t>Stima della potenza contrattuale</t>
  </si>
  <si>
    <t>Vnominale [V]</t>
  </si>
  <si>
    <t>x [Ω/km]</t>
  </si>
  <si>
    <t>Potenza apparente [kWA]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</si>
</sst>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0"/>
    <numFmt numFmtId="165" formatCode="0.000000000"/>
    <numFmt numFmtId="166" formatCode="0.0000000"/>
    <numFmt numFmtId="167" formatCode="0.000"/>
    <numFmt numFmtId="168" formatCode="0.0000"/>
    <numFmt numFmtId="169" formatCode="0.0"/>
  </numFmts>
  <fonts count="25">
    <font>
      <sz val="12"/>
      <color theme="1"/>
      <name val="Calibri"/>
      <family val="2"/>
      <scheme val="minor"/>
    </font>
    <font>
      <b/>
      <sz val="12"/>
      <color theme="1"/>
      <name val="Corbel"/>
    </font>
    <font>
      <b/>
      <sz val="12"/>
      <color rgb="FF000000"/>
      <name val="Corbel"/>
    </font>
    <font>
      <sz val="12"/>
      <color rgb="FF000000"/>
      <name val="Corbel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 (Corpo)"/>
    </font>
    <font>
      <b/>
      <sz val="12"/>
      <color theme="2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A8D08D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A8A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CAFFF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54">
    <xf numFmtId="0" fontId="0" fillId="0" borderId="0" xfId="0"/>
    <xf numFmtId="0" fontId="0" fillId="0" borderId="0" xfId="0" applyBorder="1"/>
    <xf numFmtId="0" fontId="3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0" fillId="0" borderId="1" xfId="0" applyBorder="1"/>
    <xf numFmtId="0" fontId="4" fillId="4" borderId="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3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5" borderId="1" xfId="0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10" fillId="0" borderId="0" xfId="0" applyFont="1"/>
    <xf numFmtId="0" fontId="0" fillId="10" borderId="0" xfId="0" applyFill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" fontId="4" fillId="5" borderId="0" xfId="0" applyNumberFormat="1" applyFont="1" applyFill="1" applyAlignment="1">
      <alignment horizontal="center"/>
    </xf>
    <xf numFmtId="0" fontId="17" fillId="0" borderId="0" xfId="0" applyFont="1"/>
    <xf numFmtId="168" fontId="0" fillId="0" borderId="0" xfId="0" applyNumberFormat="1"/>
    <xf numFmtId="1" fontId="0" fillId="0" borderId="0" xfId="0" applyNumberFormat="1" applyFont="1" applyFill="1" applyBorder="1" applyAlignment="1"/>
    <xf numFmtId="0" fontId="0" fillId="0" borderId="0" xfId="0" applyFill="1" applyAlignment="1">
      <alignment horizontal="center" vertical="center"/>
    </xf>
    <xf numFmtId="1" fontId="4" fillId="9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0" fillId="20" borderId="0" xfId="0" applyFill="1"/>
    <xf numFmtId="0" fontId="0" fillId="20" borderId="0" xfId="0" applyFill="1" applyAlignment="1">
      <alignment horizontal="right"/>
    </xf>
    <xf numFmtId="0" fontId="21" fillId="0" borderId="0" xfId="0" applyFont="1" applyBorder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" fontId="0" fillId="0" borderId="1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4" borderId="12" xfId="0" applyNumberFormat="1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1" fontId="0" fillId="24" borderId="13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3" fillId="23" borderId="1" xfId="0" applyFont="1" applyFill="1" applyBorder="1" applyAlignment="1">
      <alignment horizontal="center" vertical="center"/>
    </xf>
    <xf numFmtId="0" fontId="23" fillId="23" borderId="11" xfId="0" applyFont="1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1" fontId="0" fillId="24" borderId="1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0" fontId="21" fillId="0" borderId="0" xfId="0" applyFont="1" applyFill="1" applyBorder="1" applyAlignment="1"/>
    <xf numFmtId="0" fontId="22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27" borderId="0" xfId="0" applyFill="1"/>
    <xf numFmtId="0" fontId="0" fillId="27" borderId="0" xfId="0" applyFill="1" applyAlignment="1">
      <alignment horizontal="center"/>
    </xf>
    <xf numFmtId="0" fontId="0" fillId="27" borderId="0" xfId="0" applyNumberFormat="1" applyFill="1"/>
    <xf numFmtId="0" fontId="0" fillId="27" borderId="0" xfId="0" applyFill="1" applyBorder="1"/>
    <xf numFmtId="0" fontId="0" fillId="27" borderId="0" xfId="0" applyFill="1" applyBorder="1" applyAlignment="1"/>
    <xf numFmtId="0" fontId="15" fillId="0" borderId="0" xfId="0" applyFont="1" applyFill="1" applyBorder="1" applyAlignment="1">
      <alignment vertical="center"/>
    </xf>
    <xf numFmtId="1" fontId="0" fillId="0" borderId="0" xfId="0" applyNumberFormat="1" applyFill="1"/>
    <xf numFmtId="1" fontId="0" fillId="0" borderId="0" xfId="0" applyNumberFormat="1" applyFill="1" applyBorder="1"/>
    <xf numFmtId="0" fontId="14" fillId="0" borderId="0" xfId="0" applyFont="1" applyFill="1" applyBorder="1" applyAlignment="1">
      <alignment vertical="center"/>
    </xf>
    <xf numFmtId="0" fontId="15" fillId="27" borderId="0" xfId="0" applyFont="1" applyFill="1" applyBorder="1" applyAlignment="1">
      <alignment vertical="center"/>
    </xf>
    <xf numFmtId="0" fontId="4" fillId="27" borderId="0" xfId="0" applyFont="1" applyFill="1" applyBorder="1" applyAlignment="1">
      <alignment vertical="center" wrapText="1"/>
    </xf>
    <xf numFmtId="0" fontId="0" fillId="27" borderId="0" xfId="0" applyFill="1" applyBorder="1" applyAlignment="1">
      <alignment vertical="center"/>
    </xf>
    <xf numFmtId="0" fontId="0" fillId="27" borderId="0" xfId="0" applyFill="1" applyBorder="1" applyAlignment="1">
      <alignment horizontal="center" vertical="center"/>
    </xf>
    <xf numFmtId="0" fontId="0" fillId="27" borderId="0" xfId="0" applyFont="1" applyFill="1" applyBorder="1" applyAlignment="1"/>
    <xf numFmtId="0" fontId="0" fillId="27" borderId="0" xfId="0" applyFont="1" applyFill="1" applyBorder="1"/>
    <xf numFmtId="0" fontId="0" fillId="27" borderId="0" xfId="0" applyFont="1" applyFill="1" applyBorder="1" applyAlignment="1">
      <alignment vertical="center"/>
    </xf>
    <xf numFmtId="0" fontId="0" fillId="27" borderId="0" xfId="0" applyFont="1" applyFill="1" applyBorder="1" applyAlignment="1">
      <alignment horizontal="center" vertical="center"/>
    </xf>
    <xf numFmtId="0" fontId="0" fillId="27" borderId="0" xfId="0" applyFont="1" applyFill="1"/>
    <xf numFmtId="0" fontId="4" fillId="27" borderId="0" xfId="0" applyFont="1" applyFill="1" applyBorder="1" applyAlignment="1">
      <alignment vertical="center"/>
    </xf>
    <xf numFmtId="0" fontId="0" fillId="27" borderId="0" xfId="0" applyFill="1" applyBorder="1" applyAlignment="1">
      <alignment horizontal="center"/>
    </xf>
    <xf numFmtId="0" fontId="0" fillId="27" borderId="0" xfId="0" applyFill="1" applyBorder="1" applyAlignment="1">
      <alignment vertical="center" wrapText="1"/>
    </xf>
    <xf numFmtId="2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/>
    </xf>
    <xf numFmtId="167" fontId="0" fillId="0" borderId="0" xfId="0" applyNumberForma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27" borderId="0" xfId="0" applyFill="1" applyAlignment="1"/>
    <xf numFmtId="0" fontId="0" fillId="0" borderId="0" xfId="0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12" fillId="15" borderId="2" xfId="0" applyFont="1" applyFill="1" applyBorder="1" applyAlignment="1">
      <alignment horizontal="center" vertical="center" wrapText="1"/>
    </xf>
    <xf numFmtId="0" fontId="12" fillId="15" borderId="5" xfId="0" applyFont="1" applyFill="1" applyBorder="1" applyAlignment="1">
      <alignment horizontal="center" vertical="center" wrapText="1"/>
    </xf>
    <xf numFmtId="0" fontId="12" fillId="15" borderId="3" xfId="0" applyFont="1" applyFill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2" fillId="15" borderId="2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12" fillId="15" borderId="3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12" fillId="18" borderId="9" xfId="0" applyFont="1" applyFill="1" applyBorder="1" applyAlignment="1">
      <alignment horizontal="center"/>
    </xf>
    <xf numFmtId="0" fontId="12" fillId="18" borderId="10" xfId="0" applyFont="1" applyFill="1" applyBorder="1" applyAlignment="1">
      <alignment horizontal="center"/>
    </xf>
    <xf numFmtId="0" fontId="12" fillId="18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4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" fontId="0" fillId="10" borderId="0" xfId="0" applyNumberFormat="1" applyFont="1" applyFill="1" applyBorder="1" applyAlignment="1">
      <alignment horizontal="center" wrapText="1"/>
    </xf>
    <xf numFmtId="1" fontId="0" fillId="10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0" xfId="0" applyFont="1" applyFill="1" applyBorder="1" applyAlignment="1">
      <alignment horizontal="center" vertical="center" wrapText="1"/>
    </xf>
    <xf numFmtId="0" fontId="12" fillId="18" borderId="6" xfId="0" applyFont="1" applyFill="1" applyBorder="1" applyAlignment="1">
      <alignment horizontal="center" vertical="center" wrapText="1"/>
    </xf>
    <xf numFmtId="0" fontId="12" fillId="11" borderId="12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 vertical="center"/>
    </xf>
    <xf numFmtId="0" fontId="12" fillId="18" borderId="3" xfId="0" applyFont="1" applyFill="1" applyBorder="1" applyAlignment="1">
      <alignment horizontal="center" vertical="center"/>
    </xf>
    <xf numFmtId="0" fontId="12" fillId="18" borderId="0" xfId="0" applyFont="1" applyFill="1" applyBorder="1" applyAlignment="1">
      <alignment horizontal="center" vertical="center"/>
    </xf>
    <xf numFmtId="0" fontId="12" fillId="18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18" borderId="12" xfId="0" applyFont="1" applyFill="1" applyBorder="1" applyAlignment="1">
      <alignment horizontal="center" vertical="center" wrapText="1"/>
    </xf>
    <xf numFmtId="0" fontId="12" fillId="18" borderId="13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16" fillId="8" borderId="14" xfId="0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19" fillId="8" borderId="14" xfId="0" applyFont="1" applyFill="1" applyBorder="1" applyAlignment="1">
      <alignment horizontal="center" vertical="center"/>
    </xf>
    <xf numFmtId="0" fontId="19" fillId="8" borderId="16" xfId="0" applyFont="1" applyFill="1" applyBorder="1" applyAlignment="1">
      <alignment horizontal="center" vertical="center"/>
    </xf>
    <xf numFmtId="0" fontId="19" fillId="8" borderId="17" xfId="0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3" fillId="11" borderId="14" xfId="0" applyFont="1" applyFill="1" applyBorder="1" applyAlignment="1">
      <alignment horizontal="center" vertical="center"/>
    </xf>
    <xf numFmtId="0" fontId="13" fillId="11" borderId="16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3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1" fontId="0" fillId="0" borderId="9" xfId="0" applyNumberFormat="1" applyFont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1" fontId="0" fillId="0" borderId="11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1" fontId="0" fillId="0" borderId="17" xfId="0" applyNumberFormat="1" applyFont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1" fontId="0" fillId="0" borderId="18" xfId="0" applyNumberFormat="1" applyFont="1" applyBorder="1" applyAlignment="1">
      <alignment horizontal="center" vertical="center"/>
    </xf>
    <xf numFmtId="1" fontId="0" fillId="0" borderId="13" xfId="0" applyNumberFormat="1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0" fontId="0" fillId="14" borderId="9" xfId="0" applyFont="1" applyFill="1" applyBorder="1" applyAlignment="1">
      <alignment horizontal="center"/>
    </xf>
    <xf numFmtId="0" fontId="0" fillId="14" borderId="10" xfId="0" applyFont="1" applyFill="1" applyBorder="1" applyAlignment="1">
      <alignment horizontal="center"/>
    </xf>
    <xf numFmtId="0" fontId="0" fillId="14" borderId="11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18" borderId="14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4" fillId="18" borderId="17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horizontal="center" vertical="center"/>
    </xf>
    <xf numFmtId="0" fontId="4" fillId="18" borderId="6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6" xfId="0" applyFont="1" applyFill="1" applyBorder="1" applyAlignment="1">
      <alignment horizontal="center" vertical="center" wrapText="1"/>
    </xf>
    <xf numFmtId="0" fontId="4" fillId="11" borderId="17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4" fillId="11" borderId="18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17" xfId="0" applyNumberFormat="1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4" fillId="17" borderId="17" xfId="0" applyFont="1" applyFill="1" applyBorder="1" applyAlignment="1">
      <alignment horizontal="center" vertical="center"/>
    </xf>
    <xf numFmtId="0" fontId="4" fillId="17" borderId="13" xfId="0" applyFont="1" applyFill="1" applyBorder="1" applyAlignment="1">
      <alignment horizontal="center" vertical="center"/>
    </xf>
    <xf numFmtId="0" fontId="4" fillId="17" borderId="6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 wrapText="1"/>
    </xf>
    <xf numFmtId="0" fontId="9" fillId="10" borderId="0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23" fillId="23" borderId="9" xfId="0" applyFont="1" applyFill="1" applyBorder="1" applyAlignment="1">
      <alignment horizontal="center"/>
    </xf>
    <xf numFmtId="0" fontId="23" fillId="23" borderId="10" xfId="0" applyFont="1" applyFill="1" applyBorder="1" applyAlignment="1">
      <alignment horizontal="center"/>
    </xf>
    <xf numFmtId="0" fontId="23" fillId="23" borderId="11" xfId="0" applyFont="1" applyFill="1" applyBorder="1" applyAlignment="1">
      <alignment horizontal="center"/>
    </xf>
    <xf numFmtId="0" fontId="0" fillId="24" borderId="14" xfId="0" applyFill="1" applyBorder="1" applyAlignment="1">
      <alignment horizontal="left" vertical="center"/>
    </xf>
    <xf numFmtId="0" fontId="0" fillId="24" borderId="16" xfId="0" applyFill="1" applyBorder="1" applyAlignment="1">
      <alignment horizontal="left" vertical="center"/>
    </xf>
    <xf numFmtId="0" fontId="0" fillId="24" borderId="12" xfId="0" applyFill="1" applyBorder="1" applyAlignment="1">
      <alignment horizontal="left" vertical="center"/>
    </xf>
    <xf numFmtId="0" fontId="0" fillId="24" borderId="0" xfId="0" applyFill="1" applyBorder="1" applyAlignment="1">
      <alignment horizontal="left" vertical="center"/>
    </xf>
    <xf numFmtId="0" fontId="0" fillId="24" borderId="13" xfId="0" applyFill="1" applyBorder="1" applyAlignment="1">
      <alignment horizontal="left" vertical="center"/>
    </xf>
    <xf numFmtId="0" fontId="0" fillId="24" borderId="6" xfId="0" applyFill="1" applyBorder="1" applyAlignment="1">
      <alignment horizontal="left" vertical="center"/>
    </xf>
    <xf numFmtId="0" fontId="21" fillId="25" borderId="9" xfId="0" applyFont="1" applyFill="1" applyBorder="1" applyAlignment="1">
      <alignment horizontal="center"/>
    </xf>
    <xf numFmtId="0" fontId="21" fillId="25" borderId="11" xfId="0" applyFont="1" applyFill="1" applyBorder="1" applyAlignment="1">
      <alignment horizontal="center"/>
    </xf>
    <xf numFmtId="0" fontId="20" fillId="4" borderId="14" xfId="0" applyFont="1" applyFill="1" applyBorder="1" applyAlignment="1">
      <alignment horizontal="center" vertical="center" wrapText="1"/>
    </xf>
    <xf numFmtId="0" fontId="20" fillId="4" borderId="17" xfId="0" applyFont="1" applyFill="1" applyBorder="1" applyAlignment="1">
      <alignment horizontal="center" vertical="center" wrapText="1"/>
    </xf>
    <xf numFmtId="0" fontId="20" fillId="4" borderId="12" xfId="0" applyFont="1" applyFill="1" applyBorder="1" applyAlignment="1">
      <alignment horizontal="center" vertical="center" wrapText="1"/>
    </xf>
    <xf numFmtId="0" fontId="20" fillId="4" borderId="18" xfId="0" applyFont="1" applyFill="1" applyBorder="1" applyAlignment="1">
      <alignment horizontal="center" vertical="center" wrapText="1"/>
    </xf>
    <xf numFmtId="0" fontId="20" fillId="4" borderId="13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1" fontId="0" fillId="0" borderId="9" xfId="0" applyNumberFormat="1" applyFont="1" applyBorder="1" applyAlignment="1">
      <alignment horizontal="center" vertical="center"/>
    </xf>
    <xf numFmtId="1" fontId="0" fillId="0" borderId="1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4" fillId="15" borderId="10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24" borderId="17" xfId="0" applyFill="1" applyBorder="1" applyAlignment="1">
      <alignment horizontal="left" vertical="center"/>
    </xf>
    <xf numFmtId="0" fontId="0" fillId="24" borderId="18" xfId="0" applyFill="1" applyBorder="1" applyAlignment="1">
      <alignment horizontal="left" vertical="center"/>
    </xf>
    <xf numFmtId="0" fontId="0" fillId="24" borderId="4" xfId="0" applyFill="1" applyBorder="1" applyAlignment="1">
      <alignment horizontal="left" vertical="center"/>
    </xf>
    <xf numFmtId="0" fontId="20" fillId="11" borderId="14" xfId="0" applyFont="1" applyFill="1" applyBorder="1" applyAlignment="1">
      <alignment horizontal="center" vertical="center" wrapText="1"/>
    </xf>
    <xf numFmtId="0" fontId="20" fillId="11" borderId="17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20" fillId="11" borderId="13" xfId="0" applyFont="1" applyFill="1" applyBorder="1" applyAlignment="1">
      <alignment horizontal="center" vertical="center" wrapText="1"/>
    </xf>
    <xf numFmtId="0" fontId="20" fillId="11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15" borderId="14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3" fillId="23" borderId="9" xfId="0" applyFont="1" applyFill="1" applyBorder="1" applyAlignment="1">
      <alignment horizontal="center" vertical="center"/>
    </xf>
    <xf numFmtId="0" fontId="23" fillId="23" borderId="10" xfId="0" applyFont="1" applyFill="1" applyBorder="1" applyAlignment="1">
      <alignment horizontal="center" vertical="center"/>
    </xf>
    <xf numFmtId="0" fontId="23" fillId="23" borderId="11" xfId="0" applyFont="1" applyFill="1" applyBorder="1" applyAlignment="1">
      <alignment horizontal="center" vertical="center"/>
    </xf>
    <xf numFmtId="0" fontId="0" fillId="26" borderId="9" xfId="0" applyFill="1" applyBorder="1" applyAlignment="1">
      <alignment horizontal="center" wrapText="1"/>
    </xf>
    <xf numFmtId="0" fontId="0" fillId="26" borderId="10" xfId="0" applyFill="1" applyBorder="1" applyAlignment="1">
      <alignment horizontal="center" wrapText="1"/>
    </xf>
    <xf numFmtId="0" fontId="0" fillId="26" borderId="11" xfId="0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4" fillId="11" borderId="9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4" fillId="18" borderId="10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0" fillId="4" borderId="9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0" fillId="21" borderId="9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4" borderId="9" xfId="0" applyFill="1" applyBorder="1" applyAlignment="1">
      <alignment horizontal="center" vertical="center" wrapText="1"/>
    </xf>
    <xf numFmtId="0" fontId="0" fillId="24" borderId="10" xfId="0" applyFill="1" applyBorder="1" applyAlignment="1">
      <alignment horizontal="center" vertical="center" wrapText="1"/>
    </xf>
    <xf numFmtId="0" fontId="0" fillId="24" borderId="11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4" fillId="15" borderId="14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4" fillId="15" borderId="13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 vertical="center" wrapText="1"/>
    </xf>
    <xf numFmtId="0" fontId="4" fillId="11" borderId="19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18" borderId="14" xfId="0" applyFont="1" applyFill="1" applyBorder="1" applyAlignment="1">
      <alignment horizontal="center" vertical="center" wrapText="1"/>
    </xf>
    <xf numFmtId="0" fontId="4" fillId="18" borderId="16" xfId="0" applyFont="1" applyFill="1" applyBorder="1" applyAlignment="1">
      <alignment horizontal="center" vertical="center" wrapText="1"/>
    </xf>
    <xf numFmtId="0" fontId="4" fillId="18" borderId="17" xfId="0" applyFont="1" applyFill="1" applyBorder="1" applyAlignment="1">
      <alignment horizontal="center" vertical="center" wrapText="1"/>
    </xf>
    <xf numFmtId="0" fontId="4" fillId="18" borderId="13" xfId="0" applyFont="1" applyFill="1" applyBorder="1" applyAlignment="1">
      <alignment horizontal="center" vertical="center" wrapText="1"/>
    </xf>
    <xf numFmtId="0" fontId="4" fillId="18" borderId="6" xfId="0" applyFont="1" applyFill="1" applyBorder="1" applyAlignment="1">
      <alignment horizontal="center" vertical="center" wrapText="1"/>
    </xf>
    <xf numFmtId="0" fontId="4" fillId="18" borderId="4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/>
    </xf>
    <xf numFmtId="0" fontId="4" fillId="18" borderId="18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 wrapText="1"/>
    </xf>
    <xf numFmtId="0" fontId="4" fillId="18" borderId="3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18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4" fillId="18" borderId="2" xfId="0" applyFont="1" applyFill="1" applyBorder="1" applyAlignment="1">
      <alignment horizontal="center" vertical="center"/>
    </xf>
    <xf numFmtId="0" fontId="4" fillId="18" borderId="2" xfId="0" applyFont="1" applyFill="1" applyBorder="1" applyAlignment="1">
      <alignment horizontal="center" vertical="center" wrapText="1"/>
    </xf>
    <xf numFmtId="0" fontId="4" fillId="27" borderId="0" xfId="0" applyFont="1" applyFill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mruColors>
      <color rgb="FFCAFFFE"/>
      <color rgb="FFFFCCFF"/>
      <color rgb="FFFFD2C4"/>
      <color rgb="FFFF99CC"/>
      <color rgb="FFFFA8A7"/>
      <color rgb="FFFF7E79"/>
      <color rgb="FFFE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 b="1">
                <a:solidFill>
                  <a:schemeClr val="tx1"/>
                </a:solidFill>
              </a:rPr>
              <a:t>DIAGRAMMA DI GANTT</a:t>
            </a:r>
          </a:p>
        </c:rich>
      </c:tx>
      <c:layout>
        <c:manualLayout>
          <c:xMode val="edge"/>
          <c:yMode val="edge"/>
          <c:x val="0.44355764031991063"/>
          <c:y val="1.7048630379149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375828781881276E-2"/>
          <c:y val="3.8396988156159238E-2"/>
          <c:w val="0.9462756830545187"/>
          <c:h val="0.861228105352239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Attività!$C$3:$C$4</c:f>
              <c:strCache>
                <c:ptCount val="2"/>
                <c:pt idx="0">
                  <c:v>Data di inizio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Attività!$B$5:$B$24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O</c:v>
                </c:pt>
                <c:pt idx="13">
                  <c:v>P</c:v>
                </c:pt>
                <c:pt idx="14">
                  <c:v>Q</c:v>
                </c:pt>
                <c:pt idx="15">
                  <c:v>R</c:v>
                </c:pt>
                <c:pt idx="16">
                  <c:v>S</c:v>
                </c:pt>
                <c:pt idx="17">
                  <c:v>T</c:v>
                </c:pt>
                <c:pt idx="18">
                  <c:v>U</c:v>
                </c:pt>
                <c:pt idx="19">
                  <c:v>V</c:v>
                </c:pt>
              </c:strCache>
            </c:strRef>
          </c:cat>
          <c:val>
            <c:numRef>
              <c:f>Attività!$C$5:$C$24</c:f>
              <c:numCache>
                <c:formatCode>m/d/yy</c:formatCode>
                <c:ptCount val="20"/>
                <c:pt idx="0">
                  <c:v>43934</c:v>
                </c:pt>
                <c:pt idx="1">
                  <c:v>43943</c:v>
                </c:pt>
                <c:pt idx="2">
                  <c:v>43943</c:v>
                </c:pt>
                <c:pt idx="3">
                  <c:v>43943</c:v>
                </c:pt>
                <c:pt idx="4">
                  <c:v>43943</c:v>
                </c:pt>
                <c:pt idx="5">
                  <c:v>43950</c:v>
                </c:pt>
                <c:pt idx="6">
                  <c:v>43985</c:v>
                </c:pt>
                <c:pt idx="7">
                  <c:v>43992</c:v>
                </c:pt>
                <c:pt idx="8">
                  <c:v>43964</c:v>
                </c:pt>
                <c:pt idx="9">
                  <c:v>44020</c:v>
                </c:pt>
                <c:pt idx="10">
                  <c:v>43964</c:v>
                </c:pt>
                <c:pt idx="11">
                  <c:v>43992</c:v>
                </c:pt>
                <c:pt idx="12">
                  <c:v>44020</c:v>
                </c:pt>
                <c:pt idx="13">
                  <c:v>44265</c:v>
                </c:pt>
                <c:pt idx="14">
                  <c:v>44041</c:v>
                </c:pt>
                <c:pt idx="15">
                  <c:v>44293</c:v>
                </c:pt>
                <c:pt idx="16">
                  <c:v>44321</c:v>
                </c:pt>
                <c:pt idx="17">
                  <c:v>43992</c:v>
                </c:pt>
                <c:pt idx="18">
                  <c:v>44097</c:v>
                </c:pt>
                <c:pt idx="19">
                  <c:v>44335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D-C243-B3EF-78C8D0A94CD2}"/>
            </c:ext>
          </c:extLst>
        </c:ser>
        <c:ser>
          <c:idx val="1"/>
          <c:order val="1"/>
          <c:tx>
            <c:strRef>
              <c:f>Attività!$D$3:$D$4</c:f>
              <c:strCache>
                <c:ptCount val="2"/>
                <c:pt idx="0">
                  <c:v>Durata (giorni)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Attività!$B$5:$B$24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O</c:v>
                </c:pt>
                <c:pt idx="13">
                  <c:v>P</c:v>
                </c:pt>
                <c:pt idx="14">
                  <c:v>Q</c:v>
                </c:pt>
                <c:pt idx="15">
                  <c:v>R</c:v>
                </c:pt>
                <c:pt idx="16">
                  <c:v>S</c:v>
                </c:pt>
                <c:pt idx="17">
                  <c:v>T</c:v>
                </c:pt>
                <c:pt idx="18">
                  <c:v>U</c:v>
                </c:pt>
                <c:pt idx="19">
                  <c:v>V</c:v>
                </c:pt>
              </c:strCache>
            </c:strRef>
          </c:cat>
          <c:val>
            <c:numRef>
              <c:f>Attività!$D$5:$D$24</c:f>
              <c:numCache>
                <c:formatCode>General</c:formatCode>
                <c:ptCount val="20"/>
                <c:pt idx="0">
                  <c:v>7</c:v>
                </c:pt>
                <c:pt idx="1">
                  <c:v>14</c:v>
                </c:pt>
                <c:pt idx="2">
                  <c:v>7</c:v>
                </c:pt>
                <c:pt idx="3">
                  <c:v>21</c:v>
                </c:pt>
                <c:pt idx="4">
                  <c:v>42</c:v>
                </c:pt>
                <c:pt idx="5">
                  <c:v>14</c:v>
                </c:pt>
                <c:pt idx="6">
                  <c:v>7</c:v>
                </c:pt>
                <c:pt idx="7">
                  <c:v>28</c:v>
                </c:pt>
                <c:pt idx="8">
                  <c:v>35</c:v>
                </c:pt>
                <c:pt idx="9">
                  <c:v>21</c:v>
                </c:pt>
                <c:pt idx="10">
                  <c:v>14</c:v>
                </c:pt>
                <c:pt idx="11">
                  <c:v>105</c:v>
                </c:pt>
                <c:pt idx="12">
                  <c:v>245</c:v>
                </c:pt>
                <c:pt idx="13">
                  <c:v>28</c:v>
                </c:pt>
                <c:pt idx="14">
                  <c:v>140</c:v>
                </c:pt>
                <c:pt idx="15">
                  <c:v>28</c:v>
                </c:pt>
                <c:pt idx="16">
                  <c:v>14</c:v>
                </c:pt>
                <c:pt idx="17">
                  <c:v>56</c:v>
                </c:pt>
                <c:pt idx="18">
                  <c:v>84</c:v>
                </c:pt>
                <c:pt idx="1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D-C243-B3EF-78C8D0A94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082961136"/>
        <c:axId val="1120456720"/>
      </c:barChart>
      <c:catAx>
        <c:axId val="1082961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0456720"/>
        <c:crosses val="autoZero"/>
        <c:auto val="1"/>
        <c:lblAlgn val="ctr"/>
        <c:lblOffset val="100"/>
        <c:noMultiLvlLbl val="0"/>
      </c:catAx>
      <c:valAx>
        <c:axId val="1120456720"/>
        <c:scaling>
          <c:orientation val="minMax"/>
          <c:max val="44400"/>
          <c:min val="439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2961136"/>
        <c:crosses val="max"/>
        <c:crossBetween val="between"/>
        <c:majorUnit val="30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89335919876103798"/>
          <c:y val="7.8796722434369901E-2"/>
          <c:w val="0.10137032955457113"/>
          <c:h val="0.16569187990179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480678</xdr:colOff>
      <xdr:row>26</xdr:row>
      <xdr:rowOff>83013</xdr:rowOff>
    </xdr:from>
    <xdr:to>
      <xdr:col>10</xdr:col>
      <xdr:colOff>1089720</xdr:colOff>
      <xdr:row>64</xdr:row>
      <xdr:rowOff>195119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779319</xdr:colOff>
      <xdr:row>67</xdr:row>
      <xdr:rowOff>28864</xdr:rowOff>
    </xdr:from>
    <xdr:to>
      <xdr:col>17</xdr:col>
      <xdr:colOff>896468</xdr:colOff>
      <xdr:row>95</xdr:row>
      <xdr:rowOff>17309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3864" y="13825682"/>
          <a:ext cx="4706467" cy="5645719"/>
        </a:xfrm>
        <a:prstGeom prst="rect">
          <a:avLst/>
        </a:prstGeom>
      </xdr:spPr>
    </xdr:pic>
    <xdr:clientData/>
  </xdr:twoCellAnchor>
  <xdr:twoCellAnchor editAs="oneCell">
    <xdr:from>
      <xdr:col>18</xdr:col>
      <xdr:colOff>21404</xdr:colOff>
      <xdr:row>67</xdr:row>
      <xdr:rowOff>74915</xdr:rowOff>
    </xdr:from>
    <xdr:to>
      <xdr:col>21</xdr:col>
      <xdr:colOff>92757</xdr:colOff>
      <xdr:row>85</xdr:row>
      <xdr:rowOff>19463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1544" y="14351713"/>
          <a:ext cx="5144218" cy="3743847"/>
        </a:xfrm>
        <a:prstGeom prst="rect">
          <a:avLst/>
        </a:prstGeom>
      </xdr:spPr>
    </xdr:pic>
    <xdr:clientData/>
  </xdr:twoCellAnchor>
  <xdr:twoCellAnchor editAs="oneCell">
    <xdr:from>
      <xdr:col>21</xdr:col>
      <xdr:colOff>374747</xdr:colOff>
      <xdr:row>67</xdr:row>
      <xdr:rowOff>75083</xdr:rowOff>
    </xdr:from>
    <xdr:to>
      <xdr:col>27</xdr:col>
      <xdr:colOff>383249</xdr:colOff>
      <xdr:row>85</xdr:row>
      <xdr:rowOff>20623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7753" y="14351881"/>
          <a:ext cx="5145580" cy="3744839"/>
        </a:xfrm>
        <a:prstGeom prst="rect">
          <a:avLst/>
        </a:prstGeom>
      </xdr:spPr>
    </xdr:pic>
    <xdr:clientData/>
  </xdr:twoCellAnchor>
  <xdr:twoCellAnchor editAs="oneCell">
    <xdr:from>
      <xdr:col>17</xdr:col>
      <xdr:colOff>901290</xdr:colOff>
      <xdr:row>86</xdr:row>
      <xdr:rowOff>27312</xdr:rowOff>
    </xdr:from>
    <xdr:to>
      <xdr:col>21</xdr:col>
      <xdr:colOff>357896</xdr:colOff>
      <xdr:row>94</xdr:row>
      <xdr:rowOff>122904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5C5DBD4-FE89-F84B-BF3E-F159D0EF43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538" t="86564" r="4383"/>
        <a:stretch/>
      </xdr:blipFill>
      <xdr:spPr>
        <a:xfrm>
          <a:off x="21603656" y="18544731"/>
          <a:ext cx="5697358" cy="1816237"/>
        </a:xfrm>
        <a:prstGeom prst="rect">
          <a:avLst/>
        </a:prstGeom>
      </xdr:spPr>
    </xdr:pic>
    <xdr:clientData/>
  </xdr:twoCellAnchor>
  <xdr:twoCellAnchor editAs="oneCell">
    <xdr:from>
      <xdr:col>21</xdr:col>
      <xdr:colOff>190500</xdr:colOff>
      <xdr:row>86</xdr:row>
      <xdr:rowOff>38099</xdr:rowOff>
    </xdr:from>
    <xdr:to>
      <xdr:col>27</xdr:col>
      <xdr:colOff>660400</xdr:colOff>
      <xdr:row>94</xdr:row>
      <xdr:rowOff>79927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BF3866F4-6D5E-AE40-BF52-DB0E28EA6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3667" t="86500"/>
        <a:stretch/>
      </xdr:blipFill>
      <xdr:spPr>
        <a:xfrm>
          <a:off x="27152600" y="18364199"/>
          <a:ext cx="5575300" cy="17436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315413</xdr:colOff>
      <xdr:row>17</xdr:row>
      <xdr:rowOff>34728</xdr:rowOff>
    </xdr:from>
    <xdr:to>
      <xdr:col>19</xdr:col>
      <xdr:colOff>284815</xdr:colOff>
      <xdr:row>29</xdr:row>
      <xdr:rowOff>84574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321188" y="4716735"/>
          <a:ext cx="5268521" cy="2612205"/>
        </a:xfrm>
        <a:prstGeom prst="rect">
          <a:avLst/>
        </a:prstGeom>
      </xdr:spPr>
    </xdr:pic>
    <xdr:clientData/>
  </xdr:twoCellAnchor>
  <xdr:twoCellAnchor editAs="oneCell">
    <xdr:from>
      <xdr:col>13</xdr:col>
      <xdr:colOff>318335</xdr:colOff>
      <xdr:row>31</xdr:row>
      <xdr:rowOff>150806</xdr:rowOff>
    </xdr:from>
    <xdr:to>
      <xdr:col>18</xdr:col>
      <xdr:colOff>817278</xdr:colOff>
      <xdr:row>49</xdr:row>
      <xdr:rowOff>84430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324110" y="7824468"/>
          <a:ext cx="4939471" cy="4575385"/>
        </a:xfrm>
        <a:prstGeom prst="rect">
          <a:avLst/>
        </a:prstGeom>
      </xdr:spPr>
    </xdr:pic>
    <xdr:clientData/>
  </xdr:twoCellAnchor>
  <xdr:twoCellAnchor editAs="oneCell">
    <xdr:from>
      <xdr:col>18</xdr:col>
      <xdr:colOff>372178</xdr:colOff>
      <xdr:row>51</xdr:row>
      <xdr:rowOff>191106</xdr:rowOff>
    </xdr:from>
    <xdr:to>
      <xdr:col>22</xdr:col>
      <xdr:colOff>834829</xdr:colOff>
      <xdr:row>75</xdr:row>
      <xdr:rowOff>141625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8481" y="12922409"/>
          <a:ext cx="4125080" cy="494108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53661</xdr:colOff>
      <xdr:row>65</xdr:row>
      <xdr:rowOff>53663</xdr:rowOff>
    </xdr:from>
    <xdr:to>
      <xdr:col>17</xdr:col>
      <xdr:colOff>825258</xdr:colOff>
      <xdr:row>81</xdr:row>
      <xdr:rowOff>139580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9436" y="15763205"/>
          <a:ext cx="4353533" cy="3305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6"/>
  <sheetViews>
    <sheetView zoomScale="63" zoomScaleNormal="75" workbookViewId="0">
      <selection activeCell="L5" sqref="L5:L7"/>
    </sheetView>
  </sheetViews>
  <sheetFormatPr baseColWidth="10" defaultColWidth="11.1640625" defaultRowHeight="16"/>
  <cols>
    <col min="3" max="3" width="15.6640625" customWidth="1"/>
    <col min="5" max="5" width="15.5" style="9" customWidth="1"/>
    <col min="6" max="6" width="14" customWidth="1"/>
    <col min="7" max="7" width="14.6640625" customWidth="1"/>
    <col min="8" max="8" width="18.1640625" customWidth="1"/>
    <col min="9" max="9" width="76.6640625" bestFit="1" customWidth="1"/>
    <col min="10" max="10" width="12.6640625" customWidth="1"/>
    <col min="11" max="11" width="16.5" customWidth="1"/>
    <col min="12" max="12" width="16" customWidth="1"/>
  </cols>
  <sheetData>
    <row r="2" spans="2:12" ht="17" thickBot="1"/>
    <row r="3" spans="2:12" ht="18" customHeight="1">
      <c r="B3" s="186" t="s">
        <v>53</v>
      </c>
      <c r="C3" s="188" t="s">
        <v>1</v>
      </c>
      <c r="D3" s="188" t="s">
        <v>3</v>
      </c>
      <c r="E3" s="188" t="s">
        <v>2</v>
      </c>
      <c r="F3" s="188" t="s">
        <v>0</v>
      </c>
      <c r="G3" s="188" t="s">
        <v>31</v>
      </c>
      <c r="H3" s="188" t="s">
        <v>32</v>
      </c>
      <c r="I3" s="190" t="s">
        <v>33</v>
      </c>
    </row>
    <row r="4" spans="2:12" ht="32" customHeight="1" thickBot="1">
      <c r="B4" s="187"/>
      <c r="C4" s="189"/>
      <c r="D4" s="189"/>
      <c r="E4" s="192"/>
      <c r="F4" s="189"/>
      <c r="G4" s="189"/>
      <c r="H4" s="189"/>
      <c r="I4" s="191"/>
    </row>
    <row r="5" spans="2:12" ht="25.25" customHeight="1" thickBot="1">
      <c r="B5" s="2" t="s">
        <v>4</v>
      </c>
      <c r="C5" s="5">
        <v>43934</v>
      </c>
      <c r="D5" s="6">
        <v>7</v>
      </c>
      <c r="E5" s="10">
        <f>C5+D5</f>
        <v>43941</v>
      </c>
      <c r="F5" s="8" t="s">
        <v>5</v>
      </c>
      <c r="G5" s="7">
        <v>1</v>
      </c>
      <c r="H5" s="7">
        <v>0.2</v>
      </c>
      <c r="I5" s="93" t="s">
        <v>54</v>
      </c>
    </row>
    <row r="6" spans="2:12" ht="18" thickBot="1">
      <c r="B6" s="2" t="s">
        <v>6</v>
      </c>
      <c r="C6" s="5">
        <v>43943</v>
      </c>
      <c r="D6" s="6">
        <v>14</v>
      </c>
      <c r="E6" s="10">
        <f t="shared" ref="E6:E24" si="0">C6+D6</f>
        <v>43957</v>
      </c>
      <c r="F6" s="8" t="s">
        <v>4</v>
      </c>
      <c r="G6" s="7">
        <v>2</v>
      </c>
      <c r="H6" s="7">
        <v>0.5</v>
      </c>
      <c r="I6" s="3" t="s">
        <v>34</v>
      </c>
    </row>
    <row r="7" spans="2:12" ht="18" thickBot="1">
      <c r="B7" s="2" t="s">
        <v>7</v>
      </c>
      <c r="C7" s="5">
        <v>43943</v>
      </c>
      <c r="D7" s="6">
        <v>7</v>
      </c>
      <c r="E7" s="10">
        <f t="shared" si="0"/>
        <v>43950</v>
      </c>
      <c r="F7" s="8" t="s">
        <v>4</v>
      </c>
      <c r="G7" s="7">
        <v>1</v>
      </c>
      <c r="H7" s="7">
        <v>0.3</v>
      </c>
      <c r="I7" s="4" t="s">
        <v>35</v>
      </c>
    </row>
    <row r="8" spans="2:12" ht="18" thickBot="1">
      <c r="B8" s="2" t="s">
        <v>8</v>
      </c>
      <c r="C8" s="5">
        <v>43943</v>
      </c>
      <c r="D8" s="6">
        <v>21</v>
      </c>
      <c r="E8" s="10">
        <f t="shared" si="0"/>
        <v>43964</v>
      </c>
      <c r="F8" s="8" t="s">
        <v>4</v>
      </c>
      <c r="G8" s="7">
        <v>3</v>
      </c>
      <c r="H8" s="7">
        <v>1</v>
      </c>
      <c r="I8" s="3" t="s">
        <v>36</v>
      </c>
    </row>
    <row r="9" spans="2:12" ht="18" thickBot="1">
      <c r="B9" s="2" t="s">
        <v>9</v>
      </c>
      <c r="C9" s="5">
        <v>43943</v>
      </c>
      <c r="D9" s="6">
        <v>42</v>
      </c>
      <c r="E9" s="10">
        <f t="shared" si="0"/>
        <v>43985</v>
      </c>
      <c r="F9" s="8" t="s">
        <v>4</v>
      </c>
      <c r="G9" s="7">
        <v>6</v>
      </c>
      <c r="H9" s="7">
        <v>1.5</v>
      </c>
      <c r="I9" s="4" t="s">
        <v>37</v>
      </c>
      <c r="J9" s="1"/>
      <c r="K9" s="1"/>
      <c r="L9" s="1"/>
    </row>
    <row r="10" spans="2:12" ht="18" thickBot="1">
      <c r="B10" s="2" t="s">
        <v>10</v>
      </c>
      <c r="C10" s="5">
        <f>E7</f>
        <v>43950</v>
      </c>
      <c r="D10" s="6">
        <v>14</v>
      </c>
      <c r="E10" s="10">
        <f t="shared" si="0"/>
        <v>43964</v>
      </c>
      <c r="F10" s="8" t="s">
        <v>7</v>
      </c>
      <c r="G10" s="7">
        <v>2</v>
      </c>
      <c r="H10" s="7">
        <v>0.5</v>
      </c>
      <c r="I10" s="3" t="s">
        <v>38</v>
      </c>
    </row>
    <row r="11" spans="2:12" ht="18" thickBot="1">
      <c r="B11" s="2" t="s">
        <v>11</v>
      </c>
      <c r="C11" s="5">
        <f>E9</f>
        <v>43985</v>
      </c>
      <c r="D11" s="6">
        <v>7</v>
      </c>
      <c r="E11" s="10">
        <f t="shared" si="0"/>
        <v>43992</v>
      </c>
      <c r="F11" s="8" t="s">
        <v>12</v>
      </c>
      <c r="G11" s="7">
        <v>1</v>
      </c>
      <c r="H11" s="7">
        <v>0.5</v>
      </c>
      <c r="I11" s="4" t="s">
        <v>39</v>
      </c>
    </row>
    <row r="12" spans="2:12" ht="17" customHeight="1" thickBot="1">
      <c r="B12" s="2" t="s">
        <v>13</v>
      </c>
      <c r="C12" s="5">
        <f>E11</f>
        <v>43992</v>
      </c>
      <c r="D12" s="6">
        <v>28</v>
      </c>
      <c r="E12" s="10">
        <f t="shared" si="0"/>
        <v>44020</v>
      </c>
      <c r="F12" s="8" t="s">
        <v>14</v>
      </c>
      <c r="G12" s="7">
        <v>4</v>
      </c>
      <c r="H12" s="7">
        <v>1</v>
      </c>
      <c r="I12" s="3" t="s">
        <v>40</v>
      </c>
    </row>
    <row r="13" spans="2:12" ht="18" thickBot="1">
      <c r="B13" s="2" t="s">
        <v>15</v>
      </c>
      <c r="C13" s="5">
        <f>E8</f>
        <v>43964</v>
      </c>
      <c r="D13" s="6">
        <v>35</v>
      </c>
      <c r="E13" s="10">
        <f t="shared" si="0"/>
        <v>43999</v>
      </c>
      <c r="F13" s="8" t="s">
        <v>8</v>
      </c>
      <c r="G13" s="7">
        <v>5</v>
      </c>
      <c r="H13" s="7">
        <v>2</v>
      </c>
      <c r="I13" s="4" t="s">
        <v>41</v>
      </c>
    </row>
    <row r="14" spans="2:12" ht="17" customHeight="1" thickBot="1">
      <c r="B14" s="2" t="s">
        <v>16</v>
      </c>
      <c r="C14" s="5">
        <f>E12</f>
        <v>44020</v>
      </c>
      <c r="D14" s="6">
        <v>21</v>
      </c>
      <c r="E14" s="10">
        <f t="shared" si="0"/>
        <v>44041</v>
      </c>
      <c r="F14" s="8" t="s">
        <v>13</v>
      </c>
      <c r="G14" s="7">
        <v>3</v>
      </c>
      <c r="H14" s="7">
        <v>1</v>
      </c>
      <c r="I14" s="3" t="s">
        <v>42</v>
      </c>
    </row>
    <row r="15" spans="2:12" ht="18" thickBot="1">
      <c r="B15" s="2" t="s">
        <v>17</v>
      </c>
      <c r="C15" s="5">
        <f>E8</f>
        <v>43964</v>
      </c>
      <c r="D15" s="6">
        <v>14</v>
      </c>
      <c r="E15" s="10">
        <f t="shared" si="0"/>
        <v>43978</v>
      </c>
      <c r="F15" s="8" t="s">
        <v>8</v>
      </c>
      <c r="G15" s="7">
        <v>2</v>
      </c>
      <c r="H15" s="7">
        <v>1</v>
      </c>
      <c r="I15" s="4" t="s">
        <v>43</v>
      </c>
    </row>
    <row r="16" spans="2:12" ht="17" customHeight="1" thickBot="1">
      <c r="B16" s="2" t="s">
        <v>18</v>
      </c>
      <c r="C16" s="5">
        <f>E11</f>
        <v>43992</v>
      </c>
      <c r="D16" s="6">
        <v>105</v>
      </c>
      <c r="E16" s="10">
        <f t="shared" si="0"/>
        <v>44097</v>
      </c>
      <c r="F16" s="8" t="s">
        <v>11</v>
      </c>
      <c r="G16" s="7">
        <v>15</v>
      </c>
      <c r="H16" s="7">
        <v>3</v>
      </c>
      <c r="I16" s="3" t="s">
        <v>44</v>
      </c>
    </row>
    <row r="17" spans="1:12" ht="18" thickBot="1">
      <c r="B17" s="2" t="s">
        <v>19</v>
      </c>
      <c r="C17" s="5">
        <f>E12</f>
        <v>44020</v>
      </c>
      <c r="D17" s="6">
        <v>245</v>
      </c>
      <c r="E17" s="10">
        <f t="shared" si="0"/>
        <v>44265</v>
      </c>
      <c r="F17" s="8" t="s">
        <v>20</v>
      </c>
      <c r="G17" s="7">
        <v>35</v>
      </c>
      <c r="H17" s="7">
        <v>6</v>
      </c>
      <c r="I17" s="4" t="s">
        <v>45</v>
      </c>
    </row>
    <row r="18" spans="1:12" ht="17" customHeight="1" thickBot="1">
      <c r="B18" s="2" t="s">
        <v>21</v>
      </c>
      <c r="C18" s="5">
        <f>E17</f>
        <v>44265</v>
      </c>
      <c r="D18" s="6">
        <v>28</v>
      </c>
      <c r="E18" s="10">
        <f t="shared" si="0"/>
        <v>44293</v>
      </c>
      <c r="F18" s="8" t="s">
        <v>22</v>
      </c>
      <c r="G18" s="7">
        <v>4</v>
      </c>
      <c r="H18" s="7">
        <v>1</v>
      </c>
      <c r="I18" s="3" t="s">
        <v>46</v>
      </c>
    </row>
    <row r="19" spans="1:12" ht="18" thickBot="1">
      <c r="B19" s="2" t="s">
        <v>23</v>
      </c>
      <c r="C19" s="5">
        <f>E14</f>
        <v>44041</v>
      </c>
      <c r="D19" s="6">
        <v>140</v>
      </c>
      <c r="E19" s="10">
        <f t="shared" si="0"/>
        <v>44181</v>
      </c>
      <c r="F19" s="8" t="s">
        <v>16</v>
      </c>
      <c r="G19" s="7">
        <v>20</v>
      </c>
      <c r="H19" s="7">
        <v>3.5</v>
      </c>
      <c r="I19" s="4" t="s">
        <v>47</v>
      </c>
    </row>
    <row r="20" spans="1:12" ht="17" customHeight="1" thickBot="1">
      <c r="B20" s="2" t="s">
        <v>24</v>
      </c>
      <c r="C20" s="5">
        <f>E18</f>
        <v>44293</v>
      </c>
      <c r="D20" s="6">
        <v>28</v>
      </c>
      <c r="E20" s="10">
        <f t="shared" si="0"/>
        <v>44321</v>
      </c>
      <c r="F20" s="8" t="s">
        <v>25</v>
      </c>
      <c r="G20" s="7">
        <v>4</v>
      </c>
      <c r="H20" s="7">
        <v>1.5</v>
      </c>
      <c r="I20" s="3" t="s">
        <v>48</v>
      </c>
    </row>
    <row r="21" spans="1:12" ht="18" thickBot="1">
      <c r="B21" s="2" t="s">
        <v>26</v>
      </c>
      <c r="C21" s="5">
        <f>E20</f>
        <v>44321</v>
      </c>
      <c r="D21" s="6">
        <v>14</v>
      </c>
      <c r="E21" s="10">
        <f t="shared" si="0"/>
        <v>44335</v>
      </c>
      <c r="F21" s="8" t="s">
        <v>24</v>
      </c>
      <c r="G21" s="7">
        <v>2</v>
      </c>
      <c r="H21" s="7">
        <v>0.5</v>
      </c>
      <c r="I21" s="4" t="s">
        <v>49</v>
      </c>
    </row>
    <row r="22" spans="1:12" ht="17" customHeight="1" thickBot="1">
      <c r="B22" s="2" t="s">
        <v>27</v>
      </c>
      <c r="C22" s="5">
        <f>E11</f>
        <v>43992</v>
      </c>
      <c r="D22" s="6">
        <v>56</v>
      </c>
      <c r="E22" s="10">
        <f t="shared" si="0"/>
        <v>44048</v>
      </c>
      <c r="F22" s="8" t="s">
        <v>14</v>
      </c>
      <c r="G22" s="7">
        <v>8</v>
      </c>
      <c r="H22" s="7">
        <v>1</v>
      </c>
      <c r="I22" s="3" t="s">
        <v>50</v>
      </c>
    </row>
    <row r="23" spans="1:12" ht="18" thickBot="1">
      <c r="B23" s="2" t="s">
        <v>28</v>
      </c>
      <c r="C23" s="5">
        <f>E16</f>
        <v>44097</v>
      </c>
      <c r="D23" s="6">
        <v>84</v>
      </c>
      <c r="E23" s="10">
        <f t="shared" si="0"/>
        <v>44181</v>
      </c>
      <c r="F23" s="8" t="s">
        <v>18</v>
      </c>
      <c r="G23" s="7">
        <v>12</v>
      </c>
      <c r="H23" s="7">
        <v>2</v>
      </c>
      <c r="I23" s="4" t="s">
        <v>51</v>
      </c>
    </row>
    <row r="24" spans="1:12" ht="17" customHeight="1" thickBot="1">
      <c r="B24" s="2" t="s">
        <v>29</v>
      </c>
      <c r="C24" s="5">
        <f>E21</f>
        <v>44335</v>
      </c>
      <c r="D24" s="6">
        <v>49</v>
      </c>
      <c r="E24" s="10">
        <f t="shared" si="0"/>
        <v>44384</v>
      </c>
      <c r="F24" s="8" t="s">
        <v>30</v>
      </c>
      <c r="G24" s="7">
        <v>7</v>
      </c>
      <c r="H24" s="7">
        <v>1</v>
      </c>
      <c r="I24" s="3" t="s">
        <v>52</v>
      </c>
    </row>
    <row r="26" spans="1:12" ht="17" customHeight="1">
      <c r="A26" s="155"/>
      <c r="B26" s="155"/>
      <c r="C26" s="155"/>
      <c r="D26" s="155"/>
      <c r="E26" s="156"/>
      <c r="F26" s="155"/>
      <c r="G26" s="155"/>
      <c r="H26" s="155"/>
      <c r="I26" s="155"/>
      <c r="J26" s="155"/>
      <c r="K26" s="155"/>
      <c r="L26" s="155"/>
    </row>
    <row r="27" spans="1:12">
      <c r="A27" s="155"/>
      <c r="B27" s="155"/>
      <c r="C27" s="155"/>
      <c r="D27" s="155"/>
      <c r="E27" s="156"/>
      <c r="F27" s="155"/>
      <c r="G27" s="155"/>
      <c r="H27" s="155"/>
      <c r="I27" s="155"/>
      <c r="J27" s="155"/>
      <c r="K27" s="155"/>
      <c r="L27" s="155"/>
    </row>
    <row r="28" spans="1:12" ht="17" customHeight="1">
      <c r="A28" s="155"/>
      <c r="B28" s="155"/>
      <c r="C28" s="155"/>
      <c r="D28" s="155"/>
      <c r="E28" s="156"/>
      <c r="F28" s="155"/>
      <c r="G28" s="155"/>
      <c r="H28" s="155"/>
      <c r="I28" s="155"/>
      <c r="J28" s="155"/>
      <c r="K28" s="155"/>
      <c r="L28" s="155"/>
    </row>
    <row r="29" spans="1:12">
      <c r="A29" s="155"/>
      <c r="B29" s="155"/>
      <c r="C29" s="155"/>
      <c r="D29" s="155"/>
      <c r="E29" s="156"/>
      <c r="F29" s="155"/>
      <c r="G29" s="155"/>
      <c r="H29" s="155"/>
      <c r="I29" s="155"/>
      <c r="J29" s="155"/>
      <c r="K29" s="155"/>
      <c r="L29" s="155"/>
    </row>
    <row r="30" spans="1:12" ht="17" customHeight="1">
      <c r="A30" s="155"/>
      <c r="B30" s="155"/>
      <c r="C30" s="155"/>
      <c r="D30" s="155"/>
      <c r="E30" s="156"/>
      <c r="F30" s="155"/>
      <c r="G30" s="155"/>
      <c r="H30" s="155"/>
      <c r="I30" s="155"/>
      <c r="J30" s="155"/>
      <c r="K30" s="155"/>
      <c r="L30" s="155"/>
    </row>
    <row r="31" spans="1:12">
      <c r="A31" s="155"/>
      <c r="B31" s="157"/>
      <c r="C31" s="155"/>
      <c r="D31" s="155"/>
      <c r="E31" s="156"/>
      <c r="F31" s="155"/>
      <c r="G31" s="155"/>
      <c r="H31" s="155"/>
      <c r="I31" s="155"/>
      <c r="J31" s="155"/>
      <c r="K31" s="155"/>
      <c r="L31" s="155"/>
    </row>
    <row r="32" spans="1:12">
      <c r="A32" s="155"/>
      <c r="B32" s="155"/>
      <c r="C32" s="155"/>
      <c r="D32" s="155"/>
      <c r="E32" s="156"/>
      <c r="F32" s="155"/>
      <c r="G32" s="155"/>
      <c r="H32" s="155"/>
      <c r="I32" s="155"/>
      <c r="J32" s="155"/>
      <c r="K32" s="155"/>
      <c r="L32" s="155"/>
    </row>
    <row r="33" spans="1:12">
      <c r="A33" s="155"/>
      <c r="B33" s="155"/>
      <c r="C33" s="155"/>
      <c r="D33" s="155"/>
      <c r="E33" s="156"/>
      <c r="F33" s="155"/>
      <c r="G33" s="155"/>
      <c r="H33" s="155"/>
      <c r="I33" s="155"/>
      <c r="J33" s="155"/>
      <c r="K33" s="155"/>
      <c r="L33" s="155"/>
    </row>
    <row r="34" spans="1:12">
      <c r="A34" s="155"/>
      <c r="B34" s="155"/>
      <c r="C34" s="155"/>
      <c r="D34" s="155"/>
      <c r="E34" s="156"/>
      <c r="F34" s="155"/>
      <c r="G34" s="155"/>
      <c r="H34" s="155"/>
      <c r="I34" s="155"/>
      <c r="J34" s="155"/>
      <c r="K34" s="155"/>
      <c r="L34" s="155"/>
    </row>
    <row r="35" spans="1:12">
      <c r="A35" s="155"/>
      <c r="B35" s="155"/>
      <c r="C35" s="155"/>
      <c r="D35" s="155"/>
      <c r="E35" s="156"/>
      <c r="F35" s="155"/>
      <c r="G35" s="155"/>
      <c r="H35" s="155"/>
      <c r="I35" s="155"/>
      <c r="J35" s="155"/>
      <c r="K35" s="155"/>
      <c r="L35" s="155"/>
    </row>
    <row r="36" spans="1:12">
      <c r="A36" s="155"/>
      <c r="B36" s="155"/>
      <c r="C36" s="155"/>
      <c r="D36" s="155"/>
      <c r="E36" s="156"/>
      <c r="F36" s="155"/>
      <c r="G36" s="155"/>
      <c r="H36" s="155"/>
      <c r="I36" s="155"/>
      <c r="J36" s="155"/>
      <c r="K36" s="155"/>
      <c r="L36" s="155"/>
    </row>
    <row r="37" spans="1:12">
      <c r="A37" s="155"/>
      <c r="B37" s="155"/>
      <c r="C37" s="155"/>
      <c r="D37" s="155"/>
      <c r="E37" s="156"/>
      <c r="F37" s="155"/>
      <c r="G37" s="155"/>
      <c r="H37" s="155"/>
      <c r="I37" s="155"/>
      <c r="J37" s="155"/>
      <c r="K37" s="155"/>
      <c r="L37" s="155"/>
    </row>
    <row r="38" spans="1:12">
      <c r="A38" s="155"/>
      <c r="B38" s="155"/>
      <c r="C38" s="155"/>
      <c r="D38" s="155"/>
      <c r="E38" s="156"/>
      <c r="F38" s="155"/>
      <c r="G38" s="155"/>
      <c r="H38" s="155"/>
      <c r="I38" s="155"/>
      <c r="J38" s="155"/>
      <c r="K38" s="155"/>
      <c r="L38" s="155"/>
    </row>
    <row r="39" spans="1:12">
      <c r="A39" s="155"/>
      <c r="B39" s="155"/>
      <c r="C39" s="155"/>
      <c r="D39" s="155"/>
      <c r="E39" s="156"/>
      <c r="F39" s="155"/>
      <c r="G39" s="155"/>
      <c r="H39" s="155"/>
      <c r="I39" s="155"/>
      <c r="J39" s="155"/>
      <c r="K39" s="155"/>
      <c r="L39" s="155"/>
    </row>
    <row r="40" spans="1:12">
      <c r="A40" s="155"/>
      <c r="B40" s="155"/>
      <c r="C40" s="155"/>
      <c r="D40" s="155"/>
      <c r="E40" s="156"/>
      <c r="F40" s="155"/>
      <c r="G40" s="155"/>
      <c r="H40" s="155"/>
      <c r="I40" s="155"/>
      <c r="J40" s="155"/>
      <c r="K40" s="155"/>
      <c r="L40" s="155"/>
    </row>
    <row r="41" spans="1:12">
      <c r="A41" s="155"/>
      <c r="B41" s="155"/>
      <c r="C41" s="155"/>
      <c r="D41" s="155"/>
      <c r="E41" s="156"/>
      <c r="F41" s="155"/>
      <c r="G41" s="155"/>
      <c r="H41" s="155"/>
      <c r="I41" s="155"/>
      <c r="J41" s="155"/>
      <c r="K41" s="155"/>
      <c r="L41" s="155"/>
    </row>
    <row r="42" spans="1:12">
      <c r="A42" s="155"/>
      <c r="B42" s="155"/>
      <c r="C42" s="155"/>
      <c r="D42" s="155"/>
      <c r="E42" s="156"/>
      <c r="F42" s="155"/>
      <c r="G42" s="155"/>
      <c r="H42" s="155"/>
      <c r="I42" s="155"/>
      <c r="J42" s="155"/>
      <c r="K42" s="155"/>
      <c r="L42" s="155"/>
    </row>
    <row r="43" spans="1:12">
      <c r="A43" s="155"/>
      <c r="B43" s="155"/>
      <c r="C43" s="155"/>
      <c r="D43" s="155"/>
      <c r="E43" s="156"/>
      <c r="F43" s="155"/>
      <c r="G43" s="155"/>
      <c r="H43" s="155"/>
      <c r="I43" s="155"/>
      <c r="J43" s="155"/>
      <c r="K43" s="155"/>
      <c r="L43" s="155"/>
    </row>
    <row r="44" spans="1:12">
      <c r="A44" s="155"/>
      <c r="B44" s="155"/>
      <c r="C44" s="155"/>
      <c r="D44" s="155"/>
      <c r="E44" s="156"/>
      <c r="F44" s="155"/>
      <c r="G44" s="155"/>
      <c r="H44" s="155"/>
      <c r="I44" s="155"/>
      <c r="J44" s="155"/>
      <c r="K44" s="155"/>
      <c r="L44" s="155"/>
    </row>
    <row r="45" spans="1:12">
      <c r="A45" s="155"/>
      <c r="B45" s="155"/>
      <c r="C45" s="155"/>
      <c r="D45" s="155"/>
      <c r="E45" s="156"/>
      <c r="F45" s="155"/>
      <c r="G45" s="155"/>
      <c r="H45" s="155"/>
      <c r="I45" s="155"/>
      <c r="J45" s="155"/>
      <c r="K45" s="155"/>
      <c r="L45" s="155"/>
    </row>
    <row r="46" spans="1:12">
      <c r="A46" s="155"/>
      <c r="B46" s="155"/>
      <c r="C46" s="155"/>
      <c r="D46" s="155"/>
      <c r="E46" s="156"/>
      <c r="F46" s="155"/>
      <c r="G46" s="155"/>
      <c r="H46" s="155"/>
      <c r="I46" s="155"/>
      <c r="J46" s="155"/>
      <c r="K46" s="155"/>
      <c r="L46" s="155"/>
    </row>
    <row r="47" spans="1:12">
      <c r="A47" s="155"/>
      <c r="B47" s="155"/>
      <c r="C47" s="155"/>
      <c r="D47" s="155"/>
      <c r="E47" s="156"/>
      <c r="F47" s="155"/>
      <c r="G47" s="155"/>
      <c r="H47" s="155"/>
      <c r="I47" s="155"/>
      <c r="J47" s="155"/>
      <c r="K47" s="155"/>
      <c r="L47" s="155"/>
    </row>
    <row r="48" spans="1:12">
      <c r="A48" s="155"/>
      <c r="B48" s="155"/>
      <c r="C48" s="155"/>
      <c r="D48" s="155"/>
      <c r="E48" s="156"/>
      <c r="F48" s="155"/>
      <c r="G48" s="155"/>
      <c r="H48" s="155"/>
      <c r="I48" s="155"/>
      <c r="J48" s="155"/>
      <c r="K48" s="155"/>
      <c r="L48" s="155"/>
    </row>
    <row r="49" spans="1:12">
      <c r="A49" s="155"/>
      <c r="B49" s="155"/>
      <c r="C49" s="155"/>
      <c r="D49" s="155"/>
      <c r="E49" s="156"/>
      <c r="F49" s="155"/>
      <c r="G49" s="155"/>
      <c r="H49" s="155"/>
      <c r="I49" s="155"/>
      <c r="J49" s="155"/>
      <c r="K49" s="155"/>
      <c r="L49" s="155"/>
    </row>
    <row r="50" spans="1:12">
      <c r="A50" s="155"/>
      <c r="B50" s="155"/>
      <c r="C50" s="155"/>
      <c r="D50" s="155"/>
      <c r="E50" s="156"/>
      <c r="F50" s="155"/>
      <c r="G50" s="155"/>
      <c r="H50" s="155"/>
      <c r="I50" s="155"/>
      <c r="J50" s="155"/>
      <c r="K50" s="155"/>
      <c r="L50" s="155"/>
    </row>
    <row r="51" spans="1:12">
      <c r="A51" s="155"/>
      <c r="B51" s="155"/>
      <c r="C51" s="155"/>
      <c r="D51" s="155"/>
      <c r="E51" s="156"/>
      <c r="F51" s="155"/>
      <c r="G51" s="155"/>
      <c r="H51" s="155"/>
      <c r="I51" s="155"/>
      <c r="J51" s="155"/>
      <c r="K51" s="155"/>
      <c r="L51" s="155"/>
    </row>
    <row r="52" spans="1:12">
      <c r="A52" s="155"/>
      <c r="B52" s="155"/>
      <c r="C52" s="155"/>
      <c r="D52" s="155"/>
      <c r="E52" s="156"/>
      <c r="F52" s="155"/>
      <c r="G52" s="155"/>
      <c r="H52" s="155"/>
      <c r="I52" s="155"/>
      <c r="J52" s="155"/>
      <c r="K52" s="155"/>
      <c r="L52" s="155"/>
    </row>
    <row r="53" spans="1:12">
      <c r="A53" s="155"/>
      <c r="B53" s="155"/>
      <c r="C53" s="155"/>
      <c r="D53" s="155"/>
      <c r="E53" s="156"/>
      <c r="F53" s="155"/>
      <c r="G53" s="155"/>
      <c r="H53" s="155"/>
      <c r="I53" s="155"/>
      <c r="J53" s="155"/>
      <c r="K53" s="155"/>
      <c r="L53" s="155"/>
    </row>
    <row r="54" spans="1:12">
      <c r="A54" s="155"/>
      <c r="B54" s="155"/>
      <c r="C54" s="155"/>
      <c r="D54" s="155"/>
      <c r="E54" s="156"/>
      <c r="F54" s="155"/>
      <c r="G54" s="155"/>
      <c r="H54" s="155"/>
      <c r="I54" s="155"/>
      <c r="J54" s="155"/>
      <c r="K54" s="155"/>
      <c r="L54" s="155"/>
    </row>
    <row r="55" spans="1:12">
      <c r="A55" s="155"/>
      <c r="B55" s="155"/>
      <c r="C55" s="155"/>
      <c r="D55" s="155"/>
      <c r="E55" s="156"/>
      <c r="F55" s="155"/>
      <c r="G55" s="155"/>
      <c r="H55" s="155"/>
      <c r="I55" s="155"/>
      <c r="J55" s="155"/>
      <c r="K55" s="155"/>
      <c r="L55" s="155"/>
    </row>
    <row r="56" spans="1:12">
      <c r="A56" s="155"/>
      <c r="B56" s="155"/>
      <c r="C56" s="155"/>
      <c r="D56" s="155"/>
      <c r="E56" s="156"/>
      <c r="F56" s="155"/>
      <c r="G56" s="155"/>
      <c r="H56" s="155"/>
      <c r="I56" s="155"/>
      <c r="J56" s="155"/>
      <c r="K56" s="155"/>
      <c r="L56" s="155"/>
    </row>
    <row r="57" spans="1:12">
      <c r="A57" s="155"/>
      <c r="B57" s="155"/>
      <c r="C57" s="155"/>
      <c r="D57" s="155"/>
      <c r="E57" s="156"/>
      <c r="F57" s="155"/>
      <c r="G57" s="155"/>
      <c r="H57" s="155"/>
      <c r="I57" s="155"/>
      <c r="J57" s="155"/>
      <c r="K57" s="155"/>
      <c r="L57" s="155"/>
    </row>
    <row r="58" spans="1:12">
      <c r="A58" s="155"/>
      <c r="B58" s="155"/>
      <c r="C58" s="155"/>
      <c r="D58" s="155"/>
      <c r="E58" s="156"/>
      <c r="F58" s="155"/>
      <c r="G58" s="155"/>
      <c r="H58" s="155"/>
      <c r="I58" s="155"/>
      <c r="J58" s="155"/>
      <c r="K58" s="155"/>
      <c r="L58" s="155"/>
    </row>
    <row r="59" spans="1:12">
      <c r="A59" s="155"/>
      <c r="B59" s="155"/>
      <c r="C59" s="155"/>
      <c r="D59" s="155"/>
      <c r="E59" s="156"/>
      <c r="F59" s="155"/>
      <c r="G59" s="155"/>
      <c r="H59" s="155"/>
      <c r="I59" s="155"/>
      <c r="J59" s="155"/>
      <c r="K59" s="155"/>
      <c r="L59" s="155"/>
    </row>
    <row r="60" spans="1:12">
      <c r="A60" s="155"/>
      <c r="B60" s="155"/>
      <c r="C60" s="155"/>
      <c r="D60" s="155"/>
      <c r="E60" s="156"/>
      <c r="F60" s="155"/>
      <c r="G60" s="155"/>
      <c r="H60" s="155"/>
      <c r="I60" s="155"/>
      <c r="J60" s="155"/>
      <c r="K60" s="155"/>
      <c r="L60" s="155"/>
    </row>
    <row r="61" spans="1:12">
      <c r="A61" s="155"/>
      <c r="B61" s="155"/>
      <c r="C61" s="155"/>
      <c r="D61" s="155"/>
      <c r="E61" s="156"/>
      <c r="F61" s="155"/>
      <c r="G61" s="155"/>
      <c r="H61" s="155"/>
      <c r="I61" s="155"/>
      <c r="J61" s="155"/>
      <c r="K61" s="155"/>
      <c r="L61" s="155"/>
    </row>
    <row r="62" spans="1:12">
      <c r="A62" s="155"/>
      <c r="B62" s="155"/>
      <c r="C62" s="155"/>
      <c r="D62" s="155"/>
      <c r="E62" s="156"/>
      <c r="F62" s="155"/>
      <c r="G62" s="155"/>
      <c r="H62" s="155"/>
      <c r="I62" s="155"/>
      <c r="J62" s="155"/>
      <c r="K62" s="155"/>
      <c r="L62" s="155"/>
    </row>
    <row r="63" spans="1:12">
      <c r="A63" s="155"/>
      <c r="B63" s="155"/>
      <c r="C63" s="155"/>
      <c r="D63" s="155"/>
      <c r="E63" s="156"/>
      <c r="F63" s="155"/>
      <c r="G63" s="155"/>
      <c r="H63" s="155"/>
      <c r="I63" s="155"/>
      <c r="J63" s="155"/>
      <c r="K63" s="155"/>
      <c r="L63" s="155"/>
    </row>
    <row r="64" spans="1:12">
      <c r="A64" s="155"/>
      <c r="B64" s="155"/>
      <c r="C64" s="155"/>
      <c r="D64" s="155"/>
      <c r="E64" s="156"/>
      <c r="F64" s="155"/>
      <c r="G64" s="155"/>
      <c r="H64" s="155"/>
      <c r="I64" s="155"/>
      <c r="J64" s="155"/>
      <c r="K64" s="155"/>
      <c r="L64" s="155"/>
    </row>
    <row r="65" spans="1:12">
      <c r="A65" s="155"/>
      <c r="B65" s="155"/>
      <c r="C65" s="155"/>
      <c r="D65" s="155"/>
      <c r="E65" s="156"/>
      <c r="F65" s="155"/>
      <c r="G65" s="155"/>
      <c r="H65" s="155"/>
      <c r="I65" s="155"/>
      <c r="J65" s="155"/>
      <c r="K65" s="155"/>
      <c r="L65" s="155"/>
    </row>
    <row r="66" spans="1:12">
      <c r="A66" s="155"/>
      <c r="B66" s="155"/>
      <c r="C66" s="155"/>
      <c r="D66" s="155"/>
      <c r="E66" s="156"/>
      <c r="F66" s="155"/>
      <c r="G66" s="155"/>
      <c r="H66" s="155"/>
      <c r="I66" s="155"/>
      <c r="J66" s="155"/>
      <c r="K66" s="155"/>
      <c r="L66" s="155"/>
    </row>
  </sheetData>
  <mergeCells count="8">
    <mergeCell ref="B3:B4"/>
    <mergeCell ref="C3:C4"/>
    <mergeCell ref="I3:I4"/>
    <mergeCell ref="G3:G4"/>
    <mergeCell ref="H3:H4"/>
    <mergeCell ref="D3:D4"/>
    <mergeCell ref="E3:E4"/>
    <mergeCell ref="F3:F4"/>
  </mergeCells>
  <pageMargins left="0.7" right="0.7" top="0.75" bottom="0.75" header="0.3" footer="0.3"/>
  <ignoredErrors>
    <ignoredError sqref="C1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9"/>
  <sheetViews>
    <sheetView zoomScale="118" workbookViewId="0">
      <selection activeCell="E14" sqref="E13:E14"/>
    </sheetView>
  </sheetViews>
  <sheetFormatPr baseColWidth="10" defaultColWidth="11.1640625" defaultRowHeight="16"/>
  <cols>
    <col min="2" max="2" width="17.6640625" customWidth="1"/>
    <col min="4" max="4" width="15.1640625" customWidth="1"/>
    <col min="5" max="5" width="16.1640625" customWidth="1"/>
    <col min="6" max="6" width="17.6640625" customWidth="1"/>
    <col min="7" max="7" width="16.1640625" customWidth="1"/>
  </cols>
  <sheetData>
    <row r="1" spans="2:7" ht="17" thickBot="1"/>
    <row r="2" spans="2:7" ht="44" customHeight="1" thickBot="1">
      <c r="B2" s="196" t="s">
        <v>65</v>
      </c>
      <c r="C2" s="198" t="s">
        <v>66</v>
      </c>
      <c r="D2" s="193" t="s">
        <v>67</v>
      </c>
      <c r="E2" s="193"/>
      <c r="F2" s="194" t="s">
        <v>68</v>
      </c>
      <c r="G2" s="195"/>
    </row>
    <row r="3" spans="2:7" ht="18" customHeight="1" thickBot="1">
      <c r="B3" s="197"/>
      <c r="C3" s="199"/>
      <c r="D3" s="115" t="s">
        <v>231</v>
      </c>
      <c r="E3" s="124" t="s">
        <v>232</v>
      </c>
      <c r="F3" s="115" t="s">
        <v>231</v>
      </c>
      <c r="G3" s="124" t="s">
        <v>232</v>
      </c>
    </row>
    <row r="4" spans="2:7" ht="17" thickBot="1">
      <c r="B4" s="48" t="s">
        <v>125</v>
      </c>
      <c r="C4" s="123">
        <v>0.25</v>
      </c>
      <c r="D4" s="94">
        <v>80</v>
      </c>
      <c r="E4" s="94">
        <v>70</v>
      </c>
      <c r="F4" s="94">
        <f>D4*C4</f>
        <v>20</v>
      </c>
      <c r="G4" s="94">
        <f>E4*C4</f>
        <v>17.5</v>
      </c>
    </row>
    <row r="5" spans="2:7" ht="17" thickBot="1">
      <c r="B5" s="127" t="s">
        <v>70</v>
      </c>
      <c r="C5" s="123">
        <v>0.2</v>
      </c>
      <c r="D5" s="94">
        <v>65</v>
      </c>
      <c r="E5" s="94">
        <v>70</v>
      </c>
      <c r="F5" s="94">
        <f>D5*C5</f>
        <v>13</v>
      </c>
      <c r="G5" s="94">
        <f t="shared" ref="G5:G8" si="0">E5*C5</f>
        <v>14</v>
      </c>
    </row>
    <row r="6" spans="2:7" ht="17" thickBot="1">
      <c r="B6" s="48" t="s">
        <v>71</v>
      </c>
      <c r="C6" s="123">
        <v>0.15</v>
      </c>
      <c r="D6" s="94">
        <v>85</v>
      </c>
      <c r="E6" s="94">
        <v>70</v>
      </c>
      <c r="F6" s="94">
        <f t="shared" ref="F6:F8" si="1">D6*C6</f>
        <v>12.75</v>
      </c>
      <c r="G6" s="94">
        <f t="shared" si="0"/>
        <v>10.5</v>
      </c>
    </row>
    <row r="7" spans="2:7" ht="17" thickBot="1">
      <c r="B7" s="48" t="s">
        <v>69</v>
      </c>
      <c r="C7" s="123">
        <v>0.35</v>
      </c>
      <c r="D7" s="94">
        <v>90</v>
      </c>
      <c r="E7" s="94">
        <v>85</v>
      </c>
      <c r="F7" s="94">
        <f t="shared" si="1"/>
        <v>31.499999999999996</v>
      </c>
      <c r="G7" s="94">
        <f t="shared" si="0"/>
        <v>29.749999999999996</v>
      </c>
    </row>
    <row r="8" spans="2:7" ht="17" thickBot="1">
      <c r="B8" s="48" t="s">
        <v>72</v>
      </c>
      <c r="C8" s="123">
        <v>0.05</v>
      </c>
      <c r="D8" s="94">
        <v>75</v>
      </c>
      <c r="E8" s="94">
        <v>50</v>
      </c>
      <c r="F8" s="111">
        <f t="shared" si="1"/>
        <v>3.75</v>
      </c>
      <c r="G8" s="111">
        <f t="shared" si="0"/>
        <v>2.5</v>
      </c>
    </row>
    <row r="9" spans="2:7" ht="17" thickBot="1">
      <c r="E9" s="107"/>
      <c r="F9" s="125">
        <f>SUM(F4:F8)</f>
        <v>81</v>
      </c>
      <c r="G9" s="126">
        <f>SUM(G4:G8)</f>
        <v>74.25</v>
      </c>
    </row>
  </sheetData>
  <mergeCells count="4">
    <mergeCell ref="D2:E2"/>
    <mergeCell ref="F2:G2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A84"/>
  <sheetViews>
    <sheetView topLeftCell="AR37" zoomScale="57" zoomScaleNormal="57" workbookViewId="0">
      <selection activeCell="BG33" sqref="BG33"/>
    </sheetView>
  </sheetViews>
  <sheetFormatPr baseColWidth="10" defaultColWidth="11.1640625" defaultRowHeight="16"/>
  <cols>
    <col min="2" max="2" width="14.5" customWidth="1"/>
    <col min="3" max="3" width="24.5" customWidth="1"/>
    <col min="4" max="6" width="11" customWidth="1"/>
    <col min="7" max="7" width="7.1640625" customWidth="1"/>
    <col min="8" max="8" width="13.6640625" customWidth="1"/>
    <col min="9" max="9" width="20.1640625" customWidth="1"/>
    <col min="10" max="10" width="14.1640625" customWidth="1"/>
    <col min="11" max="11" width="13.6640625" customWidth="1"/>
    <col min="12" max="12" width="14.5" customWidth="1"/>
    <col min="14" max="14" width="13.5" customWidth="1"/>
    <col min="15" max="15" width="23.1640625" customWidth="1"/>
    <col min="16" max="16" width="13.1640625" customWidth="1"/>
    <col min="17" max="17" width="12.6640625" customWidth="1"/>
    <col min="18" max="18" width="13.6640625" customWidth="1"/>
    <col min="20" max="20" width="12.5" customWidth="1"/>
    <col min="21" max="21" width="13.6640625" customWidth="1"/>
    <col min="22" max="22" width="12" customWidth="1"/>
    <col min="23" max="23" width="15.6640625" customWidth="1"/>
    <col min="24" max="24" width="13" customWidth="1"/>
    <col min="25" max="25" width="13" style="30" customWidth="1"/>
    <col min="26" max="26" width="8.5" customWidth="1"/>
    <col min="27" max="27" width="15.6640625" customWidth="1"/>
    <col min="29" max="29" width="14.5" customWidth="1"/>
    <col min="30" max="30" width="15.5" customWidth="1"/>
    <col min="35" max="35" width="13" customWidth="1"/>
    <col min="36" max="37" width="13.5" customWidth="1"/>
    <col min="38" max="38" width="15.5" customWidth="1"/>
    <col min="39" max="39" width="15.6640625" customWidth="1"/>
    <col min="40" max="40" width="15" customWidth="1"/>
    <col min="42" max="42" width="16.6640625" customWidth="1"/>
    <col min="43" max="43" width="13.1640625" customWidth="1"/>
    <col min="44" max="44" width="16.1640625" customWidth="1"/>
    <col min="45" max="45" width="15.6640625" customWidth="1"/>
    <col min="48" max="48" width="17.6640625" customWidth="1"/>
    <col min="51" max="51" width="12.6640625" bestFit="1" customWidth="1"/>
    <col min="54" max="54" width="12.6640625" customWidth="1"/>
    <col min="55" max="55" width="13.1640625" customWidth="1"/>
    <col min="57" max="57" width="16.1640625" customWidth="1"/>
    <col min="58" max="58" width="15.5" customWidth="1"/>
    <col min="59" max="60" width="15.6640625" customWidth="1"/>
    <col min="62" max="62" width="20.1640625" customWidth="1"/>
    <col min="68" max="68" width="12" customWidth="1"/>
    <col min="71" max="71" width="12.6640625" customWidth="1"/>
    <col min="72" max="72" width="16" customWidth="1"/>
    <col min="73" max="73" width="15.1640625" customWidth="1"/>
    <col min="74" max="74" width="16.5" customWidth="1"/>
  </cols>
  <sheetData>
    <row r="1" spans="2:79" ht="16.25" customHeight="1">
      <c r="Q1" s="295" t="s">
        <v>209</v>
      </c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7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U1" s="155"/>
      <c r="AV1" s="301" t="s">
        <v>209</v>
      </c>
      <c r="AW1" s="302"/>
      <c r="AX1" s="302"/>
      <c r="AY1" s="302"/>
      <c r="AZ1" s="302"/>
      <c r="BA1" s="302"/>
      <c r="BB1" s="302"/>
      <c r="BC1" s="302"/>
      <c r="BD1" s="302"/>
      <c r="BE1" s="302"/>
      <c r="BF1" s="303"/>
      <c r="BG1" s="164"/>
      <c r="BH1" s="160"/>
      <c r="BI1" s="160"/>
      <c r="BJ1" s="160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</row>
    <row r="2" spans="2:79" ht="17" customHeight="1" thickBot="1">
      <c r="Q2" s="298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30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U2" s="155"/>
      <c r="AV2" s="304"/>
      <c r="AW2" s="305"/>
      <c r="AX2" s="305"/>
      <c r="AY2" s="305"/>
      <c r="AZ2" s="305"/>
      <c r="BA2" s="305"/>
      <c r="BB2" s="305"/>
      <c r="BC2" s="305"/>
      <c r="BD2" s="305"/>
      <c r="BE2" s="305"/>
      <c r="BF2" s="306"/>
      <c r="BG2" s="164"/>
      <c r="BH2" s="160"/>
      <c r="BI2" s="160"/>
      <c r="BJ2" s="160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</row>
    <row r="3" spans="2:79" ht="19.25" customHeight="1" thickBot="1">
      <c r="B3" s="229" t="s">
        <v>73</v>
      </c>
      <c r="C3" s="230"/>
      <c r="D3" s="230"/>
      <c r="E3" s="230"/>
      <c r="F3" s="231"/>
      <c r="H3" s="229" t="s">
        <v>74</v>
      </c>
      <c r="I3" s="230"/>
      <c r="J3" s="230"/>
      <c r="K3" s="230"/>
      <c r="L3" s="231"/>
      <c r="Q3" s="274" t="s">
        <v>120</v>
      </c>
      <c r="R3" s="271" t="s">
        <v>106</v>
      </c>
      <c r="S3" s="260" t="s">
        <v>107</v>
      </c>
      <c r="T3" s="204" t="s">
        <v>108</v>
      </c>
      <c r="U3" s="259" t="s">
        <v>109</v>
      </c>
      <c r="V3" s="204" t="s">
        <v>118</v>
      </c>
      <c r="W3" s="259" t="s">
        <v>122</v>
      </c>
      <c r="X3" s="204" t="s">
        <v>119</v>
      </c>
      <c r="Y3" s="204" t="s">
        <v>110</v>
      </c>
      <c r="Z3" s="260" t="s">
        <v>111</v>
      </c>
      <c r="AA3" s="204" t="s">
        <v>124</v>
      </c>
      <c r="AB3" s="238" t="s">
        <v>204</v>
      </c>
      <c r="AC3" s="204" t="s">
        <v>121</v>
      </c>
      <c r="AD3" s="204" t="s">
        <v>112</v>
      </c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U3" s="155"/>
      <c r="AV3" s="289" t="s">
        <v>120</v>
      </c>
      <c r="AW3" s="204" t="s">
        <v>211</v>
      </c>
      <c r="AX3" s="204" t="s">
        <v>214</v>
      </c>
      <c r="AY3" s="204" t="s">
        <v>215</v>
      </c>
      <c r="AZ3" s="204" t="s">
        <v>216</v>
      </c>
      <c r="BA3" s="204" t="s">
        <v>119</v>
      </c>
      <c r="BB3" s="271" t="s">
        <v>110</v>
      </c>
      <c r="BC3" s="271" t="s">
        <v>111</v>
      </c>
      <c r="BD3" s="204" t="s">
        <v>213</v>
      </c>
      <c r="BE3" s="204" t="s">
        <v>121</v>
      </c>
      <c r="BF3" s="204" t="s">
        <v>112</v>
      </c>
      <c r="BG3" s="155"/>
      <c r="BJ3" s="146"/>
      <c r="BK3" s="102"/>
      <c r="BL3" s="102"/>
      <c r="BM3" s="102"/>
      <c r="BN3" s="102"/>
      <c r="BO3" s="102"/>
      <c r="BP3" s="146"/>
      <c r="BQ3" s="146"/>
      <c r="BR3" s="102"/>
      <c r="BS3" s="102"/>
      <c r="BT3" s="102"/>
    </row>
    <row r="4" spans="2:79" ht="16.5" customHeight="1" thickBot="1">
      <c r="B4" s="21" t="s">
        <v>55</v>
      </c>
      <c r="C4" s="20" t="s">
        <v>56</v>
      </c>
      <c r="D4" s="20" t="s">
        <v>57</v>
      </c>
      <c r="E4" s="20" t="s">
        <v>59</v>
      </c>
      <c r="F4" s="20" t="s">
        <v>58</v>
      </c>
      <c r="H4" s="18" t="s">
        <v>55</v>
      </c>
      <c r="I4" s="11" t="s">
        <v>56</v>
      </c>
      <c r="J4" s="11" t="s">
        <v>57</v>
      </c>
      <c r="K4" s="11" t="s">
        <v>59</v>
      </c>
      <c r="L4" s="11" t="s">
        <v>58</v>
      </c>
      <c r="Q4" s="274"/>
      <c r="R4" s="271"/>
      <c r="S4" s="260"/>
      <c r="T4" s="204"/>
      <c r="U4" s="259"/>
      <c r="V4" s="204"/>
      <c r="W4" s="259"/>
      <c r="X4" s="204"/>
      <c r="Y4" s="204"/>
      <c r="Z4" s="260"/>
      <c r="AA4" s="204"/>
      <c r="AB4" s="238"/>
      <c r="AC4" s="204"/>
      <c r="AD4" s="204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U4" s="155"/>
      <c r="AV4" s="289"/>
      <c r="AW4" s="204"/>
      <c r="AX4" s="204"/>
      <c r="AY4" s="204"/>
      <c r="AZ4" s="204"/>
      <c r="BA4" s="204"/>
      <c r="BB4" s="271"/>
      <c r="BC4" s="271"/>
      <c r="BD4" s="204"/>
      <c r="BE4" s="204"/>
      <c r="BF4" s="204"/>
      <c r="BG4" s="155"/>
      <c r="BJ4" s="146"/>
      <c r="BK4" s="102"/>
      <c r="BL4" s="102"/>
      <c r="BM4" s="102"/>
      <c r="BN4" s="102"/>
      <c r="BO4" s="102"/>
      <c r="BP4" s="146"/>
      <c r="BQ4" s="146"/>
      <c r="BR4" s="102"/>
      <c r="BS4" s="102"/>
      <c r="BT4" s="102"/>
    </row>
    <row r="5" spans="2:79" ht="19.5" customHeight="1" thickBot="1">
      <c r="B5" s="55" t="s">
        <v>60</v>
      </c>
      <c r="C5" s="17">
        <f>(1/3)*22*((10000*C11)/19)</f>
        <v>855555.5555555555</v>
      </c>
      <c r="D5" s="25">
        <f>C5*0.55</f>
        <v>470555.55555555556</v>
      </c>
      <c r="E5" s="17">
        <f>C5*0.3</f>
        <v>256666.66666666663</v>
      </c>
      <c r="F5" s="17">
        <f>C5*0.15</f>
        <v>128333.33333333331</v>
      </c>
      <c r="H5" s="22" t="s">
        <v>60</v>
      </c>
      <c r="I5" s="23">
        <f>C5/0.97</f>
        <v>882016.03665521194</v>
      </c>
      <c r="J5" s="17">
        <f>I5*0.55</f>
        <v>485108.82016036659</v>
      </c>
      <c r="K5" s="17">
        <f>I5*0.3</f>
        <v>264604.81099656358</v>
      </c>
      <c r="L5" s="17">
        <f>I5*0.15</f>
        <v>132302.40549828179</v>
      </c>
      <c r="O5" s="50"/>
      <c r="Q5" s="275"/>
      <c r="R5" s="199"/>
      <c r="S5" s="255"/>
      <c r="T5" s="197"/>
      <c r="U5" s="251"/>
      <c r="V5" s="197"/>
      <c r="W5" s="251"/>
      <c r="X5" s="197"/>
      <c r="Y5" s="197"/>
      <c r="Z5" s="255"/>
      <c r="AA5" s="197"/>
      <c r="AB5" s="239"/>
      <c r="AC5" s="197"/>
      <c r="AD5" s="197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U5" s="155"/>
      <c r="AV5" s="290"/>
      <c r="AW5" s="197"/>
      <c r="AX5" s="197"/>
      <c r="AY5" s="197"/>
      <c r="AZ5" s="197"/>
      <c r="BA5" s="197"/>
      <c r="BB5" s="199"/>
      <c r="BC5" s="199"/>
      <c r="BD5" s="197"/>
      <c r="BE5" s="197"/>
      <c r="BF5" s="197"/>
      <c r="BG5" s="155"/>
      <c r="BJ5" s="146"/>
      <c r="BK5" s="102"/>
      <c r="BL5" s="102"/>
      <c r="BM5" s="102"/>
      <c r="BN5" s="102"/>
      <c r="BO5" s="102"/>
      <c r="BP5" s="146"/>
      <c r="BQ5" s="146"/>
      <c r="BR5" s="102"/>
      <c r="BS5" s="102"/>
      <c r="BT5" s="102"/>
    </row>
    <row r="6" spans="2:79" ht="20" customHeight="1" thickBot="1">
      <c r="B6" s="12" t="s">
        <v>61</v>
      </c>
      <c r="C6" s="17">
        <f>(2/3)*22*((10000*C11)/19)</f>
        <v>1711111.111111111</v>
      </c>
      <c r="D6" s="16">
        <f>C6*0.3</f>
        <v>513333.33333333326</v>
      </c>
      <c r="E6" s="17">
        <f>C6*0.65</f>
        <v>1112222.2222222222</v>
      </c>
      <c r="F6" s="17">
        <f>C6*0.05</f>
        <v>85555.555555555562</v>
      </c>
      <c r="H6" s="22" t="s">
        <v>61</v>
      </c>
      <c r="I6" s="17">
        <f>C6/0.97</f>
        <v>1764032.0733104239</v>
      </c>
      <c r="J6" s="25">
        <f>I6*0.3</f>
        <v>529209.62199312716</v>
      </c>
      <c r="K6" s="17">
        <f>I6*0.65</f>
        <v>1146620.8476517755</v>
      </c>
      <c r="L6" s="17">
        <f>I6*0.05</f>
        <v>88201.603665521194</v>
      </c>
      <c r="Q6" s="232" t="s">
        <v>113</v>
      </c>
      <c r="R6" s="220" t="s">
        <v>114</v>
      </c>
      <c r="S6" s="42" t="s">
        <v>77</v>
      </c>
      <c r="T6" s="41">
        <f>H17</f>
        <v>544454.34361432842</v>
      </c>
      <c r="U6" s="41">
        <f>T6/240</f>
        <v>2268.5597650597019</v>
      </c>
      <c r="V6" s="202">
        <v>10</v>
      </c>
      <c r="W6" s="44">
        <f>15*V6</f>
        <v>150</v>
      </c>
      <c r="X6" s="202">
        <v>0.98</v>
      </c>
      <c r="Y6" s="220">
        <v>0.95</v>
      </c>
      <c r="Z6" s="284">
        <v>0.85</v>
      </c>
      <c r="AA6" s="17">
        <f>W6*$Y$6*$Z$6*$X$6</f>
        <v>118.7025</v>
      </c>
      <c r="AB6" s="44">
        <f>U6/$U$31</f>
        <v>151.2373176706468</v>
      </c>
      <c r="AC6" s="240">
        <f>(SUM(AB6:AB8)/AA6)+(SUM(AB9:AB11)/AA9)</f>
        <v>9.2660876129603924</v>
      </c>
      <c r="AD6" s="205">
        <v>10</v>
      </c>
      <c r="AE6" s="57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57"/>
      <c r="AU6" s="155"/>
      <c r="AV6" s="232" t="s">
        <v>166</v>
      </c>
      <c r="AW6" s="205">
        <f>$I$7</f>
        <v>2646048.1099656359</v>
      </c>
      <c r="AX6" s="205">
        <f>(AW6/(240*15))</f>
        <v>735.01336387934327</v>
      </c>
      <c r="AY6" s="202">
        <v>20</v>
      </c>
      <c r="AZ6" s="202">
        <f>1/(AY6/3600)</f>
        <v>180</v>
      </c>
      <c r="BA6" s="202">
        <v>0.99</v>
      </c>
      <c r="BB6" s="202">
        <v>0.85</v>
      </c>
      <c r="BC6" s="200">
        <v>0.85</v>
      </c>
      <c r="BD6" s="205">
        <f>BC6*BB6*BA6*AZ6</f>
        <v>128.74949999999998</v>
      </c>
      <c r="BE6" s="210">
        <f>AX6/BD6</f>
        <v>5.7088638315437601</v>
      </c>
      <c r="BF6" s="202">
        <v>6</v>
      </c>
      <c r="BG6" s="155"/>
      <c r="BJ6" s="177"/>
      <c r="BK6" s="178"/>
      <c r="BL6" s="178"/>
      <c r="BM6" s="143"/>
      <c r="BN6" s="143"/>
      <c r="BO6" s="143"/>
      <c r="BP6" s="143"/>
      <c r="BQ6" s="181"/>
      <c r="BR6" s="178"/>
      <c r="BS6" s="182"/>
      <c r="BT6" s="143"/>
      <c r="BU6" s="105"/>
      <c r="BV6" s="106"/>
      <c r="BW6" s="106"/>
      <c r="BX6" s="106"/>
      <c r="BY6" s="106"/>
      <c r="BZ6" s="105"/>
      <c r="CA6" s="105"/>
    </row>
    <row r="7" spans="2:79" ht="19.5" customHeight="1" thickBot="1">
      <c r="B7" s="12" t="s">
        <v>62</v>
      </c>
      <c r="C7" s="17">
        <f>C5+C6</f>
        <v>2566666.6666666665</v>
      </c>
      <c r="D7" s="17">
        <f t="shared" ref="D7:E7" si="0">D5+D6</f>
        <v>983888.88888888876</v>
      </c>
      <c r="E7" s="17">
        <f t="shared" si="0"/>
        <v>1368888.888888889</v>
      </c>
      <c r="F7" s="17">
        <f>F5+F6</f>
        <v>213888.88888888888</v>
      </c>
      <c r="H7" s="22" t="s">
        <v>62</v>
      </c>
      <c r="I7" s="24">
        <f>I5+I6</f>
        <v>2646048.1099656359</v>
      </c>
      <c r="J7" s="17">
        <f t="shared" ref="J7:K7" si="1">J5+J6</f>
        <v>1014318.4421534938</v>
      </c>
      <c r="K7" s="17">
        <f t="shared" si="1"/>
        <v>1411225.6586483391</v>
      </c>
      <c r="L7" s="17">
        <f>L5+L6</f>
        <v>220504.00916380298</v>
      </c>
      <c r="Q7" s="233"/>
      <c r="R7" s="221"/>
      <c r="S7" s="43" t="s">
        <v>78</v>
      </c>
      <c r="T7" s="40">
        <f t="shared" ref="T7:T29" si="2">H18</f>
        <v>148487.54825845317</v>
      </c>
      <c r="U7" s="41">
        <f>T7/240</f>
        <v>618.69811774355492</v>
      </c>
      <c r="V7" s="212"/>
      <c r="W7" s="44">
        <f>W6</f>
        <v>150</v>
      </c>
      <c r="X7" s="212"/>
      <c r="Y7" s="221"/>
      <c r="Z7" s="285"/>
      <c r="AA7" s="17">
        <f t="shared" ref="AA7:AA8" si="3">W7*$Y$6*$Z$6*$X$6</f>
        <v>118.7025</v>
      </c>
      <c r="AB7" s="44">
        <f t="shared" ref="AB7:AB29" si="4">U7/$U$31</f>
        <v>41.246541182903663</v>
      </c>
      <c r="AC7" s="241"/>
      <c r="AD7" s="213"/>
      <c r="AE7" s="57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57"/>
      <c r="AU7" s="155"/>
      <c r="AV7" s="233"/>
      <c r="AW7" s="203"/>
      <c r="AX7" s="206"/>
      <c r="AY7" s="203"/>
      <c r="AZ7" s="203"/>
      <c r="BA7" s="203"/>
      <c r="BB7" s="203"/>
      <c r="BC7" s="201"/>
      <c r="BD7" s="206"/>
      <c r="BE7" s="211"/>
      <c r="BF7" s="203"/>
      <c r="BG7" s="155"/>
      <c r="BJ7" s="177"/>
      <c r="BK7" s="143"/>
      <c r="BL7" s="178"/>
      <c r="BM7" s="143"/>
      <c r="BN7" s="143"/>
      <c r="BO7" s="143"/>
      <c r="BP7" s="143"/>
      <c r="BQ7" s="181"/>
      <c r="BR7" s="178"/>
      <c r="BS7" s="182"/>
      <c r="BT7" s="143"/>
      <c r="BU7" s="105"/>
      <c r="BV7" s="105"/>
      <c r="BW7" s="161"/>
      <c r="BX7" s="105"/>
      <c r="BY7" s="105"/>
      <c r="BZ7" s="105"/>
      <c r="CA7" s="105"/>
    </row>
    <row r="8" spans="2:79" ht="16.5" customHeight="1" thickBot="1">
      <c r="Q8" s="233"/>
      <c r="R8" s="221"/>
      <c r="S8" s="31" t="s">
        <v>79</v>
      </c>
      <c r="T8" s="41">
        <f t="shared" si="2"/>
        <v>296975.09651690634</v>
      </c>
      <c r="U8" s="41">
        <f t="shared" ref="U8:U28" si="5">T8/240</f>
        <v>1237.3962354871098</v>
      </c>
      <c r="V8" s="212"/>
      <c r="W8" s="44">
        <f>W7</f>
        <v>150</v>
      </c>
      <c r="X8" s="212"/>
      <c r="Y8" s="221"/>
      <c r="Z8" s="285"/>
      <c r="AA8" s="17">
        <f t="shared" si="3"/>
        <v>118.7025</v>
      </c>
      <c r="AB8" s="44">
        <f t="shared" si="4"/>
        <v>82.493082365807325</v>
      </c>
      <c r="AC8" s="241"/>
      <c r="AD8" s="213"/>
      <c r="AE8" s="57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57"/>
      <c r="AU8" s="155"/>
      <c r="AV8" s="232" t="s">
        <v>167</v>
      </c>
      <c r="AW8" s="205">
        <f t="shared" ref="AW8" si="6">$I$7</f>
        <v>2646048.1099656359</v>
      </c>
      <c r="AX8" s="205">
        <f>0.1*AX6</f>
        <v>73.50133638793433</v>
      </c>
      <c r="AY8" s="202">
        <v>120</v>
      </c>
      <c r="AZ8" s="202">
        <f t="shared" ref="AZ8" si="7">1/(AY8/3600)</f>
        <v>30</v>
      </c>
      <c r="BA8" s="202">
        <v>0.97</v>
      </c>
      <c r="BB8" s="202">
        <v>1</v>
      </c>
      <c r="BC8" s="200">
        <v>0.85</v>
      </c>
      <c r="BD8" s="205">
        <f>BC8*BB8*BA8*AZ8</f>
        <v>24.734999999999999</v>
      </c>
      <c r="BE8" s="210">
        <f t="shared" ref="BE8" si="8">AX8/BD8</f>
        <v>2.971551905717984</v>
      </c>
      <c r="BF8" s="202">
        <v>3</v>
      </c>
      <c r="BG8" s="155"/>
      <c r="BJ8" s="177"/>
      <c r="BK8" s="178"/>
      <c r="BL8" s="178"/>
      <c r="BM8" s="143"/>
      <c r="BN8" s="143"/>
      <c r="BO8" s="143"/>
      <c r="BP8" s="143"/>
      <c r="BQ8" s="181"/>
      <c r="BR8" s="178"/>
      <c r="BS8" s="182"/>
      <c r="BT8" s="143"/>
      <c r="BU8" s="105"/>
      <c r="BV8" s="106"/>
      <c r="BW8" s="106"/>
      <c r="BX8" s="106"/>
      <c r="BY8" s="106"/>
      <c r="BZ8" s="105"/>
      <c r="CA8" s="105"/>
    </row>
    <row r="9" spans="2:79" ht="16.5" customHeight="1" thickBot="1">
      <c r="N9" s="15"/>
      <c r="Q9" s="233"/>
      <c r="R9" s="221"/>
      <c r="S9" s="42" t="s">
        <v>80</v>
      </c>
      <c r="T9" s="40">
        <f t="shared" si="2"/>
        <v>593950.19303381268</v>
      </c>
      <c r="U9" s="41">
        <f t="shared" si="5"/>
        <v>2474.7924709742197</v>
      </c>
      <c r="V9" s="212"/>
      <c r="W9" s="44">
        <f>10*V6</f>
        <v>100</v>
      </c>
      <c r="X9" s="212"/>
      <c r="Y9" s="221"/>
      <c r="Z9" s="285"/>
      <c r="AA9" s="17">
        <f>W9*$Y$6*$Z$6*$X$6</f>
        <v>79.135000000000005</v>
      </c>
      <c r="AB9" s="44">
        <f t="shared" si="4"/>
        <v>164.98616473161465</v>
      </c>
      <c r="AC9" s="241"/>
      <c r="AD9" s="213"/>
      <c r="AE9" s="57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57"/>
      <c r="AU9" s="155"/>
      <c r="AV9" s="233"/>
      <c r="AW9" s="203"/>
      <c r="AX9" s="206"/>
      <c r="AY9" s="203"/>
      <c r="AZ9" s="203"/>
      <c r="BA9" s="203"/>
      <c r="BB9" s="203"/>
      <c r="BC9" s="201"/>
      <c r="BD9" s="206"/>
      <c r="BE9" s="211"/>
      <c r="BF9" s="203"/>
      <c r="BG9" s="155"/>
      <c r="BJ9" s="177"/>
      <c r="BK9" s="143"/>
      <c r="BL9" s="178"/>
      <c r="BM9" s="143"/>
      <c r="BN9" s="143"/>
      <c r="BO9" s="143"/>
      <c r="BP9" s="143"/>
      <c r="BQ9" s="181"/>
      <c r="BR9" s="178"/>
      <c r="BS9" s="182"/>
      <c r="BT9" s="143"/>
      <c r="BU9" s="105"/>
      <c r="BV9" s="105"/>
      <c r="BW9" s="105"/>
      <c r="BX9" s="105"/>
      <c r="BY9" s="105"/>
      <c r="BZ9" s="105"/>
      <c r="CA9" s="105"/>
    </row>
    <row r="10" spans="2:79" ht="19.5" customHeight="1" thickBot="1">
      <c r="B10" s="13" t="s">
        <v>63</v>
      </c>
      <c r="C10" s="14">
        <f>(13*22)+(19*19)+(18*1)</f>
        <v>665</v>
      </c>
      <c r="N10" s="15"/>
      <c r="Q10" s="233"/>
      <c r="R10" s="221"/>
      <c r="S10" s="43" t="s">
        <v>81</v>
      </c>
      <c r="T10" s="41">
        <f t="shared" si="2"/>
        <v>98991.69883896879</v>
      </c>
      <c r="U10" s="41">
        <f t="shared" si="5"/>
        <v>412.46541182903661</v>
      </c>
      <c r="V10" s="212"/>
      <c r="W10" s="44">
        <f>W9</f>
        <v>100</v>
      </c>
      <c r="X10" s="212"/>
      <c r="Y10" s="221"/>
      <c r="Z10" s="285"/>
      <c r="AA10" s="17">
        <f>W10*$Y$6*$Z$6*$X$6</f>
        <v>79.135000000000005</v>
      </c>
      <c r="AB10" s="44">
        <f t="shared" si="4"/>
        <v>27.497694121935773</v>
      </c>
      <c r="AC10" s="241"/>
      <c r="AD10" s="213"/>
      <c r="AE10" s="57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57"/>
      <c r="AU10" s="155"/>
      <c r="AV10" s="232" t="s">
        <v>189</v>
      </c>
      <c r="AW10" s="205">
        <f t="shared" ref="AW10" si="9">$I$7</f>
        <v>2646048.1099656359</v>
      </c>
      <c r="AX10" s="205">
        <f>AX6</f>
        <v>735.01336387934327</v>
      </c>
      <c r="AY10" s="202">
        <v>10</v>
      </c>
      <c r="AZ10" s="202">
        <f t="shared" ref="AZ10" si="10">1/(AY10/3600)</f>
        <v>360</v>
      </c>
      <c r="BA10" s="202">
        <v>0.9</v>
      </c>
      <c r="BB10" s="202">
        <v>1</v>
      </c>
      <c r="BC10" s="200">
        <v>0.85</v>
      </c>
      <c r="BD10" s="205">
        <f>BC10*BB10*BA10*AZ10</f>
        <v>275.39999999999998</v>
      </c>
      <c r="BE10" s="210">
        <f t="shared" ref="BE10" si="11">AX10/BD10</f>
        <v>2.668893841246708</v>
      </c>
      <c r="BF10" s="202">
        <v>3</v>
      </c>
      <c r="BG10" s="155"/>
      <c r="BJ10" s="177"/>
      <c r="BK10" s="178"/>
      <c r="BL10" s="178"/>
      <c r="BM10" s="143"/>
      <c r="BN10" s="143"/>
      <c r="BO10" s="143"/>
      <c r="BP10" s="143"/>
      <c r="BQ10" s="181"/>
      <c r="BR10" s="178"/>
      <c r="BS10" s="182"/>
      <c r="BT10" s="143"/>
      <c r="BU10" s="105"/>
      <c r="BV10" s="106"/>
      <c r="BW10" s="106"/>
      <c r="BX10" s="106"/>
      <c r="BY10" s="106"/>
      <c r="BZ10" s="105"/>
      <c r="CA10" s="105"/>
    </row>
    <row r="11" spans="2:79" ht="19.5" customHeight="1" thickBot="1">
      <c r="B11" s="13" t="s">
        <v>64</v>
      </c>
      <c r="C11" s="14">
        <f>(C10/3)</f>
        <v>221.66666666666666</v>
      </c>
      <c r="G11" s="15"/>
      <c r="I11" s="15"/>
      <c r="K11" s="15"/>
      <c r="N11" s="15"/>
      <c r="O11" s="29"/>
      <c r="Q11" s="234"/>
      <c r="R11" s="222"/>
      <c r="S11" s="31" t="s">
        <v>82</v>
      </c>
      <c r="T11" s="40">
        <f t="shared" si="2"/>
        <v>1286892.0849065944</v>
      </c>
      <c r="U11" s="41">
        <f t="shared" si="5"/>
        <v>5362.0503537774766</v>
      </c>
      <c r="V11" s="203"/>
      <c r="W11" s="44">
        <f>W10</f>
        <v>100</v>
      </c>
      <c r="X11" s="203"/>
      <c r="Y11" s="222"/>
      <c r="Z11" s="285"/>
      <c r="AA11" s="17">
        <f>W11*$Y$6*$Z$6*$X$6</f>
        <v>79.135000000000005</v>
      </c>
      <c r="AB11" s="44">
        <f t="shared" si="4"/>
        <v>357.47002358516511</v>
      </c>
      <c r="AC11" s="242"/>
      <c r="AD11" s="206"/>
      <c r="AE11" s="57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57"/>
      <c r="AU11" s="155"/>
      <c r="AV11" s="234"/>
      <c r="AW11" s="203"/>
      <c r="AX11" s="203"/>
      <c r="AY11" s="203"/>
      <c r="AZ11" s="203"/>
      <c r="BA11" s="203"/>
      <c r="BB11" s="203"/>
      <c r="BC11" s="201"/>
      <c r="BD11" s="206"/>
      <c r="BE11" s="211"/>
      <c r="BF11" s="203"/>
      <c r="BG11" s="155"/>
      <c r="BJ11" s="177"/>
      <c r="BK11" s="143"/>
      <c r="BL11" s="143"/>
      <c r="BM11" s="143"/>
      <c r="BN11" s="143"/>
      <c r="BO11" s="143"/>
      <c r="BP11" s="143"/>
      <c r="BQ11" s="181"/>
      <c r="BR11" s="178"/>
      <c r="BS11" s="182"/>
      <c r="BT11" s="143"/>
    </row>
    <row r="12" spans="2:79" ht="17" customHeight="1" thickBot="1">
      <c r="H12" s="15"/>
      <c r="I12" s="15"/>
      <c r="Q12" s="232" t="s">
        <v>115</v>
      </c>
      <c r="R12" s="220" t="s">
        <v>117</v>
      </c>
      <c r="S12" s="42" t="s">
        <v>86</v>
      </c>
      <c r="T12" s="41">
        <f t="shared" si="2"/>
        <v>515798.85184515326</v>
      </c>
      <c r="U12" s="41">
        <f t="shared" si="5"/>
        <v>2149.1618826881386</v>
      </c>
      <c r="V12" s="202">
        <v>10</v>
      </c>
      <c r="W12" s="44">
        <f>20*V12</f>
        <v>200</v>
      </c>
      <c r="X12" s="202">
        <v>0.98</v>
      </c>
      <c r="Y12" s="220">
        <v>0.95</v>
      </c>
      <c r="Z12" s="285"/>
      <c r="AA12" s="17">
        <f>W12*$Y$12*$Z$6*$X$12</f>
        <v>158.27000000000001</v>
      </c>
      <c r="AB12" s="44">
        <f t="shared" si="4"/>
        <v>143.27745884587591</v>
      </c>
      <c r="AC12" s="202">
        <f>(SUM(AB12:AB14)/AA13)+(SUM(AB15:AB17)/AA17)</f>
        <v>6.0351491689676244</v>
      </c>
      <c r="AD12" s="205">
        <v>7</v>
      </c>
      <c r="AE12" s="57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57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8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</row>
    <row r="13" spans="2:79" ht="16.5" customHeight="1" thickBot="1">
      <c r="M13" s="15"/>
      <c r="Q13" s="233"/>
      <c r="R13" s="221"/>
      <c r="S13" s="43" t="s">
        <v>87</v>
      </c>
      <c r="T13" s="40">
        <f t="shared" si="2"/>
        <v>140672.41413958723</v>
      </c>
      <c r="U13" s="41">
        <f t="shared" si="5"/>
        <v>586.13505891494674</v>
      </c>
      <c r="V13" s="212"/>
      <c r="W13" s="44">
        <f>W12</f>
        <v>200</v>
      </c>
      <c r="X13" s="212"/>
      <c r="Y13" s="221"/>
      <c r="Z13" s="285"/>
      <c r="AA13" s="17">
        <f t="shared" ref="AA13:AA17" si="12">W13*$Y$12*$Z$6*$X$12</f>
        <v>158.27000000000001</v>
      </c>
      <c r="AB13" s="44">
        <f t="shared" si="4"/>
        <v>39.075670594329786</v>
      </c>
      <c r="AC13" s="212"/>
      <c r="AD13" s="213"/>
      <c r="AE13" s="57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57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8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</row>
    <row r="14" spans="2:79" ht="17" customHeight="1" thickBot="1">
      <c r="Q14" s="233"/>
      <c r="R14" s="221"/>
      <c r="S14" s="31" t="s">
        <v>88</v>
      </c>
      <c r="T14" s="41">
        <f t="shared" si="2"/>
        <v>281344.82827917446</v>
      </c>
      <c r="U14" s="41">
        <f t="shared" si="5"/>
        <v>1172.2701178298935</v>
      </c>
      <c r="V14" s="212"/>
      <c r="W14" s="44">
        <f>W12</f>
        <v>200</v>
      </c>
      <c r="X14" s="212"/>
      <c r="Y14" s="221"/>
      <c r="Z14" s="285"/>
      <c r="AA14" s="17">
        <f t="shared" si="12"/>
        <v>158.27000000000001</v>
      </c>
      <c r="AB14" s="44">
        <f t="shared" si="4"/>
        <v>78.151341188659572</v>
      </c>
      <c r="AC14" s="212"/>
      <c r="AD14" s="213"/>
      <c r="AE14" s="57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57"/>
      <c r="AU14" s="155"/>
      <c r="AV14" s="291" t="s">
        <v>120</v>
      </c>
      <c r="AW14" s="292"/>
      <c r="AX14" s="196" t="s">
        <v>211</v>
      </c>
      <c r="AY14" s="196" t="s">
        <v>217</v>
      </c>
      <c r="AZ14" s="196" t="s">
        <v>218</v>
      </c>
      <c r="BA14" s="196" t="s">
        <v>219</v>
      </c>
      <c r="BB14" s="196" t="s">
        <v>220</v>
      </c>
      <c r="BC14" s="198" t="s">
        <v>110</v>
      </c>
      <c r="BD14" s="196" t="s">
        <v>212</v>
      </c>
      <c r="BE14" s="196" t="s">
        <v>111</v>
      </c>
      <c r="BF14" s="196" t="s">
        <v>228</v>
      </c>
      <c r="BG14" s="196" t="s">
        <v>121</v>
      </c>
      <c r="BH14" s="196" t="s">
        <v>112</v>
      </c>
      <c r="BI14" s="158"/>
      <c r="BJ14" s="146"/>
      <c r="BK14" s="146"/>
      <c r="BL14" s="102"/>
      <c r="BM14" s="102"/>
      <c r="BN14" s="102"/>
      <c r="BO14" s="102"/>
      <c r="BP14" s="102"/>
      <c r="BQ14" s="146"/>
      <c r="BR14" s="102"/>
      <c r="BS14" s="102"/>
      <c r="BT14" s="102"/>
      <c r="BU14" s="102"/>
      <c r="BV14" s="102"/>
    </row>
    <row r="15" spans="2:79" ht="16.25" customHeight="1" thickBot="1">
      <c r="B15" s="246" t="s">
        <v>106</v>
      </c>
      <c r="C15" s="198" t="s">
        <v>75</v>
      </c>
      <c r="D15" s="248" t="s">
        <v>221</v>
      </c>
      <c r="E15" s="249"/>
      <c r="F15" s="249"/>
      <c r="G15" s="250"/>
      <c r="H15" s="246" t="s">
        <v>224</v>
      </c>
      <c r="I15" s="253"/>
      <c r="J15" s="254"/>
      <c r="L15" s="59"/>
      <c r="M15" s="59"/>
      <c r="N15" s="59"/>
      <c r="O15" s="59"/>
      <c r="Q15" s="233"/>
      <c r="R15" s="221"/>
      <c r="S15" s="42" t="s">
        <v>89</v>
      </c>
      <c r="T15" s="40">
        <f t="shared" si="2"/>
        <v>562689.65655834891</v>
      </c>
      <c r="U15" s="41">
        <f t="shared" si="5"/>
        <v>2344.540235659787</v>
      </c>
      <c r="V15" s="212"/>
      <c r="W15" s="44">
        <f>15*V12</f>
        <v>150</v>
      </c>
      <c r="X15" s="212"/>
      <c r="Y15" s="221"/>
      <c r="Z15" s="285"/>
      <c r="AA15" s="17">
        <f t="shared" si="12"/>
        <v>118.7025</v>
      </c>
      <c r="AB15" s="44">
        <f t="shared" si="4"/>
        <v>156.30268237731914</v>
      </c>
      <c r="AC15" s="212"/>
      <c r="AD15" s="213"/>
      <c r="AE15" s="57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57"/>
      <c r="AU15" s="155"/>
      <c r="AV15" s="274"/>
      <c r="AW15" s="293"/>
      <c r="AX15" s="204"/>
      <c r="AY15" s="204"/>
      <c r="AZ15" s="204"/>
      <c r="BA15" s="204"/>
      <c r="BB15" s="204"/>
      <c r="BC15" s="271"/>
      <c r="BD15" s="204"/>
      <c r="BE15" s="204"/>
      <c r="BF15" s="204"/>
      <c r="BG15" s="204"/>
      <c r="BH15" s="204"/>
      <c r="BI15" s="158"/>
      <c r="BJ15" s="146"/>
      <c r="BK15" s="146"/>
      <c r="BL15" s="102"/>
      <c r="BM15" s="102"/>
      <c r="BN15" s="102"/>
      <c r="BO15" s="102"/>
      <c r="BP15" s="102"/>
      <c r="BQ15" s="146"/>
      <c r="BR15" s="102"/>
      <c r="BS15" s="102"/>
      <c r="BT15" s="102"/>
      <c r="BU15" s="102"/>
      <c r="BV15" s="102"/>
    </row>
    <row r="16" spans="2:79" ht="16.5" customHeight="1" thickBot="1">
      <c r="B16" s="247"/>
      <c r="C16" s="199"/>
      <c r="D16" s="239"/>
      <c r="E16" s="251"/>
      <c r="F16" s="251"/>
      <c r="G16" s="252"/>
      <c r="H16" s="247"/>
      <c r="I16" s="255"/>
      <c r="J16" s="256"/>
      <c r="L16" s="59"/>
      <c r="M16" s="59"/>
      <c r="N16" s="59"/>
      <c r="O16" s="59"/>
      <c r="Q16" s="233"/>
      <c r="R16" s="221"/>
      <c r="S16" s="43" t="s">
        <v>90</v>
      </c>
      <c r="T16" s="41">
        <f t="shared" si="2"/>
        <v>93781.6094263915</v>
      </c>
      <c r="U16" s="41">
        <f t="shared" si="5"/>
        <v>390.7567059432979</v>
      </c>
      <c r="V16" s="212"/>
      <c r="W16" s="44">
        <f>W15</f>
        <v>150</v>
      </c>
      <c r="X16" s="212"/>
      <c r="Y16" s="221"/>
      <c r="Z16" s="285"/>
      <c r="AA16" s="17">
        <f t="shared" si="12"/>
        <v>118.7025</v>
      </c>
      <c r="AB16" s="44">
        <f t="shared" si="4"/>
        <v>26.050447062886526</v>
      </c>
      <c r="AC16" s="212"/>
      <c r="AD16" s="213"/>
      <c r="AE16" s="57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57"/>
      <c r="AU16" s="155"/>
      <c r="AV16" s="275"/>
      <c r="AW16" s="294"/>
      <c r="AX16" s="197"/>
      <c r="AY16" s="197"/>
      <c r="AZ16" s="197"/>
      <c r="BA16" s="197"/>
      <c r="BB16" s="197"/>
      <c r="BC16" s="199"/>
      <c r="BD16" s="197"/>
      <c r="BE16" s="197"/>
      <c r="BF16" s="197"/>
      <c r="BG16" s="197"/>
      <c r="BH16" s="197"/>
      <c r="BI16" s="158"/>
      <c r="BJ16" s="146"/>
      <c r="BK16" s="146"/>
      <c r="BL16" s="102"/>
      <c r="BM16" s="102"/>
      <c r="BN16" s="102"/>
      <c r="BO16" s="102"/>
      <c r="BP16" s="102"/>
      <c r="BQ16" s="146"/>
      <c r="BR16" s="102"/>
      <c r="BS16" s="102"/>
      <c r="BT16" s="102"/>
      <c r="BU16" s="102"/>
      <c r="BV16" s="102"/>
    </row>
    <row r="17" spans="2:74" ht="16.25" customHeight="1" thickBot="1">
      <c r="B17" s="232" t="s">
        <v>76</v>
      </c>
      <c r="C17" s="32" t="s">
        <v>77</v>
      </c>
      <c r="D17" s="214">
        <f>$J$5/0.99</f>
        <v>490008.90925289557</v>
      </c>
      <c r="E17" s="215"/>
      <c r="F17" s="215"/>
      <c r="G17" s="216"/>
      <c r="H17" s="217">
        <f>D17/0.9</f>
        <v>544454.34361432842</v>
      </c>
      <c r="I17" s="218"/>
      <c r="J17" s="219"/>
      <c r="L17" s="61" t="s">
        <v>210</v>
      </c>
      <c r="M17" s="257" t="s">
        <v>222</v>
      </c>
      <c r="N17" s="257"/>
      <c r="O17" s="59"/>
      <c r="Q17" s="234"/>
      <c r="R17" s="222"/>
      <c r="S17" s="31" t="s">
        <v>91</v>
      </c>
      <c r="T17" s="40">
        <f t="shared" si="2"/>
        <v>1219160.9225430894</v>
      </c>
      <c r="U17" s="41">
        <f t="shared" si="5"/>
        <v>5079.8371772628725</v>
      </c>
      <c r="V17" s="203"/>
      <c r="W17" s="44">
        <f>W16</f>
        <v>150</v>
      </c>
      <c r="X17" s="203"/>
      <c r="Y17" s="222"/>
      <c r="Z17" s="285"/>
      <c r="AA17" s="17">
        <f t="shared" si="12"/>
        <v>118.7025</v>
      </c>
      <c r="AB17" s="44">
        <f t="shared" si="4"/>
        <v>338.65581181752481</v>
      </c>
      <c r="AC17" s="203"/>
      <c r="AD17" s="206"/>
      <c r="AE17" s="57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57"/>
      <c r="AU17" s="155"/>
      <c r="AV17" s="223" t="s">
        <v>169</v>
      </c>
      <c r="AW17" s="202" t="s">
        <v>60</v>
      </c>
      <c r="AX17" s="205">
        <f>I5</f>
        <v>882016.03665521194</v>
      </c>
      <c r="AY17" s="205">
        <f>AX17/50</f>
        <v>17640.320733104239</v>
      </c>
      <c r="AZ17" s="205">
        <f>AY17/(240*15)</f>
        <v>4.9000890925289555</v>
      </c>
      <c r="BA17" s="202">
        <v>160</v>
      </c>
      <c r="BB17" s="205">
        <f>1/(BA17/3600)</f>
        <v>22.5</v>
      </c>
      <c r="BC17" s="202">
        <v>0.95</v>
      </c>
      <c r="BD17" s="202">
        <v>1</v>
      </c>
      <c r="BE17" s="200">
        <v>0.85</v>
      </c>
      <c r="BF17" s="205">
        <f>BE17*BD17*BC17*BB17</f>
        <v>18.168749999999999</v>
      </c>
      <c r="BG17" s="202">
        <f>17/BF17</f>
        <v>0.9356725146198831</v>
      </c>
      <c r="BH17" s="202">
        <v>1</v>
      </c>
      <c r="BI17" s="158"/>
      <c r="BJ17" s="143"/>
      <c r="BK17" s="143"/>
      <c r="BL17" s="178"/>
      <c r="BM17" s="178"/>
      <c r="BN17" s="143"/>
      <c r="BO17" s="143"/>
      <c r="BP17" s="178"/>
      <c r="BQ17" s="183"/>
      <c r="BR17" s="143"/>
      <c r="BS17" s="181"/>
      <c r="BT17" s="143"/>
      <c r="BU17" s="143"/>
      <c r="BV17" s="143"/>
    </row>
    <row r="18" spans="2:74" ht="17" customHeight="1" thickBot="1">
      <c r="B18" s="233"/>
      <c r="C18" s="36" t="s">
        <v>78</v>
      </c>
      <c r="D18" s="214">
        <f>$L$5/0.99</f>
        <v>133638.79343260787</v>
      </c>
      <c r="E18" s="215"/>
      <c r="F18" s="215"/>
      <c r="G18" s="216"/>
      <c r="H18" s="217">
        <f t="shared" ref="H18:H22" si="13">D18/0.9</f>
        <v>148487.54825845317</v>
      </c>
      <c r="I18" s="218"/>
      <c r="J18" s="219"/>
      <c r="L18" s="59"/>
      <c r="M18" s="258" t="s">
        <v>223</v>
      </c>
      <c r="N18" s="258"/>
      <c r="O18" s="59"/>
      <c r="Q18" s="232" t="s">
        <v>116</v>
      </c>
      <c r="R18" s="272" t="s">
        <v>123</v>
      </c>
      <c r="S18" s="42" t="s">
        <v>92</v>
      </c>
      <c r="T18" s="41">
        <f t="shared" si="2"/>
        <v>544454.34361432842</v>
      </c>
      <c r="U18" s="41">
        <f t="shared" si="5"/>
        <v>2268.5597650597019</v>
      </c>
      <c r="V18" s="202">
        <v>15</v>
      </c>
      <c r="W18" s="44">
        <f>150*V18</f>
        <v>2250</v>
      </c>
      <c r="X18" s="202">
        <v>0.99</v>
      </c>
      <c r="Y18" s="220">
        <v>0.95</v>
      </c>
      <c r="Z18" s="285"/>
      <c r="AA18" s="17">
        <f t="shared" ref="AA18:AA29" si="14">W18*$Y$12*$Z$6*$X$18</f>
        <v>1798.70625</v>
      </c>
      <c r="AB18" s="44">
        <f t="shared" si="4"/>
        <v>151.2373176706468</v>
      </c>
      <c r="AC18" s="202">
        <f>(SUM(AB18:AB23)/AA19)+(SUM(AB24:AB26)/AA25)+(SUM(AB27:AB29)/AA28)</f>
        <v>1.9327748404811325</v>
      </c>
      <c r="AD18" s="205">
        <f t="shared" ref="AD18" si="15">ROUND(AC18,0)</f>
        <v>2</v>
      </c>
      <c r="AE18" s="57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57"/>
      <c r="AU18" s="155"/>
      <c r="AV18" s="224"/>
      <c r="AW18" s="203"/>
      <c r="AX18" s="203"/>
      <c r="AY18" s="206"/>
      <c r="AZ18" s="206"/>
      <c r="BA18" s="212"/>
      <c r="BB18" s="213"/>
      <c r="BC18" s="203"/>
      <c r="BD18" s="203"/>
      <c r="BE18" s="201"/>
      <c r="BF18" s="213"/>
      <c r="BG18" s="212"/>
      <c r="BH18" s="212"/>
      <c r="BI18" s="158"/>
      <c r="BJ18" s="143"/>
      <c r="BK18" s="143"/>
      <c r="BL18" s="143"/>
      <c r="BM18" s="143"/>
      <c r="BN18" s="143"/>
      <c r="BO18" s="143"/>
      <c r="BP18" s="143"/>
      <c r="BQ18" s="183"/>
      <c r="BR18" s="143"/>
      <c r="BS18" s="181"/>
      <c r="BT18" s="143"/>
      <c r="BU18" s="143"/>
      <c r="BV18" s="143"/>
    </row>
    <row r="19" spans="2:74" ht="16.5" customHeight="1" thickBot="1">
      <c r="B19" s="233"/>
      <c r="C19" s="26" t="s">
        <v>79</v>
      </c>
      <c r="D19" s="214">
        <f>$K$5/0.99</f>
        <v>267277.58686521574</v>
      </c>
      <c r="E19" s="215"/>
      <c r="F19" s="215"/>
      <c r="G19" s="216"/>
      <c r="H19" s="217">
        <f t="shared" si="13"/>
        <v>296975.09651690634</v>
      </c>
      <c r="I19" s="218"/>
      <c r="J19" s="219"/>
      <c r="L19" s="59"/>
      <c r="M19" s="258" t="s">
        <v>104</v>
      </c>
      <c r="N19" s="258"/>
      <c r="O19" s="59"/>
      <c r="Q19" s="233"/>
      <c r="R19" s="273"/>
      <c r="S19" s="43" t="s">
        <v>93</v>
      </c>
      <c r="T19" s="40">
        <f t="shared" si="2"/>
        <v>148487.54825845317</v>
      </c>
      <c r="U19" s="41">
        <f t="shared" si="5"/>
        <v>618.69811774355492</v>
      </c>
      <c r="V19" s="212"/>
      <c r="W19" s="44">
        <f>W18</f>
        <v>2250</v>
      </c>
      <c r="X19" s="212"/>
      <c r="Y19" s="221"/>
      <c r="Z19" s="285"/>
      <c r="AA19" s="17">
        <f t="shared" si="14"/>
        <v>1798.70625</v>
      </c>
      <c r="AB19" s="44">
        <f t="shared" si="4"/>
        <v>41.246541182903663</v>
      </c>
      <c r="AC19" s="212"/>
      <c r="AD19" s="213"/>
      <c r="AE19" s="57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57"/>
      <c r="AU19" s="155"/>
      <c r="AV19" s="224"/>
      <c r="AW19" s="202" t="s">
        <v>61</v>
      </c>
      <c r="AX19" s="205">
        <f>I6</f>
        <v>1764032.0733104239</v>
      </c>
      <c r="AY19" s="205">
        <f>AX19/40</f>
        <v>44100.801832760597</v>
      </c>
      <c r="AZ19" s="205">
        <f>AY19/(240*15)</f>
        <v>12.250222731322388</v>
      </c>
      <c r="BA19" s="212"/>
      <c r="BB19" s="213"/>
      <c r="BC19" s="202">
        <v>0.95</v>
      </c>
      <c r="BD19" s="202">
        <v>1</v>
      </c>
      <c r="BE19" s="200">
        <v>0.85</v>
      </c>
      <c r="BF19" s="213"/>
      <c r="BG19" s="212"/>
      <c r="BH19" s="212"/>
      <c r="BI19" s="158"/>
      <c r="BJ19" s="143"/>
      <c r="BK19" s="143"/>
      <c r="BL19" s="178"/>
      <c r="BM19" s="178"/>
      <c r="BN19" s="143"/>
      <c r="BO19" s="143"/>
      <c r="BP19" s="143"/>
      <c r="BQ19" s="143"/>
      <c r="BR19" s="143"/>
      <c r="BS19" s="181"/>
      <c r="BT19" s="143"/>
      <c r="BU19" s="143"/>
      <c r="BV19" s="143"/>
    </row>
    <row r="20" spans="2:74" ht="16.5" customHeight="1" thickBot="1">
      <c r="B20" s="233"/>
      <c r="C20" s="33" t="s">
        <v>80</v>
      </c>
      <c r="D20" s="214">
        <f>$J$6/0.99</f>
        <v>534555.17373043147</v>
      </c>
      <c r="E20" s="215"/>
      <c r="F20" s="215"/>
      <c r="G20" s="216"/>
      <c r="H20" s="217">
        <f t="shared" si="13"/>
        <v>593950.19303381268</v>
      </c>
      <c r="I20" s="218"/>
      <c r="J20" s="219"/>
      <c r="L20" s="59"/>
      <c r="M20" s="258" t="s">
        <v>105</v>
      </c>
      <c r="N20" s="258"/>
      <c r="O20" s="59"/>
      <c r="Q20" s="233"/>
      <c r="R20" s="273"/>
      <c r="S20" s="31" t="s">
        <v>94</v>
      </c>
      <c r="T20" s="41">
        <f t="shared" si="2"/>
        <v>296975.09651690634</v>
      </c>
      <c r="U20" s="41">
        <f t="shared" si="5"/>
        <v>1237.3962354871098</v>
      </c>
      <c r="V20" s="212"/>
      <c r="W20" s="44">
        <f t="shared" ref="W20:W23" si="16">W19</f>
        <v>2250</v>
      </c>
      <c r="X20" s="212"/>
      <c r="Y20" s="221"/>
      <c r="Z20" s="285"/>
      <c r="AA20" s="17">
        <f t="shared" si="14"/>
        <v>1798.70625</v>
      </c>
      <c r="AB20" s="44">
        <f t="shared" si="4"/>
        <v>82.493082365807325</v>
      </c>
      <c r="AC20" s="212"/>
      <c r="AD20" s="213"/>
      <c r="AE20" s="57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57"/>
      <c r="AU20" s="155"/>
      <c r="AV20" s="225"/>
      <c r="AW20" s="203"/>
      <c r="AX20" s="203"/>
      <c r="AY20" s="206"/>
      <c r="AZ20" s="206"/>
      <c r="BA20" s="203"/>
      <c r="BB20" s="206"/>
      <c r="BC20" s="203"/>
      <c r="BD20" s="203"/>
      <c r="BE20" s="201"/>
      <c r="BF20" s="206"/>
      <c r="BG20" s="203"/>
      <c r="BH20" s="203"/>
      <c r="BI20" s="158"/>
      <c r="BJ20" s="143"/>
      <c r="BK20" s="143"/>
      <c r="BL20" s="143"/>
      <c r="BM20" s="143"/>
      <c r="BN20" s="143"/>
      <c r="BO20" s="143"/>
      <c r="BP20" s="143"/>
      <c r="BQ20" s="143"/>
      <c r="BR20" s="143"/>
      <c r="BS20" s="181"/>
      <c r="BT20" s="143"/>
      <c r="BU20" s="143"/>
      <c r="BV20" s="143"/>
    </row>
    <row r="21" spans="2:74" ht="16.5" customHeight="1" thickBot="1">
      <c r="B21" s="233"/>
      <c r="C21" s="37" t="s">
        <v>81</v>
      </c>
      <c r="D21" s="214">
        <f>$L$6/0.99</f>
        <v>89092.528955071917</v>
      </c>
      <c r="E21" s="215"/>
      <c r="F21" s="215"/>
      <c r="G21" s="216"/>
      <c r="H21" s="217">
        <f t="shared" si="13"/>
        <v>98991.69883896879</v>
      </c>
      <c r="I21" s="218"/>
      <c r="J21" s="219"/>
      <c r="L21" s="59"/>
      <c r="M21" s="59"/>
      <c r="N21" s="59"/>
      <c r="O21" s="59"/>
      <c r="Q21" s="233"/>
      <c r="R21" s="273"/>
      <c r="S21" s="42" t="s">
        <v>95</v>
      </c>
      <c r="T21" s="40">
        <f t="shared" si="2"/>
        <v>593950.19303381268</v>
      </c>
      <c r="U21" s="41">
        <f t="shared" si="5"/>
        <v>2474.7924709742197</v>
      </c>
      <c r="V21" s="212"/>
      <c r="W21" s="44">
        <f t="shared" si="16"/>
        <v>2250</v>
      </c>
      <c r="X21" s="212"/>
      <c r="Y21" s="221"/>
      <c r="Z21" s="285"/>
      <c r="AA21" s="17">
        <f t="shared" si="14"/>
        <v>1798.70625</v>
      </c>
      <c r="AB21" s="44">
        <f t="shared" si="4"/>
        <v>164.98616473161465</v>
      </c>
      <c r="AC21" s="212"/>
      <c r="AD21" s="213"/>
      <c r="AE21" s="57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57"/>
      <c r="AU21" s="184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</row>
    <row r="22" spans="2:74" ht="16.5" customHeight="1" thickBot="1">
      <c r="B22" s="234"/>
      <c r="C22" s="26" t="s">
        <v>82</v>
      </c>
      <c r="D22" s="214">
        <f>$K$6/0.99</f>
        <v>1158202.8764159349</v>
      </c>
      <c r="E22" s="215"/>
      <c r="F22" s="215"/>
      <c r="G22" s="216"/>
      <c r="H22" s="217">
        <f t="shared" si="13"/>
        <v>1286892.0849065944</v>
      </c>
      <c r="I22" s="218"/>
      <c r="J22" s="219"/>
      <c r="L22" s="59"/>
      <c r="M22" s="59"/>
      <c r="N22" s="59"/>
      <c r="O22" s="59"/>
      <c r="Q22" s="233"/>
      <c r="R22" s="273"/>
      <c r="S22" s="43" t="s">
        <v>96</v>
      </c>
      <c r="T22" s="41">
        <f t="shared" si="2"/>
        <v>98991.69883896879</v>
      </c>
      <c r="U22" s="41">
        <f t="shared" si="5"/>
        <v>412.46541182903661</v>
      </c>
      <c r="V22" s="212"/>
      <c r="W22" s="44">
        <f t="shared" si="16"/>
        <v>2250</v>
      </c>
      <c r="X22" s="212"/>
      <c r="Y22" s="221"/>
      <c r="Z22" s="285"/>
      <c r="AA22" s="17">
        <f t="shared" si="14"/>
        <v>1798.70625</v>
      </c>
      <c r="AB22" s="44">
        <f t="shared" si="4"/>
        <v>27.497694121935773</v>
      </c>
      <c r="AC22" s="212"/>
      <c r="AD22" s="213"/>
      <c r="AE22" s="57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57"/>
      <c r="AU22" s="184"/>
      <c r="AZ22" s="65">
        <f>1/17</f>
        <v>5.8823529411764705E-2</v>
      </c>
      <c r="BA22" s="66" t="s">
        <v>226</v>
      </c>
    </row>
    <row r="23" spans="2:74" ht="16.5" customHeight="1" thickBot="1">
      <c r="B23" s="232" t="s">
        <v>83</v>
      </c>
      <c r="C23" s="32" t="s">
        <v>86</v>
      </c>
      <c r="D23" s="214">
        <f>$J$5/0.99</f>
        <v>490008.90925289557</v>
      </c>
      <c r="E23" s="215"/>
      <c r="F23" s="215"/>
      <c r="G23" s="216"/>
      <c r="H23" s="217">
        <f>D23/0.95</f>
        <v>515798.85184515326</v>
      </c>
      <c r="I23" s="218"/>
      <c r="J23" s="219"/>
      <c r="L23" s="59"/>
      <c r="M23" s="59"/>
      <c r="N23" s="59"/>
      <c r="O23" s="59"/>
      <c r="Q23" s="233"/>
      <c r="R23" s="273"/>
      <c r="S23" s="31" t="s">
        <v>97</v>
      </c>
      <c r="T23" s="40">
        <f t="shared" si="2"/>
        <v>1286892.0849065944</v>
      </c>
      <c r="U23" s="41">
        <f t="shared" si="5"/>
        <v>5362.0503537774766</v>
      </c>
      <c r="V23" s="212"/>
      <c r="W23" s="44">
        <f t="shared" si="16"/>
        <v>2250</v>
      </c>
      <c r="X23" s="212"/>
      <c r="Y23" s="221"/>
      <c r="Z23" s="285"/>
      <c r="AA23" s="17">
        <f t="shared" si="14"/>
        <v>1798.70625</v>
      </c>
      <c r="AB23" s="44">
        <f t="shared" si="4"/>
        <v>357.47002358516511</v>
      </c>
      <c r="AC23" s="212"/>
      <c r="AD23" s="213"/>
      <c r="AE23" s="57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57"/>
      <c r="AU23" s="184"/>
      <c r="AZ23" s="65">
        <f>AZ22*3600</f>
        <v>211.76470588235293</v>
      </c>
      <c r="BA23" s="66" t="s">
        <v>227</v>
      </c>
    </row>
    <row r="24" spans="2:74" ht="16.5" customHeight="1" thickBot="1">
      <c r="B24" s="233"/>
      <c r="C24" s="36" t="s">
        <v>87</v>
      </c>
      <c r="D24" s="214">
        <f>$L$5/0.99</f>
        <v>133638.79343260787</v>
      </c>
      <c r="E24" s="215"/>
      <c r="F24" s="215"/>
      <c r="G24" s="216"/>
      <c r="H24" s="217">
        <f t="shared" ref="H24:H28" si="17">D24/0.95</f>
        <v>140672.41413958723</v>
      </c>
      <c r="I24" s="218"/>
      <c r="J24" s="219"/>
      <c r="L24" s="59"/>
      <c r="M24" s="59"/>
      <c r="N24" s="59"/>
      <c r="O24" s="59"/>
      <c r="Q24" s="233"/>
      <c r="R24" s="220" t="s">
        <v>84</v>
      </c>
      <c r="S24" s="42" t="s">
        <v>98</v>
      </c>
      <c r="T24" s="41">
        <f t="shared" si="2"/>
        <v>500009.09107438324</v>
      </c>
      <c r="U24" s="41">
        <f t="shared" si="5"/>
        <v>2083.3712128099301</v>
      </c>
      <c r="V24" s="212"/>
      <c r="W24" s="44">
        <f>50*V18</f>
        <v>750</v>
      </c>
      <c r="X24" s="212"/>
      <c r="Y24" s="221"/>
      <c r="Z24" s="285"/>
      <c r="AA24" s="17">
        <f t="shared" si="14"/>
        <v>599.56875000000002</v>
      </c>
      <c r="AB24" s="44">
        <f t="shared" si="4"/>
        <v>138.89141418732868</v>
      </c>
      <c r="AC24" s="212"/>
      <c r="AD24" s="213"/>
      <c r="AE24" s="57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57"/>
    </row>
    <row r="25" spans="2:74" ht="16.5" customHeight="1" thickBot="1">
      <c r="B25" s="233"/>
      <c r="C25" s="26" t="s">
        <v>88</v>
      </c>
      <c r="D25" s="214">
        <f>$K$5/0.99</f>
        <v>267277.58686521574</v>
      </c>
      <c r="E25" s="215"/>
      <c r="F25" s="215"/>
      <c r="G25" s="216"/>
      <c r="H25" s="217">
        <f t="shared" si="17"/>
        <v>281344.82827917446</v>
      </c>
      <c r="I25" s="218"/>
      <c r="J25" s="219"/>
      <c r="L25" s="59"/>
      <c r="M25" s="59"/>
      <c r="N25" s="59"/>
      <c r="O25" s="59"/>
      <c r="Q25" s="233"/>
      <c r="R25" s="221"/>
      <c r="S25" s="43" t="s">
        <v>99</v>
      </c>
      <c r="T25" s="40">
        <f t="shared" si="2"/>
        <v>136366.11574755906</v>
      </c>
      <c r="U25" s="41">
        <f t="shared" si="5"/>
        <v>568.19214894816275</v>
      </c>
      <c r="V25" s="212"/>
      <c r="W25" s="44">
        <f>W24</f>
        <v>750</v>
      </c>
      <c r="X25" s="212"/>
      <c r="Y25" s="221"/>
      <c r="Z25" s="285"/>
      <c r="AA25" s="17">
        <f t="shared" si="14"/>
        <v>599.56875000000002</v>
      </c>
      <c r="AB25" s="44">
        <f t="shared" si="4"/>
        <v>37.879476596544187</v>
      </c>
      <c r="AC25" s="212"/>
      <c r="AD25" s="213"/>
      <c r="AE25" s="57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57"/>
    </row>
    <row r="26" spans="2:74" ht="16.5" customHeight="1" thickBot="1">
      <c r="B26" s="233"/>
      <c r="C26" s="33" t="s">
        <v>89</v>
      </c>
      <c r="D26" s="214">
        <f>$J$6/0.99</f>
        <v>534555.17373043147</v>
      </c>
      <c r="E26" s="215"/>
      <c r="F26" s="215"/>
      <c r="G26" s="216"/>
      <c r="H26" s="217">
        <f t="shared" si="17"/>
        <v>562689.65655834891</v>
      </c>
      <c r="I26" s="218"/>
      <c r="J26" s="219"/>
      <c r="L26" s="59"/>
      <c r="M26" s="59"/>
      <c r="N26" s="59"/>
      <c r="O26" s="59"/>
      <c r="Q26" s="233"/>
      <c r="R26" s="221"/>
      <c r="S26" s="31" t="s">
        <v>100</v>
      </c>
      <c r="T26" s="41">
        <f t="shared" si="2"/>
        <v>272732.23149511812</v>
      </c>
      <c r="U26" s="41">
        <f t="shared" si="5"/>
        <v>1136.3842978963255</v>
      </c>
      <c r="V26" s="212"/>
      <c r="W26" s="44">
        <f>W25</f>
        <v>750</v>
      </c>
      <c r="X26" s="212"/>
      <c r="Y26" s="221"/>
      <c r="Z26" s="285"/>
      <c r="AA26" s="17">
        <f t="shared" si="14"/>
        <v>599.56875000000002</v>
      </c>
      <c r="AB26" s="44">
        <f t="shared" si="4"/>
        <v>75.758953193088374</v>
      </c>
      <c r="AC26" s="212"/>
      <c r="AD26" s="213"/>
      <c r="AE26" s="57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57"/>
    </row>
    <row r="27" spans="2:74" ht="16.5" customHeight="1" thickBot="1">
      <c r="B27" s="233"/>
      <c r="C27" s="37" t="s">
        <v>90</v>
      </c>
      <c r="D27" s="214">
        <f>$L$6/0.99</f>
        <v>89092.528955071917</v>
      </c>
      <c r="E27" s="215"/>
      <c r="F27" s="215"/>
      <c r="G27" s="216"/>
      <c r="H27" s="217">
        <f>D27/0.95</f>
        <v>93781.6094263915</v>
      </c>
      <c r="I27" s="218"/>
      <c r="J27" s="219"/>
      <c r="L27" s="59"/>
      <c r="M27" s="59"/>
      <c r="N27" s="59"/>
      <c r="O27" s="59"/>
      <c r="Q27" s="233"/>
      <c r="R27" s="221"/>
      <c r="S27" s="42" t="s">
        <v>101</v>
      </c>
      <c r="T27" s="40">
        <f t="shared" si="2"/>
        <v>545464.46299023624</v>
      </c>
      <c r="U27" s="41">
        <f t="shared" si="5"/>
        <v>2272.768595792651</v>
      </c>
      <c r="V27" s="212"/>
      <c r="W27" s="44">
        <f>40*V18</f>
        <v>600</v>
      </c>
      <c r="X27" s="212"/>
      <c r="Y27" s="221"/>
      <c r="Z27" s="285"/>
      <c r="AA27" s="17">
        <f t="shared" si="14"/>
        <v>479.65499999999997</v>
      </c>
      <c r="AB27" s="44">
        <f t="shared" si="4"/>
        <v>151.51790638617675</v>
      </c>
      <c r="AC27" s="212"/>
      <c r="AD27" s="213"/>
      <c r="AE27" s="57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57"/>
    </row>
    <row r="28" spans="2:74" ht="16.5" customHeight="1" thickBot="1">
      <c r="B28" s="234"/>
      <c r="C28" s="26" t="s">
        <v>91</v>
      </c>
      <c r="D28" s="214">
        <f>$K$6/0.99</f>
        <v>1158202.8764159349</v>
      </c>
      <c r="E28" s="215"/>
      <c r="F28" s="215"/>
      <c r="G28" s="216"/>
      <c r="H28" s="217">
        <f t="shared" si="17"/>
        <v>1219160.9225430894</v>
      </c>
      <c r="I28" s="218"/>
      <c r="J28" s="219"/>
      <c r="Q28" s="233"/>
      <c r="R28" s="221"/>
      <c r="S28" s="43" t="s">
        <v>102</v>
      </c>
      <c r="T28" s="41">
        <f t="shared" si="2"/>
        <v>90910.743831706044</v>
      </c>
      <c r="U28" s="41">
        <f t="shared" si="5"/>
        <v>378.79476596544185</v>
      </c>
      <c r="V28" s="212"/>
      <c r="W28" s="44">
        <f>W27</f>
        <v>600</v>
      </c>
      <c r="X28" s="212"/>
      <c r="Y28" s="221"/>
      <c r="Z28" s="285"/>
      <c r="AA28" s="17">
        <f t="shared" si="14"/>
        <v>479.65499999999997</v>
      </c>
      <c r="AB28" s="44">
        <f t="shared" si="4"/>
        <v>25.252984397696125</v>
      </c>
      <c r="AC28" s="212"/>
      <c r="AD28" s="213"/>
      <c r="AE28" s="57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57"/>
    </row>
    <row r="29" spans="2:74" ht="16.5" customHeight="1" thickBot="1">
      <c r="B29" s="232" t="s">
        <v>85</v>
      </c>
      <c r="C29" s="34" t="s">
        <v>92</v>
      </c>
      <c r="D29" s="214">
        <f>$J$5/0.99</f>
        <v>490008.90925289557</v>
      </c>
      <c r="E29" s="215"/>
      <c r="F29" s="215"/>
      <c r="G29" s="216"/>
      <c r="H29" s="217">
        <f>D29/0.9</f>
        <v>544454.34361432842</v>
      </c>
      <c r="I29" s="218"/>
      <c r="J29" s="219"/>
      <c r="K29" s="15"/>
      <c r="Q29" s="234"/>
      <c r="R29" s="222"/>
      <c r="S29" s="31" t="s">
        <v>103</v>
      </c>
      <c r="T29" s="41">
        <f t="shared" si="2"/>
        <v>1181839.6698121785</v>
      </c>
      <c r="U29" s="41">
        <f>T29/240</f>
        <v>4924.3319575507439</v>
      </c>
      <c r="V29" s="203"/>
      <c r="W29" s="44">
        <f>W27</f>
        <v>600</v>
      </c>
      <c r="X29" s="203"/>
      <c r="Y29" s="222"/>
      <c r="Z29" s="286"/>
      <c r="AA29" s="17">
        <f t="shared" si="14"/>
        <v>479.65499999999997</v>
      </c>
      <c r="AB29" s="44">
        <f t="shared" si="4"/>
        <v>328.28879717004958</v>
      </c>
      <c r="AC29" s="203"/>
      <c r="AD29" s="206"/>
      <c r="AE29" s="57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57"/>
    </row>
    <row r="30" spans="2:74" ht="16.5" customHeight="1" thickBot="1">
      <c r="B30" s="233"/>
      <c r="C30" s="38" t="s">
        <v>93</v>
      </c>
      <c r="D30" s="214">
        <f>$L$5/0.99</f>
        <v>133638.79343260787</v>
      </c>
      <c r="E30" s="215"/>
      <c r="F30" s="215"/>
      <c r="G30" s="216"/>
      <c r="H30" s="217">
        <f t="shared" ref="H30:H34" si="18">D30/0.9</f>
        <v>148487.54825845317</v>
      </c>
      <c r="I30" s="218"/>
      <c r="J30" s="219"/>
      <c r="K30" s="15"/>
      <c r="L30" s="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</row>
    <row r="31" spans="2:74" ht="16.5" customHeight="1" thickBot="1">
      <c r="B31" s="233"/>
      <c r="C31" s="27" t="s">
        <v>94</v>
      </c>
      <c r="D31" s="214">
        <f>$K$5/0.99</f>
        <v>267277.58686521574</v>
      </c>
      <c r="E31" s="215"/>
      <c r="F31" s="215"/>
      <c r="G31" s="216"/>
      <c r="H31" s="217">
        <f t="shared" si="18"/>
        <v>296975.09651690634</v>
      </c>
      <c r="I31" s="218"/>
      <c r="J31" s="219"/>
      <c r="K31" s="15"/>
      <c r="L31" s="60"/>
      <c r="R31" s="244" t="s">
        <v>203</v>
      </c>
      <c r="S31" s="244"/>
      <c r="T31" s="244"/>
      <c r="U31" s="51">
        <v>15</v>
      </c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</row>
    <row r="32" spans="2:74" ht="16.5" customHeight="1" thickBot="1">
      <c r="B32" s="233"/>
      <c r="C32" s="35" t="s">
        <v>95</v>
      </c>
      <c r="D32" s="214">
        <f>$J$6/0.99</f>
        <v>534555.17373043147</v>
      </c>
      <c r="E32" s="215"/>
      <c r="F32" s="215"/>
      <c r="G32" s="216"/>
      <c r="H32" s="217">
        <f t="shared" si="18"/>
        <v>593950.19303381268</v>
      </c>
      <c r="I32" s="218"/>
      <c r="J32" s="219"/>
      <c r="L32" s="60"/>
      <c r="R32" s="243"/>
      <c r="S32" s="243"/>
      <c r="T32" s="243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</row>
    <row r="33" spans="2:77" ht="16.5" customHeight="1" thickBot="1">
      <c r="B33" s="233"/>
      <c r="C33" s="39" t="s">
        <v>96</v>
      </c>
      <c r="D33" s="214">
        <f>$L$6/0.99</f>
        <v>89092.528955071917</v>
      </c>
      <c r="E33" s="215"/>
      <c r="F33" s="215"/>
      <c r="G33" s="216"/>
      <c r="H33" s="217">
        <f t="shared" si="18"/>
        <v>98991.69883896879</v>
      </c>
      <c r="I33" s="218"/>
      <c r="J33" s="219"/>
      <c r="Q33" s="46"/>
      <c r="R33" s="245" t="s">
        <v>207</v>
      </c>
      <c r="S33" s="245"/>
      <c r="T33" s="245"/>
      <c r="U33" s="56">
        <f>AD6+AD12+AD18</f>
        <v>19</v>
      </c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</row>
    <row r="34" spans="2:77" ht="16.5" customHeight="1" thickBot="1">
      <c r="B34" s="234"/>
      <c r="C34" s="28" t="s">
        <v>97</v>
      </c>
      <c r="D34" s="214">
        <f>$K$6/0.99</f>
        <v>1158202.8764159349</v>
      </c>
      <c r="E34" s="215"/>
      <c r="F34" s="215"/>
      <c r="G34" s="216"/>
      <c r="H34" s="217">
        <f t="shared" si="18"/>
        <v>1286892.0849065944</v>
      </c>
      <c r="I34" s="218"/>
      <c r="J34" s="219"/>
      <c r="R34" s="243"/>
      <c r="S34" s="243"/>
      <c r="T34" s="243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</row>
    <row r="35" spans="2:77" ht="16.5" customHeight="1" thickBot="1">
      <c r="B35" s="232" t="s">
        <v>84</v>
      </c>
      <c r="C35" s="34" t="s">
        <v>98</v>
      </c>
      <c r="D35" s="214">
        <f>$J$5/0.99</f>
        <v>490008.90925289557</v>
      </c>
      <c r="E35" s="215"/>
      <c r="F35" s="215"/>
      <c r="G35" s="216"/>
      <c r="H35" s="217">
        <f>D35/0.98</f>
        <v>500009.09107438324</v>
      </c>
      <c r="I35" s="218"/>
      <c r="J35" s="219"/>
      <c r="Q35" s="45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</row>
    <row r="36" spans="2:77" ht="17" customHeight="1" thickBot="1">
      <c r="B36" s="233"/>
      <c r="C36" s="38" t="s">
        <v>99</v>
      </c>
      <c r="D36" s="214">
        <f>$L$5/0.99</f>
        <v>133638.79343260787</v>
      </c>
      <c r="E36" s="215"/>
      <c r="F36" s="215"/>
      <c r="G36" s="216"/>
      <c r="H36" s="217">
        <f t="shared" ref="H36:H40" si="19">D36/0.98</f>
        <v>136366.11574755906</v>
      </c>
      <c r="I36" s="218"/>
      <c r="J36" s="219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</row>
    <row r="37" spans="2:77" ht="17" customHeight="1" thickBot="1">
      <c r="B37" s="233"/>
      <c r="C37" s="27" t="s">
        <v>100</v>
      </c>
      <c r="D37" s="214">
        <f>$K$5/0.99</f>
        <v>267277.58686521574</v>
      </c>
      <c r="E37" s="215"/>
      <c r="F37" s="215"/>
      <c r="G37" s="216"/>
      <c r="H37" s="217">
        <f t="shared" si="19"/>
        <v>272732.23149511812</v>
      </c>
      <c r="I37" s="218"/>
      <c r="J37" s="219"/>
      <c r="O37" s="46"/>
      <c r="V37" s="45"/>
      <c r="Y37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</row>
    <row r="38" spans="2:77" ht="16.5" customHeight="1" thickBot="1">
      <c r="B38" s="233"/>
      <c r="C38" s="35" t="s">
        <v>101</v>
      </c>
      <c r="D38" s="214">
        <f>$J$6/0.99</f>
        <v>534555.17373043147</v>
      </c>
      <c r="E38" s="215"/>
      <c r="F38" s="215"/>
      <c r="G38" s="216"/>
      <c r="H38" s="217">
        <f t="shared" si="19"/>
        <v>545464.46299023624</v>
      </c>
      <c r="I38" s="218"/>
      <c r="J38" s="219"/>
      <c r="O38" s="47"/>
      <c r="Y38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</row>
    <row r="39" spans="2:77" ht="17" customHeight="1" thickBot="1">
      <c r="B39" s="233"/>
      <c r="C39" s="39" t="s">
        <v>102</v>
      </c>
      <c r="D39" s="214">
        <f>$L$6/0.99</f>
        <v>89092.528955071917</v>
      </c>
      <c r="E39" s="215"/>
      <c r="F39" s="215"/>
      <c r="G39" s="216"/>
      <c r="H39" s="217">
        <f t="shared" si="19"/>
        <v>90910.743831706044</v>
      </c>
      <c r="I39" s="218"/>
      <c r="J39" s="219"/>
      <c r="Y39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</row>
    <row r="40" spans="2:77" ht="17" customHeight="1" thickBot="1">
      <c r="B40" s="234"/>
      <c r="C40" s="28" t="s">
        <v>103</v>
      </c>
      <c r="D40" s="214">
        <f>$K$6/0.99</f>
        <v>1158202.8764159349</v>
      </c>
      <c r="E40" s="215"/>
      <c r="F40" s="215"/>
      <c r="G40" s="216"/>
      <c r="H40" s="217">
        <f t="shared" si="19"/>
        <v>1181839.6698121785</v>
      </c>
      <c r="I40" s="218"/>
      <c r="J40" s="219"/>
      <c r="V40" s="58"/>
      <c r="Y4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</row>
    <row r="41" spans="2:77" ht="15.75" customHeight="1">
      <c r="Y41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</row>
    <row r="42" spans="2:77" ht="15.75" customHeight="1">
      <c r="Y42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</row>
    <row r="43" spans="2:77" ht="15.75" customHeight="1">
      <c r="Y43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</row>
    <row r="44" spans="2:77" ht="16.5" customHeight="1" thickBot="1">
      <c r="Y44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</row>
    <row r="45" spans="2:77" ht="16.25" customHeight="1">
      <c r="Q45" s="307" t="s">
        <v>208</v>
      </c>
      <c r="R45" s="308"/>
      <c r="S45" s="308"/>
      <c r="T45" s="308"/>
      <c r="U45" s="308"/>
      <c r="V45" s="308"/>
      <c r="W45" s="308"/>
      <c r="X45" s="308"/>
      <c r="Y45" s="308"/>
      <c r="Z45" s="308"/>
      <c r="AA45" s="308"/>
      <c r="AB45" s="308"/>
      <c r="AC45" s="308"/>
      <c r="AD45" s="309"/>
      <c r="AE45" s="163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V45" s="307" t="s">
        <v>209</v>
      </c>
      <c r="AW45" s="308"/>
      <c r="AX45" s="308"/>
      <c r="AY45" s="308"/>
      <c r="AZ45" s="308"/>
      <c r="BA45" s="308"/>
      <c r="BB45" s="308"/>
      <c r="BC45" s="308"/>
      <c r="BD45" s="308"/>
      <c r="BE45" s="308"/>
      <c r="BF45" s="309"/>
      <c r="BG45" s="160"/>
      <c r="BH45" s="160"/>
      <c r="BI45" s="160"/>
      <c r="BJ45" s="160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77"/>
      <c r="BW45" s="77"/>
      <c r="BX45" s="77"/>
      <c r="BY45" s="77"/>
    </row>
    <row r="46" spans="2:77" ht="17" customHeight="1" thickBot="1">
      <c r="Q46" s="310"/>
      <c r="R46" s="311"/>
      <c r="S46" s="311"/>
      <c r="T46" s="311"/>
      <c r="U46" s="311"/>
      <c r="V46" s="311"/>
      <c r="W46" s="311"/>
      <c r="X46" s="311"/>
      <c r="Y46" s="311"/>
      <c r="Z46" s="311"/>
      <c r="AA46" s="311"/>
      <c r="AB46" s="311"/>
      <c r="AC46" s="311"/>
      <c r="AD46" s="312"/>
      <c r="AE46" s="163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V46" s="310"/>
      <c r="AW46" s="311"/>
      <c r="AX46" s="311"/>
      <c r="AY46" s="311"/>
      <c r="AZ46" s="311"/>
      <c r="BA46" s="311"/>
      <c r="BB46" s="311"/>
      <c r="BC46" s="311"/>
      <c r="BD46" s="311"/>
      <c r="BE46" s="311"/>
      <c r="BF46" s="312"/>
      <c r="BG46" s="160"/>
      <c r="BH46" s="160"/>
      <c r="BI46" s="160"/>
      <c r="BJ46" s="160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162"/>
      <c r="BW46" s="162"/>
      <c r="BX46" s="77"/>
      <c r="BY46" s="77"/>
    </row>
    <row r="47" spans="2:77" ht="16.5" customHeight="1" thickBot="1">
      <c r="B47" s="235" t="s">
        <v>205</v>
      </c>
      <c r="C47" s="236"/>
      <c r="D47" s="236"/>
      <c r="E47" s="236"/>
      <c r="F47" s="237"/>
      <c r="H47" s="235" t="s">
        <v>206</v>
      </c>
      <c r="I47" s="236"/>
      <c r="J47" s="236"/>
      <c r="K47" s="236"/>
      <c r="L47" s="237"/>
      <c r="Q47" s="265" t="s">
        <v>120</v>
      </c>
      <c r="R47" s="267" t="s">
        <v>106</v>
      </c>
      <c r="S47" s="269" t="s">
        <v>107</v>
      </c>
      <c r="T47" s="261" t="s">
        <v>108</v>
      </c>
      <c r="U47" s="263" t="s">
        <v>109</v>
      </c>
      <c r="V47" s="261" t="s">
        <v>118</v>
      </c>
      <c r="W47" s="263" t="s">
        <v>122</v>
      </c>
      <c r="X47" s="261" t="s">
        <v>119</v>
      </c>
      <c r="Y47" s="261" t="s">
        <v>110</v>
      </c>
      <c r="Z47" s="269" t="s">
        <v>111</v>
      </c>
      <c r="AA47" s="261" t="s">
        <v>124</v>
      </c>
      <c r="AB47" s="287" t="s">
        <v>204</v>
      </c>
      <c r="AC47" s="261" t="s">
        <v>121</v>
      </c>
      <c r="AD47" s="261" t="s">
        <v>112</v>
      </c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V47" s="276" t="s">
        <v>120</v>
      </c>
      <c r="AW47" s="208" t="s">
        <v>211</v>
      </c>
      <c r="AX47" s="208" t="s">
        <v>214</v>
      </c>
      <c r="AY47" s="208" t="s">
        <v>215</v>
      </c>
      <c r="AZ47" s="208" t="s">
        <v>216</v>
      </c>
      <c r="BA47" s="208" t="s">
        <v>119</v>
      </c>
      <c r="BB47" s="227" t="s">
        <v>110</v>
      </c>
      <c r="BC47" s="227" t="s">
        <v>111</v>
      </c>
      <c r="BD47" s="208" t="s">
        <v>213</v>
      </c>
      <c r="BE47" s="208" t="s">
        <v>121</v>
      </c>
      <c r="BF47" s="208" t="s">
        <v>112</v>
      </c>
      <c r="BI47" s="77"/>
      <c r="BJ47" s="146"/>
      <c r="BK47" s="180"/>
      <c r="BL47" s="180"/>
      <c r="BM47" s="180"/>
      <c r="BN47" s="180"/>
      <c r="BO47" s="180"/>
      <c r="BP47" s="179"/>
      <c r="BQ47" s="179"/>
      <c r="BR47" s="180"/>
      <c r="BS47" s="180"/>
      <c r="BT47" s="180"/>
      <c r="BU47" s="77"/>
      <c r="BV47" s="77"/>
      <c r="BW47" s="77"/>
      <c r="BX47" s="77"/>
      <c r="BY47" s="77"/>
    </row>
    <row r="48" spans="2:77" ht="16.5" customHeight="1" thickBot="1">
      <c r="B48" s="54" t="s">
        <v>55</v>
      </c>
      <c r="C48" s="53" t="s">
        <v>56</v>
      </c>
      <c r="D48" s="53" t="s">
        <v>57</v>
      </c>
      <c r="E48" s="53" t="s">
        <v>59</v>
      </c>
      <c r="F48" s="53" t="s">
        <v>58</v>
      </c>
      <c r="H48" s="52" t="s">
        <v>55</v>
      </c>
      <c r="I48" s="11" t="s">
        <v>56</v>
      </c>
      <c r="J48" s="11" t="s">
        <v>57</v>
      </c>
      <c r="K48" s="11" t="s">
        <v>59</v>
      </c>
      <c r="L48" s="11" t="s">
        <v>58</v>
      </c>
      <c r="Q48" s="265"/>
      <c r="R48" s="267"/>
      <c r="S48" s="269"/>
      <c r="T48" s="261"/>
      <c r="U48" s="263"/>
      <c r="V48" s="261"/>
      <c r="W48" s="263"/>
      <c r="X48" s="261"/>
      <c r="Y48" s="261"/>
      <c r="Z48" s="269"/>
      <c r="AA48" s="261"/>
      <c r="AB48" s="287"/>
      <c r="AC48" s="261"/>
      <c r="AD48" s="261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V48" s="276"/>
      <c r="AW48" s="208"/>
      <c r="AX48" s="208"/>
      <c r="AY48" s="208"/>
      <c r="AZ48" s="208"/>
      <c r="BA48" s="208"/>
      <c r="BB48" s="227"/>
      <c r="BC48" s="227"/>
      <c r="BD48" s="208"/>
      <c r="BE48" s="208"/>
      <c r="BF48" s="208"/>
      <c r="BI48" s="77"/>
      <c r="BJ48" s="146"/>
      <c r="BK48" s="180"/>
      <c r="BL48" s="180"/>
      <c r="BM48" s="180"/>
      <c r="BN48" s="180"/>
      <c r="BO48" s="180"/>
      <c r="BP48" s="179"/>
      <c r="BQ48" s="179"/>
      <c r="BR48" s="180"/>
      <c r="BS48" s="180"/>
      <c r="BT48" s="180"/>
      <c r="BU48" s="77"/>
      <c r="BV48" s="77"/>
      <c r="BW48" s="77"/>
      <c r="BX48" s="77"/>
      <c r="BY48" s="77"/>
    </row>
    <row r="49" spans="2:77" ht="19.5" customHeight="1" thickBot="1">
      <c r="B49" s="55" t="s">
        <v>60</v>
      </c>
      <c r="C49" s="17">
        <f>C5+(C5*0.3)</f>
        <v>1112222.222222222</v>
      </c>
      <c r="D49" s="25">
        <f>C49*0.55</f>
        <v>611722.22222222213</v>
      </c>
      <c r="E49" s="17">
        <f>C49*0.3</f>
        <v>333666.66666666657</v>
      </c>
      <c r="F49" s="17">
        <f>C49*0.15</f>
        <v>166833.33333333328</v>
      </c>
      <c r="H49" s="22" t="s">
        <v>60</v>
      </c>
      <c r="I49" s="23">
        <f>C49/0.97</f>
        <v>1146620.8476517752</v>
      </c>
      <c r="J49" s="17">
        <f>I49*0.55</f>
        <v>630641.46620847646</v>
      </c>
      <c r="K49" s="17">
        <f>I49*0.3</f>
        <v>343986.25429553253</v>
      </c>
      <c r="L49" s="17">
        <f>I49*0.15</f>
        <v>171993.12714776627</v>
      </c>
      <c r="Q49" s="266"/>
      <c r="R49" s="268"/>
      <c r="S49" s="270"/>
      <c r="T49" s="262"/>
      <c r="U49" s="264"/>
      <c r="V49" s="262"/>
      <c r="W49" s="264"/>
      <c r="X49" s="262"/>
      <c r="Y49" s="262"/>
      <c r="Z49" s="270"/>
      <c r="AA49" s="262"/>
      <c r="AB49" s="288"/>
      <c r="AC49" s="262"/>
      <c r="AD49" s="262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V49" s="277"/>
      <c r="AW49" s="209"/>
      <c r="AX49" s="209"/>
      <c r="AY49" s="209"/>
      <c r="AZ49" s="209"/>
      <c r="BA49" s="209"/>
      <c r="BB49" s="228"/>
      <c r="BC49" s="228"/>
      <c r="BD49" s="209"/>
      <c r="BE49" s="209"/>
      <c r="BF49" s="209"/>
      <c r="BI49" s="77"/>
      <c r="BJ49" s="146"/>
      <c r="BK49" s="180"/>
      <c r="BL49" s="180"/>
      <c r="BM49" s="180"/>
      <c r="BN49" s="180"/>
      <c r="BO49" s="180"/>
      <c r="BP49" s="179"/>
      <c r="BQ49" s="179"/>
      <c r="BR49" s="180"/>
      <c r="BS49" s="180"/>
      <c r="BT49" s="180"/>
      <c r="BU49" s="77"/>
      <c r="BV49" s="77"/>
      <c r="BW49" s="77"/>
      <c r="BX49" s="77"/>
      <c r="BY49" s="77"/>
    </row>
    <row r="50" spans="2:77" ht="19.5" customHeight="1" thickBot="1">
      <c r="B50" s="12" t="s">
        <v>61</v>
      </c>
      <c r="C50" s="17">
        <f>C6+(C6*0.3)</f>
        <v>2224444.444444444</v>
      </c>
      <c r="D50" s="16">
        <f>C50*0.3</f>
        <v>667333.33333333314</v>
      </c>
      <c r="E50" s="17">
        <f>C50*0.65</f>
        <v>1445888.8888888888</v>
      </c>
      <c r="F50" s="17">
        <f>C50*0.05</f>
        <v>111222.2222222222</v>
      </c>
      <c r="H50" s="22" t="s">
        <v>61</v>
      </c>
      <c r="I50" s="17">
        <f>C50/0.97</f>
        <v>2293241.6953035505</v>
      </c>
      <c r="J50" s="25">
        <f>I50*0.3</f>
        <v>687972.50859106507</v>
      </c>
      <c r="K50" s="17">
        <f>I50*0.65</f>
        <v>1490607.1019473078</v>
      </c>
      <c r="L50" s="17">
        <f>I50*0.05</f>
        <v>114662.08476517753</v>
      </c>
      <c r="Q50" s="232" t="s">
        <v>113</v>
      </c>
      <c r="R50" s="220" t="s">
        <v>114</v>
      </c>
      <c r="S50" s="42" t="s">
        <v>77</v>
      </c>
      <c r="T50" s="40">
        <f>H61</f>
        <v>707790.64669862669</v>
      </c>
      <c r="U50" s="41">
        <f>T50/240</f>
        <v>2949.1276945776112</v>
      </c>
      <c r="V50" s="202">
        <v>10</v>
      </c>
      <c r="W50" s="44">
        <f>15*V50</f>
        <v>150</v>
      </c>
      <c r="X50" s="202">
        <v>0.98</v>
      </c>
      <c r="Y50" s="220">
        <v>0.95</v>
      </c>
      <c r="Z50" s="284">
        <v>0.85</v>
      </c>
      <c r="AA50" s="17">
        <f>W50*$Y$6*$Z$6*$X$6</f>
        <v>118.7025</v>
      </c>
      <c r="AB50" s="19">
        <f t="shared" ref="AB50:AB73" si="20">U50/$U$31</f>
        <v>196.60851297184075</v>
      </c>
      <c r="AC50" s="240">
        <f>(SUM(AB50:AB52)/AA50)+(SUM(AB53:AB55)/AA53)</f>
        <v>12.045913896848507</v>
      </c>
      <c r="AD50" s="205">
        <v>13</v>
      </c>
      <c r="AE50" s="57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57"/>
      <c r="AV50" s="232" t="s">
        <v>166</v>
      </c>
      <c r="AW50" s="205">
        <f>$I$51</f>
        <v>3439862.5429553259</v>
      </c>
      <c r="AX50" s="205">
        <f>(AW50/(240*15))</f>
        <v>955.51737304314611</v>
      </c>
      <c r="AY50" s="202">
        <v>20</v>
      </c>
      <c r="AZ50" s="202">
        <f>1/(AY50/3600)</f>
        <v>180</v>
      </c>
      <c r="BA50" s="202">
        <v>0.99</v>
      </c>
      <c r="BB50" s="202">
        <v>0.85</v>
      </c>
      <c r="BC50" s="200">
        <v>0.85</v>
      </c>
      <c r="BD50" s="205">
        <f>BC50*BB50*BA50*AZ50</f>
        <v>128.74949999999998</v>
      </c>
      <c r="BE50" s="210">
        <f>AX50/BD50</f>
        <v>7.4215229810068877</v>
      </c>
      <c r="BF50" s="202">
        <v>8</v>
      </c>
      <c r="BI50" s="77"/>
      <c r="BJ50" s="177"/>
      <c r="BK50" s="178"/>
      <c r="BL50" s="178"/>
      <c r="BM50" s="143"/>
      <c r="BN50" s="143"/>
      <c r="BO50" s="143"/>
      <c r="BP50" s="143"/>
      <c r="BQ50" s="181"/>
      <c r="BR50" s="178"/>
      <c r="BS50" s="182"/>
      <c r="BT50" s="143"/>
      <c r="BU50" s="77"/>
      <c r="BV50" s="78"/>
      <c r="BW50" s="78"/>
      <c r="BX50" s="78"/>
      <c r="BY50" s="78"/>
    </row>
    <row r="51" spans="2:77" ht="19.5" customHeight="1" thickBot="1">
      <c r="B51" s="12" t="s">
        <v>62</v>
      </c>
      <c r="C51" s="17">
        <f>C49+C50</f>
        <v>3336666.666666666</v>
      </c>
      <c r="D51" s="17">
        <f t="shared" ref="D51:E51" si="21">D49+D50</f>
        <v>1279055.5555555553</v>
      </c>
      <c r="E51" s="17">
        <f t="shared" si="21"/>
        <v>1779555.5555555553</v>
      </c>
      <c r="F51" s="17">
        <f>F49+F50</f>
        <v>278055.5555555555</v>
      </c>
      <c r="H51" s="22" t="s">
        <v>62</v>
      </c>
      <c r="I51" s="24">
        <f>I49+I50</f>
        <v>3439862.5429553259</v>
      </c>
      <c r="J51" s="17">
        <f t="shared" ref="J51:K51" si="22">J49+J50</f>
        <v>1318613.9747995415</v>
      </c>
      <c r="K51" s="17">
        <f t="shared" si="22"/>
        <v>1834593.3562428404</v>
      </c>
      <c r="L51" s="17">
        <f>L49+L50</f>
        <v>286655.21191294381</v>
      </c>
      <c r="Q51" s="233"/>
      <c r="R51" s="221"/>
      <c r="S51" s="43" t="s">
        <v>78</v>
      </c>
      <c r="T51" s="41">
        <f t="shared" ref="T51:T72" si="23">H62</f>
        <v>193033.81273598908</v>
      </c>
      <c r="U51" s="41">
        <f>T51/240</f>
        <v>804.30755306662115</v>
      </c>
      <c r="V51" s="212"/>
      <c r="W51" s="44">
        <f>W50</f>
        <v>150</v>
      </c>
      <c r="X51" s="212"/>
      <c r="Y51" s="221"/>
      <c r="Z51" s="285"/>
      <c r="AA51" s="17">
        <f>W51*$Y$6*$Z$6*$X$6</f>
        <v>118.7025</v>
      </c>
      <c r="AB51" s="19">
        <f t="shared" si="20"/>
        <v>53.620503537774745</v>
      </c>
      <c r="AC51" s="241"/>
      <c r="AD51" s="213"/>
      <c r="AE51" s="57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57"/>
      <c r="AV51" s="233"/>
      <c r="AW51" s="203"/>
      <c r="AX51" s="206"/>
      <c r="AY51" s="203"/>
      <c r="AZ51" s="203"/>
      <c r="BA51" s="203"/>
      <c r="BB51" s="203"/>
      <c r="BC51" s="201"/>
      <c r="BD51" s="206"/>
      <c r="BE51" s="211"/>
      <c r="BF51" s="203"/>
      <c r="BI51" s="77"/>
      <c r="BJ51" s="177"/>
      <c r="BK51" s="143"/>
      <c r="BL51" s="178"/>
      <c r="BM51" s="143"/>
      <c r="BN51" s="143"/>
      <c r="BO51" s="143"/>
      <c r="BP51" s="143"/>
      <c r="BQ51" s="181"/>
      <c r="BR51" s="178"/>
      <c r="BS51" s="182"/>
      <c r="BT51" s="143"/>
      <c r="BU51" s="77"/>
      <c r="BV51" s="77"/>
      <c r="BW51" s="77"/>
      <c r="BX51" s="77"/>
      <c r="BY51" s="77"/>
    </row>
    <row r="52" spans="2:77" ht="16.5" customHeight="1" thickBot="1">
      <c r="Q52" s="233"/>
      <c r="R52" s="221"/>
      <c r="S52" s="31" t="s">
        <v>79</v>
      </c>
      <c r="T52" s="40">
        <f t="shared" si="23"/>
        <v>386067.62547197816</v>
      </c>
      <c r="U52" s="41">
        <f t="shared" ref="U52:U73" si="24">T52/240</f>
        <v>1608.6151061332423</v>
      </c>
      <c r="V52" s="212"/>
      <c r="W52" s="44">
        <f>W51</f>
        <v>150</v>
      </c>
      <c r="X52" s="212"/>
      <c r="Y52" s="221"/>
      <c r="Z52" s="285"/>
      <c r="AA52" s="17">
        <f t="shared" ref="AA52" si="25">W52*$Y$6*$Z$6*$X$6</f>
        <v>118.7025</v>
      </c>
      <c r="AB52" s="19">
        <f t="shared" si="20"/>
        <v>107.24100707554949</v>
      </c>
      <c r="AC52" s="241"/>
      <c r="AD52" s="213"/>
      <c r="AE52" s="57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57"/>
      <c r="AV52" s="232" t="s">
        <v>167</v>
      </c>
      <c r="AW52" s="205">
        <f t="shared" ref="AW52" si="26">$I$51</f>
        <v>3439862.5429553259</v>
      </c>
      <c r="AX52" s="205">
        <f>0.1*AX50</f>
        <v>95.551737304314614</v>
      </c>
      <c r="AY52" s="202">
        <v>120</v>
      </c>
      <c r="AZ52" s="202">
        <f t="shared" ref="AZ52" si="27">1/(AY52/3600)</f>
        <v>30</v>
      </c>
      <c r="BA52" s="202">
        <v>0.97</v>
      </c>
      <c r="BB52" s="202">
        <v>1</v>
      </c>
      <c r="BC52" s="200">
        <v>0.85</v>
      </c>
      <c r="BD52" s="205">
        <f>BC52*BB52*BA52*AZ52</f>
        <v>24.734999999999999</v>
      </c>
      <c r="BE52" s="210">
        <f t="shared" ref="BE52" si="28">AX52/BD52</f>
        <v>3.8630174774333783</v>
      </c>
      <c r="BF52" s="202">
        <v>4</v>
      </c>
      <c r="BI52" s="77"/>
      <c r="BJ52" s="177"/>
      <c r="BK52" s="178"/>
      <c r="BL52" s="178"/>
      <c r="BM52" s="143"/>
      <c r="BN52" s="143"/>
      <c r="BO52" s="143"/>
      <c r="BP52" s="143"/>
      <c r="BQ52" s="181"/>
      <c r="BR52" s="178"/>
      <c r="BS52" s="182"/>
      <c r="BT52" s="143"/>
      <c r="BU52" s="77"/>
      <c r="BV52" s="78"/>
      <c r="BW52" s="78"/>
      <c r="BX52" s="78"/>
      <c r="BY52" s="78"/>
    </row>
    <row r="53" spans="2:77" ht="16.5" customHeight="1" thickBot="1">
      <c r="Q53" s="233"/>
      <c r="R53" s="221"/>
      <c r="S53" s="42" t="s">
        <v>80</v>
      </c>
      <c r="T53" s="41">
        <f t="shared" si="23"/>
        <v>772135.25094395631</v>
      </c>
      <c r="U53" s="41">
        <f t="shared" si="24"/>
        <v>3217.2302122664846</v>
      </c>
      <c r="V53" s="212"/>
      <c r="W53" s="44">
        <f>10*V50</f>
        <v>100</v>
      </c>
      <c r="X53" s="212"/>
      <c r="Y53" s="221"/>
      <c r="Z53" s="285"/>
      <c r="AA53" s="17">
        <f>W53*$Y$6*$Z$6*$X$6</f>
        <v>79.135000000000005</v>
      </c>
      <c r="AB53" s="19">
        <f>U53/$U$31</f>
        <v>214.48201415109898</v>
      </c>
      <c r="AC53" s="241"/>
      <c r="AD53" s="213"/>
      <c r="AE53" s="57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57"/>
      <c r="AV53" s="233"/>
      <c r="AW53" s="203"/>
      <c r="AX53" s="206"/>
      <c r="AY53" s="203"/>
      <c r="AZ53" s="203"/>
      <c r="BA53" s="203"/>
      <c r="BB53" s="203"/>
      <c r="BC53" s="201"/>
      <c r="BD53" s="206"/>
      <c r="BE53" s="211"/>
      <c r="BF53" s="203"/>
      <c r="BI53" s="77"/>
      <c r="BJ53" s="177"/>
      <c r="BK53" s="143"/>
      <c r="BL53" s="178"/>
      <c r="BM53" s="143"/>
      <c r="BN53" s="143"/>
      <c r="BO53" s="143"/>
      <c r="BP53" s="143"/>
      <c r="BQ53" s="181"/>
      <c r="BR53" s="178"/>
      <c r="BS53" s="182"/>
      <c r="BT53" s="143"/>
      <c r="BU53" s="77"/>
      <c r="BV53" s="77"/>
      <c r="BW53" s="77"/>
      <c r="BX53" s="77"/>
      <c r="BY53" s="77"/>
    </row>
    <row r="54" spans="2:77" ht="16.5" customHeight="1" thickBot="1">
      <c r="Q54" s="233"/>
      <c r="R54" s="221"/>
      <c r="S54" s="43" t="s">
        <v>81</v>
      </c>
      <c r="T54" s="40">
        <f t="shared" si="23"/>
        <v>128689.2084906594</v>
      </c>
      <c r="U54" s="41">
        <f t="shared" si="24"/>
        <v>536.20503537774744</v>
      </c>
      <c r="V54" s="212"/>
      <c r="W54" s="44">
        <f>W53</f>
        <v>100</v>
      </c>
      <c r="X54" s="212"/>
      <c r="Y54" s="221"/>
      <c r="Z54" s="285"/>
      <c r="AA54" s="17">
        <f>W54*$Y$6*$Z$6*$X$6</f>
        <v>79.135000000000005</v>
      </c>
      <c r="AB54" s="19">
        <f t="shared" si="20"/>
        <v>35.747002358516497</v>
      </c>
      <c r="AC54" s="241"/>
      <c r="AD54" s="213"/>
      <c r="AE54" s="57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57"/>
      <c r="AV54" s="232" t="s">
        <v>189</v>
      </c>
      <c r="AW54" s="205">
        <f t="shared" ref="AW54" si="29">$I$51</f>
        <v>3439862.5429553259</v>
      </c>
      <c r="AX54" s="205">
        <f>AX50</f>
        <v>955.51737304314611</v>
      </c>
      <c r="AY54" s="202">
        <v>10</v>
      </c>
      <c r="AZ54" s="202">
        <f t="shared" ref="AZ54" si="30">1/(AY54/3600)</f>
        <v>360</v>
      </c>
      <c r="BA54" s="202">
        <v>0.9</v>
      </c>
      <c r="BB54" s="202">
        <v>1</v>
      </c>
      <c r="BC54" s="200">
        <v>0.85</v>
      </c>
      <c r="BD54" s="205">
        <f>BC54*BB54*BA54*AZ54</f>
        <v>275.39999999999998</v>
      </c>
      <c r="BE54" s="210">
        <f t="shared" ref="BE54" si="31">AX54/BD54</f>
        <v>3.4695619936207196</v>
      </c>
      <c r="BF54" s="202">
        <v>4</v>
      </c>
      <c r="BI54" s="77"/>
      <c r="BJ54" s="177"/>
      <c r="BK54" s="178"/>
      <c r="BL54" s="178"/>
      <c r="BM54" s="143"/>
      <c r="BN54" s="143"/>
      <c r="BO54" s="143"/>
      <c r="BP54" s="143"/>
      <c r="BQ54" s="181"/>
      <c r="BR54" s="178"/>
      <c r="BS54" s="182"/>
      <c r="BT54" s="143"/>
      <c r="BU54" s="77"/>
      <c r="BV54" s="78"/>
      <c r="BW54" s="78"/>
      <c r="BX54" s="78"/>
      <c r="BY54" s="78"/>
    </row>
    <row r="55" spans="2:77" ht="16.5" customHeight="1" thickBot="1">
      <c r="Q55" s="234"/>
      <c r="R55" s="222"/>
      <c r="S55" s="31" t="s">
        <v>82</v>
      </c>
      <c r="T55" s="41">
        <f t="shared" si="23"/>
        <v>1672959.7103785721</v>
      </c>
      <c r="U55" s="41">
        <f t="shared" si="24"/>
        <v>6970.6654599107169</v>
      </c>
      <c r="V55" s="203"/>
      <c r="W55" s="44">
        <f>W54</f>
        <v>100</v>
      </c>
      <c r="X55" s="203"/>
      <c r="Y55" s="222"/>
      <c r="Z55" s="285"/>
      <c r="AA55" s="17">
        <f t="shared" ref="AA55" si="32">W55*$Y$6*$Z$6*$X$6</f>
        <v>79.135000000000005</v>
      </c>
      <c r="AB55" s="19">
        <f t="shared" si="20"/>
        <v>464.71103066071447</v>
      </c>
      <c r="AC55" s="242"/>
      <c r="AD55" s="206"/>
      <c r="AE55" s="57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57"/>
      <c r="AV55" s="234"/>
      <c r="AW55" s="203"/>
      <c r="AX55" s="203"/>
      <c r="AY55" s="203"/>
      <c r="AZ55" s="203"/>
      <c r="BA55" s="203"/>
      <c r="BB55" s="203"/>
      <c r="BC55" s="201"/>
      <c r="BD55" s="206"/>
      <c r="BE55" s="211"/>
      <c r="BF55" s="203"/>
      <c r="BI55" s="77"/>
      <c r="BJ55" s="177"/>
      <c r="BK55" s="143"/>
      <c r="BL55" s="143"/>
      <c r="BM55" s="143"/>
      <c r="BN55" s="143"/>
      <c r="BO55" s="143"/>
      <c r="BP55" s="143"/>
      <c r="BQ55" s="181"/>
      <c r="BR55" s="178"/>
      <c r="BS55" s="182"/>
      <c r="BT55" s="143"/>
      <c r="BU55" s="77"/>
      <c r="BV55" s="77"/>
      <c r="BW55" s="77"/>
      <c r="BX55" s="77"/>
      <c r="BY55" s="77"/>
    </row>
    <row r="56" spans="2:77" ht="16.5" customHeight="1" thickBot="1">
      <c r="Q56" s="232" t="s">
        <v>115</v>
      </c>
      <c r="R56" s="220" t="s">
        <v>117</v>
      </c>
      <c r="S56" s="42" t="s">
        <v>86</v>
      </c>
      <c r="T56" s="40">
        <f t="shared" si="23"/>
        <v>670538.50739869906</v>
      </c>
      <c r="U56" s="41">
        <f>T56/240</f>
        <v>2793.9104474945793</v>
      </c>
      <c r="V56" s="202">
        <v>10</v>
      </c>
      <c r="W56" s="44">
        <f>20*V56</f>
        <v>200</v>
      </c>
      <c r="X56" s="202">
        <v>0.98</v>
      </c>
      <c r="Y56" s="220">
        <v>0.95</v>
      </c>
      <c r="Z56" s="285"/>
      <c r="AA56" s="17">
        <f>W56*$Y$12*$Z$6*$X$12</f>
        <v>158.27000000000001</v>
      </c>
      <c r="AB56" s="19">
        <f t="shared" si="20"/>
        <v>186.26069649963861</v>
      </c>
      <c r="AC56" s="202">
        <f>(SUM(AB56:AB58)/AA57)+(SUM(AB59:AB61)/AA61)</f>
        <v>7.8456939196579096</v>
      </c>
      <c r="AD56" s="205">
        <f>ROUND(AC56,0)</f>
        <v>8</v>
      </c>
      <c r="AE56" s="57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5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</row>
    <row r="57" spans="2:77" ht="16.5" customHeight="1" thickBot="1">
      <c r="Q57" s="233"/>
      <c r="R57" s="221"/>
      <c r="S57" s="43" t="s">
        <v>87</v>
      </c>
      <c r="T57" s="41">
        <f t="shared" si="23"/>
        <v>182874.13838146336</v>
      </c>
      <c r="U57" s="41">
        <f t="shared" si="24"/>
        <v>761.97557658943072</v>
      </c>
      <c r="V57" s="212"/>
      <c r="W57" s="44">
        <f>W56</f>
        <v>200</v>
      </c>
      <c r="X57" s="212"/>
      <c r="Y57" s="221"/>
      <c r="Z57" s="285"/>
      <c r="AA57" s="17">
        <f t="shared" ref="AA57:AA61" si="33">W57*$Y$12*$Z$6*$X$12</f>
        <v>158.27000000000001</v>
      </c>
      <c r="AB57" s="19">
        <f t="shared" si="20"/>
        <v>50.798371772628713</v>
      </c>
      <c r="AC57" s="212"/>
      <c r="AD57" s="213"/>
      <c r="AE57" s="57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5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</row>
    <row r="58" spans="2:77" ht="16.5" customHeight="1" thickBot="1">
      <c r="Q58" s="233"/>
      <c r="R58" s="221"/>
      <c r="S58" s="31" t="s">
        <v>88</v>
      </c>
      <c r="T58" s="40">
        <f t="shared" si="23"/>
        <v>365748.27676292672</v>
      </c>
      <c r="U58" s="41">
        <f t="shared" si="24"/>
        <v>1523.9511531788614</v>
      </c>
      <c r="V58" s="212"/>
      <c r="W58" s="44">
        <f>W56</f>
        <v>200</v>
      </c>
      <c r="X58" s="212"/>
      <c r="Y58" s="221"/>
      <c r="Z58" s="285"/>
      <c r="AA58" s="17">
        <f t="shared" si="33"/>
        <v>158.27000000000001</v>
      </c>
      <c r="AB58" s="19">
        <f t="shared" si="20"/>
        <v>101.59674354525743</v>
      </c>
      <c r="AC58" s="212"/>
      <c r="AD58" s="213"/>
      <c r="AE58" s="57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57"/>
      <c r="AV58" s="278" t="s">
        <v>120</v>
      </c>
      <c r="AW58" s="279"/>
      <c r="AX58" s="207" t="s">
        <v>211</v>
      </c>
      <c r="AY58" s="207" t="s">
        <v>217</v>
      </c>
      <c r="AZ58" s="207" t="s">
        <v>218</v>
      </c>
      <c r="BA58" s="207" t="s">
        <v>219</v>
      </c>
      <c r="BB58" s="207" t="s">
        <v>220</v>
      </c>
      <c r="BC58" s="226" t="s">
        <v>110</v>
      </c>
      <c r="BD58" s="207" t="s">
        <v>212</v>
      </c>
      <c r="BE58" s="207" t="s">
        <v>111</v>
      </c>
      <c r="BF58" s="207" t="s">
        <v>228</v>
      </c>
      <c r="BG58" s="207" t="s">
        <v>121</v>
      </c>
      <c r="BH58" s="207" t="s">
        <v>112</v>
      </c>
      <c r="BI58" s="77"/>
      <c r="BJ58" s="146"/>
      <c r="BK58" s="146"/>
      <c r="BL58" s="180"/>
      <c r="BM58" s="180"/>
      <c r="BN58" s="180"/>
      <c r="BO58" s="180"/>
      <c r="BP58" s="180"/>
      <c r="BQ58" s="179"/>
      <c r="BR58" s="180"/>
      <c r="BS58" s="180"/>
      <c r="BT58" s="180"/>
      <c r="BU58" s="180"/>
      <c r="BV58" s="180"/>
      <c r="BW58" s="77"/>
      <c r="BX58" s="77"/>
      <c r="BY58" s="77"/>
    </row>
    <row r="59" spans="2:77" ht="17" customHeight="1" thickBot="1">
      <c r="B59" s="246" t="s">
        <v>106</v>
      </c>
      <c r="C59" s="198" t="s">
        <v>75</v>
      </c>
      <c r="D59" s="248" t="s">
        <v>221</v>
      </c>
      <c r="E59" s="249"/>
      <c r="F59" s="249"/>
      <c r="G59" s="250"/>
      <c r="H59" s="246" t="s">
        <v>224</v>
      </c>
      <c r="I59" s="253"/>
      <c r="J59" s="254"/>
      <c r="L59" s="62"/>
      <c r="M59" s="62"/>
      <c r="N59" s="62"/>
      <c r="O59" s="62"/>
      <c r="Q59" s="233"/>
      <c r="R59" s="221"/>
      <c r="S59" s="42" t="s">
        <v>89</v>
      </c>
      <c r="T59" s="41">
        <f t="shared" si="23"/>
        <v>731496.55352585344</v>
      </c>
      <c r="U59" s="41">
        <f t="shared" si="24"/>
        <v>3047.9023063577229</v>
      </c>
      <c r="V59" s="212"/>
      <c r="W59" s="44">
        <f>15*V56</f>
        <v>150</v>
      </c>
      <c r="X59" s="212"/>
      <c r="Y59" s="221"/>
      <c r="Z59" s="285"/>
      <c r="AA59" s="17">
        <f t="shared" si="33"/>
        <v>118.7025</v>
      </c>
      <c r="AB59" s="19">
        <f t="shared" si="20"/>
        <v>203.19348709051485</v>
      </c>
      <c r="AC59" s="212"/>
      <c r="AD59" s="213"/>
      <c r="AE59" s="57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57"/>
      <c r="AV59" s="280"/>
      <c r="AW59" s="281"/>
      <c r="AX59" s="208"/>
      <c r="AY59" s="208"/>
      <c r="AZ59" s="208"/>
      <c r="BA59" s="208"/>
      <c r="BB59" s="208"/>
      <c r="BC59" s="227"/>
      <c r="BD59" s="208"/>
      <c r="BE59" s="208"/>
      <c r="BF59" s="208"/>
      <c r="BG59" s="208"/>
      <c r="BH59" s="208"/>
      <c r="BI59" s="77"/>
      <c r="BJ59" s="146"/>
      <c r="BK59" s="146"/>
      <c r="BL59" s="180"/>
      <c r="BM59" s="180"/>
      <c r="BN59" s="180"/>
      <c r="BO59" s="180"/>
      <c r="BP59" s="180"/>
      <c r="BQ59" s="179"/>
      <c r="BR59" s="180"/>
      <c r="BS59" s="180"/>
      <c r="BT59" s="180"/>
      <c r="BU59" s="180"/>
      <c r="BV59" s="180"/>
      <c r="BW59" s="77"/>
      <c r="BX59" s="77"/>
      <c r="BY59" s="77"/>
    </row>
    <row r="60" spans="2:77" ht="16.5" customHeight="1" thickBot="1">
      <c r="B60" s="247"/>
      <c r="C60" s="199"/>
      <c r="D60" s="239"/>
      <c r="E60" s="251"/>
      <c r="F60" s="251"/>
      <c r="G60" s="252"/>
      <c r="H60" s="247"/>
      <c r="I60" s="255"/>
      <c r="J60" s="256"/>
      <c r="L60" s="62"/>
      <c r="M60" s="62"/>
      <c r="N60" s="62"/>
      <c r="O60" s="62"/>
      <c r="Q60" s="233"/>
      <c r="R60" s="221"/>
      <c r="S60" s="43" t="s">
        <v>90</v>
      </c>
      <c r="T60" s="40">
        <f t="shared" si="23"/>
        <v>121916.09225430891</v>
      </c>
      <c r="U60" s="41">
        <f t="shared" si="24"/>
        <v>507.98371772628713</v>
      </c>
      <c r="V60" s="212"/>
      <c r="W60" s="44">
        <f>W59</f>
        <v>150</v>
      </c>
      <c r="X60" s="212"/>
      <c r="Y60" s="221"/>
      <c r="Z60" s="285"/>
      <c r="AA60" s="17">
        <f t="shared" si="33"/>
        <v>118.7025</v>
      </c>
      <c r="AB60" s="19">
        <f t="shared" si="20"/>
        <v>33.865581181752475</v>
      </c>
      <c r="AC60" s="212"/>
      <c r="AD60" s="213"/>
      <c r="AE60" s="57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57"/>
      <c r="AV60" s="282"/>
      <c r="AW60" s="283"/>
      <c r="AX60" s="209"/>
      <c r="AY60" s="209"/>
      <c r="AZ60" s="209"/>
      <c r="BA60" s="209"/>
      <c r="BB60" s="209"/>
      <c r="BC60" s="228"/>
      <c r="BD60" s="209"/>
      <c r="BE60" s="209"/>
      <c r="BF60" s="209"/>
      <c r="BG60" s="209"/>
      <c r="BH60" s="209"/>
      <c r="BI60" s="77"/>
      <c r="BJ60" s="146"/>
      <c r="BK60" s="146"/>
      <c r="BL60" s="180"/>
      <c r="BM60" s="180"/>
      <c r="BN60" s="180"/>
      <c r="BO60" s="180"/>
      <c r="BP60" s="180"/>
      <c r="BQ60" s="179"/>
      <c r="BR60" s="180"/>
      <c r="BS60" s="180"/>
      <c r="BT60" s="180"/>
      <c r="BU60" s="180"/>
      <c r="BV60" s="180"/>
      <c r="BW60" s="77"/>
      <c r="BX60" s="77"/>
      <c r="BY60" s="77"/>
    </row>
    <row r="61" spans="2:77" ht="17" customHeight="1" thickBot="1">
      <c r="B61" s="232" t="s">
        <v>76</v>
      </c>
      <c r="C61" s="32" t="s">
        <v>77</v>
      </c>
      <c r="D61" s="214">
        <f>$J$49/0.99</f>
        <v>637011.58202876407</v>
      </c>
      <c r="E61" s="215"/>
      <c r="F61" s="215"/>
      <c r="G61" s="216"/>
      <c r="H61" s="217">
        <f>D61/0.9</f>
        <v>707790.64669862669</v>
      </c>
      <c r="I61" s="218"/>
      <c r="J61" s="219"/>
      <c r="L61" s="62"/>
      <c r="M61" s="62"/>
      <c r="N61" s="62"/>
      <c r="O61" s="62"/>
      <c r="Q61" s="234"/>
      <c r="R61" s="222"/>
      <c r="S61" s="31" t="s">
        <v>91</v>
      </c>
      <c r="T61" s="41">
        <f t="shared" si="23"/>
        <v>1584909.1993060156</v>
      </c>
      <c r="U61" s="41">
        <f t="shared" si="24"/>
        <v>6603.7883304417319</v>
      </c>
      <c r="V61" s="203"/>
      <c r="W61" s="44">
        <f>W60</f>
        <v>150</v>
      </c>
      <c r="X61" s="203"/>
      <c r="Y61" s="222"/>
      <c r="Z61" s="285"/>
      <c r="AA61" s="17">
        <f t="shared" si="33"/>
        <v>118.7025</v>
      </c>
      <c r="AB61" s="19">
        <f t="shared" si="20"/>
        <v>440.25255536278212</v>
      </c>
      <c r="AC61" s="203"/>
      <c r="AD61" s="206"/>
      <c r="AE61" s="57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57"/>
      <c r="AV61" s="223" t="s">
        <v>169</v>
      </c>
      <c r="AW61" s="202" t="s">
        <v>60</v>
      </c>
      <c r="AX61" s="205">
        <f>I49</f>
        <v>1146620.8476517752</v>
      </c>
      <c r="AY61" s="205">
        <f>AX61/50</f>
        <v>22932.416953035503</v>
      </c>
      <c r="AZ61" s="205">
        <f>AY61/(240*15)</f>
        <v>6.3701158202876398</v>
      </c>
      <c r="BA61" s="202">
        <v>125</v>
      </c>
      <c r="BB61" s="205">
        <f>1/(BA61/3600)</f>
        <v>28.799999999999997</v>
      </c>
      <c r="BC61" s="202">
        <v>0.95</v>
      </c>
      <c r="BD61" s="202">
        <v>1</v>
      </c>
      <c r="BE61" s="200">
        <v>0.85</v>
      </c>
      <c r="BF61" s="205">
        <f>BE61*BD61*BC61*BB61</f>
        <v>23.255999999999997</v>
      </c>
      <c r="BG61" s="202">
        <f>22/BF61</f>
        <v>0.94599243206054362</v>
      </c>
      <c r="BH61" s="202">
        <v>1</v>
      </c>
      <c r="BI61" s="77"/>
      <c r="BJ61" s="143"/>
      <c r="BK61" s="143"/>
      <c r="BL61" s="178"/>
      <c r="BM61" s="178"/>
      <c r="BN61" s="178"/>
      <c r="BO61" s="143"/>
      <c r="BP61" s="178"/>
      <c r="BQ61" s="143"/>
      <c r="BR61" s="143"/>
      <c r="BS61" s="181"/>
      <c r="BT61" s="178"/>
      <c r="BU61" s="143"/>
      <c r="BV61" s="143"/>
      <c r="BW61" s="77"/>
      <c r="BX61" s="77"/>
      <c r="BY61" s="77"/>
    </row>
    <row r="62" spans="2:77" ht="16.5" customHeight="1" thickBot="1">
      <c r="B62" s="233"/>
      <c r="C62" s="36" t="s">
        <v>78</v>
      </c>
      <c r="D62" s="214">
        <f>$L$49/0.99</f>
        <v>173730.43146239017</v>
      </c>
      <c r="E62" s="215"/>
      <c r="F62" s="215"/>
      <c r="G62" s="216"/>
      <c r="H62" s="217">
        <f>D62/0.9</f>
        <v>193033.81273598908</v>
      </c>
      <c r="I62" s="218"/>
      <c r="J62" s="219"/>
      <c r="L62" s="62"/>
      <c r="M62" s="62"/>
      <c r="N62" s="62"/>
      <c r="O62" s="62"/>
      <c r="Q62" s="232" t="s">
        <v>116</v>
      </c>
      <c r="R62" s="272" t="s">
        <v>123</v>
      </c>
      <c r="S62" s="42" t="s">
        <v>92</v>
      </c>
      <c r="T62" s="40">
        <f t="shared" si="23"/>
        <v>707790.64669862669</v>
      </c>
      <c r="U62" s="41">
        <f t="shared" si="24"/>
        <v>2949.1276945776112</v>
      </c>
      <c r="V62" s="202">
        <v>15</v>
      </c>
      <c r="W62" s="44">
        <f>150*V62</f>
        <v>2250</v>
      </c>
      <c r="X62" s="202">
        <v>0.99</v>
      </c>
      <c r="Y62" s="220">
        <v>0.95</v>
      </c>
      <c r="Z62" s="285"/>
      <c r="AA62" s="17">
        <f t="shared" ref="AA62:AA73" si="34">W62*$Y$12*$Z$6*$X$18</f>
        <v>1798.70625</v>
      </c>
      <c r="AB62" s="19">
        <f t="shared" si="20"/>
        <v>196.60851297184075</v>
      </c>
      <c r="AC62" s="202">
        <f>(SUM(AB62:AB67)/AA63)+(SUM(AB68:AB70)/AA69)+(SUM(AB71:AB73)/AA72)</f>
        <v>2.5126072926254714</v>
      </c>
      <c r="AD62" s="205">
        <v>3</v>
      </c>
      <c r="AE62" s="57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57"/>
      <c r="AV62" s="224"/>
      <c r="AW62" s="203"/>
      <c r="AX62" s="203"/>
      <c r="AY62" s="206"/>
      <c r="AZ62" s="206"/>
      <c r="BA62" s="212"/>
      <c r="BB62" s="213"/>
      <c r="BC62" s="203"/>
      <c r="BD62" s="203"/>
      <c r="BE62" s="201"/>
      <c r="BF62" s="213"/>
      <c r="BG62" s="212"/>
      <c r="BH62" s="212"/>
      <c r="BI62" s="77"/>
      <c r="BJ62" s="143"/>
      <c r="BK62" s="143"/>
      <c r="BL62" s="143"/>
      <c r="BM62" s="178"/>
      <c r="BN62" s="178"/>
      <c r="BO62" s="143"/>
      <c r="BP62" s="178"/>
      <c r="BQ62" s="143"/>
      <c r="BR62" s="143"/>
      <c r="BS62" s="181"/>
      <c r="BT62" s="178"/>
      <c r="BU62" s="143"/>
      <c r="BV62" s="143"/>
      <c r="BW62" s="77"/>
      <c r="BX62" s="77"/>
      <c r="BY62" s="77"/>
    </row>
    <row r="63" spans="2:77" ht="16.5" customHeight="1" thickBot="1">
      <c r="B63" s="233"/>
      <c r="C63" s="26" t="s">
        <v>79</v>
      </c>
      <c r="D63" s="214">
        <f>$K$49/0.99</f>
        <v>347460.86292478035</v>
      </c>
      <c r="E63" s="215"/>
      <c r="F63" s="215"/>
      <c r="G63" s="216"/>
      <c r="H63" s="217">
        <f t="shared" ref="H63:H66" si="35">D63/0.9</f>
        <v>386067.62547197816</v>
      </c>
      <c r="I63" s="218"/>
      <c r="J63" s="219"/>
      <c r="L63" s="62"/>
      <c r="M63" s="62"/>
      <c r="N63" s="62"/>
      <c r="O63" s="62"/>
      <c r="Q63" s="233"/>
      <c r="R63" s="273"/>
      <c r="S63" s="43" t="s">
        <v>93</v>
      </c>
      <c r="T63" s="41">
        <f t="shared" si="23"/>
        <v>193033.81273598908</v>
      </c>
      <c r="U63" s="41">
        <f t="shared" si="24"/>
        <v>804.30755306662115</v>
      </c>
      <c r="V63" s="212"/>
      <c r="W63" s="44">
        <f>W62</f>
        <v>2250</v>
      </c>
      <c r="X63" s="212"/>
      <c r="Y63" s="221"/>
      <c r="Z63" s="285"/>
      <c r="AA63" s="17">
        <f t="shared" si="34"/>
        <v>1798.70625</v>
      </c>
      <c r="AB63" s="19">
        <f t="shared" si="20"/>
        <v>53.620503537774745</v>
      </c>
      <c r="AC63" s="212"/>
      <c r="AD63" s="213"/>
      <c r="AE63" s="57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57"/>
      <c r="AV63" s="224"/>
      <c r="AW63" s="202" t="s">
        <v>61</v>
      </c>
      <c r="AX63" s="205">
        <f>I50</f>
        <v>2293241.6953035505</v>
      </c>
      <c r="AY63" s="205">
        <f>AX63/40</f>
        <v>57331.042382588763</v>
      </c>
      <c r="AZ63" s="205">
        <f>AY63/(240*15)</f>
        <v>15.9252895507191</v>
      </c>
      <c r="BA63" s="212"/>
      <c r="BB63" s="213"/>
      <c r="BC63" s="202">
        <v>0.95</v>
      </c>
      <c r="BD63" s="202">
        <v>1</v>
      </c>
      <c r="BE63" s="200">
        <v>0.85</v>
      </c>
      <c r="BF63" s="213"/>
      <c r="BG63" s="212"/>
      <c r="BH63" s="212"/>
      <c r="BI63" s="77"/>
      <c r="BJ63" s="143"/>
      <c r="BK63" s="143"/>
      <c r="BL63" s="178"/>
      <c r="BM63" s="178"/>
      <c r="BN63" s="178"/>
      <c r="BO63" s="143"/>
      <c r="BP63" s="178"/>
      <c r="BQ63" s="143"/>
      <c r="BR63" s="143"/>
      <c r="BS63" s="181"/>
      <c r="BT63" s="178"/>
      <c r="BU63" s="143"/>
      <c r="BV63" s="143"/>
      <c r="BW63" s="77"/>
      <c r="BX63" s="77"/>
      <c r="BY63" s="77"/>
    </row>
    <row r="64" spans="2:77" ht="16.5" customHeight="1" thickBot="1">
      <c r="B64" s="233"/>
      <c r="C64" s="33" t="s">
        <v>80</v>
      </c>
      <c r="D64" s="214">
        <f>$J$50/0.99</f>
        <v>694921.72584956069</v>
      </c>
      <c r="E64" s="215"/>
      <c r="F64" s="215"/>
      <c r="G64" s="216"/>
      <c r="H64" s="217">
        <f t="shared" si="35"/>
        <v>772135.25094395631</v>
      </c>
      <c r="I64" s="218"/>
      <c r="J64" s="219"/>
      <c r="L64" s="62"/>
      <c r="M64" s="62"/>
      <c r="N64" s="62"/>
      <c r="O64" s="62"/>
      <c r="Q64" s="233"/>
      <c r="R64" s="273"/>
      <c r="S64" s="31" t="s">
        <v>94</v>
      </c>
      <c r="T64" s="40">
        <f t="shared" si="23"/>
        <v>386067.62547197816</v>
      </c>
      <c r="U64" s="41">
        <f t="shared" si="24"/>
        <v>1608.6151061332423</v>
      </c>
      <c r="V64" s="212"/>
      <c r="W64" s="44">
        <f t="shared" ref="W64:W67" si="36">W63</f>
        <v>2250</v>
      </c>
      <c r="X64" s="212"/>
      <c r="Y64" s="221"/>
      <c r="Z64" s="285"/>
      <c r="AA64" s="17">
        <f t="shared" si="34"/>
        <v>1798.70625</v>
      </c>
      <c r="AB64" s="19">
        <f t="shared" si="20"/>
        <v>107.24100707554949</v>
      </c>
      <c r="AC64" s="212"/>
      <c r="AD64" s="213"/>
      <c r="AE64" s="57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57"/>
      <c r="AV64" s="225"/>
      <c r="AW64" s="203"/>
      <c r="AX64" s="203"/>
      <c r="AY64" s="206"/>
      <c r="AZ64" s="206"/>
      <c r="BA64" s="203"/>
      <c r="BB64" s="206"/>
      <c r="BC64" s="203"/>
      <c r="BD64" s="203"/>
      <c r="BE64" s="201"/>
      <c r="BF64" s="206"/>
      <c r="BG64" s="203"/>
      <c r="BH64" s="203"/>
      <c r="BI64" s="77"/>
      <c r="BJ64" s="143"/>
      <c r="BK64" s="143"/>
      <c r="BL64" s="143"/>
      <c r="BM64" s="178"/>
      <c r="BN64" s="178"/>
      <c r="BO64" s="143"/>
      <c r="BP64" s="178"/>
      <c r="BQ64" s="143"/>
      <c r="BR64" s="143"/>
      <c r="BS64" s="181"/>
      <c r="BT64" s="178"/>
      <c r="BU64" s="143"/>
      <c r="BV64" s="143"/>
      <c r="BW64" s="77"/>
      <c r="BX64" s="77"/>
      <c r="BY64" s="77"/>
    </row>
    <row r="65" spans="2:53" ht="16.5" customHeight="1" thickBot="1">
      <c r="B65" s="233"/>
      <c r="C65" s="37" t="s">
        <v>81</v>
      </c>
      <c r="D65" s="214">
        <f>$L$50/0.99</f>
        <v>115820.28764159346</v>
      </c>
      <c r="E65" s="215"/>
      <c r="F65" s="215"/>
      <c r="G65" s="216"/>
      <c r="H65" s="217">
        <f t="shared" si="35"/>
        <v>128689.2084906594</v>
      </c>
      <c r="I65" s="218"/>
      <c r="J65" s="219"/>
      <c r="L65" s="62"/>
      <c r="M65" s="62"/>
      <c r="N65" s="62"/>
      <c r="O65" s="62"/>
      <c r="Q65" s="233"/>
      <c r="R65" s="273"/>
      <c r="S65" s="42" t="s">
        <v>95</v>
      </c>
      <c r="T65" s="41">
        <f t="shared" si="23"/>
        <v>772135.25094395631</v>
      </c>
      <c r="U65" s="41">
        <f t="shared" si="24"/>
        <v>3217.2302122664846</v>
      </c>
      <c r="V65" s="212"/>
      <c r="W65" s="44">
        <f t="shared" si="36"/>
        <v>2250</v>
      </c>
      <c r="X65" s="212"/>
      <c r="Y65" s="221"/>
      <c r="Z65" s="285"/>
      <c r="AA65" s="17">
        <f t="shared" si="34"/>
        <v>1798.70625</v>
      </c>
      <c r="AB65" s="19">
        <f t="shared" si="20"/>
        <v>214.48201415109898</v>
      </c>
      <c r="AC65" s="212"/>
      <c r="AD65" s="213"/>
      <c r="AE65" s="57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57"/>
    </row>
    <row r="66" spans="2:53" ht="16.5" customHeight="1" thickBot="1">
      <c r="B66" s="234"/>
      <c r="C66" s="26" t="s">
        <v>82</v>
      </c>
      <c r="D66" s="214">
        <f>$K$50/0.99</f>
        <v>1505663.7393407149</v>
      </c>
      <c r="E66" s="215"/>
      <c r="F66" s="215"/>
      <c r="G66" s="216"/>
      <c r="H66" s="217">
        <f t="shared" si="35"/>
        <v>1672959.7103785721</v>
      </c>
      <c r="I66" s="218"/>
      <c r="J66" s="219"/>
      <c r="L66" s="62"/>
      <c r="M66" s="62"/>
      <c r="N66" s="62"/>
      <c r="O66" s="62"/>
      <c r="Q66" s="233"/>
      <c r="R66" s="273"/>
      <c r="S66" s="43" t="s">
        <v>96</v>
      </c>
      <c r="T66" s="40">
        <f t="shared" si="23"/>
        <v>128689.2084906594</v>
      </c>
      <c r="U66" s="41">
        <f t="shared" si="24"/>
        <v>536.20503537774744</v>
      </c>
      <c r="V66" s="212"/>
      <c r="W66" s="44">
        <f t="shared" si="36"/>
        <v>2250</v>
      </c>
      <c r="X66" s="212"/>
      <c r="Y66" s="221"/>
      <c r="Z66" s="285"/>
      <c r="AA66" s="17">
        <f t="shared" si="34"/>
        <v>1798.70625</v>
      </c>
      <c r="AB66" s="19">
        <f t="shared" si="20"/>
        <v>35.747002358516497</v>
      </c>
      <c r="AC66" s="212"/>
      <c r="AD66" s="213"/>
      <c r="AE66" s="57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57"/>
      <c r="AZ66" s="65">
        <f>1/(AZ61+AZ63)</f>
        <v>4.4852290566576289E-2</v>
      </c>
      <c r="BA66" s="66" t="s">
        <v>226</v>
      </c>
    </row>
    <row r="67" spans="2:53" ht="17" customHeight="1" thickBot="1">
      <c r="B67" s="232" t="s">
        <v>83</v>
      </c>
      <c r="C67" s="32" t="s">
        <v>86</v>
      </c>
      <c r="D67" s="214">
        <f>$J$49/0.99</f>
        <v>637011.58202876407</v>
      </c>
      <c r="E67" s="215"/>
      <c r="F67" s="215"/>
      <c r="G67" s="216"/>
      <c r="H67" s="217">
        <f>D67/0.95</f>
        <v>670538.50739869906</v>
      </c>
      <c r="I67" s="218"/>
      <c r="J67" s="219"/>
      <c r="L67" s="62"/>
      <c r="M67" s="62"/>
      <c r="N67" s="62"/>
      <c r="O67" s="62"/>
      <c r="Q67" s="233"/>
      <c r="R67" s="273"/>
      <c r="S67" s="31" t="s">
        <v>97</v>
      </c>
      <c r="T67" s="41">
        <f t="shared" si="23"/>
        <v>1672959.7103785721</v>
      </c>
      <c r="U67" s="41">
        <f t="shared" si="24"/>
        <v>6970.6654599107169</v>
      </c>
      <c r="V67" s="212"/>
      <c r="W67" s="44">
        <f t="shared" si="36"/>
        <v>2250</v>
      </c>
      <c r="X67" s="212"/>
      <c r="Y67" s="221"/>
      <c r="Z67" s="285"/>
      <c r="AA67" s="17">
        <f t="shared" si="34"/>
        <v>1798.70625</v>
      </c>
      <c r="AB67" s="19">
        <f t="shared" si="20"/>
        <v>464.71103066071447</v>
      </c>
      <c r="AC67" s="212"/>
      <c r="AD67" s="213"/>
      <c r="AE67" s="57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57"/>
      <c r="AZ67" s="65">
        <f>AZ66*3600</f>
        <v>161.46824603967465</v>
      </c>
      <c r="BA67" s="66" t="s">
        <v>227</v>
      </c>
    </row>
    <row r="68" spans="2:53" ht="16.5" customHeight="1" thickBot="1">
      <c r="B68" s="233"/>
      <c r="C68" s="36" t="s">
        <v>87</v>
      </c>
      <c r="D68" s="214">
        <f>$L$49/0.99</f>
        <v>173730.43146239017</v>
      </c>
      <c r="E68" s="215"/>
      <c r="F68" s="215"/>
      <c r="G68" s="216"/>
      <c r="H68" s="217">
        <f t="shared" ref="H68:H72" si="37">D68/0.95</f>
        <v>182874.13838146336</v>
      </c>
      <c r="I68" s="218"/>
      <c r="J68" s="219"/>
      <c r="L68" s="62"/>
      <c r="M68" s="62"/>
      <c r="N68" s="62"/>
      <c r="O68" s="62"/>
      <c r="Q68" s="233"/>
      <c r="R68" s="220" t="s">
        <v>84</v>
      </c>
      <c r="S68" s="42" t="s">
        <v>98</v>
      </c>
      <c r="T68" s="40">
        <f t="shared" si="23"/>
        <v>650011.81839669799</v>
      </c>
      <c r="U68" s="41">
        <f t="shared" si="24"/>
        <v>2708.3825766529085</v>
      </c>
      <c r="V68" s="212"/>
      <c r="W68" s="44">
        <f>50*V62</f>
        <v>750</v>
      </c>
      <c r="X68" s="212"/>
      <c r="Y68" s="221"/>
      <c r="Z68" s="285"/>
      <c r="AA68" s="17">
        <f t="shared" si="34"/>
        <v>599.56875000000002</v>
      </c>
      <c r="AB68" s="19">
        <f t="shared" si="20"/>
        <v>180.55883844352724</v>
      </c>
      <c r="AC68" s="212"/>
      <c r="AD68" s="213"/>
      <c r="AE68" s="57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57"/>
    </row>
    <row r="69" spans="2:53" ht="16.5" customHeight="1" thickBot="1">
      <c r="B69" s="233"/>
      <c r="C69" s="26" t="s">
        <v>88</v>
      </c>
      <c r="D69" s="214">
        <f>$K$49/0.99</f>
        <v>347460.86292478035</v>
      </c>
      <c r="E69" s="215"/>
      <c r="F69" s="215"/>
      <c r="G69" s="216"/>
      <c r="H69" s="217">
        <f>D69/0.95</f>
        <v>365748.27676292672</v>
      </c>
      <c r="I69" s="218"/>
      <c r="J69" s="219"/>
      <c r="L69" s="62"/>
      <c r="M69" s="62"/>
      <c r="N69" s="62"/>
      <c r="O69" s="62"/>
      <c r="Q69" s="233"/>
      <c r="R69" s="221"/>
      <c r="S69" s="43" t="s">
        <v>99</v>
      </c>
      <c r="T69" s="41">
        <f t="shared" si="23"/>
        <v>177275.95047182671</v>
      </c>
      <c r="U69" s="41">
        <f t="shared" si="24"/>
        <v>738.64979363261125</v>
      </c>
      <c r="V69" s="212"/>
      <c r="W69" s="44">
        <f>W68</f>
        <v>750</v>
      </c>
      <c r="X69" s="212"/>
      <c r="Y69" s="221"/>
      <c r="Z69" s="285"/>
      <c r="AA69" s="17">
        <f t="shared" si="34"/>
        <v>599.56875000000002</v>
      </c>
      <c r="AB69" s="19">
        <f t="shared" si="20"/>
        <v>49.243319575507414</v>
      </c>
      <c r="AC69" s="212"/>
      <c r="AD69" s="213"/>
      <c r="AE69" s="57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57"/>
    </row>
    <row r="70" spans="2:53" ht="16.5" customHeight="1" thickBot="1">
      <c r="B70" s="233"/>
      <c r="C70" s="33" t="s">
        <v>89</v>
      </c>
      <c r="D70" s="214">
        <f>$J$50/0.99</f>
        <v>694921.72584956069</v>
      </c>
      <c r="E70" s="215"/>
      <c r="F70" s="215"/>
      <c r="G70" s="216"/>
      <c r="H70" s="217">
        <f t="shared" si="37"/>
        <v>731496.55352585344</v>
      </c>
      <c r="I70" s="218"/>
      <c r="J70" s="219"/>
      <c r="L70" s="62"/>
      <c r="M70" s="62"/>
      <c r="N70" s="62"/>
      <c r="O70" s="62"/>
      <c r="Q70" s="233"/>
      <c r="R70" s="221"/>
      <c r="S70" s="31" t="s">
        <v>100</v>
      </c>
      <c r="T70" s="40">
        <f t="shared" si="23"/>
        <v>354551.90094365343</v>
      </c>
      <c r="U70" s="41">
        <f t="shared" si="24"/>
        <v>1477.2995872652225</v>
      </c>
      <c r="V70" s="212"/>
      <c r="W70" s="44">
        <f>W69</f>
        <v>750</v>
      </c>
      <c r="X70" s="212"/>
      <c r="Y70" s="221"/>
      <c r="Z70" s="285"/>
      <c r="AA70" s="17">
        <f t="shared" si="34"/>
        <v>599.56875000000002</v>
      </c>
      <c r="AB70" s="19">
        <f t="shared" si="20"/>
        <v>98.486639151014828</v>
      </c>
      <c r="AC70" s="212"/>
      <c r="AD70" s="213"/>
      <c r="AE70" s="57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57"/>
    </row>
    <row r="71" spans="2:53" ht="16.5" customHeight="1" thickBot="1">
      <c r="B71" s="233"/>
      <c r="C71" s="37" t="s">
        <v>90</v>
      </c>
      <c r="D71" s="214">
        <f>$L$50/0.99</f>
        <v>115820.28764159346</v>
      </c>
      <c r="E71" s="215"/>
      <c r="F71" s="215"/>
      <c r="G71" s="216"/>
      <c r="H71" s="217">
        <f t="shared" si="37"/>
        <v>121916.09225430891</v>
      </c>
      <c r="I71" s="218"/>
      <c r="J71" s="219"/>
      <c r="L71" s="62"/>
      <c r="M71" s="62"/>
      <c r="N71" s="62"/>
      <c r="O71" s="62"/>
      <c r="Q71" s="233"/>
      <c r="R71" s="221"/>
      <c r="S71" s="42" t="s">
        <v>101</v>
      </c>
      <c r="T71" s="41">
        <f t="shared" si="23"/>
        <v>709103.80188730685</v>
      </c>
      <c r="U71" s="41">
        <f t="shared" si="24"/>
        <v>2954.599174530445</v>
      </c>
      <c r="V71" s="212"/>
      <c r="W71" s="44">
        <f>40*V62</f>
        <v>600</v>
      </c>
      <c r="X71" s="212"/>
      <c r="Y71" s="221"/>
      <c r="Z71" s="285"/>
      <c r="AA71" s="17">
        <f t="shared" si="34"/>
        <v>479.65499999999997</v>
      </c>
      <c r="AB71" s="19">
        <f t="shared" si="20"/>
        <v>196.97327830202966</v>
      </c>
      <c r="AC71" s="212"/>
      <c r="AD71" s="213"/>
      <c r="AE71" s="57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57"/>
    </row>
    <row r="72" spans="2:53" ht="16.5" customHeight="1" thickBot="1">
      <c r="B72" s="234"/>
      <c r="C72" s="26" t="s">
        <v>91</v>
      </c>
      <c r="D72" s="214">
        <f>$K$50/0.99</f>
        <v>1505663.7393407149</v>
      </c>
      <c r="E72" s="215"/>
      <c r="F72" s="215"/>
      <c r="G72" s="216"/>
      <c r="H72" s="217">
        <f t="shared" si="37"/>
        <v>1584909.1993060156</v>
      </c>
      <c r="I72" s="218"/>
      <c r="J72" s="219"/>
      <c r="Q72" s="233"/>
      <c r="R72" s="221"/>
      <c r="S72" s="43" t="s">
        <v>102</v>
      </c>
      <c r="T72" s="40">
        <f t="shared" si="23"/>
        <v>118183.96698121782</v>
      </c>
      <c r="U72" s="41">
        <f t="shared" si="24"/>
        <v>492.43319575507422</v>
      </c>
      <c r="V72" s="212"/>
      <c r="W72" s="44">
        <f>W71</f>
        <v>600</v>
      </c>
      <c r="X72" s="212"/>
      <c r="Y72" s="221"/>
      <c r="Z72" s="285"/>
      <c r="AA72" s="17">
        <f t="shared" si="34"/>
        <v>479.65499999999997</v>
      </c>
      <c r="AB72" s="19">
        <f t="shared" si="20"/>
        <v>32.828879717004945</v>
      </c>
      <c r="AC72" s="212"/>
      <c r="AD72" s="213"/>
      <c r="AE72" s="57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57"/>
    </row>
    <row r="73" spans="2:53" ht="17" customHeight="1" thickBot="1">
      <c r="B73" s="232" t="s">
        <v>85</v>
      </c>
      <c r="C73" s="34" t="s">
        <v>92</v>
      </c>
      <c r="D73" s="214">
        <f>$J$49/0.99</f>
        <v>637011.58202876407</v>
      </c>
      <c r="E73" s="215"/>
      <c r="F73" s="215"/>
      <c r="G73" s="216"/>
      <c r="H73" s="217">
        <f>D73/0.9</f>
        <v>707790.64669862669</v>
      </c>
      <c r="I73" s="218"/>
      <c r="J73" s="219"/>
      <c r="Q73" s="234"/>
      <c r="R73" s="222"/>
      <c r="S73" s="31" t="s">
        <v>103</v>
      </c>
      <c r="T73" s="41">
        <f>H84</f>
        <v>1536391.5707558314</v>
      </c>
      <c r="U73" s="41">
        <f t="shared" si="24"/>
        <v>6401.6315448159639</v>
      </c>
      <c r="V73" s="203"/>
      <c r="W73" s="44">
        <f>W71</f>
        <v>600</v>
      </c>
      <c r="X73" s="203"/>
      <c r="Y73" s="222"/>
      <c r="Z73" s="286"/>
      <c r="AA73" s="17">
        <f t="shared" si="34"/>
        <v>479.65499999999997</v>
      </c>
      <c r="AB73" s="19">
        <f t="shared" si="20"/>
        <v>426.77543632106426</v>
      </c>
      <c r="AC73" s="203"/>
      <c r="AD73" s="206"/>
      <c r="AE73" s="57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57"/>
    </row>
    <row r="74" spans="2:53" ht="16.5" customHeight="1" thickBot="1">
      <c r="B74" s="233"/>
      <c r="C74" s="38" t="s">
        <v>93</v>
      </c>
      <c r="D74" s="214">
        <f>$L$49/0.99</f>
        <v>173730.43146239017</v>
      </c>
      <c r="E74" s="215"/>
      <c r="F74" s="215"/>
      <c r="G74" s="216"/>
      <c r="H74" s="217">
        <f t="shared" ref="H74:H78" si="38">D74/0.9</f>
        <v>193033.81273598908</v>
      </c>
      <c r="I74" s="218"/>
      <c r="J74" s="219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</row>
    <row r="75" spans="2:53" ht="16.5" customHeight="1" thickBot="1">
      <c r="B75" s="233"/>
      <c r="C75" s="27" t="s">
        <v>94</v>
      </c>
      <c r="D75" s="214">
        <f>$K$49/0.99</f>
        <v>347460.86292478035</v>
      </c>
      <c r="E75" s="215"/>
      <c r="F75" s="215"/>
      <c r="G75" s="216"/>
      <c r="H75" s="217">
        <f t="shared" si="38"/>
        <v>386067.62547197816</v>
      </c>
      <c r="I75" s="218"/>
      <c r="J75" s="219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</row>
    <row r="76" spans="2:53" ht="16.5" customHeight="1" thickBot="1">
      <c r="B76" s="233"/>
      <c r="C76" s="35" t="s">
        <v>95</v>
      </c>
      <c r="D76" s="214">
        <f>$J$50/0.99</f>
        <v>694921.72584956069</v>
      </c>
      <c r="E76" s="215"/>
      <c r="F76" s="215"/>
      <c r="G76" s="216"/>
      <c r="H76" s="217">
        <f t="shared" si="38"/>
        <v>772135.25094395631</v>
      </c>
      <c r="I76" s="218"/>
      <c r="J76" s="219"/>
      <c r="R76" s="245" t="s">
        <v>207</v>
      </c>
      <c r="S76" s="245"/>
      <c r="T76" s="245"/>
      <c r="U76" s="56">
        <f>AD50+AD56+AD62</f>
        <v>24</v>
      </c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</row>
    <row r="77" spans="2:53" ht="16.5" customHeight="1" thickBot="1">
      <c r="B77" s="233"/>
      <c r="C77" s="39" t="s">
        <v>96</v>
      </c>
      <c r="D77" s="214">
        <f>$L$50/0.99</f>
        <v>115820.28764159346</v>
      </c>
      <c r="E77" s="215"/>
      <c r="F77" s="215"/>
      <c r="G77" s="216"/>
      <c r="H77" s="217">
        <f t="shared" si="38"/>
        <v>128689.2084906594</v>
      </c>
      <c r="I77" s="218"/>
      <c r="J77" s="219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</row>
    <row r="78" spans="2:53" ht="16.5" customHeight="1" thickBot="1">
      <c r="B78" s="234"/>
      <c r="C78" s="28" t="s">
        <v>97</v>
      </c>
      <c r="D78" s="214">
        <f>$K$50/0.99</f>
        <v>1505663.7393407149</v>
      </c>
      <c r="E78" s="215"/>
      <c r="F78" s="215"/>
      <c r="G78" s="216"/>
      <c r="H78" s="217">
        <f t="shared" si="38"/>
        <v>1672959.7103785721</v>
      </c>
      <c r="I78" s="218"/>
      <c r="J78" s="219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</row>
    <row r="79" spans="2:53" ht="17" customHeight="1" thickBot="1">
      <c r="B79" s="232" t="s">
        <v>84</v>
      </c>
      <c r="C79" s="34" t="s">
        <v>98</v>
      </c>
      <c r="D79" s="214">
        <f>$J$49/0.99</f>
        <v>637011.58202876407</v>
      </c>
      <c r="E79" s="215"/>
      <c r="F79" s="215"/>
      <c r="G79" s="216"/>
      <c r="H79" s="217">
        <f>D79/0.98</f>
        <v>650011.81839669799</v>
      </c>
      <c r="I79" s="218"/>
      <c r="J79" s="219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</row>
    <row r="80" spans="2:53" ht="17" thickBot="1">
      <c r="B80" s="233"/>
      <c r="C80" s="38" t="s">
        <v>99</v>
      </c>
      <c r="D80" s="214">
        <f>$L$49/0.99</f>
        <v>173730.43146239017</v>
      </c>
      <c r="E80" s="215"/>
      <c r="F80" s="215"/>
      <c r="G80" s="216"/>
      <c r="H80" s="217">
        <f t="shared" ref="H80:H84" si="39">D80/0.98</f>
        <v>177275.95047182671</v>
      </c>
      <c r="I80" s="218"/>
      <c r="J80" s="219"/>
    </row>
    <row r="81" spans="2:10" ht="17" thickBot="1">
      <c r="B81" s="233"/>
      <c r="C81" s="27" t="s">
        <v>100</v>
      </c>
      <c r="D81" s="214">
        <f>$K$49/0.99</f>
        <v>347460.86292478035</v>
      </c>
      <c r="E81" s="215"/>
      <c r="F81" s="215"/>
      <c r="G81" s="216"/>
      <c r="H81" s="217">
        <f t="shared" si="39"/>
        <v>354551.90094365343</v>
      </c>
      <c r="I81" s="218"/>
      <c r="J81" s="219"/>
    </row>
    <row r="82" spans="2:10" ht="17" thickBot="1">
      <c r="B82" s="233"/>
      <c r="C82" s="35" t="s">
        <v>101</v>
      </c>
      <c r="D82" s="214">
        <f>$J$50/0.99</f>
        <v>694921.72584956069</v>
      </c>
      <c r="E82" s="215"/>
      <c r="F82" s="215"/>
      <c r="G82" s="216"/>
      <c r="H82" s="217">
        <f t="shared" si="39"/>
        <v>709103.80188730685</v>
      </c>
      <c r="I82" s="218"/>
      <c r="J82" s="219"/>
    </row>
    <row r="83" spans="2:10" ht="17" thickBot="1">
      <c r="B83" s="233"/>
      <c r="C83" s="39" t="s">
        <v>102</v>
      </c>
      <c r="D83" s="214">
        <f>$L$50/0.99</f>
        <v>115820.28764159346</v>
      </c>
      <c r="E83" s="215"/>
      <c r="F83" s="215"/>
      <c r="G83" s="216"/>
      <c r="H83" s="217">
        <f t="shared" si="39"/>
        <v>118183.96698121782</v>
      </c>
      <c r="I83" s="218"/>
      <c r="J83" s="219"/>
    </row>
    <row r="84" spans="2:10" ht="17" thickBot="1">
      <c r="B84" s="234"/>
      <c r="C84" s="28" t="s">
        <v>103</v>
      </c>
      <c r="D84" s="214">
        <f>$K$50/0.99</f>
        <v>1505663.7393407149</v>
      </c>
      <c r="E84" s="215"/>
      <c r="F84" s="215"/>
      <c r="G84" s="216"/>
      <c r="H84" s="217">
        <f t="shared" si="39"/>
        <v>1536391.5707558314</v>
      </c>
      <c r="I84" s="218"/>
      <c r="J84" s="219"/>
    </row>
  </sheetData>
  <mergeCells count="355">
    <mergeCell ref="BH58:BH60"/>
    <mergeCell ref="BH61:BH64"/>
    <mergeCell ref="Q1:AD2"/>
    <mergeCell ref="AV1:BF2"/>
    <mergeCell ref="AV45:BF46"/>
    <mergeCell ref="Q45:AD46"/>
    <mergeCell ref="AZ17:AZ18"/>
    <mergeCell ref="AV17:AV20"/>
    <mergeCell ref="D34:G34"/>
    <mergeCell ref="D35:G35"/>
    <mergeCell ref="D36:G36"/>
    <mergeCell ref="D37:G37"/>
    <mergeCell ref="D38:G38"/>
    <mergeCell ref="D39:G39"/>
    <mergeCell ref="D24:G24"/>
    <mergeCell ref="D25:G25"/>
    <mergeCell ref="D26:G26"/>
    <mergeCell ref="D27:G27"/>
    <mergeCell ref="D28:G28"/>
    <mergeCell ref="D29:G29"/>
    <mergeCell ref="D30:G30"/>
    <mergeCell ref="BH17:BH20"/>
    <mergeCell ref="AV10:AV11"/>
    <mergeCell ref="AW10:AW11"/>
    <mergeCell ref="BE14:BE16"/>
    <mergeCell ref="BD14:BD16"/>
    <mergeCell ref="AW17:AW18"/>
    <mergeCell ref="AV14:AW16"/>
    <mergeCell ref="BA17:BA20"/>
    <mergeCell ref="BB17:BB20"/>
    <mergeCell ref="BC17:BC18"/>
    <mergeCell ref="BD17:BD18"/>
    <mergeCell ref="BE17:BE18"/>
    <mergeCell ref="BB14:BB16"/>
    <mergeCell ref="AY19:AY20"/>
    <mergeCell ref="AX14:AX16"/>
    <mergeCell ref="AY14:AY16"/>
    <mergeCell ref="AZ14:AZ16"/>
    <mergeCell ref="BA14:BA16"/>
    <mergeCell ref="BF3:BF5"/>
    <mergeCell ref="AV6:AV7"/>
    <mergeCell ref="AV8:AV9"/>
    <mergeCell ref="AW6:AW7"/>
    <mergeCell ref="AW8:AW9"/>
    <mergeCell ref="AX6:AX7"/>
    <mergeCell ref="AY6:AY7"/>
    <mergeCell ref="BA6:BA7"/>
    <mergeCell ref="BE3:BE5"/>
    <mergeCell ref="BD3:BD5"/>
    <mergeCell ref="AZ3:AZ5"/>
    <mergeCell ref="AY3:AY5"/>
    <mergeCell ref="BB3:BB5"/>
    <mergeCell ref="BC3:BC5"/>
    <mergeCell ref="BB6:BB7"/>
    <mergeCell ref="BC6:BC7"/>
    <mergeCell ref="BD6:BD7"/>
    <mergeCell ref="BE6:BE7"/>
    <mergeCell ref="AX8:AX9"/>
    <mergeCell ref="AY8:AY9"/>
    <mergeCell ref="BA8:BA9"/>
    <mergeCell ref="BA3:BA5"/>
    <mergeCell ref="AV3:AV5"/>
    <mergeCell ref="AW3:AW5"/>
    <mergeCell ref="BB10:BB11"/>
    <mergeCell ref="BC10:BC11"/>
    <mergeCell ref="AX10:AX11"/>
    <mergeCell ref="AY10:AY11"/>
    <mergeCell ref="BA10:BA11"/>
    <mergeCell ref="BC14:BC16"/>
    <mergeCell ref="BD10:BD11"/>
    <mergeCell ref="AZ6:AZ7"/>
    <mergeCell ref="AZ8:AZ9"/>
    <mergeCell ref="AZ10:AZ11"/>
    <mergeCell ref="BC8:BC9"/>
    <mergeCell ref="BD8:BD9"/>
    <mergeCell ref="BB8:BB9"/>
    <mergeCell ref="AC56:AC61"/>
    <mergeCell ref="R12:R17"/>
    <mergeCell ref="Y50:Y55"/>
    <mergeCell ref="Z50:Z73"/>
    <mergeCell ref="AD50:AD55"/>
    <mergeCell ref="AD47:AD49"/>
    <mergeCell ref="V50:V55"/>
    <mergeCell ref="X50:X55"/>
    <mergeCell ref="AC50:AC55"/>
    <mergeCell ref="Y47:Y49"/>
    <mergeCell ref="Z47:Z49"/>
    <mergeCell ref="AA47:AA49"/>
    <mergeCell ref="AB47:AB49"/>
    <mergeCell ref="AC47:AC49"/>
    <mergeCell ref="Z6:Z29"/>
    <mergeCell ref="R62:R67"/>
    <mergeCell ref="AX3:AX5"/>
    <mergeCell ref="AX19:AX20"/>
    <mergeCell ref="AY47:AY49"/>
    <mergeCell ref="AV50:AV51"/>
    <mergeCell ref="AV47:AV49"/>
    <mergeCell ref="AX47:AX49"/>
    <mergeCell ref="AV58:AW60"/>
    <mergeCell ref="AX58:AX60"/>
    <mergeCell ref="AY58:AY60"/>
    <mergeCell ref="AW47:AW49"/>
    <mergeCell ref="AW50:AW51"/>
    <mergeCell ref="AX50:AX51"/>
    <mergeCell ref="AY50:AY51"/>
    <mergeCell ref="AV54:AV55"/>
    <mergeCell ref="AW54:AW55"/>
    <mergeCell ref="AX54:AX55"/>
    <mergeCell ref="AW52:AW53"/>
    <mergeCell ref="AX52:AX53"/>
    <mergeCell ref="AY52:AY53"/>
    <mergeCell ref="AV52:AV53"/>
    <mergeCell ref="X3:X5"/>
    <mergeCell ref="T47:T49"/>
    <mergeCell ref="U47:U49"/>
    <mergeCell ref="Q50:Q55"/>
    <mergeCell ref="R50:R55"/>
    <mergeCell ref="Q47:Q49"/>
    <mergeCell ref="R47:R49"/>
    <mergeCell ref="S47:S49"/>
    <mergeCell ref="V47:V49"/>
    <mergeCell ref="W47:W49"/>
    <mergeCell ref="X47:X49"/>
    <mergeCell ref="R3:R5"/>
    <mergeCell ref="R18:R23"/>
    <mergeCell ref="R24:R29"/>
    <mergeCell ref="Q18:Q29"/>
    <mergeCell ref="Q6:Q11"/>
    <mergeCell ref="Q12:Q17"/>
    <mergeCell ref="Q3:Q5"/>
    <mergeCell ref="B79:B84"/>
    <mergeCell ref="B73:B78"/>
    <mergeCell ref="Q56:Q61"/>
    <mergeCell ref="R56:R61"/>
    <mergeCell ref="V56:V61"/>
    <mergeCell ref="R76:T76"/>
    <mergeCell ref="B67:B72"/>
    <mergeCell ref="D70:G70"/>
    <mergeCell ref="H70:J70"/>
    <mergeCell ref="D71:G71"/>
    <mergeCell ref="H71:J71"/>
    <mergeCell ref="D72:G72"/>
    <mergeCell ref="B59:B60"/>
    <mergeCell ref="C59:C60"/>
    <mergeCell ref="D59:G60"/>
    <mergeCell ref="H59:J60"/>
    <mergeCell ref="B61:B66"/>
    <mergeCell ref="D61:G61"/>
    <mergeCell ref="H61:J61"/>
    <mergeCell ref="D62:G62"/>
    <mergeCell ref="H62:J62"/>
    <mergeCell ref="D63:G63"/>
    <mergeCell ref="H63:J63"/>
    <mergeCell ref="D64:G64"/>
    <mergeCell ref="B23:B28"/>
    <mergeCell ref="H64:J64"/>
    <mergeCell ref="M20:N20"/>
    <mergeCell ref="H20:J20"/>
    <mergeCell ref="B35:B40"/>
    <mergeCell ref="AC3:AC5"/>
    <mergeCell ref="Y3:Y5"/>
    <mergeCell ref="V3:V5"/>
    <mergeCell ref="W3:W5"/>
    <mergeCell ref="Z3:Z5"/>
    <mergeCell ref="AA3:AA5"/>
    <mergeCell ref="Y6:Y11"/>
    <mergeCell ref="Y12:Y17"/>
    <mergeCell ref="Y18:Y29"/>
    <mergeCell ref="V18:V29"/>
    <mergeCell ref="X6:X11"/>
    <mergeCell ref="X12:X17"/>
    <mergeCell ref="X18:X29"/>
    <mergeCell ref="V6:V11"/>
    <mergeCell ref="V12:V17"/>
    <mergeCell ref="S3:S5"/>
    <mergeCell ref="T3:T5"/>
    <mergeCell ref="U3:U5"/>
    <mergeCell ref="R6:R11"/>
    <mergeCell ref="D22:G22"/>
    <mergeCell ref="D23:G23"/>
    <mergeCell ref="D40:G40"/>
    <mergeCell ref="D31:G31"/>
    <mergeCell ref="D32:G32"/>
    <mergeCell ref="D33:G33"/>
    <mergeCell ref="H23:J23"/>
    <mergeCell ref="H24:J24"/>
    <mergeCell ref="H25:J25"/>
    <mergeCell ref="H26:J26"/>
    <mergeCell ref="H27:J27"/>
    <mergeCell ref="H28:J28"/>
    <mergeCell ref="H29:J29"/>
    <mergeCell ref="H30:J30"/>
    <mergeCell ref="H36:J36"/>
    <mergeCell ref="H37:J37"/>
    <mergeCell ref="H15:J16"/>
    <mergeCell ref="D17:G17"/>
    <mergeCell ref="D18:G18"/>
    <mergeCell ref="D19:G19"/>
    <mergeCell ref="D20:G20"/>
    <mergeCell ref="D21:G21"/>
    <mergeCell ref="H21:J21"/>
    <mergeCell ref="H22:J22"/>
    <mergeCell ref="Q62:Q73"/>
    <mergeCell ref="D68:G68"/>
    <mergeCell ref="H68:J68"/>
    <mergeCell ref="D69:G69"/>
    <mergeCell ref="H69:J69"/>
    <mergeCell ref="M17:N17"/>
    <mergeCell ref="M18:N18"/>
    <mergeCell ref="M19:N19"/>
    <mergeCell ref="H17:J17"/>
    <mergeCell ref="H18:J18"/>
    <mergeCell ref="H19:J19"/>
    <mergeCell ref="H31:J31"/>
    <mergeCell ref="H32:J32"/>
    <mergeCell ref="H33:J33"/>
    <mergeCell ref="H34:J34"/>
    <mergeCell ref="H35:J35"/>
    <mergeCell ref="B3:F3"/>
    <mergeCell ref="B17:B22"/>
    <mergeCell ref="B47:F47"/>
    <mergeCell ref="H47:L47"/>
    <mergeCell ref="AD3:AD5"/>
    <mergeCell ref="AB3:AB5"/>
    <mergeCell ref="AD6:AD11"/>
    <mergeCell ref="AD12:AD17"/>
    <mergeCell ref="AD18:AD29"/>
    <mergeCell ref="AC6:AC11"/>
    <mergeCell ref="AC12:AC17"/>
    <mergeCell ref="AC18:AC29"/>
    <mergeCell ref="R34:T34"/>
    <mergeCell ref="R32:T32"/>
    <mergeCell ref="R31:T31"/>
    <mergeCell ref="R33:T33"/>
    <mergeCell ref="B29:B34"/>
    <mergeCell ref="H38:J38"/>
    <mergeCell ref="H39:J39"/>
    <mergeCell ref="H40:J40"/>
    <mergeCell ref="H3:L3"/>
    <mergeCell ref="B15:B16"/>
    <mergeCell ref="C15:C16"/>
    <mergeCell ref="D15:G16"/>
    <mergeCell ref="BE52:BE53"/>
    <mergeCell ref="BF52:BF53"/>
    <mergeCell ref="BB47:BB49"/>
    <mergeCell ref="BC47:BC49"/>
    <mergeCell ref="BD47:BD49"/>
    <mergeCell ref="BE47:BE49"/>
    <mergeCell ref="AZ50:AZ51"/>
    <mergeCell ref="BC50:BC51"/>
    <mergeCell ref="BD50:BD51"/>
    <mergeCell ref="AZ52:AZ53"/>
    <mergeCell ref="BA52:BA53"/>
    <mergeCell ref="BB52:BB53"/>
    <mergeCell ref="BC52:BC53"/>
    <mergeCell ref="BD52:BD53"/>
    <mergeCell ref="AZ58:AZ60"/>
    <mergeCell ref="BA58:BA60"/>
    <mergeCell ref="BB58:BB60"/>
    <mergeCell ref="BC58:BC60"/>
    <mergeCell ref="BD58:BD60"/>
    <mergeCell ref="BE58:BE60"/>
    <mergeCell ref="BF58:BF60"/>
    <mergeCell ref="BE54:BE55"/>
    <mergeCell ref="BF54:BF55"/>
    <mergeCell ref="BC54:BC55"/>
    <mergeCell ref="BD54:BD55"/>
    <mergeCell ref="BA54:BA55"/>
    <mergeCell ref="BB54:BB55"/>
    <mergeCell ref="H75:J75"/>
    <mergeCell ref="BA61:BA64"/>
    <mergeCell ref="BB61:BB64"/>
    <mergeCell ref="BC61:BC62"/>
    <mergeCell ref="BD61:BD62"/>
    <mergeCell ref="AW63:AW64"/>
    <mergeCell ref="AX63:AX64"/>
    <mergeCell ref="AY63:AY64"/>
    <mergeCell ref="AZ63:AZ64"/>
    <mergeCell ref="BC63:BC64"/>
    <mergeCell ref="BD63:BD64"/>
    <mergeCell ref="V62:V73"/>
    <mergeCell ref="X62:X73"/>
    <mergeCell ref="Y62:Y73"/>
    <mergeCell ref="AC62:AC73"/>
    <mergeCell ref="R68:R73"/>
    <mergeCell ref="AD56:AD61"/>
    <mergeCell ref="AD62:AD73"/>
    <mergeCell ref="X56:X61"/>
    <mergeCell ref="Y56:Y61"/>
    <mergeCell ref="AV61:AV64"/>
    <mergeCell ref="AW61:AW62"/>
    <mergeCell ref="AX61:AX62"/>
    <mergeCell ref="AY61:AY62"/>
    <mergeCell ref="D83:G83"/>
    <mergeCell ref="H83:J83"/>
    <mergeCell ref="D84:G84"/>
    <mergeCell ref="H84:J84"/>
    <mergeCell ref="D77:G77"/>
    <mergeCell ref="H77:J77"/>
    <mergeCell ref="D78:G78"/>
    <mergeCell ref="H78:J78"/>
    <mergeCell ref="D79:G79"/>
    <mergeCell ref="H79:J79"/>
    <mergeCell ref="D80:G80"/>
    <mergeCell ref="H80:J80"/>
    <mergeCell ref="D81:G81"/>
    <mergeCell ref="H81:J81"/>
    <mergeCell ref="BF6:BF7"/>
    <mergeCell ref="BE8:BE9"/>
    <mergeCell ref="BF8:BF9"/>
    <mergeCell ref="BE10:BE11"/>
    <mergeCell ref="BF10:BF11"/>
    <mergeCell ref="BH14:BH16"/>
    <mergeCell ref="BF14:BF16"/>
    <mergeCell ref="BF17:BF20"/>
    <mergeCell ref="D82:G82"/>
    <mergeCell ref="H82:J82"/>
    <mergeCell ref="H72:J72"/>
    <mergeCell ref="D73:G73"/>
    <mergeCell ref="H73:J73"/>
    <mergeCell ref="D74:G74"/>
    <mergeCell ref="H74:J74"/>
    <mergeCell ref="D75:G75"/>
    <mergeCell ref="D76:G76"/>
    <mergeCell ref="H76:J76"/>
    <mergeCell ref="D65:G65"/>
    <mergeCell ref="H65:J65"/>
    <mergeCell ref="D66:G66"/>
    <mergeCell ref="H66:J66"/>
    <mergeCell ref="D67:G67"/>
    <mergeCell ref="H67:J67"/>
    <mergeCell ref="BE61:BE62"/>
    <mergeCell ref="AY54:AY55"/>
    <mergeCell ref="AZ54:AZ55"/>
    <mergeCell ref="BG14:BG16"/>
    <mergeCell ref="AZ19:AZ20"/>
    <mergeCell ref="BC19:BC20"/>
    <mergeCell ref="BD19:BD20"/>
    <mergeCell ref="BE19:BE20"/>
    <mergeCell ref="AW19:AW20"/>
    <mergeCell ref="AX17:AX18"/>
    <mergeCell ref="AY17:AY18"/>
    <mergeCell ref="BF50:BF51"/>
    <mergeCell ref="BG58:BG60"/>
    <mergeCell ref="BE50:BE51"/>
    <mergeCell ref="BA50:BA51"/>
    <mergeCell ref="BB50:BB51"/>
    <mergeCell ref="AZ47:AZ49"/>
    <mergeCell ref="BA47:BA49"/>
    <mergeCell ref="BG17:BG20"/>
    <mergeCell ref="BF61:BF64"/>
    <mergeCell ref="BG61:BG64"/>
    <mergeCell ref="BE63:BE64"/>
    <mergeCell ref="AZ61:AZ62"/>
    <mergeCell ref="BF47:BF49"/>
  </mergeCells>
  <phoneticPr fontId="8" type="noConversion"/>
  <pageMargins left="0.7" right="0.7" top="0.75" bottom="0.75" header="0.3" footer="0.3"/>
  <ignoredErrors>
    <ignoredError sqref="W9 W12 W18 W24 W2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N96"/>
  <sheetViews>
    <sheetView topLeftCell="K17" zoomScaleNormal="100" workbookViewId="0">
      <selection activeCell="L37" sqref="L37"/>
    </sheetView>
  </sheetViews>
  <sheetFormatPr baseColWidth="10" defaultColWidth="11.1640625" defaultRowHeight="16"/>
  <cols>
    <col min="2" max="2" width="14.6640625" customWidth="1"/>
    <col min="3" max="3" width="17" customWidth="1"/>
    <col min="4" max="4" width="16.6640625" customWidth="1"/>
    <col min="5" max="5" width="15.5" customWidth="1"/>
    <col min="6" max="6" width="16" customWidth="1"/>
    <col min="7" max="7" width="17.1640625" customWidth="1"/>
    <col min="8" max="8" width="15.1640625" customWidth="1"/>
    <col min="9" max="10" width="14.6640625" customWidth="1"/>
    <col min="13" max="13" width="22.83203125" bestFit="1" customWidth="1"/>
    <col min="27" max="27" width="11.1640625" customWidth="1"/>
    <col min="31" max="31" width="25.5" customWidth="1"/>
    <col min="32" max="32" width="18.6640625" bestFit="1" customWidth="1"/>
    <col min="33" max="33" width="14.33203125" customWidth="1"/>
    <col min="34" max="34" width="20.6640625" bestFit="1" customWidth="1"/>
    <col min="36" max="36" width="21.1640625" bestFit="1" customWidth="1"/>
    <col min="45" max="45" width="14.5" bestFit="1" customWidth="1"/>
  </cols>
  <sheetData>
    <row r="1" spans="2:34" s="105" customFormat="1" ht="17" thickBot="1"/>
    <row r="2" spans="2:34" ht="30" customHeight="1" thickBot="1">
      <c r="B2" s="438" t="s">
        <v>133</v>
      </c>
      <c r="C2" s="439"/>
      <c r="D2" s="439"/>
      <c r="E2" s="439"/>
      <c r="F2" s="439"/>
      <c r="G2" s="439"/>
      <c r="H2" s="439"/>
      <c r="I2" s="440"/>
      <c r="J2" s="107"/>
      <c r="L2" s="105"/>
      <c r="M2" s="407" t="s">
        <v>148</v>
      </c>
      <c r="N2" s="408"/>
      <c r="O2" s="408"/>
      <c r="P2" s="408"/>
      <c r="Q2" s="408"/>
      <c r="R2" s="408"/>
      <c r="S2" s="408"/>
      <c r="T2" s="408"/>
      <c r="U2" s="408"/>
      <c r="V2" s="408"/>
      <c r="W2" s="408"/>
      <c r="X2" s="408"/>
      <c r="Y2" s="408"/>
      <c r="Z2" s="408"/>
      <c r="AA2" s="408"/>
      <c r="AB2" s="409"/>
      <c r="AC2" s="105"/>
    </row>
    <row r="3" spans="2:34" ht="16.25" customHeight="1">
      <c r="B3" s="198" t="s">
        <v>106</v>
      </c>
      <c r="C3" s="253" t="s">
        <v>107</v>
      </c>
      <c r="D3" s="196" t="s">
        <v>128</v>
      </c>
      <c r="E3" s="196" t="s">
        <v>129</v>
      </c>
      <c r="F3" s="196" t="s">
        <v>126</v>
      </c>
      <c r="G3" s="196" t="s">
        <v>130</v>
      </c>
      <c r="H3" s="196" t="s">
        <v>132</v>
      </c>
      <c r="I3" s="196" t="s">
        <v>131</v>
      </c>
      <c r="J3" s="108"/>
      <c r="L3" s="105"/>
      <c r="M3" s="271" t="s">
        <v>107</v>
      </c>
      <c r="N3" s="337" t="s">
        <v>106</v>
      </c>
      <c r="O3" s="260"/>
      <c r="P3" s="338"/>
      <c r="Q3" s="238" t="s">
        <v>233</v>
      </c>
      <c r="R3" s="379"/>
      <c r="S3" s="238" t="s">
        <v>286</v>
      </c>
      <c r="T3" s="379"/>
      <c r="U3" s="238" t="s">
        <v>235</v>
      </c>
      <c r="V3" s="379"/>
      <c r="W3" s="238" t="s">
        <v>236</v>
      </c>
      <c r="X3" s="379"/>
      <c r="Y3" s="399" t="s">
        <v>237</v>
      </c>
      <c r="Z3" s="400"/>
      <c r="AA3" s="397" t="s">
        <v>131</v>
      </c>
      <c r="AB3" s="398"/>
      <c r="AC3" s="105"/>
    </row>
    <row r="4" spans="2:34" ht="15.5" customHeight="1">
      <c r="B4" s="271"/>
      <c r="C4" s="260"/>
      <c r="D4" s="204"/>
      <c r="E4" s="204"/>
      <c r="F4" s="204"/>
      <c r="G4" s="204"/>
      <c r="H4" s="204"/>
      <c r="I4" s="204"/>
      <c r="J4" s="108"/>
      <c r="L4" s="105"/>
      <c r="M4" s="271"/>
      <c r="N4" s="337"/>
      <c r="O4" s="260"/>
      <c r="P4" s="338"/>
      <c r="Q4" s="238"/>
      <c r="R4" s="379"/>
      <c r="S4" s="238"/>
      <c r="T4" s="379"/>
      <c r="U4" s="238"/>
      <c r="V4" s="379"/>
      <c r="W4" s="238"/>
      <c r="X4" s="379"/>
      <c r="Y4" s="399"/>
      <c r="Z4" s="400"/>
      <c r="AA4" s="399"/>
      <c r="AB4" s="400"/>
      <c r="AC4" s="105"/>
    </row>
    <row r="5" spans="2:34" ht="17" thickBot="1">
      <c r="B5" s="199"/>
      <c r="C5" s="255"/>
      <c r="D5" s="197"/>
      <c r="E5" s="197"/>
      <c r="F5" s="197"/>
      <c r="G5" s="197"/>
      <c r="H5" s="197"/>
      <c r="I5" s="197"/>
      <c r="J5" s="108"/>
      <c r="L5" s="105"/>
      <c r="M5" s="199"/>
      <c r="N5" s="247"/>
      <c r="O5" s="255"/>
      <c r="P5" s="256"/>
      <c r="Q5" s="239"/>
      <c r="R5" s="252"/>
      <c r="S5" s="239"/>
      <c r="T5" s="252"/>
      <c r="U5" s="239"/>
      <c r="V5" s="252"/>
      <c r="W5" s="239"/>
      <c r="X5" s="252"/>
      <c r="Y5" s="401"/>
      <c r="Z5" s="402"/>
      <c r="AA5" s="401"/>
      <c r="AB5" s="402"/>
      <c r="AC5" s="105"/>
    </row>
    <row r="6" spans="2:34" ht="16.5" customHeight="1" thickBot="1">
      <c r="B6" s="232" t="s">
        <v>114</v>
      </c>
      <c r="C6" s="42" t="s">
        <v>77</v>
      </c>
      <c r="D6" s="41">
        <f>544454.343614328/240</f>
        <v>2268.5597650596997</v>
      </c>
      <c r="E6" s="41">
        <f>D6*10</f>
        <v>22685.597650596996</v>
      </c>
      <c r="F6" s="41" t="s">
        <v>127</v>
      </c>
      <c r="G6" s="41">
        <f>0.075*E6</f>
        <v>1701.4198237947746</v>
      </c>
      <c r="H6" s="41">
        <f>G6/50</f>
        <v>34.028396475895491</v>
      </c>
      <c r="I6" s="423">
        <f>CEILING((SUM(H6:H29))/16,1)</f>
        <v>25</v>
      </c>
      <c r="J6" s="96"/>
      <c r="L6" s="105"/>
      <c r="M6" s="73" t="s">
        <v>134</v>
      </c>
      <c r="N6" s="360" t="s">
        <v>135</v>
      </c>
      <c r="O6" s="360"/>
      <c r="P6" s="361"/>
      <c r="Q6" s="403">
        <f>(Produzione!I7/(240*15))*1.05</f>
        <v>771.76403207331043</v>
      </c>
      <c r="R6" s="404"/>
      <c r="S6" s="403">
        <f>Q6*15*20</f>
        <v>231529.20962199313</v>
      </c>
      <c r="T6" s="404"/>
      <c r="U6" s="403">
        <v>10</v>
      </c>
      <c r="V6" s="404"/>
      <c r="W6" s="405">
        <f>CEILING((S6/U6),1)</f>
        <v>23153</v>
      </c>
      <c r="X6" s="406"/>
      <c r="Y6" s="405">
        <v>35</v>
      </c>
      <c r="Z6" s="406"/>
      <c r="AA6" s="322">
        <f>CEILING((W6/Y6),1)</f>
        <v>662</v>
      </c>
      <c r="AB6" s="324"/>
      <c r="AC6" s="105"/>
    </row>
    <row r="7" spans="2:34" ht="17" thickBot="1">
      <c r="B7" s="233"/>
      <c r="C7" s="43" t="s">
        <v>78</v>
      </c>
      <c r="D7" s="40">
        <f>148487.548258453/240</f>
        <v>618.69811774355412</v>
      </c>
      <c r="E7" s="41">
        <f t="shared" ref="E7:E29" si="0">D7*10</f>
        <v>6186.9811774355412</v>
      </c>
      <c r="F7" s="41" t="s">
        <v>127</v>
      </c>
      <c r="G7" s="41">
        <f>0.075*E7</f>
        <v>464.02358830766559</v>
      </c>
      <c r="H7" s="41">
        <f>G7/50</f>
        <v>9.2804717661533118</v>
      </c>
      <c r="I7" s="424"/>
      <c r="J7" s="96"/>
      <c r="L7" s="105"/>
      <c r="M7" s="92" t="s">
        <v>136</v>
      </c>
      <c r="N7" s="323" t="s">
        <v>137</v>
      </c>
      <c r="O7" s="323"/>
      <c r="P7" s="324"/>
      <c r="Q7" s="403">
        <f>(Produzione!I7/(240*15))*1.05</f>
        <v>771.76403207331043</v>
      </c>
      <c r="R7" s="404"/>
      <c r="S7" s="403">
        <f t="shared" ref="S7:S15" si="1">Q7*15*20</f>
        <v>231529.20962199313</v>
      </c>
      <c r="T7" s="404"/>
      <c r="U7" s="403">
        <v>50</v>
      </c>
      <c r="V7" s="404"/>
      <c r="W7" s="405">
        <f t="shared" ref="W7:W15" si="2">CEILING((S7/U7),1)</f>
        <v>4631</v>
      </c>
      <c r="X7" s="406"/>
      <c r="Y7" s="405">
        <v>30</v>
      </c>
      <c r="Z7" s="406"/>
      <c r="AA7" s="322">
        <f t="shared" ref="AA7:AA10" si="3">CEILING((W7/Y7),1)</f>
        <v>155</v>
      </c>
      <c r="AB7" s="324"/>
      <c r="AC7" s="105"/>
    </row>
    <row r="8" spans="2:34" ht="16.5" customHeight="1" thickBot="1">
      <c r="B8" s="233"/>
      <c r="C8" s="31" t="s">
        <v>79</v>
      </c>
      <c r="D8" s="41">
        <f>296975.096516906/240</f>
        <v>1237.3962354871082</v>
      </c>
      <c r="E8" s="41">
        <f t="shared" si="0"/>
        <v>12373.962354871082</v>
      </c>
      <c r="F8" s="41" t="s">
        <v>127</v>
      </c>
      <c r="G8" s="41">
        <f>0.075*E8</f>
        <v>928.04717661533118</v>
      </c>
      <c r="H8" s="41">
        <f t="shared" ref="H8:H29" si="4">G8/50</f>
        <v>18.560943532306624</v>
      </c>
      <c r="I8" s="424"/>
      <c r="J8" s="96"/>
      <c r="L8" s="105"/>
      <c r="M8" s="74" t="s">
        <v>136</v>
      </c>
      <c r="N8" s="410" t="s">
        <v>147</v>
      </c>
      <c r="O8" s="410"/>
      <c r="P8" s="411"/>
      <c r="Q8" s="403">
        <f>(Produzione!I7/(240*15))*1.05</f>
        <v>771.76403207331043</v>
      </c>
      <c r="R8" s="404"/>
      <c r="S8" s="403">
        <f t="shared" si="1"/>
        <v>231529.20962199313</v>
      </c>
      <c r="T8" s="404"/>
      <c r="U8" s="403">
        <v>100</v>
      </c>
      <c r="V8" s="404"/>
      <c r="W8" s="405">
        <f t="shared" si="2"/>
        <v>2316</v>
      </c>
      <c r="X8" s="406"/>
      <c r="Y8" s="405">
        <v>40</v>
      </c>
      <c r="Z8" s="406"/>
      <c r="AA8" s="322">
        <f t="shared" si="3"/>
        <v>58</v>
      </c>
      <c r="AB8" s="324"/>
      <c r="AC8" s="105"/>
    </row>
    <row r="9" spans="2:34" ht="17" thickBot="1">
      <c r="B9" s="233"/>
      <c r="C9" s="42" t="s">
        <v>80</v>
      </c>
      <c r="D9" s="40">
        <f>593950.193033813/240</f>
        <v>2474.792470974221</v>
      </c>
      <c r="E9" s="41">
        <f t="shared" si="0"/>
        <v>24747.924709742212</v>
      </c>
      <c r="F9" s="41" t="s">
        <v>127</v>
      </c>
      <c r="G9" s="41">
        <f t="shared" ref="G9:G10" si="5">0.075*E9</f>
        <v>1856.0943532306658</v>
      </c>
      <c r="H9" s="41">
        <f t="shared" si="4"/>
        <v>37.121887064613318</v>
      </c>
      <c r="I9" s="424"/>
      <c r="J9" s="96"/>
      <c r="L9" s="105"/>
      <c r="M9" s="92" t="s">
        <v>138</v>
      </c>
      <c r="N9" s="323" t="s">
        <v>140</v>
      </c>
      <c r="O9" s="323"/>
      <c r="P9" s="324"/>
      <c r="Q9" s="403">
        <f>(Produzione!I7/(240*15))*1.05</f>
        <v>771.76403207331043</v>
      </c>
      <c r="R9" s="404"/>
      <c r="S9" s="403">
        <f t="shared" si="1"/>
        <v>231529.20962199313</v>
      </c>
      <c r="T9" s="404"/>
      <c r="U9" s="403">
        <v>50</v>
      </c>
      <c r="V9" s="404"/>
      <c r="W9" s="405">
        <f t="shared" si="2"/>
        <v>4631</v>
      </c>
      <c r="X9" s="406"/>
      <c r="Y9" s="405">
        <v>15</v>
      </c>
      <c r="Z9" s="406"/>
      <c r="AA9" s="322">
        <f t="shared" si="3"/>
        <v>309</v>
      </c>
      <c r="AB9" s="324"/>
      <c r="AC9" s="105"/>
    </row>
    <row r="10" spans="2:34" ht="16.5" customHeight="1" thickBot="1">
      <c r="B10" s="233"/>
      <c r="C10" s="43" t="s">
        <v>81</v>
      </c>
      <c r="D10" s="41">
        <f>98991.6988389688/240</f>
        <v>412.46541182903667</v>
      </c>
      <c r="E10" s="41">
        <f t="shared" si="0"/>
        <v>4124.6541182903666</v>
      </c>
      <c r="F10" s="41" t="s">
        <v>127</v>
      </c>
      <c r="G10" s="41">
        <f t="shared" si="5"/>
        <v>309.34905887177746</v>
      </c>
      <c r="H10" s="41">
        <f t="shared" si="4"/>
        <v>6.1869811774355492</v>
      </c>
      <c r="I10" s="424"/>
      <c r="J10" s="96"/>
      <c r="L10" s="105"/>
      <c r="M10" s="74" t="s">
        <v>139</v>
      </c>
      <c r="N10" s="410" t="s">
        <v>141</v>
      </c>
      <c r="O10" s="410"/>
      <c r="P10" s="411"/>
      <c r="Q10" s="403">
        <f>(Produzione!I7/(240*15))*1.05</f>
        <v>771.76403207331043</v>
      </c>
      <c r="R10" s="404"/>
      <c r="S10" s="403">
        <f t="shared" si="1"/>
        <v>231529.20962199313</v>
      </c>
      <c r="T10" s="404"/>
      <c r="U10" s="403">
        <v>150</v>
      </c>
      <c r="V10" s="404"/>
      <c r="W10" s="405">
        <f t="shared" si="2"/>
        <v>1544</v>
      </c>
      <c r="X10" s="406"/>
      <c r="Y10" s="405">
        <v>38</v>
      </c>
      <c r="Z10" s="406"/>
      <c r="AA10" s="322">
        <f t="shared" si="3"/>
        <v>41</v>
      </c>
      <c r="AB10" s="324"/>
      <c r="AC10" s="105"/>
    </row>
    <row r="11" spans="2:34" ht="17" thickBot="1">
      <c r="B11" s="234"/>
      <c r="C11" s="31" t="s">
        <v>82</v>
      </c>
      <c r="D11" s="40">
        <f>1286892.08490659/240</f>
        <v>5362.0503537774584</v>
      </c>
      <c r="E11" s="41">
        <f t="shared" si="0"/>
        <v>53620.503537774581</v>
      </c>
      <c r="F11" s="41" t="s">
        <v>127</v>
      </c>
      <c r="G11" s="41">
        <f>0.075*E11</f>
        <v>4021.5377653330934</v>
      </c>
      <c r="H11" s="41">
        <f t="shared" si="4"/>
        <v>80.430755306661865</v>
      </c>
      <c r="I11" s="424"/>
      <c r="J11" s="96"/>
      <c r="L11" s="105"/>
      <c r="M11" s="92"/>
      <c r="N11" s="323" t="s">
        <v>142</v>
      </c>
      <c r="O11" s="323"/>
      <c r="P11" s="324"/>
      <c r="Q11" s="403">
        <f>(Produzione!I7/(240*15))*1.05</f>
        <v>771.76403207331043</v>
      </c>
      <c r="R11" s="404"/>
      <c r="S11" s="403">
        <f t="shared" si="1"/>
        <v>231529.20962199313</v>
      </c>
      <c r="T11" s="404"/>
      <c r="U11" s="403">
        <v>1200</v>
      </c>
      <c r="V11" s="404"/>
      <c r="W11" s="405">
        <f t="shared" si="2"/>
        <v>193</v>
      </c>
      <c r="X11" s="406"/>
      <c r="Y11" s="405">
        <v>250</v>
      </c>
      <c r="Z11" s="406"/>
      <c r="AA11" s="322">
        <f>CEILING((W11/Y11),1)</f>
        <v>1</v>
      </c>
      <c r="AB11" s="324"/>
      <c r="AC11" s="105"/>
    </row>
    <row r="12" spans="2:34" ht="16.5" customHeight="1" thickBot="1">
      <c r="B12" s="232" t="s">
        <v>117</v>
      </c>
      <c r="C12" s="97" t="s">
        <v>86</v>
      </c>
      <c r="D12" s="17">
        <f>515798.851845153/240</f>
        <v>2149.1618826881377</v>
      </c>
      <c r="E12" s="17">
        <f t="shared" si="0"/>
        <v>21491.618826881378</v>
      </c>
      <c r="F12" s="17" t="s">
        <v>127</v>
      </c>
      <c r="G12" s="17">
        <f>0.05*E12</f>
        <v>1074.5809413440691</v>
      </c>
      <c r="H12" s="17">
        <f t="shared" si="4"/>
        <v>21.491618826881382</v>
      </c>
      <c r="I12" s="424"/>
      <c r="J12" s="96"/>
      <c r="L12" s="105"/>
      <c r="M12" s="74"/>
      <c r="N12" s="410" t="s">
        <v>143</v>
      </c>
      <c r="O12" s="410"/>
      <c r="P12" s="411"/>
      <c r="Q12" s="403">
        <f>(Produzione!I7/(240*15))*1.1</f>
        <v>808.5147002672777</v>
      </c>
      <c r="R12" s="404"/>
      <c r="S12" s="403">
        <f t="shared" si="1"/>
        <v>242554.4100801833</v>
      </c>
      <c r="T12" s="404"/>
      <c r="U12" s="403">
        <v>200</v>
      </c>
      <c r="V12" s="404"/>
      <c r="W12" s="405">
        <f t="shared" si="2"/>
        <v>1213</v>
      </c>
      <c r="X12" s="406"/>
      <c r="Y12" s="405">
        <v>285</v>
      </c>
      <c r="Z12" s="406"/>
      <c r="AA12" s="322">
        <f t="shared" ref="AA12:AA15" si="6">CEILING((W12/Y12),1)</f>
        <v>5</v>
      </c>
      <c r="AB12" s="324"/>
      <c r="AC12" s="105"/>
    </row>
    <row r="13" spans="2:34" ht="17" thickBot="1">
      <c r="B13" s="233"/>
      <c r="C13" s="98" t="s">
        <v>87</v>
      </c>
      <c r="D13" s="100">
        <f>140672.414139587/240</f>
        <v>586.13505891494583</v>
      </c>
      <c r="E13" s="17">
        <f t="shared" si="0"/>
        <v>5861.3505891494588</v>
      </c>
      <c r="F13" s="17" t="s">
        <v>127</v>
      </c>
      <c r="G13" s="17">
        <f>0.05*E13</f>
        <v>293.06752945747297</v>
      </c>
      <c r="H13" s="17">
        <f t="shared" si="4"/>
        <v>5.8613505891494597</v>
      </c>
      <c r="I13" s="424"/>
      <c r="J13" s="96"/>
      <c r="L13" s="105"/>
      <c r="M13" s="92"/>
      <c r="N13" s="323" t="s">
        <v>144</v>
      </c>
      <c r="O13" s="323"/>
      <c r="P13" s="324"/>
      <c r="Q13" s="403">
        <f>(Produzione!I7/(240*15))*1.1</f>
        <v>808.5147002672777</v>
      </c>
      <c r="R13" s="404"/>
      <c r="S13" s="403">
        <f t="shared" si="1"/>
        <v>242554.4100801833</v>
      </c>
      <c r="T13" s="404"/>
      <c r="U13" s="403">
        <v>20</v>
      </c>
      <c r="V13" s="404"/>
      <c r="W13" s="405">
        <f t="shared" si="2"/>
        <v>12128</v>
      </c>
      <c r="X13" s="406"/>
      <c r="Y13" s="405">
        <v>30</v>
      </c>
      <c r="Z13" s="406"/>
      <c r="AA13" s="322">
        <f t="shared" si="6"/>
        <v>405</v>
      </c>
      <c r="AB13" s="324"/>
      <c r="AC13" s="105"/>
    </row>
    <row r="14" spans="2:34" ht="16.5" customHeight="1" thickBot="1">
      <c r="B14" s="233"/>
      <c r="C14" s="95" t="s">
        <v>88</v>
      </c>
      <c r="D14" s="17">
        <f>281344.828279174/240</f>
        <v>1172.2701178298917</v>
      </c>
      <c r="E14" s="17">
        <f t="shared" si="0"/>
        <v>11722.701178298918</v>
      </c>
      <c r="F14" s="17" t="s">
        <v>127</v>
      </c>
      <c r="G14" s="17">
        <f t="shared" ref="G14" si="7">0.05*E14</f>
        <v>586.13505891494594</v>
      </c>
      <c r="H14" s="17">
        <f t="shared" si="4"/>
        <v>11.722701178298919</v>
      </c>
      <c r="I14" s="424"/>
      <c r="J14" s="96"/>
      <c r="L14" s="105"/>
      <c r="M14" s="74"/>
      <c r="N14" s="410" t="s">
        <v>145</v>
      </c>
      <c r="O14" s="410"/>
      <c r="P14" s="411"/>
      <c r="Q14" s="403">
        <f>(Produzione!I7/(240*15))*1.05</f>
        <v>771.76403207331043</v>
      </c>
      <c r="R14" s="404"/>
      <c r="S14" s="403">
        <f t="shared" si="1"/>
        <v>231529.20962199313</v>
      </c>
      <c r="T14" s="404"/>
      <c r="U14" s="403">
        <v>100</v>
      </c>
      <c r="V14" s="404"/>
      <c r="W14" s="405">
        <f t="shared" si="2"/>
        <v>2316</v>
      </c>
      <c r="X14" s="406"/>
      <c r="Y14" s="405">
        <v>42</v>
      </c>
      <c r="Z14" s="406"/>
      <c r="AA14" s="322">
        <f t="shared" si="6"/>
        <v>56</v>
      </c>
      <c r="AB14" s="324"/>
      <c r="AC14" s="105"/>
    </row>
    <row r="15" spans="2:34" ht="16.5" customHeight="1" thickBot="1">
      <c r="B15" s="233"/>
      <c r="C15" s="99" t="s">
        <v>89</v>
      </c>
      <c r="D15" s="83">
        <f>562689.656558349/240</f>
        <v>2344.5402356597874</v>
      </c>
      <c r="E15" s="17">
        <f>D15*10</f>
        <v>23445.402356597875</v>
      </c>
      <c r="F15" s="17" t="s">
        <v>127</v>
      </c>
      <c r="G15" s="17">
        <f>0.05*E15</f>
        <v>1172.2701178298937</v>
      </c>
      <c r="H15" s="17">
        <f>G15/50</f>
        <v>23.445402356597874</v>
      </c>
      <c r="I15" s="424"/>
      <c r="J15" s="96"/>
      <c r="L15" s="105"/>
      <c r="M15" s="92"/>
      <c r="N15" s="323" t="s">
        <v>146</v>
      </c>
      <c r="O15" s="323"/>
      <c r="P15" s="324"/>
      <c r="Q15" s="403">
        <f>(Produzione!I7/(240*15))*1.05</f>
        <v>771.76403207331043</v>
      </c>
      <c r="R15" s="404"/>
      <c r="S15" s="403">
        <f t="shared" si="1"/>
        <v>231529.20962199313</v>
      </c>
      <c r="T15" s="404"/>
      <c r="U15" s="403">
        <v>1000</v>
      </c>
      <c r="V15" s="404"/>
      <c r="W15" s="405">
        <f t="shared" si="2"/>
        <v>232</v>
      </c>
      <c r="X15" s="406"/>
      <c r="Y15" s="405">
        <v>300</v>
      </c>
      <c r="Z15" s="406"/>
      <c r="AA15" s="322">
        <f t="shared" si="6"/>
        <v>1</v>
      </c>
      <c r="AB15" s="324"/>
      <c r="AC15" s="105"/>
    </row>
    <row r="16" spans="2:34" ht="16.5" customHeight="1" thickBot="1">
      <c r="B16" s="233"/>
      <c r="C16" s="37" t="s">
        <v>90</v>
      </c>
      <c r="D16" s="101">
        <f>93781.6094263915/240</f>
        <v>390.7567059432979</v>
      </c>
      <c r="E16" s="101">
        <f>D16*10</f>
        <v>3907.567059432979</v>
      </c>
      <c r="F16" s="84" t="s">
        <v>127</v>
      </c>
      <c r="G16" s="17">
        <f>0.05*E16</f>
        <v>195.37835297164895</v>
      </c>
      <c r="H16" s="17">
        <f>G16/50</f>
        <v>3.9075670594329792</v>
      </c>
      <c r="I16" s="424"/>
      <c r="J16" s="96"/>
      <c r="L16" s="105"/>
      <c r="M16" s="426" t="s">
        <v>238</v>
      </c>
      <c r="N16" s="427"/>
      <c r="O16" s="427"/>
      <c r="P16" s="427"/>
      <c r="Q16" s="427"/>
      <c r="R16" s="427"/>
      <c r="S16" s="427"/>
      <c r="T16" s="427"/>
      <c r="U16" s="427"/>
      <c r="V16" s="427"/>
      <c r="W16" s="427"/>
      <c r="X16" s="427"/>
      <c r="Y16" s="427"/>
      <c r="Z16" s="427"/>
      <c r="AA16" s="427"/>
      <c r="AB16" s="428"/>
      <c r="AC16" s="105"/>
      <c r="AD16" s="386" t="s">
        <v>279</v>
      </c>
      <c r="AE16" s="387"/>
      <c r="AF16" s="387"/>
      <c r="AG16" s="387"/>
      <c r="AH16" s="388"/>
    </row>
    <row r="17" spans="2:34" ht="17" thickBot="1">
      <c r="B17" s="233"/>
      <c r="C17" s="94" t="s">
        <v>91</v>
      </c>
      <c r="D17" s="100">
        <f>1219160.92254309/240</f>
        <v>5079.8371772628752</v>
      </c>
      <c r="E17" s="17">
        <f>D17*10</f>
        <v>50798.37177262875</v>
      </c>
      <c r="F17" s="79" t="s">
        <v>127</v>
      </c>
      <c r="G17" s="17">
        <f>0.05*E17</f>
        <v>2539.9185886314376</v>
      </c>
      <c r="H17" s="17">
        <f>G17/50</f>
        <v>50.798371772628755</v>
      </c>
      <c r="I17" s="424"/>
      <c r="J17" s="96"/>
      <c r="L17" s="105"/>
      <c r="M17" s="429"/>
      <c r="N17" s="430"/>
      <c r="O17" s="430"/>
      <c r="P17" s="430"/>
      <c r="Q17" s="430"/>
      <c r="R17" s="430"/>
      <c r="S17" s="430"/>
      <c r="T17" s="430"/>
      <c r="U17" s="430"/>
      <c r="V17" s="430"/>
      <c r="W17" s="430"/>
      <c r="X17" s="430"/>
      <c r="Y17" s="430"/>
      <c r="Z17" s="430"/>
      <c r="AA17" s="430"/>
      <c r="AB17" s="431"/>
      <c r="AC17" s="105"/>
      <c r="AD17" s="441" t="s">
        <v>319</v>
      </c>
      <c r="AE17" s="442"/>
      <c r="AF17" s="443"/>
      <c r="AG17" s="136" t="s">
        <v>318</v>
      </c>
      <c r="AH17" s="136" t="s">
        <v>320</v>
      </c>
    </row>
    <row r="18" spans="2:34" ht="16.5" customHeight="1" thickBot="1">
      <c r="B18" s="357" t="s">
        <v>123</v>
      </c>
      <c r="C18" s="42" t="s">
        <v>92</v>
      </c>
      <c r="D18" s="17">
        <f>544454.343614328/240</f>
        <v>2268.5597650596997</v>
      </c>
      <c r="E18" s="17">
        <f t="shared" si="0"/>
        <v>22685.597650596996</v>
      </c>
      <c r="F18" s="17" t="s">
        <v>127</v>
      </c>
      <c r="G18" s="17">
        <f>0.015*E18</f>
        <v>340.28396475895494</v>
      </c>
      <c r="H18" s="17">
        <f t="shared" si="4"/>
        <v>6.8056792951790985</v>
      </c>
      <c r="I18" s="424"/>
      <c r="J18" s="96"/>
      <c r="L18" s="105"/>
      <c r="M18" s="432"/>
      <c r="N18" s="433" t="s">
        <v>267</v>
      </c>
      <c r="O18" s="433"/>
      <c r="P18" s="433"/>
      <c r="Q18" s="433" t="s">
        <v>268</v>
      </c>
      <c r="R18" s="433"/>
      <c r="S18" s="433" t="s">
        <v>269</v>
      </c>
      <c r="T18" s="433"/>
      <c r="U18" s="433" t="s">
        <v>270</v>
      </c>
      <c r="V18" s="433"/>
      <c r="W18" s="433" t="s">
        <v>271</v>
      </c>
      <c r="X18" s="433"/>
      <c r="Y18" s="434" t="s">
        <v>272</v>
      </c>
      <c r="Z18" s="434"/>
      <c r="AA18" s="397" t="s">
        <v>131</v>
      </c>
      <c r="AB18" s="398"/>
      <c r="AC18" s="105"/>
      <c r="AD18" s="389" t="s">
        <v>239</v>
      </c>
      <c r="AE18" s="390"/>
      <c r="AF18" s="390"/>
      <c r="AG18" s="130">
        <v>7</v>
      </c>
      <c r="AH18" s="131">
        <f>1*AG18/2</f>
        <v>3.5</v>
      </c>
    </row>
    <row r="19" spans="2:34" ht="17" thickBot="1">
      <c r="B19" s="421"/>
      <c r="C19" s="43" t="s">
        <v>93</v>
      </c>
      <c r="D19" s="100">
        <f>148487.548258453/240</f>
        <v>618.69811774355412</v>
      </c>
      <c r="E19" s="17">
        <f t="shared" si="0"/>
        <v>6186.9811774355412</v>
      </c>
      <c r="F19" s="17" t="s">
        <v>127</v>
      </c>
      <c r="G19" s="17">
        <f t="shared" ref="G19:G22" si="8">0.015*E19</f>
        <v>92.804717661533118</v>
      </c>
      <c r="H19" s="17">
        <f t="shared" si="4"/>
        <v>1.8560943532306624</v>
      </c>
      <c r="I19" s="424"/>
      <c r="J19" s="96"/>
      <c r="L19" s="105"/>
      <c r="M19" s="432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4"/>
      <c r="Z19" s="434"/>
      <c r="AA19" s="399"/>
      <c r="AB19" s="400"/>
      <c r="AC19" s="105"/>
      <c r="AD19" s="391" t="s">
        <v>240</v>
      </c>
      <c r="AE19" s="392"/>
      <c r="AF19" s="392"/>
      <c r="AG19" s="132">
        <v>1</v>
      </c>
      <c r="AH19" s="133">
        <f>2*AG19</f>
        <v>2</v>
      </c>
    </row>
    <row r="20" spans="2:34" ht="16.25" customHeight="1" thickBot="1">
      <c r="B20" s="421"/>
      <c r="C20" s="31" t="s">
        <v>94</v>
      </c>
      <c r="D20" s="41">
        <f>296975.096516906/240</f>
        <v>1237.3962354871082</v>
      </c>
      <c r="E20" s="41">
        <f t="shared" si="0"/>
        <v>12373.962354871082</v>
      </c>
      <c r="F20" s="41" t="s">
        <v>127</v>
      </c>
      <c r="G20" s="41">
        <f t="shared" si="8"/>
        <v>185.60943532306624</v>
      </c>
      <c r="H20" s="41">
        <f t="shared" si="4"/>
        <v>3.7121887064613248</v>
      </c>
      <c r="I20" s="424"/>
      <c r="J20" s="96"/>
      <c r="L20" s="105"/>
      <c r="M20" s="432"/>
      <c r="N20" s="433"/>
      <c r="O20" s="433"/>
      <c r="P20" s="433"/>
      <c r="Q20" s="433"/>
      <c r="R20" s="433"/>
      <c r="S20" s="433"/>
      <c r="T20" s="433"/>
      <c r="U20" s="433"/>
      <c r="V20" s="433"/>
      <c r="W20" s="433"/>
      <c r="X20" s="433"/>
      <c r="Y20" s="434"/>
      <c r="Z20" s="434"/>
      <c r="AA20" s="401"/>
      <c r="AB20" s="402"/>
      <c r="AC20" s="105"/>
      <c r="AD20" s="393" t="s">
        <v>241</v>
      </c>
      <c r="AE20" s="394"/>
      <c r="AF20" s="394"/>
      <c r="AG20" s="134">
        <v>1</v>
      </c>
      <c r="AH20" s="133">
        <f>5*AG20</f>
        <v>5</v>
      </c>
    </row>
    <row r="21" spans="2:34" ht="17" thickBot="1">
      <c r="B21" s="421"/>
      <c r="C21" s="42" t="s">
        <v>95</v>
      </c>
      <c r="D21" s="40">
        <f>593950.193033813/240</f>
        <v>2474.792470974221</v>
      </c>
      <c r="E21" s="41">
        <f t="shared" si="0"/>
        <v>24747.924709742212</v>
      </c>
      <c r="F21" s="41" t="s">
        <v>127</v>
      </c>
      <c r="G21" s="41">
        <f t="shared" si="8"/>
        <v>371.21887064613315</v>
      </c>
      <c r="H21" s="41">
        <f t="shared" si="4"/>
        <v>7.424377412922663</v>
      </c>
      <c r="I21" s="424"/>
      <c r="J21" s="96"/>
      <c r="L21" s="105"/>
      <c r="M21" s="313" t="s">
        <v>238</v>
      </c>
      <c r="N21" s="359">
        <f>AH21*20</f>
        <v>210</v>
      </c>
      <c r="O21" s="360"/>
      <c r="P21" s="361"/>
      <c r="Q21" s="325">
        <v>5</v>
      </c>
      <c r="R21" s="326"/>
      <c r="S21" s="325">
        <f>N21*Q21</f>
        <v>1050</v>
      </c>
      <c r="T21" s="326"/>
      <c r="U21" s="325">
        <v>50</v>
      </c>
      <c r="V21" s="326"/>
      <c r="W21" s="369">
        <f>S21/U21</f>
        <v>21</v>
      </c>
      <c r="X21" s="370"/>
      <c r="Y21" s="369">
        <v>4</v>
      </c>
      <c r="Z21" s="370"/>
      <c r="AA21" s="359">
        <f>CEILING((W21/Y21),1)</f>
        <v>6</v>
      </c>
      <c r="AB21" s="361"/>
      <c r="AC21" s="105"/>
      <c r="AH21" s="135">
        <f>SUM(AH18:AH20)</f>
        <v>10.5</v>
      </c>
    </row>
    <row r="22" spans="2:34" ht="17" thickBot="1">
      <c r="B22" s="421"/>
      <c r="C22" s="43" t="s">
        <v>96</v>
      </c>
      <c r="D22" s="41">
        <f>98991.6988389688/240</f>
        <v>412.46541182903667</v>
      </c>
      <c r="E22" s="41">
        <f t="shared" si="0"/>
        <v>4124.6541182903666</v>
      </c>
      <c r="F22" s="41" t="s">
        <v>127</v>
      </c>
      <c r="G22" s="41">
        <f t="shared" si="8"/>
        <v>61.869811774355497</v>
      </c>
      <c r="H22" s="41">
        <f t="shared" si="4"/>
        <v>1.23739623548711</v>
      </c>
      <c r="I22" s="424"/>
      <c r="J22" s="96"/>
      <c r="L22" s="105"/>
      <c r="M22" s="315"/>
      <c r="N22" s="362"/>
      <c r="O22" s="363"/>
      <c r="P22" s="364"/>
      <c r="Q22" s="329"/>
      <c r="R22" s="330"/>
      <c r="S22" s="329"/>
      <c r="T22" s="330"/>
      <c r="U22" s="329"/>
      <c r="V22" s="330"/>
      <c r="W22" s="371"/>
      <c r="X22" s="372"/>
      <c r="Y22" s="371"/>
      <c r="Z22" s="372"/>
      <c r="AA22" s="362"/>
      <c r="AB22" s="364"/>
      <c r="AC22" s="105"/>
    </row>
    <row r="23" spans="2:34" ht="17" thickBot="1">
      <c r="B23" s="421"/>
      <c r="C23" s="31" t="s">
        <v>97</v>
      </c>
      <c r="D23" s="40">
        <f>1286892.08490659/240</f>
        <v>5362.0503537774584</v>
      </c>
      <c r="E23" s="41">
        <f t="shared" si="0"/>
        <v>53620.503537774581</v>
      </c>
      <c r="F23" s="41" t="s">
        <v>127</v>
      </c>
      <c r="G23" s="41">
        <f>0.015*E23</f>
        <v>804.30755306661865</v>
      </c>
      <c r="H23" s="41">
        <f t="shared" si="4"/>
        <v>16.086151061332373</v>
      </c>
      <c r="I23" s="424"/>
      <c r="J23" s="96"/>
      <c r="L23" s="105"/>
      <c r="M23" s="426" t="s">
        <v>225</v>
      </c>
      <c r="N23" s="427"/>
      <c r="O23" s="427"/>
      <c r="P23" s="427"/>
      <c r="Q23" s="427"/>
      <c r="R23" s="427"/>
      <c r="S23" s="427"/>
      <c r="T23" s="427"/>
      <c r="U23" s="427"/>
      <c r="V23" s="427"/>
      <c r="W23" s="427"/>
      <c r="X23" s="427"/>
      <c r="Y23" s="427"/>
      <c r="Z23" s="427"/>
      <c r="AA23" s="427"/>
      <c r="AB23" s="428"/>
      <c r="AC23" s="105"/>
      <c r="AD23" s="395" t="s">
        <v>280</v>
      </c>
      <c r="AE23" s="396"/>
    </row>
    <row r="24" spans="2:34" ht="17" thickBot="1">
      <c r="B24" s="232" t="s">
        <v>84</v>
      </c>
      <c r="C24" s="42" t="s">
        <v>98</v>
      </c>
      <c r="D24" s="41">
        <f>500009.091074383/240</f>
        <v>2083.3712128099291</v>
      </c>
      <c r="E24" s="41">
        <f t="shared" si="0"/>
        <v>20833.712128099291</v>
      </c>
      <c r="F24" s="41" t="s">
        <v>127</v>
      </c>
      <c r="G24" s="41">
        <f>0.025*E24</f>
        <v>520.84280320248229</v>
      </c>
      <c r="H24" s="41">
        <f t="shared" si="4"/>
        <v>10.416856064049647</v>
      </c>
      <c r="I24" s="424"/>
      <c r="J24" s="96"/>
      <c r="L24" s="105"/>
      <c r="M24" s="429"/>
      <c r="N24" s="430"/>
      <c r="O24" s="430"/>
      <c r="P24" s="430"/>
      <c r="Q24" s="430"/>
      <c r="R24" s="430"/>
      <c r="S24" s="430"/>
      <c r="T24" s="430"/>
      <c r="U24" s="430"/>
      <c r="V24" s="430"/>
      <c r="W24" s="430"/>
      <c r="X24" s="430"/>
      <c r="Y24" s="430"/>
      <c r="Z24" s="430"/>
      <c r="AA24" s="430"/>
      <c r="AB24" s="431"/>
      <c r="AC24" s="105"/>
    </row>
    <row r="25" spans="2:34" ht="16.25" customHeight="1" thickBot="1">
      <c r="B25" s="233"/>
      <c r="C25" s="43" t="s">
        <v>99</v>
      </c>
      <c r="D25" s="40">
        <f>136366.115747559/240</f>
        <v>568.19214894816253</v>
      </c>
      <c r="E25" s="41">
        <f t="shared" si="0"/>
        <v>5681.921489481625</v>
      </c>
      <c r="F25" s="41" t="s">
        <v>127</v>
      </c>
      <c r="G25" s="41">
        <f t="shared" ref="G25:G29" si="9">0.025*E25</f>
        <v>142.04803723704063</v>
      </c>
      <c r="H25" s="41">
        <f t="shared" si="4"/>
        <v>2.8409607447408125</v>
      </c>
      <c r="I25" s="424"/>
      <c r="J25" s="109"/>
      <c r="K25" s="380" t="s">
        <v>290</v>
      </c>
      <c r="L25" s="105"/>
      <c r="M25" s="432"/>
      <c r="N25" s="433" t="s">
        <v>277</v>
      </c>
      <c r="O25" s="433"/>
      <c r="P25" s="433"/>
      <c r="Q25" s="433" t="s">
        <v>287</v>
      </c>
      <c r="R25" s="433"/>
      <c r="S25" s="433" t="s">
        <v>263</v>
      </c>
      <c r="T25" s="433"/>
      <c r="U25" s="433" t="s">
        <v>264</v>
      </c>
      <c r="V25" s="433"/>
      <c r="W25" s="433" t="s">
        <v>265</v>
      </c>
      <c r="X25" s="433"/>
      <c r="Y25" s="434" t="s">
        <v>278</v>
      </c>
      <c r="Z25" s="434"/>
      <c r="AA25" s="397" t="s">
        <v>266</v>
      </c>
      <c r="AB25" s="398"/>
      <c r="AC25" s="105"/>
    </row>
    <row r="26" spans="2:34" ht="17" thickBot="1">
      <c r="B26" s="233"/>
      <c r="C26" s="31" t="s">
        <v>100</v>
      </c>
      <c r="D26" s="41">
        <f>272732.231495118/240</f>
        <v>1136.3842978963251</v>
      </c>
      <c r="E26" s="41">
        <f t="shared" si="0"/>
        <v>11363.84297896325</v>
      </c>
      <c r="F26" s="41" t="s">
        <v>127</v>
      </c>
      <c r="G26" s="41">
        <f t="shared" si="9"/>
        <v>284.09607447408126</v>
      </c>
      <c r="H26" s="41">
        <f t="shared" si="4"/>
        <v>5.681921489481625</v>
      </c>
      <c r="I26" s="424"/>
      <c r="J26" s="109"/>
      <c r="K26" s="380"/>
      <c r="L26" s="105"/>
      <c r="M26" s="432"/>
      <c r="N26" s="433"/>
      <c r="O26" s="433"/>
      <c r="P26" s="433"/>
      <c r="Q26" s="433"/>
      <c r="R26" s="433"/>
      <c r="S26" s="433"/>
      <c r="T26" s="433"/>
      <c r="U26" s="433"/>
      <c r="V26" s="433"/>
      <c r="W26" s="433"/>
      <c r="X26" s="433"/>
      <c r="Y26" s="434"/>
      <c r="Z26" s="434"/>
      <c r="AA26" s="399"/>
      <c r="AB26" s="400"/>
      <c r="AC26" s="105"/>
    </row>
    <row r="27" spans="2:34" ht="16.5" customHeight="1" thickBot="1">
      <c r="B27" s="233"/>
      <c r="C27" s="42" t="s">
        <v>101</v>
      </c>
      <c r="D27" s="40">
        <f>545464.462990236/240</f>
        <v>2272.7685957926501</v>
      </c>
      <c r="E27" s="41">
        <f t="shared" si="0"/>
        <v>22727.6859579265</v>
      </c>
      <c r="F27" s="41" t="s">
        <v>127</v>
      </c>
      <c r="G27" s="41">
        <f t="shared" si="9"/>
        <v>568.19214894816253</v>
      </c>
      <c r="H27" s="41">
        <f t="shared" si="4"/>
        <v>11.36384297896325</v>
      </c>
      <c r="I27" s="424"/>
      <c r="J27" s="109"/>
      <c r="K27" s="380"/>
      <c r="L27" s="105"/>
      <c r="M27" s="432"/>
      <c r="N27" s="433"/>
      <c r="O27" s="433"/>
      <c r="P27" s="433"/>
      <c r="Q27" s="433"/>
      <c r="R27" s="433"/>
      <c r="S27" s="433"/>
      <c r="T27" s="433"/>
      <c r="U27" s="433"/>
      <c r="V27" s="433"/>
      <c r="W27" s="433"/>
      <c r="X27" s="433"/>
      <c r="Y27" s="434"/>
      <c r="Z27" s="434"/>
      <c r="AA27" s="401"/>
      <c r="AB27" s="402"/>
      <c r="AC27" s="105"/>
    </row>
    <row r="28" spans="2:34" ht="16.25" customHeight="1" thickBot="1">
      <c r="B28" s="233"/>
      <c r="C28" s="43" t="s">
        <v>102</v>
      </c>
      <c r="D28" s="41">
        <f>90910.743831706/240</f>
        <v>378.79476596544168</v>
      </c>
      <c r="E28" s="41">
        <f t="shared" si="0"/>
        <v>3787.9476596544168</v>
      </c>
      <c r="F28" s="41" t="s">
        <v>127</v>
      </c>
      <c r="G28" s="41">
        <f t="shared" si="9"/>
        <v>94.698691491360421</v>
      </c>
      <c r="H28" s="41">
        <f t="shared" si="4"/>
        <v>1.8939738298272084</v>
      </c>
      <c r="I28" s="424"/>
      <c r="J28" s="109"/>
      <c r="K28" s="380"/>
      <c r="L28" s="105"/>
      <c r="M28" s="357" t="s">
        <v>225</v>
      </c>
      <c r="N28" s="359">
        <v>46</v>
      </c>
      <c r="O28" s="360"/>
      <c r="P28" s="361"/>
      <c r="Q28" s="325">
        <f>(AA38*20)/5</f>
        <v>4990.74125</v>
      </c>
      <c r="R28" s="326"/>
      <c r="S28" s="325">
        <v>10</v>
      </c>
      <c r="T28" s="326"/>
      <c r="U28" s="365">
        <v>0.46</v>
      </c>
      <c r="V28" s="366"/>
      <c r="W28" s="369">
        <v>1000</v>
      </c>
      <c r="X28" s="370"/>
      <c r="Y28" s="369">
        <f>Q28*U28</f>
        <v>2295.7409750000002</v>
      </c>
      <c r="Z28" s="370"/>
      <c r="AA28" s="369">
        <f>CEILING((Y28/W28),1)</f>
        <v>3</v>
      </c>
      <c r="AB28" s="370"/>
      <c r="AC28" s="105"/>
    </row>
    <row r="29" spans="2:34" ht="16.25" customHeight="1" thickBot="1">
      <c r="B29" s="234"/>
      <c r="C29" s="31" t="s">
        <v>103</v>
      </c>
      <c r="D29" s="41">
        <f>1181839.66981218/240</f>
        <v>4924.3319575507503</v>
      </c>
      <c r="E29" s="41">
        <f t="shared" si="0"/>
        <v>49243.319575507499</v>
      </c>
      <c r="F29" s="41" t="s">
        <v>127</v>
      </c>
      <c r="G29" s="41">
        <f t="shared" si="9"/>
        <v>1231.0829893876876</v>
      </c>
      <c r="H29" s="41">
        <f t="shared" si="4"/>
        <v>24.621659787753753</v>
      </c>
      <c r="I29" s="425"/>
      <c r="J29" s="109"/>
      <c r="K29" s="380"/>
      <c r="L29" s="105"/>
      <c r="M29" s="358"/>
      <c r="N29" s="362"/>
      <c r="O29" s="363"/>
      <c r="P29" s="364"/>
      <c r="Q29" s="329"/>
      <c r="R29" s="330"/>
      <c r="S29" s="329"/>
      <c r="T29" s="330"/>
      <c r="U29" s="367"/>
      <c r="V29" s="368"/>
      <c r="W29" s="371"/>
      <c r="X29" s="372"/>
      <c r="Y29" s="371"/>
      <c r="Z29" s="372"/>
      <c r="AA29" s="371"/>
      <c r="AB29" s="372"/>
      <c r="AC29" s="105"/>
    </row>
    <row r="30" spans="2:34" ht="15.5" customHeight="1">
      <c r="J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</row>
    <row r="31" spans="2:34">
      <c r="J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</row>
    <row r="32" spans="2:34" ht="15.75" customHeight="1" thickBot="1">
      <c r="J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</row>
    <row r="33" spans="2:40" ht="15.75" customHeight="1">
      <c r="B33" s="291" t="s">
        <v>291</v>
      </c>
      <c r="C33" s="384"/>
      <c r="D33" s="384"/>
      <c r="E33" s="384"/>
      <c r="F33" s="384"/>
      <c r="G33" s="384"/>
      <c r="H33" s="384"/>
      <c r="I33" s="292"/>
      <c r="J33" s="107"/>
      <c r="L33" s="105"/>
      <c r="M33" s="373" t="s">
        <v>154</v>
      </c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374"/>
      <c r="AB33" s="375"/>
      <c r="AC33" s="105"/>
    </row>
    <row r="34" spans="2:40" ht="16.5" customHeight="1" thickBot="1">
      <c r="B34" s="275"/>
      <c r="C34" s="385"/>
      <c r="D34" s="385"/>
      <c r="E34" s="385"/>
      <c r="F34" s="385"/>
      <c r="G34" s="385"/>
      <c r="H34" s="385"/>
      <c r="I34" s="294"/>
      <c r="J34" s="107"/>
      <c r="L34" s="105"/>
      <c r="M34" s="376"/>
      <c r="N34" s="377"/>
      <c r="O34" s="377"/>
      <c r="P34" s="377"/>
      <c r="Q34" s="377"/>
      <c r="R34" s="377"/>
      <c r="S34" s="377"/>
      <c r="T34" s="377"/>
      <c r="U34" s="377"/>
      <c r="V34" s="377"/>
      <c r="W34" s="377"/>
      <c r="X34" s="377"/>
      <c r="Y34" s="377"/>
      <c r="Z34" s="377"/>
      <c r="AA34" s="377"/>
      <c r="AB34" s="378"/>
      <c r="AC34" s="105"/>
    </row>
    <row r="35" spans="2:40" ht="16.5" customHeight="1">
      <c r="B35" s="196" t="s">
        <v>126</v>
      </c>
      <c r="C35" s="196" t="s">
        <v>292</v>
      </c>
      <c r="D35" s="196" t="s">
        <v>293</v>
      </c>
      <c r="E35" s="248" t="s">
        <v>281</v>
      </c>
      <c r="F35" s="196" t="s">
        <v>294</v>
      </c>
      <c r="G35" s="196" t="s">
        <v>273</v>
      </c>
      <c r="H35" s="248" t="s">
        <v>274</v>
      </c>
      <c r="I35" s="250"/>
      <c r="J35" s="108"/>
      <c r="L35" s="105"/>
      <c r="M35" s="271" t="s">
        <v>55</v>
      </c>
      <c r="N35" s="246" t="s">
        <v>151</v>
      </c>
      <c r="O35" s="253"/>
      <c r="P35" s="254"/>
      <c r="Q35" s="248" t="s">
        <v>152</v>
      </c>
      <c r="R35" s="249"/>
      <c r="S35" s="249"/>
      <c r="T35" s="250"/>
      <c r="U35" s="248" t="s">
        <v>153</v>
      </c>
      <c r="V35" s="249"/>
      <c r="W35" s="249"/>
      <c r="X35" s="250"/>
      <c r="Y35" s="248" t="s">
        <v>149</v>
      </c>
      <c r="Z35" s="250"/>
      <c r="AA35" s="248" t="s">
        <v>150</v>
      </c>
      <c r="AB35" s="250"/>
      <c r="AC35" s="105"/>
    </row>
    <row r="36" spans="2:40" ht="16.5" customHeight="1">
      <c r="B36" s="204"/>
      <c r="C36" s="204"/>
      <c r="D36" s="204"/>
      <c r="E36" s="238"/>
      <c r="F36" s="204"/>
      <c r="G36" s="204"/>
      <c r="H36" s="238"/>
      <c r="I36" s="379"/>
      <c r="J36" s="108"/>
      <c r="L36" s="105"/>
      <c r="M36" s="271"/>
      <c r="N36" s="337"/>
      <c r="O36" s="260"/>
      <c r="P36" s="338"/>
      <c r="Q36" s="238"/>
      <c r="R36" s="259"/>
      <c r="S36" s="259"/>
      <c r="T36" s="379"/>
      <c r="U36" s="238"/>
      <c r="V36" s="259"/>
      <c r="W36" s="259"/>
      <c r="X36" s="379"/>
      <c r="Y36" s="238"/>
      <c r="Z36" s="379"/>
      <c r="AA36" s="238"/>
      <c r="AB36" s="379"/>
      <c r="AC36" s="105"/>
    </row>
    <row r="37" spans="2:40" ht="16.5" customHeight="1" thickBot="1">
      <c r="B37" s="197"/>
      <c r="C37" s="197"/>
      <c r="D37" s="197"/>
      <c r="E37" s="239"/>
      <c r="F37" s="197"/>
      <c r="G37" s="197"/>
      <c r="H37" s="239"/>
      <c r="I37" s="252"/>
      <c r="J37" s="108"/>
      <c r="L37" s="105"/>
      <c r="M37" s="199"/>
      <c r="N37" s="247"/>
      <c r="O37" s="255"/>
      <c r="P37" s="256"/>
      <c r="Q37" s="239"/>
      <c r="R37" s="251"/>
      <c r="S37" s="251"/>
      <c r="T37" s="252"/>
      <c r="U37" s="239"/>
      <c r="V37" s="251"/>
      <c r="W37" s="251"/>
      <c r="X37" s="252"/>
      <c r="Y37" s="239"/>
      <c r="Z37" s="252"/>
      <c r="AA37" s="239"/>
      <c r="AB37" s="252"/>
      <c r="AC37" s="105"/>
    </row>
    <row r="38" spans="2:40" ht="16.5" customHeight="1" thickBot="1">
      <c r="B38" s="202" t="s">
        <v>127</v>
      </c>
      <c r="C38" s="202">
        <f>SUM(G6:G29)/10</f>
        <v>1983.8877453274247</v>
      </c>
      <c r="D38" s="202">
        <v>1070</v>
      </c>
      <c r="E38" s="202">
        <f>C38/D38</f>
        <v>1.8541006965676867</v>
      </c>
      <c r="F38" s="202">
        <v>1.5</v>
      </c>
      <c r="G38" s="202">
        <f>E38/F38</f>
        <v>1.2360671310451246</v>
      </c>
      <c r="H38" s="369">
        <f>CEILING(G38,1)</f>
        <v>2</v>
      </c>
      <c r="I38" s="370"/>
      <c r="J38" s="110"/>
      <c r="L38" s="105"/>
      <c r="M38" s="313" t="s">
        <v>60</v>
      </c>
      <c r="N38" s="316" t="s">
        <v>155</v>
      </c>
      <c r="O38" s="317"/>
      <c r="P38" s="318"/>
      <c r="Q38" s="319">
        <f>(470556/240)*5</f>
        <v>9803.25</v>
      </c>
      <c r="R38" s="320"/>
      <c r="S38" s="320"/>
      <c r="T38" s="321"/>
      <c r="U38" s="322">
        <v>50</v>
      </c>
      <c r="V38" s="323"/>
      <c r="W38" s="323"/>
      <c r="X38" s="324"/>
      <c r="Y38" s="325">
        <f>(Q38/U38)+(Q39/U39)+(Q40/U40)</f>
        <v>356.48166666666668</v>
      </c>
      <c r="Z38" s="326"/>
      <c r="AA38" s="325">
        <f>Y38+Y41</f>
        <v>1247.6853125</v>
      </c>
      <c r="AB38" s="326"/>
      <c r="AC38" s="105"/>
    </row>
    <row r="39" spans="2:40" ht="15.75" customHeight="1" thickBot="1">
      <c r="B39" s="203"/>
      <c r="C39" s="203"/>
      <c r="D39" s="203"/>
      <c r="E39" s="203"/>
      <c r="F39" s="203"/>
      <c r="G39" s="203"/>
      <c r="H39" s="371"/>
      <c r="I39" s="372"/>
      <c r="J39" s="110"/>
      <c r="L39" s="105"/>
      <c r="M39" s="314"/>
      <c r="N39" s="331" t="s">
        <v>156</v>
      </c>
      <c r="O39" s="332"/>
      <c r="P39" s="333"/>
      <c r="Q39" s="319">
        <f>(128333/240)*5</f>
        <v>2673.6041666666665</v>
      </c>
      <c r="R39" s="320"/>
      <c r="S39" s="320"/>
      <c r="T39" s="321"/>
      <c r="U39" s="322">
        <v>50</v>
      </c>
      <c r="V39" s="323"/>
      <c r="W39" s="323"/>
      <c r="X39" s="324"/>
      <c r="Y39" s="327"/>
      <c r="Z39" s="328"/>
      <c r="AA39" s="327"/>
      <c r="AB39" s="328"/>
      <c r="AC39" s="105"/>
      <c r="AN39" s="15"/>
    </row>
    <row r="40" spans="2:40" ht="17" thickBot="1">
      <c r="J40" s="105"/>
      <c r="L40" s="105"/>
      <c r="M40" s="315"/>
      <c r="N40" s="334" t="s">
        <v>157</v>
      </c>
      <c r="O40" s="335"/>
      <c r="P40" s="336"/>
      <c r="Q40" s="319">
        <f>(256667/240)*5</f>
        <v>5347.229166666667</v>
      </c>
      <c r="R40" s="320"/>
      <c r="S40" s="320"/>
      <c r="T40" s="321"/>
      <c r="U40" s="322">
        <v>50</v>
      </c>
      <c r="V40" s="323"/>
      <c r="W40" s="323"/>
      <c r="X40" s="324"/>
      <c r="Y40" s="329"/>
      <c r="Z40" s="330"/>
      <c r="AA40" s="327"/>
      <c r="AB40" s="328"/>
      <c r="AC40" s="105"/>
    </row>
    <row r="41" spans="2:40" ht="17" thickBot="1">
      <c r="J41" s="105"/>
      <c r="L41" s="105"/>
      <c r="M41" s="313" t="s">
        <v>61</v>
      </c>
      <c r="N41" s="316" t="s">
        <v>155</v>
      </c>
      <c r="O41" s="317"/>
      <c r="P41" s="318"/>
      <c r="Q41" s="319">
        <f>(513333/240)*5</f>
        <v>10694.4375</v>
      </c>
      <c r="R41" s="320"/>
      <c r="S41" s="320"/>
      <c r="T41" s="321"/>
      <c r="U41" s="322">
        <v>40</v>
      </c>
      <c r="V41" s="323"/>
      <c r="W41" s="323"/>
      <c r="X41" s="324"/>
      <c r="Y41" s="325">
        <f>(Q41/U41)+(Q42/U42)+(Q43/U43)</f>
        <v>891.20364583333333</v>
      </c>
      <c r="Z41" s="326"/>
      <c r="AA41" s="327"/>
      <c r="AB41" s="328"/>
      <c r="AC41" s="105"/>
    </row>
    <row r="42" spans="2:40" ht="17" thickBot="1">
      <c r="J42" s="105"/>
      <c r="L42" s="105"/>
      <c r="M42" s="314"/>
      <c r="N42" s="331" t="s">
        <v>156</v>
      </c>
      <c r="O42" s="332"/>
      <c r="P42" s="333"/>
      <c r="Q42" s="319">
        <f>(1112222/240)*5</f>
        <v>23171.291666666664</v>
      </c>
      <c r="R42" s="320"/>
      <c r="S42" s="320"/>
      <c r="T42" s="321"/>
      <c r="U42" s="322">
        <v>40</v>
      </c>
      <c r="V42" s="323"/>
      <c r="W42" s="323"/>
      <c r="X42" s="324"/>
      <c r="Y42" s="327"/>
      <c r="Z42" s="328"/>
      <c r="AA42" s="327"/>
      <c r="AB42" s="328"/>
      <c r="AC42" s="105"/>
    </row>
    <row r="43" spans="2:40" ht="17" thickBot="1">
      <c r="J43" s="105"/>
      <c r="L43" s="105"/>
      <c r="M43" s="315"/>
      <c r="N43" s="334" t="s">
        <v>157</v>
      </c>
      <c r="O43" s="335"/>
      <c r="P43" s="336"/>
      <c r="Q43" s="319">
        <f>(85556/240)*5</f>
        <v>1782.4166666666667</v>
      </c>
      <c r="R43" s="320"/>
      <c r="S43" s="320"/>
      <c r="T43" s="321"/>
      <c r="U43" s="322">
        <v>40</v>
      </c>
      <c r="V43" s="323"/>
      <c r="W43" s="323"/>
      <c r="X43" s="324"/>
      <c r="Y43" s="329"/>
      <c r="Z43" s="330"/>
      <c r="AA43" s="329"/>
      <c r="AB43" s="330"/>
      <c r="AC43" s="105"/>
      <c r="AE43" s="106"/>
      <c r="AF43" s="106"/>
      <c r="AG43" s="106"/>
      <c r="AH43" s="106"/>
      <c r="AI43" s="106"/>
      <c r="AJ43" s="105"/>
      <c r="AL43" s="243"/>
      <c r="AM43" s="243"/>
    </row>
    <row r="44" spans="2:40">
      <c r="J44" s="105"/>
      <c r="L44" s="105"/>
      <c r="M44" s="105"/>
      <c r="N44" s="105"/>
      <c r="O44" s="105"/>
      <c r="P44" s="105"/>
      <c r="Q44" s="105"/>
      <c r="R44" s="105"/>
      <c r="S44" s="103"/>
      <c r="T44" s="103"/>
      <c r="U44" s="77"/>
      <c r="V44" s="77"/>
      <c r="W44" s="105"/>
      <c r="X44" s="105"/>
      <c r="Y44" s="105"/>
      <c r="Z44" s="105"/>
      <c r="AA44" s="105"/>
      <c r="AB44" s="105"/>
      <c r="AC44" s="105"/>
      <c r="AE44" s="105"/>
      <c r="AF44" s="105"/>
      <c r="AG44" s="105"/>
      <c r="AH44" s="105"/>
      <c r="AI44" s="105"/>
      <c r="AJ44" s="105"/>
    </row>
    <row r="45" spans="2:40">
      <c r="J45" s="105"/>
      <c r="L45" s="105"/>
      <c r="M45" s="105"/>
      <c r="N45" s="105"/>
      <c r="O45" s="105"/>
      <c r="P45" s="105"/>
      <c r="Q45" s="105"/>
      <c r="R45" s="105"/>
      <c r="S45" s="78"/>
      <c r="T45" s="78"/>
      <c r="U45" s="77"/>
      <c r="V45" s="77"/>
      <c r="W45" s="105"/>
      <c r="X45" s="105"/>
      <c r="Y45" s="105"/>
      <c r="Z45" s="105"/>
      <c r="AA45" s="105"/>
      <c r="AB45" s="105"/>
      <c r="AC45" s="105"/>
      <c r="AE45" s="105"/>
      <c r="AF45" s="105"/>
      <c r="AG45" s="105"/>
      <c r="AH45" s="105"/>
      <c r="AI45" s="105"/>
      <c r="AJ45" s="105"/>
    </row>
    <row r="46" spans="2:40">
      <c r="J46" s="105"/>
      <c r="M46" s="77"/>
      <c r="N46" s="77"/>
      <c r="O46" s="77"/>
      <c r="P46" s="77"/>
      <c r="Q46" s="77"/>
      <c r="R46" s="77"/>
      <c r="S46" s="77"/>
      <c r="T46" s="77"/>
      <c r="U46" s="77"/>
      <c r="V46" s="77"/>
    </row>
    <row r="47" spans="2:40">
      <c r="J47" s="105"/>
    </row>
    <row r="48" spans="2:40">
      <c r="J48" s="105"/>
    </row>
    <row r="49" spans="2:28" ht="17" thickBot="1">
      <c r="J49" s="105"/>
    </row>
    <row r="50" spans="2:28">
      <c r="B50" s="339" t="s">
        <v>275</v>
      </c>
      <c r="C50" s="340"/>
      <c r="D50" s="340"/>
      <c r="E50" s="340"/>
      <c r="F50" s="340"/>
      <c r="G50" s="340"/>
      <c r="H50" s="340"/>
      <c r="I50" s="341"/>
      <c r="J50" s="107"/>
      <c r="M50" s="339" t="s">
        <v>276</v>
      </c>
      <c r="N50" s="340"/>
      <c r="O50" s="340"/>
      <c r="P50" s="340"/>
      <c r="Q50" s="340"/>
      <c r="R50" s="340"/>
      <c r="S50" s="340"/>
      <c r="T50" s="340"/>
      <c r="U50" s="340"/>
      <c r="V50" s="340"/>
      <c r="W50" s="340"/>
      <c r="X50" s="340"/>
      <c r="Y50" s="340"/>
      <c r="Z50" s="340"/>
      <c r="AA50" s="340"/>
      <c r="AB50" s="341"/>
    </row>
    <row r="51" spans="2:28" ht="20.25" customHeight="1" thickBot="1">
      <c r="B51" s="342"/>
      <c r="C51" s="343"/>
      <c r="D51" s="343"/>
      <c r="E51" s="343"/>
      <c r="F51" s="343"/>
      <c r="G51" s="343"/>
      <c r="H51" s="343"/>
      <c r="I51" s="344"/>
      <c r="J51" s="107"/>
      <c r="M51" s="342"/>
      <c r="N51" s="343"/>
      <c r="O51" s="343"/>
      <c r="P51" s="343"/>
      <c r="Q51" s="343"/>
      <c r="R51" s="343"/>
      <c r="S51" s="343"/>
      <c r="T51" s="343"/>
      <c r="U51" s="343"/>
      <c r="V51" s="343"/>
      <c r="W51" s="343"/>
      <c r="X51" s="343"/>
      <c r="Y51" s="343"/>
      <c r="Z51" s="343"/>
      <c r="AA51" s="343"/>
      <c r="AB51" s="344"/>
    </row>
    <row r="52" spans="2:28" ht="15.75" customHeight="1">
      <c r="B52" s="422" t="s">
        <v>106</v>
      </c>
      <c r="C52" s="345" t="s">
        <v>107</v>
      </c>
      <c r="D52" s="381" t="s">
        <v>128</v>
      </c>
      <c r="E52" s="381" t="s">
        <v>129</v>
      </c>
      <c r="F52" s="381" t="s">
        <v>126</v>
      </c>
      <c r="G52" s="381" t="s">
        <v>130</v>
      </c>
      <c r="H52" s="381" t="s">
        <v>132</v>
      </c>
      <c r="I52" s="381" t="s">
        <v>131</v>
      </c>
      <c r="J52" s="108"/>
      <c r="M52" s="276" t="s">
        <v>107</v>
      </c>
      <c r="N52" s="280" t="s">
        <v>106</v>
      </c>
      <c r="O52" s="346"/>
      <c r="P52" s="281"/>
      <c r="Q52" s="351" t="s">
        <v>233</v>
      </c>
      <c r="R52" s="353"/>
      <c r="S52" s="351" t="s">
        <v>234</v>
      </c>
      <c r="T52" s="353"/>
      <c r="U52" s="351" t="s">
        <v>235</v>
      </c>
      <c r="V52" s="353"/>
      <c r="W52" s="351" t="s">
        <v>236</v>
      </c>
      <c r="X52" s="353"/>
      <c r="Y52" s="417" t="s">
        <v>237</v>
      </c>
      <c r="Z52" s="418"/>
      <c r="AA52" s="415" t="s">
        <v>131</v>
      </c>
      <c r="AB52" s="416"/>
    </row>
    <row r="53" spans="2:28">
      <c r="B53" s="276"/>
      <c r="C53" s="346"/>
      <c r="D53" s="382"/>
      <c r="E53" s="382"/>
      <c r="F53" s="382"/>
      <c r="G53" s="382"/>
      <c r="H53" s="382"/>
      <c r="I53" s="382"/>
      <c r="J53" s="108"/>
      <c r="M53" s="276"/>
      <c r="N53" s="280"/>
      <c r="O53" s="346"/>
      <c r="P53" s="281"/>
      <c r="Q53" s="351"/>
      <c r="R53" s="353"/>
      <c r="S53" s="351"/>
      <c r="T53" s="353"/>
      <c r="U53" s="351"/>
      <c r="V53" s="353"/>
      <c r="W53" s="351"/>
      <c r="X53" s="353"/>
      <c r="Y53" s="417"/>
      <c r="Z53" s="418"/>
      <c r="AA53" s="417"/>
      <c r="AB53" s="418"/>
    </row>
    <row r="54" spans="2:28" ht="17" thickBot="1">
      <c r="B54" s="277"/>
      <c r="C54" s="347"/>
      <c r="D54" s="383"/>
      <c r="E54" s="383"/>
      <c r="F54" s="383"/>
      <c r="G54" s="383"/>
      <c r="H54" s="383"/>
      <c r="I54" s="383"/>
      <c r="J54" s="108"/>
      <c r="M54" s="277"/>
      <c r="N54" s="282"/>
      <c r="O54" s="347"/>
      <c r="P54" s="283"/>
      <c r="Q54" s="354"/>
      <c r="R54" s="356"/>
      <c r="S54" s="354"/>
      <c r="T54" s="356"/>
      <c r="U54" s="354"/>
      <c r="V54" s="356"/>
      <c r="W54" s="354"/>
      <c r="X54" s="356"/>
      <c r="Y54" s="419"/>
      <c r="Z54" s="420"/>
      <c r="AA54" s="419"/>
      <c r="AB54" s="420"/>
    </row>
    <row r="55" spans="2:28" ht="17" thickBot="1">
      <c r="B55" s="232" t="s">
        <v>114</v>
      </c>
      <c r="C55" s="42" t="s">
        <v>77</v>
      </c>
      <c r="D55" s="41">
        <f>Produzione!H61/240</f>
        <v>2949.1276945776112</v>
      </c>
      <c r="E55" s="41">
        <f>D55*10</f>
        <v>29491.276945776113</v>
      </c>
      <c r="F55" s="41" t="s">
        <v>127</v>
      </c>
      <c r="G55" s="41">
        <f>0.075*E55</f>
        <v>2211.8457709332083</v>
      </c>
      <c r="H55" s="41">
        <f>G55/50</f>
        <v>44.236915418664168</v>
      </c>
      <c r="I55" s="423">
        <f>CEILING((SUM(H55:H78))/16,1)</f>
        <v>33</v>
      </c>
      <c r="J55" s="96"/>
      <c r="M55" s="85" t="s">
        <v>134</v>
      </c>
      <c r="N55" s="360" t="s">
        <v>135</v>
      </c>
      <c r="O55" s="360"/>
      <c r="P55" s="361"/>
      <c r="Q55" s="403">
        <f>(Produzione!I51/(240*15))*1.05</f>
        <v>1003.2932416953034</v>
      </c>
      <c r="R55" s="404"/>
      <c r="S55" s="403">
        <f>Q55*15*20</f>
        <v>300987.97250859102</v>
      </c>
      <c r="T55" s="404"/>
      <c r="U55" s="403">
        <v>10</v>
      </c>
      <c r="V55" s="404"/>
      <c r="W55" s="405">
        <f>CEILING((S55/U55),1)</f>
        <v>30099</v>
      </c>
      <c r="X55" s="406"/>
      <c r="Y55" s="405">
        <v>35</v>
      </c>
      <c r="Z55" s="406"/>
      <c r="AA55" s="322">
        <f>CEILING((W55/Y55),1)</f>
        <v>860</v>
      </c>
      <c r="AB55" s="324"/>
    </row>
    <row r="56" spans="2:28" ht="17" thickBot="1">
      <c r="B56" s="233"/>
      <c r="C56" s="43" t="s">
        <v>78</v>
      </c>
      <c r="D56" s="40">
        <f>Produzione!H62/240</f>
        <v>804.30755306662115</v>
      </c>
      <c r="E56" s="41">
        <f t="shared" ref="E56:E78" si="10">D56*10</f>
        <v>8043.0755306662113</v>
      </c>
      <c r="F56" s="41" t="s">
        <v>127</v>
      </c>
      <c r="G56" s="41">
        <f>0.075*E56</f>
        <v>603.23066479996578</v>
      </c>
      <c r="H56" s="41">
        <f t="shared" ref="H56:H78" si="11">G56/50</f>
        <v>12.064613295999315</v>
      </c>
      <c r="I56" s="424"/>
      <c r="J56" s="96"/>
      <c r="M56" s="92" t="s">
        <v>136</v>
      </c>
      <c r="N56" s="323" t="s">
        <v>137</v>
      </c>
      <c r="O56" s="323"/>
      <c r="P56" s="324"/>
      <c r="Q56" s="403">
        <f>(Produzione!I51/(240*15))*1.05</f>
        <v>1003.2932416953034</v>
      </c>
      <c r="R56" s="404"/>
      <c r="S56" s="403">
        <f t="shared" ref="S56:S64" si="12">Q56*15*20</f>
        <v>300987.97250859102</v>
      </c>
      <c r="T56" s="404"/>
      <c r="U56" s="403">
        <v>50</v>
      </c>
      <c r="V56" s="404"/>
      <c r="W56" s="405">
        <f t="shared" ref="W56:W64" si="13">CEILING((S56/U56),1)</f>
        <v>6020</v>
      </c>
      <c r="X56" s="406"/>
      <c r="Y56" s="405">
        <v>30</v>
      </c>
      <c r="Z56" s="406"/>
      <c r="AA56" s="322">
        <f t="shared" ref="AA56:AA64" si="14">CEILING((W56/Y56),1)</f>
        <v>201</v>
      </c>
      <c r="AB56" s="324"/>
    </row>
    <row r="57" spans="2:28" ht="17" thickBot="1">
      <c r="B57" s="233"/>
      <c r="C57" s="31" t="s">
        <v>79</v>
      </c>
      <c r="D57" s="41">
        <f>Produzione!H63/240</f>
        <v>1608.6151061332423</v>
      </c>
      <c r="E57" s="41">
        <f t="shared" si="10"/>
        <v>16086.151061332423</v>
      </c>
      <c r="F57" s="41" t="s">
        <v>127</v>
      </c>
      <c r="G57" s="41">
        <f>0.075*E57</f>
        <v>1206.4613295999316</v>
      </c>
      <c r="H57" s="41">
        <f t="shared" si="11"/>
        <v>24.129226591998631</v>
      </c>
      <c r="I57" s="424"/>
      <c r="J57" s="96"/>
      <c r="M57" s="86" t="s">
        <v>136</v>
      </c>
      <c r="N57" s="410" t="s">
        <v>147</v>
      </c>
      <c r="O57" s="410"/>
      <c r="P57" s="411"/>
      <c r="Q57" s="403">
        <f>(Produzione!I51/(240*15))*1.05</f>
        <v>1003.2932416953034</v>
      </c>
      <c r="R57" s="404"/>
      <c r="S57" s="403">
        <f t="shared" si="12"/>
        <v>300987.97250859102</v>
      </c>
      <c r="T57" s="404"/>
      <c r="U57" s="403">
        <v>100</v>
      </c>
      <c r="V57" s="404"/>
      <c r="W57" s="405">
        <f t="shared" si="13"/>
        <v>3010</v>
      </c>
      <c r="X57" s="406"/>
      <c r="Y57" s="405">
        <v>40</v>
      </c>
      <c r="Z57" s="406"/>
      <c r="AA57" s="322">
        <f t="shared" si="14"/>
        <v>76</v>
      </c>
      <c r="AB57" s="324"/>
    </row>
    <row r="58" spans="2:28" ht="17" thickBot="1">
      <c r="B58" s="233"/>
      <c r="C58" s="42" t="s">
        <v>80</v>
      </c>
      <c r="D58" s="40">
        <f>Produzione!H64/240</f>
        <v>3217.2302122664846</v>
      </c>
      <c r="E58" s="41">
        <f t="shared" si="10"/>
        <v>32172.302122664845</v>
      </c>
      <c r="F58" s="41" t="s">
        <v>127</v>
      </c>
      <c r="G58" s="41">
        <f t="shared" ref="G58:G59" si="15">0.075*E58</f>
        <v>2412.9226591998631</v>
      </c>
      <c r="H58" s="41">
        <f t="shared" si="11"/>
        <v>48.258453183997261</v>
      </c>
      <c r="I58" s="424"/>
      <c r="J58" s="96"/>
      <c r="M58" s="92" t="s">
        <v>138</v>
      </c>
      <c r="N58" s="323" t="s">
        <v>140</v>
      </c>
      <c r="O58" s="323"/>
      <c r="P58" s="324"/>
      <c r="Q58" s="403">
        <f>(Produzione!I51/(240*15))*1.05</f>
        <v>1003.2932416953034</v>
      </c>
      <c r="R58" s="404"/>
      <c r="S58" s="403">
        <f t="shared" si="12"/>
        <v>300987.97250859102</v>
      </c>
      <c r="T58" s="404"/>
      <c r="U58" s="403">
        <v>50</v>
      </c>
      <c r="V58" s="404"/>
      <c r="W58" s="405">
        <f t="shared" si="13"/>
        <v>6020</v>
      </c>
      <c r="X58" s="406"/>
      <c r="Y58" s="405">
        <v>15</v>
      </c>
      <c r="Z58" s="406"/>
      <c r="AA58" s="322">
        <f t="shared" si="14"/>
        <v>402</v>
      </c>
      <c r="AB58" s="324"/>
    </row>
    <row r="59" spans="2:28" ht="17" thickBot="1">
      <c r="B59" s="233"/>
      <c r="C59" s="43" t="s">
        <v>81</v>
      </c>
      <c r="D59" s="41">
        <f>Produzione!H65/240</f>
        <v>536.20503537774744</v>
      </c>
      <c r="E59" s="41">
        <f t="shared" si="10"/>
        <v>5362.0503537774748</v>
      </c>
      <c r="F59" s="41" t="s">
        <v>127</v>
      </c>
      <c r="G59" s="41">
        <f t="shared" si="15"/>
        <v>402.15377653331058</v>
      </c>
      <c r="H59" s="41">
        <f t="shared" si="11"/>
        <v>8.0430755306662114</v>
      </c>
      <c r="I59" s="424"/>
      <c r="J59" s="96"/>
      <c r="M59" s="86" t="s">
        <v>139</v>
      </c>
      <c r="N59" s="410" t="s">
        <v>141</v>
      </c>
      <c r="O59" s="410"/>
      <c r="P59" s="411"/>
      <c r="Q59" s="403">
        <f>(Produzione!I51/(240*15))*1.05</f>
        <v>1003.2932416953034</v>
      </c>
      <c r="R59" s="404"/>
      <c r="S59" s="403">
        <f t="shared" si="12"/>
        <v>300987.97250859102</v>
      </c>
      <c r="T59" s="404"/>
      <c r="U59" s="403">
        <v>150</v>
      </c>
      <c r="V59" s="404"/>
      <c r="W59" s="405">
        <f t="shared" si="13"/>
        <v>2007</v>
      </c>
      <c r="X59" s="406"/>
      <c r="Y59" s="405">
        <v>38</v>
      </c>
      <c r="Z59" s="406"/>
      <c r="AA59" s="322">
        <f t="shared" si="14"/>
        <v>53</v>
      </c>
      <c r="AB59" s="324"/>
    </row>
    <row r="60" spans="2:28" ht="17" thickBot="1">
      <c r="B60" s="234"/>
      <c r="C60" s="31" t="s">
        <v>82</v>
      </c>
      <c r="D60" s="40">
        <f>Produzione!H66/240</f>
        <v>6970.6654599107169</v>
      </c>
      <c r="E60" s="41">
        <f t="shared" si="10"/>
        <v>69706.654599107162</v>
      </c>
      <c r="F60" s="41" t="s">
        <v>127</v>
      </c>
      <c r="G60" s="41">
        <f>0.075*E60</f>
        <v>5227.9990949330368</v>
      </c>
      <c r="H60" s="41">
        <f t="shared" si="11"/>
        <v>104.55998189866074</v>
      </c>
      <c r="I60" s="424"/>
      <c r="J60" s="96"/>
      <c r="M60" s="92"/>
      <c r="N60" s="323" t="s">
        <v>142</v>
      </c>
      <c r="O60" s="323"/>
      <c r="P60" s="324"/>
      <c r="Q60" s="403">
        <f>(Produzione!I51/(240*15))*1.05</f>
        <v>1003.2932416953034</v>
      </c>
      <c r="R60" s="404"/>
      <c r="S60" s="403">
        <f t="shared" si="12"/>
        <v>300987.97250859102</v>
      </c>
      <c r="T60" s="404"/>
      <c r="U60" s="403">
        <v>1200</v>
      </c>
      <c r="V60" s="404"/>
      <c r="W60" s="405">
        <f t="shared" si="13"/>
        <v>251</v>
      </c>
      <c r="X60" s="406"/>
      <c r="Y60" s="405">
        <v>250</v>
      </c>
      <c r="Z60" s="406"/>
      <c r="AA60" s="322">
        <f>CEILING((W60/Y60),1)</f>
        <v>2</v>
      </c>
      <c r="AB60" s="324"/>
    </row>
    <row r="61" spans="2:28" ht="17" thickBot="1">
      <c r="B61" s="232" t="s">
        <v>117</v>
      </c>
      <c r="C61" s="42" t="s">
        <v>86</v>
      </c>
      <c r="D61" s="41">
        <f>Produzione!H67/240</f>
        <v>2793.9104474945793</v>
      </c>
      <c r="E61" s="41">
        <f t="shared" si="10"/>
        <v>27939.104474945794</v>
      </c>
      <c r="F61" s="41" t="s">
        <v>127</v>
      </c>
      <c r="G61" s="41">
        <f>0.05*E61</f>
        <v>1396.9552237472899</v>
      </c>
      <c r="H61" s="41">
        <f t="shared" si="11"/>
        <v>27.939104474945797</v>
      </c>
      <c r="I61" s="424"/>
      <c r="J61" s="96"/>
      <c r="M61" s="86"/>
      <c r="N61" s="410" t="s">
        <v>143</v>
      </c>
      <c r="O61" s="410"/>
      <c r="P61" s="411"/>
      <c r="Q61" s="403">
        <f>(Produzione!I51/(240*15))*1.1</f>
        <v>1051.0691103474608</v>
      </c>
      <c r="R61" s="404"/>
      <c r="S61" s="403">
        <f t="shared" si="12"/>
        <v>315320.73310423823</v>
      </c>
      <c r="T61" s="404"/>
      <c r="U61" s="403">
        <v>200</v>
      </c>
      <c r="V61" s="404"/>
      <c r="W61" s="405">
        <f t="shared" si="13"/>
        <v>1577</v>
      </c>
      <c r="X61" s="406"/>
      <c r="Y61" s="405">
        <v>285</v>
      </c>
      <c r="Z61" s="406"/>
      <c r="AA61" s="322">
        <f t="shared" si="14"/>
        <v>6</v>
      </c>
      <c r="AB61" s="324"/>
    </row>
    <row r="62" spans="2:28" ht="17" thickBot="1">
      <c r="B62" s="233"/>
      <c r="C62" s="43" t="s">
        <v>87</v>
      </c>
      <c r="D62" s="40">
        <f>Produzione!H68/240</f>
        <v>761.97557658943072</v>
      </c>
      <c r="E62" s="41">
        <f t="shared" si="10"/>
        <v>7619.7557658943069</v>
      </c>
      <c r="F62" s="41" t="s">
        <v>127</v>
      </c>
      <c r="G62" s="41">
        <f>0.05*E62</f>
        <v>380.98778829471536</v>
      </c>
      <c r="H62" s="41">
        <f t="shared" si="11"/>
        <v>7.6197557658943076</v>
      </c>
      <c r="I62" s="424"/>
      <c r="J62" s="96"/>
      <c r="M62" s="92"/>
      <c r="N62" s="323" t="s">
        <v>144</v>
      </c>
      <c r="O62" s="323"/>
      <c r="P62" s="324"/>
      <c r="Q62" s="403">
        <f>(Produzione!I51/(240*15))*1.1</f>
        <v>1051.0691103474608</v>
      </c>
      <c r="R62" s="404"/>
      <c r="S62" s="403">
        <f t="shared" si="12"/>
        <v>315320.73310423823</v>
      </c>
      <c r="T62" s="404"/>
      <c r="U62" s="403">
        <v>20</v>
      </c>
      <c r="V62" s="404"/>
      <c r="W62" s="405">
        <f t="shared" si="13"/>
        <v>15767</v>
      </c>
      <c r="X62" s="406"/>
      <c r="Y62" s="405">
        <v>30</v>
      </c>
      <c r="Z62" s="406"/>
      <c r="AA62" s="322">
        <f t="shared" si="14"/>
        <v>526</v>
      </c>
      <c r="AB62" s="324"/>
    </row>
    <row r="63" spans="2:28" ht="17" thickBot="1">
      <c r="B63" s="233"/>
      <c r="C63" s="31" t="s">
        <v>88</v>
      </c>
      <c r="D63" s="41">
        <f>Produzione!H69/240</f>
        <v>1523.9511531788614</v>
      </c>
      <c r="E63" s="41">
        <f t="shared" si="10"/>
        <v>15239.511531788614</v>
      </c>
      <c r="F63" s="41" t="s">
        <v>127</v>
      </c>
      <c r="G63" s="41">
        <f t="shared" ref="G63:G66" si="16">0.05*E63</f>
        <v>761.97557658943072</v>
      </c>
      <c r="H63" s="41">
        <f t="shared" si="11"/>
        <v>15.239511531788615</v>
      </c>
      <c r="I63" s="424"/>
      <c r="J63" s="96"/>
      <c r="M63" s="86"/>
      <c r="N63" s="410" t="s">
        <v>145</v>
      </c>
      <c r="O63" s="410"/>
      <c r="P63" s="411"/>
      <c r="Q63" s="403">
        <f>(Produzione!I51/(240*15))*1.05</f>
        <v>1003.2932416953034</v>
      </c>
      <c r="R63" s="404"/>
      <c r="S63" s="403">
        <f t="shared" si="12"/>
        <v>300987.97250859102</v>
      </c>
      <c r="T63" s="404"/>
      <c r="U63" s="403">
        <v>100</v>
      </c>
      <c r="V63" s="404"/>
      <c r="W63" s="405">
        <f t="shared" si="13"/>
        <v>3010</v>
      </c>
      <c r="X63" s="406"/>
      <c r="Y63" s="405">
        <v>42</v>
      </c>
      <c r="Z63" s="406"/>
      <c r="AA63" s="322">
        <f t="shared" si="14"/>
        <v>72</v>
      </c>
      <c r="AB63" s="324"/>
    </row>
    <row r="64" spans="2:28" ht="17" thickBot="1">
      <c r="B64" s="233"/>
      <c r="C64" s="42" t="s">
        <v>89</v>
      </c>
      <c r="D64" s="40">
        <f>Produzione!H70/240</f>
        <v>3047.9023063577229</v>
      </c>
      <c r="E64" s="41">
        <f t="shared" si="10"/>
        <v>30479.023063577228</v>
      </c>
      <c r="F64" s="41" t="s">
        <v>127</v>
      </c>
      <c r="G64" s="41">
        <f t="shared" si="16"/>
        <v>1523.9511531788614</v>
      </c>
      <c r="H64" s="41">
        <f t="shared" si="11"/>
        <v>30.47902306357723</v>
      </c>
      <c r="I64" s="424"/>
      <c r="J64" s="96"/>
      <c r="M64" s="92"/>
      <c r="N64" s="323" t="s">
        <v>146</v>
      </c>
      <c r="O64" s="323"/>
      <c r="P64" s="324"/>
      <c r="Q64" s="403">
        <f>(Produzione!I51/(240*15))*1.05</f>
        <v>1003.2932416953034</v>
      </c>
      <c r="R64" s="404"/>
      <c r="S64" s="403">
        <f t="shared" si="12"/>
        <v>300987.97250859102</v>
      </c>
      <c r="T64" s="404"/>
      <c r="U64" s="403">
        <v>1000</v>
      </c>
      <c r="V64" s="404"/>
      <c r="W64" s="405">
        <f t="shared" si="13"/>
        <v>301</v>
      </c>
      <c r="X64" s="406"/>
      <c r="Y64" s="405">
        <v>300</v>
      </c>
      <c r="Z64" s="406"/>
      <c r="AA64" s="322">
        <f t="shared" si="14"/>
        <v>2</v>
      </c>
      <c r="AB64" s="324"/>
    </row>
    <row r="65" spans="2:34" ht="17" thickBot="1">
      <c r="B65" s="233"/>
      <c r="C65" s="43" t="s">
        <v>90</v>
      </c>
      <c r="D65" s="41">
        <f>Produzione!H71/240</f>
        <v>507.98371772628713</v>
      </c>
      <c r="E65" s="41">
        <f t="shared" si="10"/>
        <v>5079.8371772628716</v>
      </c>
      <c r="F65" s="41" t="s">
        <v>127</v>
      </c>
      <c r="G65" s="41">
        <f t="shared" si="16"/>
        <v>253.99185886314359</v>
      </c>
      <c r="H65" s="41">
        <f t="shared" si="11"/>
        <v>5.0798371772628714</v>
      </c>
      <c r="I65" s="424"/>
      <c r="J65" s="96"/>
      <c r="M65" s="339" t="s">
        <v>238</v>
      </c>
      <c r="N65" s="340"/>
      <c r="O65" s="340"/>
      <c r="P65" s="340"/>
      <c r="Q65" s="340"/>
      <c r="R65" s="340"/>
      <c r="S65" s="340"/>
      <c r="T65" s="340"/>
      <c r="U65" s="340"/>
      <c r="V65" s="340"/>
      <c r="W65" s="340"/>
      <c r="X65" s="340"/>
      <c r="Y65" s="340"/>
      <c r="Z65" s="340"/>
      <c r="AA65" s="340"/>
      <c r="AB65" s="341"/>
      <c r="AD65" s="386" t="s">
        <v>279</v>
      </c>
      <c r="AE65" s="387"/>
      <c r="AF65" s="387"/>
      <c r="AG65" s="387"/>
      <c r="AH65" s="388"/>
    </row>
    <row r="66" spans="2:34" ht="17" thickBot="1">
      <c r="B66" s="234"/>
      <c r="C66" s="31" t="s">
        <v>91</v>
      </c>
      <c r="D66" s="40">
        <f>Produzione!H72/240</f>
        <v>6603.7883304417319</v>
      </c>
      <c r="E66" s="41">
        <f t="shared" si="10"/>
        <v>66037.883304417323</v>
      </c>
      <c r="F66" s="41" t="s">
        <v>127</v>
      </c>
      <c r="G66" s="41">
        <f t="shared" si="16"/>
        <v>3301.8941652208664</v>
      </c>
      <c r="H66" s="41">
        <f t="shared" si="11"/>
        <v>66.037883304417335</v>
      </c>
      <c r="I66" s="424"/>
      <c r="J66" s="96"/>
      <c r="M66" s="342"/>
      <c r="N66" s="343"/>
      <c r="O66" s="343"/>
      <c r="P66" s="343"/>
      <c r="Q66" s="343"/>
      <c r="R66" s="343"/>
      <c r="S66" s="343"/>
      <c r="T66" s="343"/>
      <c r="U66" s="343"/>
      <c r="V66" s="343"/>
      <c r="W66" s="343"/>
      <c r="X66" s="343"/>
      <c r="Y66" s="343"/>
      <c r="Z66" s="343"/>
      <c r="AA66" s="343"/>
      <c r="AB66" s="344"/>
      <c r="AD66" s="441" t="s">
        <v>319</v>
      </c>
      <c r="AE66" s="442"/>
      <c r="AF66" s="443"/>
      <c r="AG66" s="136" t="s">
        <v>318</v>
      </c>
      <c r="AH66" s="137" t="s">
        <v>320</v>
      </c>
    </row>
    <row r="67" spans="2:34" ht="17" thickBot="1">
      <c r="B67" s="357" t="s">
        <v>123</v>
      </c>
      <c r="C67" s="42" t="s">
        <v>92</v>
      </c>
      <c r="D67" s="41">
        <f>Produzione!H73/240</f>
        <v>2949.1276945776112</v>
      </c>
      <c r="E67" s="41">
        <f t="shared" si="10"/>
        <v>29491.276945776113</v>
      </c>
      <c r="F67" s="41" t="s">
        <v>127</v>
      </c>
      <c r="G67" s="41">
        <f>0.015*E67</f>
        <v>442.36915418664171</v>
      </c>
      <c r="H67" s="41">
        <f t="shared" si="11"/>
        <v>8.8473830837328347</v>
      </c>
      <c r="I67" s="424"/>
      <c r="J67" s="96"/>
      <c r="M67" s="435"/>
      <c r="N67" s="436" t="s">
        <v>267</v>
      </c>
      <c r="O67" s="436"/>
      <c r="P67" s="436"/>
      <c r="Q67" s="436" t="s">
        <v>268</v>
      </c>
      <c r="R67" s="436"/>
      <c r="S67" s="436" t="s">
        <v>269</v>
      </c>
      <c r="T67" s="436"/>
      <c r="U67" s="436" t="s">
        <v>270</v>
      </c>
      <c r="V67" s="436"/>
      <c r="W67" s="436" t="s">
        <v>271</v>
      </c>
      <c r="X67" s="436"/>
      <c r="Y67" s="437" t="s">
        <v>272</v>
      </c>
      <c r="Z67" s="437"/>
      <c r="AA67" s="415" t="s">
        <v>131</v>
      </c>
      <c r="AB67" s="416"/>
      <c r="AD67" s="389" t="s">
        <v>239</v>
      </c>
      <c r="AE67" s="390"/>
      <c r="AF67" s="412"/>
      <c r="AG67" s="140">
        <v>8</v>
      </c>
      <c r="AH67" s="131">
        <f>1*AG67/2</f>
        <v>4</v>
      </c>
    </row>
    <row r="68" spans="2:34" ht="17" thickBot="1">
      <c r="B68" s="421"/>
      <c r="C68" s="43" t="s">
        <v>93</v>
      </c>
      <c r="D68" s="40">
        <f>Produzione!H74/240</f>
        <v>804.30755306662115</v>
      </c>
      <c r="E68" s="41">
        <f t="shared" si="10"/>
        <v>8043.0755306662113</v>
      </c>
      <c r="F68" s="41" t="s">
        <v>127</v>
      </c>
      <c r="G68" s="41">
        <f t="shared" ref="G68:G71" si="17">0.015*E68</f>
        <v>120.64613295999317</v>
      </c>
      <c r="H68" s="41">
        <f t="shared" si="11"/>
        <v>2.4129226591998632</v>
      </c>
      <c r="I68" s="424"/>
      <c r="J68" s="96"/>
      <c r="M68" s="435"/>
      <c r="N68" s="436"/>
      <c r="O68" s="436"/>
      <c r="P68" s="436"/>
      <c r="Q68" s="436"/>
      <c r="R68" s="436"/>
      <c r="S68" s="436"/>
      <c r="T68" s="436"/>
      <c r="U68" s="436"/>
      <c r="V68" s="436"/>
      <c r="W68" s="436"/>
      <c r="X68" s="436"/>
      <c r="Y68" s="437"/>
      <c r="Z68" s="437"/>
      <c r="AA68" s="417"/>
      <c r="AB68" s="418"/>
      <c r="AD68" s="391" t="s">
        <v>240</v>
      </c>
      <c r="AE68" s="392"/>
      <c r="AF68" s="413"/>
      <c r="AG68" s="130">
        <v>1</v>
      </c>
      <c r="AH68" s="133">
        <f>2*AG68</f>
        <v>2</v>
      </c>
    </row>
    <row r="69" spans="2:34" ht="17" thickBot="1">
      <c r="B69" s="421"/>
      <c r="C69" s="31" t="s">
        <v>94</v>
      </c>
      <c r="D69" s="41">
        <f>Produzione!H75/240</f>
        <v>1608.6151061332423</v>
      </c>
      <c r="E69" s="41">
        <f t="shared" si="10"/>
        <v>16086.151061332423</v>
      </c>
      <c r="F69" s="41" t="s">
        <v>127</v>
      </c>
      <c r="G69" s="41">
        <f t="shared" si="17"/>
        <v>241.29226591998633</v>
      </c>
      <c r="H69" s="41">
        <f t="shared" si="11"/>
        <v>4.8258453183997263</v>
      </c>
      <c r="I69" s="424"/>
      <c r="J69" s="96"/>
      <c r="M69" s="435"/>
      <c r="N69" s="436"/>
      <c r="O69" s="436"/>
      <c r="P69" s="436"/>
      <c r="Q69" s="436"/>
      <c r="R69" s="436"/>
      <c r="S69" s="436"/>
      <c r="T69" s="436"/>
      <c r="U69" s="436"/>
      <c r="V69" s="436"/>
      <c r="W69" s="436"/>
      <c r="X69" s="436"/>
      <c r="Y69" s="437"/>
      <c r="Z69" s="437"/>
      <c r="AA69" s="419"/>
      <c r="AB69" s="420"/>
      <c r="AD69" s="393" t="s">
        <v>241</v>
      </c>
      <c r="AE69" s="394"/>
      <c r="AF69" s="414"/>
      <c r="AG69" s="134">
        <v>2</v>
      </c>
      <c r="AH69" s="138">
        <f>5*AG69</f>
        <v>10</v>
      </c>
    </row>
    <row r="70" spans="2:34" ht="17" thickBot="1">
      <c r="B70" s="421"/>
      <c r="C70" s="42" t="s">
        <v>95</v>
      </c>
      <c r="D70" s="40">
        <f>Produzione!H76/240</f>
        <v>3217.2302122664846</v>
      </c>
      <c r="E70" s="41">
        <f t="shared" si="10"/>
        <v>32172.302122664845</v>
      </c>
      <c r="F70" s="41" t="s">
        <v>127</v>
      </c>
      <c r="G70" s="41">
        <f t="shared" si="17"/>
        <v>482.58453183997267</v>
      </c>
      <c r="H70" s="41">
        <f t="shared" si="11"/>
        <v>9.6516906367994526</v>
      </c>
      <c r="I70" s="424"/>
      <c r="J70" s="96"/>
      <c r="M70" s="313" t="s">
        <v>238</v>
      </c>
      <c r="N70" s="359">
        <f>AH70*20</f>
        <v>320</v>
      </c>
      <c r="O70" s="360"/>
      <c r="P70" s="361"/>
      <c r="Q70" s="325">
        <v>5</v>
      </c>
      <c r="R70" s="326"/>
      <c r="S70" s="325">
        <f>N70*Q70</f>
        <v>1600</v>
      </c>
      <c r="T70" s="326"/>
      <c r="U70" s="325">
        <v>50</v>
      </c>
      <c r="V70" s="326"/>
      <c r="W70" s="369">
        <f>S70/U70</f>
        <v>32</v>
      </c>
      <c r="X70" s="370"/>
      <c r="Y70" s="369">
        <v>4</v>
      </c>
      <c r="Z70" s="370"/>
      <c r="AA70" s="359">
        <f>CEILING((W70/Y70),1)</f>
        <v>8</v>
      </c>
      <c r="AB70" s="361"/>
      <c r="AG70" s="79"/>
      <c r="AH70" s="139">
        <f>SUM(AH67:AH69)</f>
        <v>16</v>
      </c>
    </row>
    <row r="71" spans="2:34" ht="17" thickBot="1">
      <c r="B71" s="421"/>
      <c r="C71" s="43" t="s">
        <v>96</v>
      </c>
      <c r="D71" s="41">
        <f>Produzione!H77/240</f>
        <v>536.20503537774744</v>
      </c>
      <c r="E71" s="41">
        <f t="shared" si="10"/>
        <v>5362.0503537774748</v>
      </c>
      <c r="F71" s="41" t="s">
        <v>127</v>
      </c>
      <c r="G71" s="41">
        <f t="shared" si="17"/>
        <v>80.430755306662121</v>
      </c>
      <c r="H71" s="41">
        <f t="shared" si="11"/>
        <v>1.6086151061332423</v>
      </c>
      <c r="I71" s="424"/>
      <c r="J71" s="96"/>
      <c r="M71" s="315"/>
      <c r="N71" s="362"/>
      <c r="O71" s="363"/>
      <c r="P71" s="364"/>
      <c r="Q71" s="329"/>
      <c r="R71" s="330"/>
      <c r="S71" s="329"/>
      <c r="T71" s="330"/>
      <c r="U71" s="329"/>
      <c r="V71" s="330"/>
      <c r="W71" s="371"/>
      <c r="X71" s="372"/>
      <c r="Y71" s="371"/>
      <c r="Z71" s="372"/>
      <c r="AA71" s="362"/>
      <c r="AB71" s="364"/>
    </row>
    <row r="72" spans="2:34" ht="17" thickBot="1">
      <c r="B72" s="421"/>
      <c r="C72" s="31" t="s">
        <v>97</v>
      </c>
      <c r="D72" s="40">
        <f>Produzione!H78/240</f>
        <v>6970.6654599107169</v>
      </c>
      <c r="E72" s="41">
        <f t="shared" si="10"/>
        <v>69706.654599107162</v>
      </c>
      <c r="F72" s="41" t="s">
        <v>127</v>
      </c>
      <c r="G72" s="41">
        <f>0.015*E72</f>
        <v>1045.5998189866075</v>
      </c>
      <c r="H72" s="41">
        <f t="shared" si="11"/>
        <v>20.911996379732148</v>
      </c>
      <c r="I72" s="424"/>
      <c r="J72" s="96"/>
      <c r="M72" s="339" t="s">
        <v>225</v>
      </c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340"/>
      <c r="AB72" s="341"/>
      <c r="AD72" s="395" t="s">
        <v>280</v>
      </c>
      <c r="AE72" s="396"/>
    </row>
    <row r="73" spans="2:34" ht="17" thickBot="1">
      <c r="B73" s="232" t="s">
        <v>84</v>
      </c>
      <c r="C73" s="42" t="s">
        <v>98</v>
      </c>
      <c r="D73" s="41">
        <f>Produzione!H79/240</f>
        <v>2708.3825766529085</v>
      </c>
      <c r="E73" s="41">
        <f t="shared" si="10"/>
        <v>27083.825766529084</v>
      </c>
      <c r="F73" s="41" t="s">
        <v>127</v>
      </c>
      <c r="G73" s="41">
        <f>0.025*E73</f>
        <v>677.09564416322712</v>
      </c>
      <c r="H73" s="41">
        <f t="shared" si="11"/>
        <v>13.541912883264542</v>
      </c>
      <c r="I73" s="424"/>
      <c r="J73" s="96"/>
      <c r="M73" s="342"/>
      <c r="N73" s="343"/>
      <c r="O73" s="343"/>
      <c r="P73" s="343"/>
      <c r="Q73" s="343"/>
      <c r="R73" s="343"/>
      <c r="S73" s="343"/>
      <c r="T73" s="343"/>
      <c r="U73" s="343"/>
      <c r="V73" s="343"/>
      <c r="W73" s="343"/>
      <c r="X73" s="343"/>
      <c r="Y73" s="343"/>
      <c r="Z73" s="343"/>
      <c r="AA73" s="343"/>
      <c r="AB73" s="344"/>
    </row>
    <row r="74" spans="2:34" ht="17" thickBot="1">
      <c r="B74" s="233"/>
      <c r="C74" s="43" t="s">
        <v>99</v>
      </c>
      <c r="D74" s="40">
        <f>Produzione!H80/240</f>
        <v>738.64979363261125</v>
      </c>
      <c r="E74" s="41">
        <f t="shared" si="10"/>
        <v>7386.4979363261127</v>
      </c>
      <c r="F74" s="41" t="s">
        <v>127</v>
      </c>
      <c r="G74" s="41">
        <f t="shared" ref="G74:G78" si="18">0.025*E74</f>
        <v>184.66244840815284</v>
      </c>
      <c r="H74" s="41">
        <f t="shared" si="11"/>
        <v>3.6932489681630569</v>
      </c>
      <c r="I74" s="424"/>
      <c r="J74" s="109"/>
      <c r="K74" s="380" t="s">
        <v>290</v>
      </c>
      <c r="M74" s="435"/>
      <c r="N74" s="436" t="s">
        <v>277</v>
      </c>
      <c r="O74" s="436"/>
      <c r="P74" s="436"/>
      <c r="Q74" s="436" t="s">
        <v>287</v>
      </c>
      <c r="R74" s="436"/>
      <c r="S74" s="436" t="s">
        <v>263</v>
      </c>
      <c r="T74" s="436"/>
      <c r="U74" s="436" t="s">
        <v>264</v>
      </c>
      <c r="V74" s="436"/>
      <c r="W74" s="436" t="s">
        <v>265</v>
      </c>
      <c r="X74" s="436"/>
      <c r="Y74" s="437" t="s">
        <v>278</v>
      </c>
      <c r="Z74" s="437"/>
      <c r="AA74" s="415" t="s">
        <v>266</v>
      </c>
      <c r="AB74" s="416"/>
    </row>
    <row r="75" spans="2:34" ht="17" thickBot="1">
      <c r="B75" s="233"/>
      <c r="C75" s="31" t="s">
        <v>100</v>
      </c>
      <c r="D75" s="41">
        <f>Produzione!H81/240</f>
        <v>1477.2995872652225</v>
      </c>
      <c r="E75" s="41">
        <f t="shared" si="10"/>
        <v>14772.995872652225</v>
      </c>
      <c r="F75" s="41" t="s">
        <v>127</v>
      </c>
      <c r="G75" s="41">
        <f t="shared" si="18"/>
        <v>369.32489681630568</v>
      </c>
      <c r="H75" s="41">
        <f t="shared" si="11"/>
        <v>7.3864979363261138</v>
      </c>
      <c r="I75" s="424"/>
      <c r="J75" s="109"/>
      <c r="K75" s="380"/>
      <c r="M75" s="435"/>
      <c r="N75" s="436"/>
      <c r="O75" s="436"/>
      <c r="P75" s="436"/>
      <c r="Q75" s="436"/>
      <c r="R75" s="436"/>
      <c r="S75" s="436"/>
      <c r="T75" s="436"/>
      <c r="U75" s="436"/>
      <c r="V75" s="436"/>
      <c r="W75" s="436"/>
      <c r="X75" s="436"/>
      <c r="Y75" s="437"/>
      <c r="Z75" s="437"/>
      <c r="AA75" s="417"/>
      <c r="AB75" s="418"/>
    </row>
    <row r="76" spans="2:34" ht="16.5" customHeight="1" thickBot="1">
      <c r="B76" s="233"/>
      <c r="C76" s="42" t="s">
        <v>101</v>
      </c>
      <c r="D76" s="40">
        <f>Produzione!H82/240</f>
        <v>2954.599174530445</v>
      </c>
      <c r="E76" s="41">
        <f t="shared" si="10"/>
        <v>29545.991745304451</v>
      </c>
      <c r="F76" s="41" t="s">
        <v>127</v>
      </c>
      <c r="G76" s="41">
        <f t="shared" si="18"/>
        <v>738.64979363261136</v>
      </c>
      <c r="H76" s="41">
        <f t="shared" si="11"/>
        <v>14.772995872652228</v>
      </c>
      <c r="I76" s="424"/>
      <c r="J76" s="109"/>
      <c r="K76" s="380"/>
      <c r="M76" s="435"/>
      <c r="N76" s="436"/>
      <c r="O76" s="436"/>
      <c r="P76" s="436"/>
      <c r="Q76" s="436"/>
      <c r="R76" s="436"/>
      <c r="S76" s="436"/>
      <c r="T76" s="436"/>
      <c r="U76" s="436"/>
      <c r="V76" s="436"/>
      <c r="W76" s="436"/>
      <c r="X76" s="436"/>
      <c r="Y76" s="437"/>
      <c r="Z76" s="437"/>
      <c r="AA76" s="419"/>
      <c r="AB76" s="420"/>
    </row>
    <row r="77" spans="2:34" ht="17" thickBot="1">
      <c r="B77" s="233"/>
      <c r="C77" s="43" t="s">
        <v>102</v>
      </c>
      <c r="D77" s="41">
        <f>Produzione!H83/240</f>
        <v>492.43319575507422</v>
      </c>
      <c r="E77" s="41">
        <f t="shared" si="10"/>
        <v>4924.3319575507421</v>
      </c>
      <c r="F77" s="41" t="s">
        <v>127</v>
      </c>
      <c r="G77" s="41">
        <f t="shared" si="18"/>
        <v>123.10829893876856</v>
      </c>
      <c r="H77" s="41">
        <f t="shared" si="11"/>
        <v>2.4621659787753711</v>
      </c>
      <c r="I77" s="424"/>
      <c r="J77" s="109"/>
      <c r="K77" s="380"/>
      <c r="M77" s="357" t="s">
        <v>225</v>
      </c>
      <c r="N77" s="359">
        <v>46</v>
      </c>
      <c r="O77" s="360"/>
      <c r="P77" s="361"/>
      <c r="Q77" s="325">
        <f>(AA87*20)/5</f>
        <v>5236.711666666667</v>
      </c>
      <c r="R77" s="326"/>
      <c r="S77" s="325">
        <v>10</v>
      </c>
      <c r="T77" s="326"/>
      <c r="U77" s="365">
        <v>0.46</v>
      </c>
      <c r="V77" s="366"/>
      <c r="W77" s="369">
        <v>1000</v>
      </c>
      <c r="X77" s="370"/>
      <c r="Y77" s="369">
        <f>Q77*U77</f>
        <v>2408.8873666666668</v>
      </c>
      <c r="Z77" s="370"/>
      <c r="AA77" s="369">
        <f>CEILING((Y77/W77),1)</f>
        <v>3</v>
      </c>
      <c r="AB77" s="370"/>
    </row>
    <row r="78" spans="2:34" ht="17" thickBot="1">
      <c r="B78" s="234"/>
      <c r="C78" s="31" t="s">
        <v>103</v>
      </c>
      <c r="D78" s="41">
        <f>Produzione!H84/240</f>
        <v>6401.6315448159639</v>
      </c>
      <c r="E78" s="41">
        <f t="shared" si="10"/>
        <v>64016.315448159643</v>
      </c>
      <c r="F78" s="41" t="s">
        <v>127</v>
      </c>
      <c r="G78" s="41">
        <f t="shared" si="18"/>
        <v>1600.4078862039912</v>
      </c>
      <c r="H78" s="41">
        <f t="shared" si="11"/>
        <v>32.008157724079823</v>
      </c>
      <c r="I78" s="425"/>
      <c r="J78" s="109"/>
      <c r="K78" s="380"/>
      <c r="M78" s="358"/>
      <c r="N78" s="362"/>
      <c r="O78" s="363"/>
      <c r="P78" s="364"/>
      <c r="Q78" s="329"/>
      <c r="R78" s="330"/>
      <c r="S78" s="329"/>
      <c r="T78" s="330"/>
      <c r="U78" s="367"/>
      <c r="V78" s="368"/>
      <c r="W78" s="371"/>
      <c r="X78" s="372"/>
      <c r="Y78" s="371"/>
      <c r="Z78" s="372"/>
      <c r="AA78" s="371"/>
      <c r="AB78" s="372"/>
    </row>
    <row r="79" spans="2:34">
      <c r="J79" s="105"/>
    </row>
    <row r="80" spans="2:34">
      <c r="J80" s="105"/>
    </row>
    <row r="81" spans="2:28" ht="17" thickBot="1">
      <c r="J81" s="105"/>
      <c r="L81" s="77"/>
      <c r="M81" s="77"/>
      <c r="N81" s="77"/>
      <c r="O81" s="77"/>
      <c r="P81" s="77"/>
      <c r="Q81" s="77"/>
      <c r="R81" s="77"/>
      <c r="S81" s="77"/>
      <c r="T81" s="77"/>
      <c r="U81" s="77"/>
    </row>
    <row r="82" spans="2:28">
      <c r="B82" s="339" t="s">
        <v>291</v>
      </c>
      <c r="C82" s="340"/>
      <c r="D82" s="340"/>
      <c r="E82" s="340"/>
      <c r="F82" s="340"/>
      <c r="G82" s="340"/>
      <c r="H82" s="340"/>
      <c r="I82" s="341"/>
      <c r="J82" s="107"/>
      <c r="L82" s="77"/>
      <c r="M82" s="339" t="s">
        <v>154</v>
      </c>
      <c r="N82" s="340"/>
      <c r="O82" s="340"/>
      <c r="P82" s="340"/>
      <c r="Q82" s="340"/>
      <c r="R82" s="340"/>
      <c r="S82" s="340"/>
      <c r="T82" s="340"/>
      <c r="U82" s="340"/>
      <c r="V82" s="340"/>
      <c r="W82" s="340"/>
      <c r="X82" s="340"/>
      <c r="Y82" s="340"/>
      <c r="Z82" s="340"/>
      <c r="AA82" s="340"/>
      <c r="AB82" s="341"/>
    </row>
    <row r="83" spans="2:28" ht="17" thickBot="1">
      <c r="B83" s="342"/>
      <c r="C83" s="343"/>
      <c r="D83" s="343"/>
      <c r="E83" s="343"/>
      <c r="F83" s="343"/>
      <c r="G83" s="343"/>
      <c r="H83" s="343"/>
      <c r="I83" s="344"/>
      <c r="J83" s="107"/>
      <c r="L83" s="77"/>
      <c r="M83" s="342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343"/>
      <c r="AB83" s="344"/>
    </row>
    <row r="84" spans="2:28">
      <c r="B84" s="381" t="s">
        <v>126</v>
      </c>
      <c r="C84" s="381" t="s">
        <v>292</v>
      </c>
      <c r="D84" s="381" t="s">
        <v>293</v>
      </c>
      <c r="E84" s="348" t="s">
        <v>281</v>
      </c>
      <c r="F84" s="381" t="s">
        <v>294</v>
      </c>
      <c r="G84" s="381" t="s">
        <v>273</v>
      </c>
      <c r="H84" s="348" t="s">
        <v>274</v>
      </c>
      <c r="I84" s="350"/>
      <c r="J84" s="108"/>
      <c r="L84" s="77"/>
      <c r="M84" s="276" t="s">
        <v>55</v>
      </c>
      <c r="N84" s="278" t="s">
        <v>151</v>
      </c>
      <c r="O84" s="345"/>
      <c r="P84" s="279"/>
      <c r="Q84" s="348" t="s">
        <v>152</v>
      </c>
      <c r="R84" s="349"/>
      <c r="S84" s="349"/>
      <c r="T84" s="350"/>
      <c r="U84" s="348" t="s">
        <v>153</v>
      </c>
      <c r="V84" s="349"/>
      <c r="W84" s="349"/>
      <c r="X84" s="350"/>
      <c r="Y84" s="348" t="s">
        <v>149</v>
      </c>
      <c r="Z84" s="350"/>
      <c r="AA84" s="348" t="s">
        <v>150</v>
      </c>
      <c r="AB84" s="350"/>
    </row>
    <row r="85" spans="2:28">
      <c r="B85" s="382"/>
      <c r="C85" s="382"/>
      <c r="D85" s="382"/>
      <c r="E85" s="351"/>
      <c r="F85" s="382"/>
      <c r="G85" s="382"/>
      <c r="H85" s="351"/>
      <c r="I85" s="353"/>
      <c r="J85" s="108"/>
      <c r="L85" s="77"/>
      <c r="M85" s="276"/>
      <c r="N85" s="280"/>
      <c r="O85" s="346"/>
      <c r="P85" s="281"/>
      <c r="Q85" s="351"/>
      <c r="R85" s="352"/>
      <c r="S85" s="352"/>
      <c r="T85" s="353"/>
      <c r="U85" s="351"/>
      <c r="V85" s="352"/>
      <c r="W85" s="352"/>
      <c r="X85" s="353"/>
      <c r="Y85" s="351"/>
      <c r="Z85" s="353"/>
      <c r="AA85" s="351"/>
      <c r="AB85" s="353"/>
    </row>
    <row r="86" spans="2:28" ht="16.5" customHeight="1" thickBot="1">
      <c r="B86" s="383"/>
      <c r="C86" s="383"/>
      <c r="D86" s="383"/>
      <c r="E86" s="354"/>
      <c r="F86" s="383"/>
      <c r="G86" s="383"/>
      <c r="H86" s="354"/>
      <c r="I86" s="356"/>
      <c r="J86" s="108"/>
      <c r="L86" s="77"/>
      <c r="M86" s="277"/>
      <c r="N86" s="282"/>
      <c r="O86" s="347"/>
      <c r="P86" s="283"/>
      <c r="Q86" s="354"/>
      <c r="R86" s="355"/>
      <c r="S86" s="355"/>
      <c r="T86" s="356"/>
      <c r="U86" s="354"/>
      <c r="V86" s="355"/>
      <c r="W86" s="355"/>
      <c r="X86" s="356"/>
      <c r="Y86" s="354"/>
      <c r="Z86" s="356"/>
      <c r="AA86" s="354"/>
      <c r="AB86" s="356"/>
    </row>
    <row r="87" spans="2:28" ht="17" thickBot="1">
      <c r="B87" s="202" t="s">
        <v>127</v>
      </c>
      <c r="C87" s="202">
        <f>SUM(G55:G78)/10</f>
        <v>2579.0540689256541</v>
      </c>
      <c r="D87" s="202">
        <v>1070</v>
      </c>
      <c r="E87" s="202">
        <f>C87/D87</f>
        <v>2.4103309055379945</v>
      </c>
      <c r="F87" s="202">
        <v>1.5</v>
      </c>
      <c r="G87" s="202">
        <f>E87/F87</f>
        <v>1.606887270358663</v>
      </c>
      <c r="H87" s="369">
        <f>CEILING(G87,1)</f>
        <v>2</v>
      </c>
      <c r="I87" s="370"/>
      <c r="J87" s="110"/>
      <c r="M87" s="313" t="s">
        <v>60</v>
      </c>
      <c r="N87" s="316" t="s">
        <v>155</v>
      </c>
      <c r="O87" s="317"/>
      <c r="P87" s="318"/>
      <c r="Q87" s="319">
        <f>(611722/240)*5</f>
        <v>12744.208333333334</v>
      </c>
      <c r="R87" s="320"/>
      <c r="S87" s="320"/>
      <c r="T87" s="321"/>
      <c r="U87" s="322">
        <v>50</v>
      </c>
      <c r="V87" s="323"/>
      <c r="W87" s="323"/>
      <c r="X87" s="324"/>
      <c r="Y87" s="325">
        <f>(Q87/U87)+(Q88/U88)+(Q89/U89)</f>
        <v>463.42583333333334</v>
      </c>
      <c r="Z87" s="326"/>
      <c r="AA87" s="325">
        <f>Y87+Y90</f>
        <v>1309.1779166666668</v>
      </c>
      <c r="AB87" s="326"/>
    </row>
    <row r="88" spans="2:28" ht="17" thickBot="1">
      <c r="B88" s="203"/>
      <c r="C88" s="203"/>
      <c r="D88" s="203"/>
      <c r="E88" s="203"/>
      <c r="F88" s="203"/>
      <c r="G88" s="203"/>
      <c r="H88" s="371"/>
      <c r="I88" s="372"/>
      <c r="J88" s="110"/>
      <c r="M88" s="314"/>
      <c r="N88" s="331" t="s">
        <v>156</v>
      </c>
      <c r="O88" s="332"/>
      <c r="P88" s="333"/>
      <c r="Q88" s="319">
        <f>(166833/240)*5</f>
        <v>3475.6875</v>
      </c>
      <c r="R88" s="320"/>
      <c r="S88" s="320"/>
      <c r="T88" s="321"/>
      <c r="U88" s="322">
        <v>50</v>
      </c>
      <c r="V88" s="323"/>
      <c r="W88" s="323"/>
      <c r="X88" s="324"/>
      <c r="Y88" s="327"/>
      <c r="Z88" s="328"/>
      <c r="AA88" s="327"/>
      <c r="AB88" s="328"/>
    </row>
    <row r="89" spans="2:28" ht="16.5" customHeight="1" thickBot="1">
      <c r="J89" s="105"/>
      <c r="M89" s="315"/>
      <c r="N89" s="334" t="s">
        <v>157</v>
      </c>
      <c r="O89" s="335"/>
      <c r="P89" s="336"/>
      <c r="Q89" s="319">
        <f>(333667/240)*5</f>
        <v>6951.3958333333339</v>
      </c>
      <c r="R89" s="320"/>
      <c r="S89" s="320"/>
      <c r="T89" s="321"/>
      <c r="U89" s="322">
        <v>50</v>
      </c>
      <c r="V89" s="323"/>
      <c r="W89" s="323"/>
      <c r="X89" s="324"/>
      <c r="Y89" s="329"/>
      <c r="Z89" s="330"/>
      <c r="AA89" s="327"/>
      <c r="AB89" s="328"/>
    </row>
    <row r="90" spans="2:28" ht="17" thickBot="1">
      <c r="J90" s="105"/>
      <c r="M90" s="313" t="s">
        <v>61</v>
      </c>
      <c r="N90" s="316" t="s">
        <v>155</v>
      </c>
      <c r="O90" s="317"/>
      <c r="P90" s="318"/>
      <c r="Q90" s="319">
        <f>(66733/240)*5</f>
        <v>1390.2708333333335</v>
      </c>
      <c r="R90" s="320"/>
      <c r="S90" s="320"/>
      <c r="T90" s="321"/>
      <c r="U90" s="322">
        <v>40</v>
      </c>
      <c r="V90" s="323"/>
      <c r="W90" s="323"/>
      <c r="X90" s="324"/>
      <c r="Y90" s="325">
        <f>(Q90/U90)+(Q91/U91)+(Q92/U92)</f>
        <v>845.75208333333342</v>
      </c>
      <c r="Z90" s="326"/>
      <c r="AA90" s="327"/>
      <c r="AB90" s="328"/>
    </row>
    <row r="91" spans="2:28" ht="17" thickBot="1">
      <c r="J91" s="105"/>
      <c r="M91" s="314"/>
      <c r="N91" s="331" t="s">
        <v>156</v>
      </c>
      <c r="O91" s="332"/>
      <c r="P91" s="333"/>
      <c r="Q91" s="319">
        <f>(111222/240)*5</f>
        <v>2317.125</v>
      </c>
      <c r="R91" s="320"/>
      <c r="S91" s="320"/>
      <c r="T91" s="321"/>
      <c r="U91" s="322">
        <v>40</v>
      </c>
      <c r="V91" s="323"/>
      <c r="W91" s="323"/>
      <c r="X91" s="324"/>
      <c r="Y91" s="327"/>
      <c r="Z91" s="328"/>
      <c r="AA91" s="327"/>
      <c r="AB91" s="328"/>
    </row>
    <row r="92" spans="2:28" ht="17" thickBot="1">
      <c r="J92" s="105"/>
      <c r="M92" s="315"/>
      <c r="N92" s="334" t="s">
        <v>157</v>
      </c>
      <c r="O92" s="335"/>
      <c r="P92" s="336"/>
      <c r="Q92" s="319">
        <f>(1445889/240)*5</f>
        <v>30122.6875</v>
      </c>
      <c r="R92" s="320"/>
      <c r="S92" s="320"/>
      <c r="T92" s="321"/>
      <c r="U92" s="322">
        <v>40</v>
      </c>
      <c r="V92" s="323"/>
      <c r="W92" s="323"/>
      <c r="X92" s="324"/>
      <c r="Y92" s="329"/>
      <c r="Z92" s="330"/>
      <c r="AA92" s="329"/>
      <c r="AB92" s="330"/>
    </row>
    <row r="93" spans="2:28">
      <c r="J93" s="105"/>
      <c r="M93" s="77"/>
      <c r="N93" s="77"/>
      <c r="O93" s="77"/>
      <c r="P93" s="77"/>
      <c r="Q93" s="77"/>
      <c r="R93" s="77"/>
      <c r="S93" s="77"/>
      <c r="T93" s="77"/>
    </row>
    <row r="94" spans="2:28">
      <c r="J94" s="105"/>
    </row>
    <row r="95" spans="2:28">
      <c r="J95" s="105"/>
    </row>
    <row r="96" spans="2:28">
      <c r="J96" s="105"/>
    </row>
  </sheetData>
  <mergeCells count="359">
    <mergeCell ref="AD17:AF17"/>
    <mergeCell ref="AD66:AF66"/>
    <mergeCell ref="S14:T14"/>
    <mergeCell ref="U14:V14"/>
    <mergeCell ref="W14:X14"/>
    <mergeCell ref="Y14:Z14"/>
    <mergeCell ref="Y10:Z10"/>
    <mergeCell ref="Q9:R9"/>
    <mergeCell ref="N11:P11"/>
    <mergeCell ref="Q11:R11"/>
    <mergeCell ref="S11:T11"/>
    <mergeCell ref="U11:V11"/>
    <mergeCell ref="W11:X11"/>
    <mergeCell ref="Y11:Z11"/>
    <mergeCell ref="N12:P12"/>
    <mergeCell ref="Q12:R12"/>
    <mergeCell ref="S12:T12"/>
    <mergeCell ref="U12:V12"/>
    <mergeCell ref="W12:X12"/>
    <mergeCell ref="Y12:Z12"/>
    <mergeCell ref="Y21:Z22"/>
    <mergeCell ref="Y25:Z27"/>
    <mergeCell ref="N64:P64"/>
    <mergeCell ref="Y64:Z64"/>
    <mergeCell ref="AA74:AB76"/>
    <mergeCell ref="M3:M5"/>
    <mergeCell ref="N3:P5"/>
    <mergeCell ref="Q3:R5"/>
    <mergeCell ref="S3:T5"/>
    <mergeCell ref="U3:V5"/>
    <mergeCell ref="W3:X5"/>
    <mergeCell ref="Y3:Z5"/>
    <mergeCell ref="N6:P6"/>
    <mergeCell ref="Q6:R6"/>
    <mergeCell ref="S6:T6"/>
    <mergeCell ref="U6:V6"/>
    <mergeCell ref="W6:X6"/>
    <mergeCell ref="Y6:Z6"/>
    <mergeCell ref="N7:P7"/>
    <mergeCell ref="Q7:R7"/>
    <mergeCell ref="S7:T7"/>
    <mergeCell ref="N74:P76"/>
    <mergeCell ref="Q74:R76"/>
    <mergeCell ref="U7:V7"/>
    <mergeCell ref="W7:X7"/>
    <mergeCell ref="Y7:Z7"/>
    <mergeCell ref="N14:P14"/>
    <mergeCell ref="Q14:R14"/>
    <mergeCell ref="M28:M29"/>
    <mergeCell ref="N28:P29"/>
    <mergeCell ref="Q28:R29"/>
    <mergeCell ref="S28:T29"/>
    <mergeCell ref="U28:V29"/>
    <mergeCell ref="W28:X29"/>
    <mergeCell ref="Y28:Z29"/>
    <mergeCell ref="N63:P63"/>
    <mergeCell ref="W56:X56"/>
    <mergeCell ref="W57:X57"/>
    <mergeCell ref="W58:X58"/>
    <mergeCell ref="U52:V54"/>
    <mergeCell ref="U55:V55"/>
    <mergeCell ref="U56:V56"/>
    <mergeCell ref="U57:V57"/>
    <mergeCell ref="U58:V58"/>
    <mergeCell ref="Q59:R59"/>
    <mergeCell ref="Q60:R60"/>
    <mergeCell ref="N52:P54"/>
    <mergeCell ref="N58:P58"/>
    <mergeCell ref="N59:P59"/>
    <mergeCell ref="N60:P60"/>
    <mergeCell ref="N61:P61"/>
    <mergeCell ref="N62:P62"/>
    <mergeCell ref="AL43:AM43"/>
    <mergeCell ref="M67:M69"/>
    <mergeCell ref="N67:P69"/>
    <mergeCell ref="Q67:R69"/>
    <mergeCell ref="S67:T69"/>
    <mergeCell ref="U67:V69"/>
    <mergeCell ref="W67:X69"/>
    <mergeCell ref="Y67:Z69"/>
    <mergeCell ref="Y62:Z62"/>
    <mergeCell ref="Y63:Z63"/>
    <mergeCell ref="W64:X64"/>
    <mergeCell ref="Y52:Z54"/>
    <mergeCell ref="Y55:Z55"/>
    <mergeCell ref="Y56:Z56"/>
    <mergeCell ref="Y60:Z60"/>
    <mergeCell ref="W59:X59"/>
    <mergeCell ref="W60:X60"/>
    <mergeCell ref="Y57:Z57"/>
    <mergeCell ref="Y58:Z58"/>
    <mergeCell ref="W61:X61"/>
    <mergeCell ref="W62:X62"/>
    <mergeCell ref="W63:X63"/>
    <mergeCell ref="W52:X54"/>
    <mergeCell ref="W55:X55"/>
    <mergeCell ref="B2:I2"/>
    <mergeCell ref="M52:M54"/>
    <mergeCell ref="N55:P55"/>
    <mergeCell ref="N56:P56"/>
    <mergeCell ref="N57:P57"/>
    <mergeCell ref="G3:G5"/>
    <mergeCell ref="H3:H5"/>
    <mergeCell ref="I3:I5"/>
    <mergeCell ref="I6:I29"/>
    <mergeCell ref="B18:B23"/>
    <mergeCell ref="B24:B29"/>
    <mergeCell ref="E3:E5"/>
    <mergeCell ref="F3:F5"/>
    <mergeCell ref="B6:B11"/>
    <mergeCell ref="B12:B17"/>
    <mergeCell ref="B3:B5"/>
    <mergeCell ref="M23:AB24"/>
    <mergeCell ref="M25:M27"/>
    <mergeCell ref="N25:P27"/>
    <mergeCell ref="Q25:R27"/>
    <mergeCell ref="S25:T27"/>
    <mergeCell ref="U25:V27"/>
    <mergeCell ref="W25:X27"/>
    <mergeCell ref="S21:T22"/>
    <mergeCell ref="C3:C5"/>
    <mergeCell ref="D3:D5"/>
    <mergeCell ref="N9:P9"/>
    <mergeCell ref="I55:I78"/>
    <mergeCell ref="M16:AB17"/>
    <mergeCell ref="M18:M20"/>
    <mergeCell ref="N18:P20"/>
    <mergeCell ref="Q18:R20"/>
    <mergeCell ref="S18:T20"/>
    <mergeCell ref="U18:V20"/>
    <mergeCell ref="W18:X20"/>
    <mergeCell ref="Y18:Z20"/>
    <mergeCell ref="AA18:AB20"/>
    <mergeCell ref="M21:M22"/>
    <mergeCell ref="N21:P22"/>
    <mergeCell ref="Q21:R22"/>
    <mergeCell ref="Y59:Z59"/>
    <mergeCell ref="M74:M76"/>
    <mergeCell ref="S74:T76"/>
    <mergeCell ref="U74:V76"/>
    <mergeCell ref="W74:X76"/>
    <mergeCell ref="Y74:Z76"/>
    <mergeCell ref="U21:V22"/>
    <mergeCell ref="W21:X22"/>
    <mergeCell ref="Q64:R64"/>
    <mergeCell ref="S64:T64"/>
    <mergeCell ref="U64:V64"/>
    <mergeCell ref="Q57:R57"/>
    <mergeCell ref="Q58:R58"/>
    <mergeCell ref="S62:T62"/>
    <mergeCell ref="S63:T63"/>
    <mergeCell ref="S52:T54"/>
    <mergeCell ref="S55:T55"/>
    <mergeCell ref="S56:T56"/>
    <mergeCell ref="S57:T57"/>
    <mergeCell ref="S58:T58"/>
    <mergeCell ref="S59:T59"/>
    <mergeCell ref="S60:T60"/>
    <mergeCell ref="S61:T61"/>
    <mergeCell ref="Q61:R61"/>
    <mergeCell ref="Q62:R62"/>
    <mergeCell ref="Q63:R63"/>
    <mergeCell ref="Q52:R54"/>
    <mergeCell ref="Q55:R55"/>
    <mergeCell ref="Q56:R56"/>
    <mergeCell ref="M38:M40"/>
    <mergeCell ref="M41:M43"/>
    <mergeCell ref="B55:B60"/>
    <mergeCell ref="B50:I51"/>
    <mergeCell ref="B87:B88"/>
    <mergeCell ref="C87:C88"/>
    <mergeCell ref="D87:D88"/>
    <mergeCell ref="B61:B66"/>
    <mergeCell ref="B67:B72"/>
    <mergeCell ref="B73:B78"/>
    <mergeCell ref="B52:B54"/>
    <mergeCell ref="C52:C54"/>
    <mergeCell ref="D52:D54"/>
    <mergeCell ref="E52:E54"/>
    <mergeCell ref="F52:F54"/>
    <mergeCell ref="G52:G54"/>
    <mergeCell ref="H52:H54"/>
    <mergeCell ref="I52:I54"/>
    <mergeCell ref="F38:F39"/>
    <mergeCell ref="M50:AB51"/>
    <mergeCell ref="AA52:AB54"/>
    <mergeCell ref="AA55:AB55"/>
    <mergeCell ref="AA56:AB56"/>
    <mergeCell ref="AA64:AB64"/>
    <mergeCell ref="AD65:AH65"/>
    <mergeCell ref="AD67:AF67"/>
    <mergeCell ref="AD68:AF68"/>
    <mergeCell ref="AD69:AF69"/>
    <mergeCell ref="AD72:AE72"/>
    <mergeCell ref="M65:AB66"/>
    <mergeCell ref="M72:AB73"/>
    <mergeCell ref="M70:M71"/>
    <mergeCell ref="N70:P71"/>
    <mergeCell ref="Q70:R71"/>
    <mergeCell ref="S70:T71"/>
    <mergeCell ref="U70:V71"/>
    <mergeCell ref="AA70:AB71"/>
    <mergeCell ref="AA67:AB69"/>
    <mergeCell ref="AA63:AB63"/>
    <mergeCell ref="AA62:AB62"/>
    <mergeCell ref="AA61:AB61"/>
    <mergeCell ref="AA60:AB60"/>
    <mergeCell ref="AA59:AB59"/>
    <mergeCell ref="AA58:AB58"/>
    <mergeCell ref="AA57:AB57"/>
    <mergeCell ref="U62:V62"/>
    <mergeCell ref="U63:V63"/>
    <mergeCell ref="U59:V59"/>
    <mergeCell ref="U60:V60"/>
    <mergeCell ref="U61:V61"/>
    <mergeCell ref="Y61:Z61"/>
    <mergeCell ref="M2:AB2"/>
    <mergeCell ref="AA3:AB5"/>
    <mergeCell ref="AA6:AB6"/>
    <mergeCell ref="AA7:AB7"/>
    <mergeCell ref="AA8:AB8"/>
    <mergeCell ref="AA9:AB9"/>
    <mergeCell ref="AA10:AB10"/>
    <mergeCell ref="AA11:AB11"/>
    <mergeCell ref="AA12:AB12"/>
    <mergeCell ref="N8:P8"/>
    <mergeCell ref="Q8:R8"/>
    <mergeCell ref="S8:T8"/>
    <mergeCell ref="U8:V8"/>
    <mergeCell ref="W8:X8"/>
    <mergeCell ref="Y8:Z8"/>
    <mergeCell ref="S9:T9"/>
    <mergeCell ref="U9:V9"/>
    <mergeCell ref="W9:X9"/>
    <mergeCell ref="Y9:Z9"/>
    <mergeCell ref="N10:P10"/>
    <mergeCell ref="Q10:R10"/>
    <mergeCell ref="S10:T10"/>
    <mergeCell ref="U10:V10"/>
    <mergeCell ref="W10:X10"/>
    <mergeCell ref="AD16:AH16"/>
    <mergeCell ref="AD18:AF18"/>
    <mergeCell ref="AD19:AF19"/>
    <mergeCell ref="AD20:AF20"/>
    <mergeCell ref="AD23:AE23"/>
    <mergeCell ref="M35:M37"/>
    <mergeCell ref="AA13:AB13"/>
    <mergeCell ref="AA14:AB14"/>
    <mergeCell ref="AA15:AB15"/>
    <mergeCell ref="AA21:AB22"/>
    <mergeCell ref="AA25:AB27"/>
    <mergeCell ref="AA28:AB29"/>
    <mergeCell ref="N15:P15"/>
    <mergeCell ref="Q15:R15"/>
    <mergeCell ref="S15:T15"/>
    <mergeCell ref="U15:V15"/>
    <mergeCell ref="W15:X15"/>
    <mergeCell ref="Y15:Z15"/>
    <mergeCell ref="N13:P13"/>
    <mergeCell ref="Q13:R13"/>
    <mergeCell ref="S13:T13"/>
    <mergeCell ref="U13:V13"/>
    <mergeCell ref="W13:X13"/>
    <mergeCell ref="Y13:Z13"/>
    <mergeCell ref="K25:K29"/>
    <mergeCell ref="K74:K78"/>
    <mergeCell ref="B82:I83"/>
    <mergeCell ref="B84:B86"/>
    <mergeCell ref="C84:C86"/>
    <mergeCell ref="D84:D86"/>
    <mergeCell ref="E84:E86"/>
    <mergeCell ref="F84:F86"/>
    <mergeCell ref="G84:G86"/>
    <mergeCell ref="H84:I86"/>
    <mergeCell ref="B33:I34"/>
    <mergeCell ref="B35:B37"/>
    <mergeCell ref="C35:C37"/>
    <mergeCell ref="D35:D37"/>
    <mergeCell ref="E35:E37"/>
    <mergeCell ref="F35:F37"/>
    <mergeCell ref="H35:I37"/>
    <mergeCell ref="H38:I39"/>
    <mergeCell ref="G38:G39"/>
    <mergeCell ref="G35:G37"/>
    <mergeCell ref="B38:B39"/>
    <mergeCell ref="C38:C39"/>
    <mergeCell ref="D38:D39"/>
    <mergeCell ref="E38:E39"/>
    <mergeCell ref="E87:E88"/>
    <mergeCell ref="F87:F88"/>
    <mergeCell ref="G87:G88"/>
    <mergeCell ref="H87:I88"/>
    <mergeCell ref="M33:AB34"/>
    <mergeCell ref="AA35:AB37"/>
    <mergeCell ref="AA38:AB43"/>
    <mergeCell ref="Y35:Z37"/>
    <mergeCell ref="Y38:Z40"/>
    <mergeCell ref="Y41:Z43"/>
    <mergeCell ref="U35:X37"/>
    <mergeCell ref="U38:X38"/>
    <mergeCell ref="U39:X39"/>
    <mergeCell ref="U40:X40"/>
    <mergeCell ref="U41:X41"/>
    <mergeCell ref="U42:X42"/>
    <mergeCell ref="U43:X43"/>
    <mergeCell ref="Q35:T37"/>
    <mergeCell ref="Q38:T38"/>
    <mergeCell ref="Q39:T39"/>
    <mergeCell ref="Q40:T40"/>
    <mergeCell ref="Q41:T41"/>
    <mergeCell ref="Q42:T42"/>
    <mergeCell ref="Q43:T43"/>
    <mergeCell ref="N35:P37"/>
    <mergeCell ref="N38:P38"/>
    <mergeCell ref="N39:P39"/>
    <mergeCell ref="N40:P40"/>
    <mergeCell ref="N41:P41"/>
    <mergeCell ref="N42:P42"/>
    <mergeCell ref="N43:P43"/>
    <mergeCell ref="M82:AB83"/>
    <mergeCell ref="M84:M86"/>
    <mergeCell ref="N84:P86"/>
    <mergeCell ref="Q84:T86"/>
    <mergeCell ref="U84:X86"/>
    <mergeCell ref="Y84:Z86"/>
    <mergeCell ref="AA84:AB86"/>
    <mergeCell ref="M77:M78"/>
    <mergeCell ref="N77:P78"/>
    <mergeCell ref="Q77:R78"/>
    <mergeCell ref="S77:T78"/>
    <mergeCell ref="U77:V78"/>
    <mergeCell ref="W77:X78"/>
    <mergeCell ref="Y77:Z78"/>
    <mergeCell ref="AA77:AB78"/>
    <mergeCell ref="W70:X71"/>
    <mergeCell ref="Y70:Z71"/>
    <mergeCell ref="M87:M89"/>
    <mergeCell ref="N87:P87"/>
    <mergeCell ref="Q87:T87"/>
    <mergeCell ref="U87:X87"/>
    <mergeCell ref="Y87:Z89"/>
    <mergeCell ref="AA87:AB92"/>
    <mergeCell ref="N88:P88"/>
    <mergeCell ref="Q88:T88"/>
    <mergeCell ref="U88:X88"/>
    <mergeCell ref="N89:P89"/>
    <mergeCell ref="Q89:T89"/>
    <mergeCell ref="U89:X89"/>
    <mergeCell ref="M90:M92"/>
    <mergeCell ref="N90:P90"/>
    <mergeCell ref="Q90:T90"/>
    <mergeCell ref="U90:X90"/>
    <mergeCell ref="Y90:Z92"/>
    <mergeCell ref="N91:P91"/>
    <mergeCell ref="Q91:T91"/>
    <mergeCell ref="U91:X91"/>
    <mergeCell ref="N92:P92"/>
    <mergeCell ref="Q92:T92"/>
    <mergeCell ref="U92:X92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7"/>
  <sheetViews>
    <sheetView zoomScale="125" zoomScaleNormal="69" workbookViewId="0">
      <selection activeCell="H17" sqref="H17:I17"/>
    </sheetView>
  </sheetViews>
  <sheetFormatPr baseColWidth="10" defaultColWidth="11.1640625" defaultRowHeight="16"/>
  <cols>
    <col min="11" max="11" width="17.6640625" customWidth="1"/>
    <col min="15" max="15" width="17" bestFit="1" customWidth="1"/>
    <col min="16" max="16" width="18.1640625" customWidth="1"/>
    <col min="17" max="17" width="16.1640625" bestFit="1" customWidth="1"/>
    <col min="18" max="18" width="17" bestFit="1" customWidth="1"/>
    <col min="19" max="19" width="19" bestFit="1" customWidth="1"/>
  </cols>
  <sheetData>
    <row r="1" spans="1:24">
      <c r="A1" s="105"/>
      <c r="B1" s="105"/>
      <c r="C1" s="105"/>
      <c r="D1" s="105"/>
      <c r="E1" s="105"/>
      <c r="F1" s="105"/>
      <c r="G1" s="105"/>
      <c r="H1" s="105"/>
      <c r="I1" s="105"/>
      <c r="J1" s="105"/>
    </row>
    <row r="2" spans="1:24" ht="17" thickBot="1">
      <c r="A2" s="105"/>
      <c r="B2" s="105"/>
      <c r="C2" s="105"/>
      <c r="D2" s="105"/>
      <c r="E2" s="105"/>
      <c r="F2" s="105"/>
      <c r="G2" s="105"/>
      <c r="H2" s="105"/>
      <c r="I2" s="105"/>
      <c r="J2" s="105"/>
    </row>
    <row r="3" spans="1:24" ht="33" customHeight="1" thickBot="1">
      <c r="A3" s="105"/>
      <c r="B3" s="438" t="s">
        <v>163</v>
      </c>
      <c r="C3" s="439"/>
      <c r="D3" s="439"/>
      <c r="E3" s="439"/>
      <c r="F3" s="439"/>
      <c r="G3" s="439"/>
      <c r="H3" s="439"/>
      <c r="I3" s="440"/>
      <c r="J3" s="105"/>
      <c r="K3" s="450" t="s">
        <v>284</v>
      </c>
      <c r="L3" s="451"/>
      <c r="M3" s="451"/>
      <c r="N3" s="451"/>
      <c r="O3" s="451"/>
      <c r="P3" s="451"/>
      <c r="Q3" s="451"/>
      <c r="R3" s="451"/>
      <c r="S3" s="452"/>
    </row>
    <row r="4" spans="1:24" ht="34.25" customHeight="1" thickBot="1">
      <c r="A4" s="105"/>
      <c r="B4" s="194" t="s">
        <v>158</v>
      </c>
      <c r="C4" s="195"/>
      <c r="D4" s="194" t="s">
        <v>159</v>
      </c>
      <c r="E4" s="195"/>
      <c r="F4" s="468" t="s">
        <v>282</v>
      </c>
      <c r="G4" s="469"/>
      <c r="H4" s="194" t="s">
        <v>283</v>
      </c>
      <c r="I4" s="195"/>
      <c r="J4" s="105"/>
      <c r="K4" s="194" t="s">
        <v>170</v>
      </c>
      <c r="L4" s="195"/>
      <c r="M4" s="453" t="s">
        <v>258</v>
      </c>
      <c r="N4" s="454"/>
      <c r="O4" s="91" t="s">
        <v>260</v>
      </c>
      <c r="P4" s="88" t="s">
        <v>242</v>
      </c>
      <c r="Q4" s="91" t="s">
        <v>261</v>
      </c>
      <c r="R4" s="87" t="s">
        <v>244</v>
      </c>
      <c r="S4" s="88" t="s">
        <v>285</v>
      </c>
    </row>
    <row r="5" spans="1:24" ht="17" thickBot="1">
      <c r="A5" s="105"/>
      <c r="B5" s="464" t="s">
        <v>160</v>
      </c>
      <c r="C5" s="465"/>
      <c r="D5" s="447">
        <v>10</v>
      </c>
      <c r="E5" s="448"/>
      <c r="F5" s="447">
        <v>10</v>
      </c>
      <c r="G5" s="448"/>
      <c r="H5" s="447">
        <f>D5*F5</f>
        <v>100</v>
      </c>
      <c r="I5" s="448"/>
      <c r="J5" s="105"/>
      <c r="K5" s="223" t="s">
        <v>70</v>
      </c>
      <c r="L5" s="75" t="s">
        <v>217</v>
      </c>
      <c r="M5" s="449">
        <f>Magazzini!I6</f>
        <v>25</v>
      </c>
      <c r="N5" s="448"/>
      <c r="O5" s="89" t="s">
        <v>5</v>
      </c>
      <c r="P5" s="94" t="s">
        <v>5</v>
      </c>
      <c r="Q5" s="89" t="s">
        <v>5</v>
      </c>
      <c r="R5" s="94">
        <v>0.96</v>
      </c>
      <c r="S5" s="94">
        <f>M5*R5</f>
        <v>24</v>
      </c>
    </row>
    <row r="6" spans="1:24" ht="17" thickBot="1">
      <c r="A6" s="105"/>
      <c r="B6" s="464" t="s">
        <v>161</v>
      </c>
      <c r="C6" s="465"/>
      <c r="D6" s="447">
        <v>7</v>
      </c>
      <c r="E6" s="448"/>
      <c r="F6" s="447">
        <v>8</v>
      </c>
      <c r="G6" s="448"/>
      <c r="H6" s="447">
        <f>D6*F6</f>
        <v>56</v>
      </c>
      <c r="I6" s="448"/>
      <c r="J6" s="105"/>
      <c r="K6" s="225"/>
      <c r="L6" s="75" t="s">
        <v>262</v>
      </c>
      <c r="M6" s="447">
        <f>Magazzini!H38</f>
        <v>2</v>
      </c>
      <c r="N6" s="448"/>
      <c r="O6" s="89" t="s">
        <v>5</v>
      </c>
      <c r="P6" s="94" t="s">
        <v>5</v>
      </c>
      <c r="Q6" s="89" t="s">
        <v>5</v>
      </c>
      <c r="R6" s="94">
        <v>4</v>
      </c>
      <c r="S6" s="82">
        <f>M6*R6</f>
        <v>8</v>
      </c>
    </row>
    <row r="7" spans="1:24" ht="17" thickBot="1">
      <c r="A7" s="105"/>
      <c r="B7" s="464" t="s">
        <v>162</v>
      </c>
      <c r="C7" s="465"/>
      <c r="D7" s="447">
        <v>2</v>
      </c>
      <c r="E7" s="448"/>
      <c r="F7" s="447">
        <f>1.5*4</f>
        <v>6</v>
      </c>
      <c r="G7" s="448"/>
      <c r="H7" s="447">
        <f>D7*F7</f>
        <v>12</v>
      </c>
      <c r="I7" s="448"/>
      <c r="J7" s="105"/>
      <c r="K7" s="90" t="s">
        <v>171</v>
      </c>
      <c r="L7" s="75" t="s">
        <v>217</v>
      </c>
      <c r="M7" s="447">
        <f>SUM(Magazzini!AA6:AB15,Magazzini!AA21)</f>
        <v>1699</v>
      </c>
      <c r="N7" s="448"/>
      <c r="O7" s="89">
        <v>24</v>
      </c>
      <c r="P7" s="94">
        <f>CEILING((M7/O7),1)</f>
        <v>71</v>
      </c>
      <c r="Q7" s="89">
        <v>2</v>
      </c>
      <c r="R7" s="94" t="s">
        <v>5</v>
      </c>
      <c r="S7" s="82">
        <f>P7*Q7</f>
        <v>142</v>
      </c>
    </row>
    <row r="8" spans="1:24" ht="17" thickBot="1">
      <c r="A8" s="105"/>
      <c r="B8" s="105"/>
      <c r="C8" s="105"/>
      <c r="D8" s="105"/>
      <c r="E8" s="105"/>
      <c r="F8" s="105"/>
      <c r="G8" s="105"/>
      <c r="H8" s="458">
        <f>CEILING((SUM(H5:I7)),1)</f>
        <v>168</v>
      </c>
      <c r="I8" s="459"/>
      <c r="J8" s="105"/>
      <c r="K8" s="75" t="s">
        <v>172</v>
      </c>
      <c r="L8" s="75" t="s">
        <v>217</v>
      </c>
      <c r="M8" s="449">
        <f>Magazzini!AA38</f>
        <v>1247.6853125</v>
      </c>
      <c r="N8" s="448"/>
      <c r="O8" s="89">
        <v>24</v>
      </c>
      <c r="P8" s="94">
        <f>CEILING((M8/O8),1)</f>
        <v>52</v>
      </c>
      <c r="Q8" s="89">
        <v>2</v>
      </c>
      <c r="R8" s="94" t="s">
        <v>5</v>
      </c>
      <c r="S8" s="82">
        <f>P8*Q8</f>
        <v>104</v>
      </c>
    </row>
    <row r="9" spans="1:24" ht="17" thickBot="1">
      <c r="A9" s="105"/>
      <c r="B9" s="105"/>
      <c r="C9" s="105"/>
      <c r="D9" s="105"/>
      <c r="E9" s="105"/>
      <c r="F9" s="105"/>
      <c r="G9" s="105"/>
      <c r="H9" s="105"/>
      <c r="I9" s="105"/>
      <c r="J9" s="105"/>
      <c r="S9" s="80">
        <f>CEILING((SUM(S5:S8)),1)</f>
        <v>278</v>
      </c>
      <c r="U9" s="104"/>
      <c r="V9" s="104"/>
      <c r="W9" s="104"/>
      <c r="X9" s="104"/>
    </row>
    <row r="10" spans="1:24" ht="34.25" customHeight="1" thickBot="1">
      <c r="A10" s="105"/>
      <c r="B10" s="472" t="s">
        <v>164</v>
      </c>
      <c r="C10" s="473"/>
      <c r="D10" s="473"/>
      <c r="E10" s="473"/>
      <c r="F10" s="473"/>
      <c r="G10" s="473"/>
      <c r="H10" s="473"/>
      <c r="I10" s="474"/>
      <c r="J10" s="105"/>
      <c r="R10" s="62"/>
      <c r="U10" s="104"/>
      <c r="V10" s="104"/>
      <c r="W10" s="104"/>
      <c r="X10" s="104"/>
    </row>
    <row r="11" spans="1:24" ht="35" customHeight="1" thickBot="1">
      <c r="A11" s="105"/>
      <c r="B11" s="194" t="s">
        <v>165</v>
      </c>
      <c r="C11" s="195"/>
      <c r="D11" s="194" t="s">
        <v>159</v>
      </c>
      <c r="E11" s="195"/>
      <c r="F11" s="468" t="s">
        <v>282</v>
      </c>
      <c r="G11" s="469"/>
      <c r="H11" s="194" t="s">
        <v>283</v>
      </c>
      <c r="I11" s="195"/>
      <c r="J11" s="105"/>
      <c r="K11" s="444" t="s">
        <v>289</v>
      </c>
      <c r="L11" s="445"/>
      <c r="M11" s="445"/>
      <c r="N11" s="445"/>
      <c r="O11" s="445"/>
      <c r="P11" s="445"/>
      <c r="Q11" s="446"/>
      <c r="R11" s="78"/>
    </row>
    <row r="12" spans="1:24" ht="17" thickBot="1">
      <c r="A12" s="105"/>
      <c r="B12" s="462" t="s">
        <v>166</v>
      </c>
      <c r="C12" s="463"/>
      <c r="D12" s="405">
        <v>6</v>
      </c>
      <c r="E12" s="406"/>
      <c r="F12" s="405">
        <v>9</v>
      </c>
      <c r="G12" s="406"/>
      <c r="H12" s="405">
        <f>D12*F12</f>
        <v>54</v>
      </c>
      <c r="I12" s="406"/>
      <c r="J12" s="105"/>
      <c r="K12" s="76"/>
      <c r="L12" s="78"/>
      <c r="M12" s="78"/>
      <c r="N12" s="78"/>
      <c r="O12" s="78"/>
      <c r="P12" s="78"/>
      <c r="Q12" s="78"/>
      <c r="R12" s="78"/>
    </row>
    <row r="13" spans="1:24" ht="17" thickBot="1">
      <c r="A13" s="105"/>
      <c r="B13" s="460" t="s">
        <v>167</v>
      </c>
      <c r="C13" s="461"/>
      <c r="D13" s="405">
        <v>3</v>
      </c>
      <c r="E13" s="406"/>
      <c r="F13" s="405">
        <v>2</v>
      </c>
      <c r="G13" s="406"/>
      <c r="H13" s="405">
        <f>D13*F13</f>
        <v>6</v>
      </c>
      <c r="I13" s="406"/>
      <c r="J13" s="105"/>
      <c r="K13" s="76"/>
      <c r="L13" s="78"/>
      <c r="M13" s="78"/>
      <c r="N13" s="78"/>
      <c r="O13" s="78"/>
      <c r="P13" s="78"/>
      <c r="Q13" s="78"/>
      <c r="R13" s="78"/>
    </row>
    <row r="14" spans="1:24" ht="17" thickBot="1">
      <c r="A14" s="105"/>
      <c r="B14" s="462" t="s">
        <v>168</v>
      </c>
      <c r="C14" s="463"/>
      <c r="D14" s="405">
        <v>3</v>
      </c>
      <c r="E14" s="406"/>
      <c r="F14" s="405">
        <v>2</v>
      </c>
      <c r="G14" s="406"/>
      <c r="H14" s="405">
        <f>D14*F14</f>
        <v>6</v>
      </c>
      <c r="I14" s="406"/>
      <c r="J14" s="105"/>
      <c r="K14" s="77"/>
      <c r="L14" s="77"/>
      <c r="M14" s="77"/>
      <c r="N14" s="77"/>
      <c r="O14" s="77"/>
      <c r="P14" s="77"/>
      <c r="Q14" s="77"/>
      <c r="R14" s="77"/>
    </row>
    <row r="15" spans="1:24" ht="17" thickBot="1">
      <c r="A15" s="105"/>
      <c r="B15" s="462" t="s">
        <v>169</v>
      </c>
      <c r="C15" s="463"/>
      <c r="D15" s="405">
        <v>1</v>
      </c>
      <c r="E15" s="406"/>
      <c r="F15" s="405">
        <v>12</v>
      </c>
      <c r="G15" s="406"/>
      <c r="H15" s="405">
        <f>D15*F15</f>
        <v>12</v>
      </c>
      <c r="I15" s="406"/>
      <c r="J15" s="105"/>
      <c r="K15" s="77"/>
      <c r="L15" s="77"/>
      <c r="M15" s="77"/>
      <c r="N15" s="77"/>
      <c r="O15" s="77"/>
      <c r="P15" s="77"/>
      <c r="Q15" s="77"/>
      <c r="R15" s="77"/>
    </row>
    <row r="16" spans="1:24" ht="17" thickBot="1">
      <c r="A16" s="105"/>
      <c r="B16" s="105"/>
      <c r="C16" s="105"/>
      <c r="D16" s="105"/>
      <c r="E16" s="105"/>
      <c r="F16" s="105"/>
      <c r="G16" s="105"/>
      <c r="H16" s="470">
        <f>CEILING((SUM(H12:I15)),1)</f>
        <v>78</v>
      </c>
      <c r="I16" s="471"/>
      <c r="J16" s="105"/>
    </row>
    <row r="17" spans="1:20">
      <c r="A17" s="105"/>
      <c r="B17" s="105"/>
      <c r="C17" s="105"/>
      <c r="D17" s="105"/>
      <c r="E17" s="105"/>
      <c r="F17" s="105"/>
      <c r="G17" s="105"/>
      <c r="H17" s="105"/>
      <c r="I17" s="105"/>
      <c r="J17" s="105"/>
    </row>
    <row r="19" spans="1:20">
      <c r="K19" s="62"/>
      <c r="L19" s="62"/>
      <c r="M19" s="62"/>
      <c r="N19" s="62"/>
      <c r="O19" s="62"/>
      <c r="P19" s="62"/>
      <c r="Q19" s="62"/>
      <c r="R19" s="62"/>
    </row>
    <row r="20" spans="1:20">
      <c r="K20" s="76"/>
      <c r="L20" s="62"/>
      <c r="M20" s="62"/>
      <c r="N20" s="62"/>
      <c r="O20" s="62"/>
      <c r="P20" s="62"/>
      <c r="Q20" s="62"/>
      <c r="R20" s="78"/>
    </row>
    <row r="21" spans="1:20" ht="17" thickBot="1">
      <c r="K21" s="76"/>
      <c r="L21" s="78"/>
      <c r="M21" s="78"/>
      <c r="N21" s="78"/>
      <c r="O21" s="78"/>
      <c r="P21" s="78"/>
      <c r="Q21" s="78"/>
      <c r="R21" s="78"/>
    </row>
    <row r="22" spans="1:20" ht="16.25" hidden="1" customHeight="1" thickBot="1">
      <c r="K22" s="76"/>
      <c r="L22" s="78"/>
      <c r="M22" s="78"/>
      <c r="N22" s="78"/>
      <c r="O22" s="78"/>
      <c r="P22" s="78"/>
      <c r="Q22" s="78"/>
      <c r="R22" s="78"/>
    </row>
    <row r="23" spans="1:20" ht="16.25" hidden="1" customHeight="1" thickBot="1">
      <c r="K23" s="77"/>
      <c r="L23" s="77"/>
      <c r="M23" s="77"/>
      <c r="N23" s="77"/>
      <c r="O23" s="77"/>
      <c r="P23" s="77"/>
      <c r="Q23" s="77"/>
      <c r="R23" s="77"/>
    </row>
    <row r="24" spans="1:20" ht="30" customHeight="1" thickBot="1">
      <c r="B24" s="455" t="s">
        <v>229</v>
      </c>
      <c r="C24" s="456"/>
      <c r="D24" s="456"/>
      <c r="E24" s="456"/>
      <c r="F24" s="456"/>
      <c r="G24" s="456"/>
      <c r="H24" s="456"/>
      <c r="I24" s="457"/>
      <c r="K24" s="455" t="s">
        <v>259</v>
      </c>
      <c r="L24" s="456"/>
      <c r="M24" s="456"/>
      <c r="N24" s="456"/>
      <c r="O24" s="456"/>
      <c r="P24" s="456"/>
      <c r="Q24" s="456"/>
      <c r="R24" s="456"/>
      <c r="S24" s="457"/>
      <c r="T24" s="67"/>
    </row>
    <row r="25" spans="1:20" ht="32" customHeight="1" thickBot="1">
      <c r="B25" s="194" t="s">
        <v>158</v>
      </c>
      <c r="C25" s="195"/>
      <c r="D25" s="194" t="s">
        <v>159</v>
      </c>
      <c r="E25" s="195"/>
      <c r="F25" s="468" t="s">
        <v>282</v>
      </c>
      <c r="G25" s="469"/>
      <c r="H25" s="194" t="s">
        <v>283</v>
      </c>
      <c r="I25" s="195"/>
      <c r="K25" s="194" t="s">
        <v>170</v>
      </c>
      <c r="L25" s="195"/>
      <c r="M25" s="466" t="s">
        <v>288</v>
      </c>
      <c r="N25" s="467"/>
      <c r="O25" s="72" t="s">
        <v>260</v>
      </c>
      <c r="P25" s="69" t="s">
        <v>242</v>
      </c>
      <c r="Q25" s="72" t="s">
        <v>261</v>
      </c>
      <c r="R25" s="68" t="s">
        <v>244</v>
      </c>
      <c r="S25" s="81" t="s">
        <v>243</v>
      </c>
    </row>
    <row r="26" spans="1:20" ht="17" thickBot="1">
      <c r="B26" s="464" t="s">
        <v>160</v>
      </c>
      <c r="C26" s="465"/>
      <c r="D26" s="447">
        <v>13</v>
      </c>
      <c r="E26" s="448"/>
      <c r="F26" s="447">
        <v>10</v>
      </c>
      <c r="G26" s="448"/>
      <c r="H26" s="447">
        <f>D26*F26</f>
        <v>130</v>
      </c>
      <c r="I26" s="448"/>
      <c r="K26" s="223" t="s">
        <v>70</v>
      </c>
      <c r="L26" s="75" t="s">
        <v>217</v>
      </c>
      <c r="M26" s="449">
        <f>Magazzini!I55</f>
        <v>33</v>
      </c>
      <c r="N26" s="448"/>
      <c r="O26" s="70" t="s">
        <v>5</v>
      </c>
      <c r="P26" s="26" t="s">
        <v>5</v>
      </c>
      <c r="Q26" s="70" t="s">
        <v>5</v>
      </c>
      <c r="R26" s="89">
        <v>0.96</v>
      </c>
      <c r="S26" s="94">
        <f>M26*R26</f>
        <v>31.68</v>
      </c>
    </row>
    <row r="27" spans="1:20" ht="17" thickBot="1">
      <c r="B27" s="464" t="s">
        <v>161</v>
      </c>
      <c r="C27" s="465"/>
      <c r="D27" s="447">
        <v>8</v>
      </c>
      <c r="E27" s="448"/>
      <c r="F27" s="447">
        <v>8</v>
      </c>
      <c r="G27" s="448"/>
      <c r="H27" s="447">
        <f>D27*F27</f>
        <v>64</v>
      </c>
      <c r="I27" s="448"/>
      <c r="K27" s="225"/>
      <c r="L27" s="75" t="s">
        <v>262</v>
      </c>
      <c r="M27" s="447">
        <f>Magazzini!H87</f>
        <v>2</v>
      </c>
      <c r="N27" s="448"/>
      <c r="O27" s="70" t="s">
        <v>5</v>
      </c>
      <c r="P27" s="26" t="s">
        <v>5</v>
      </c>
      <c r="Q27" s="70" t="s">
        <v>5</v>
      </c>
      <c r="R27" s="26">
        <v>4</v>
      </c>
      <c r="S27" s="82">
        <f>M27*R27</f>
        <v>8</v>
      </c>
    </row>
    <row r="28" spans="1:20" ht="17" thickBot="1">
      <c r="B28" s="464" t="s">
        <v>162</v>
      </c>
      <c r="C28" s="465"/>
      <c r="D28" s="447">
        <v>3</v>
      </c>
      <c r="E28" s="448"/>
      <c r="F28" s="447">
        <f>1.5*4</f>
        <v>6</v>
      </c>
      <c r="G28" s="448"/>
      <c r="H28" s="447">
        <f>D28*F28</f>
        <v>18</v>
      </c>
      <c r="I28" s="448"/>
      <c r="K28" s="71" t="s">
        <v>171</v>
      </c>
      <c r="L28" s="75" t="s">
        <v>217</v>
      </c>
      <c r="M28" s="447">
        <f>SUM(Magazzini!AA55:AB64,Magazzini!AA70)</f>
        <v>2208</v>
      </c>
      <c r="N28" s="448"/>
      <c r="O28" s="70">
        <v>24</v>
      </c>
      <c r="P28" s="26">
        <f>CEILING((M28/O28),1)</f>
        <v>92</v>
      </c>
      <c r="Q28" s="70">
        <v>2</v>
      </c>
      <c r="R28" s="26" t="s">
        <v>5</v>
      </c>
      <c r="S28" s="82">
        <f>P28*Q28</f>
        <v>184</v>
      </c>
    </row>
    <row r="29" spans="1:20" ht="17" thickBot="1">
      <c r="H29" s="458">
        <f>CEILING((SUM(H26:I28)),1)</f>
        <v>212</v>
      </c>
      <c r="I29" s="459"/>
      <c r="K29" s="75" t="s">
        <v>172</v>
      </c>
      <c r="L29" s="75" t="s">
        <v>217</v>
      </c>
      <c r="M29" s="449">
        <f>Magazzini!AA87</f>
        <v>1309.1779166666668</v>
      </c>
      <c r="N29" s="448"/>
      <c r="O29" s="70">
        <v>24</v>
      </c>
      <c r="P29" s="26">
        <f>CEILING((M29/O29),1)</f>
        <v>55</v>
      </c>
      <c r="Q29" s="70">
        <v>2</v>
      </c>
      <c r="R29" s="26" t="s">
        <v>5</v>
      </c>
      <c r="S29" s="82">
        <f>P29*Q29</f>
        <v>110</v>
      </c>
    </row>
    <row r="30" spans="1:20" ht="17" thickBot="1">
      <c r="S30" s="80">
        <f>CEILING((SUM(S26:S29)),1)</f>
        <v>334</v>
      </c>
    </row>
    <row r="31" spans="1:20" ht="34.25" customHeight="1" thickBot="1">
      <c r="B31" s="455" t="s">
        <v>230</v>
      </c>
      <c r="C31" s="456"/>
      <c r="D31" s="456"/>
      <c r="E31" s="456"/>
      <c r="F31" s="456"/>
      <c r="G31" s="456"/>
      <c r="H31" s="456"/>
      <c r="I31" s="457"/>
      <c r="K31" s="77"/>
      <c r="L31" s="78"/>
      <c r="M31" s="78"/>
      <c r="N31" s="78"/>
      <c r="O31" s="78"/>
      <c r="P31" s="78"/>
      <c r="Q31" s="78"/>
      <c r="R31" s="77"/>
    </row>
    <row r="32" spans="1:20" ht="36" customHeight="1" thickBot="1">
      <c r="B32" s="194" t="s">
        <v>165</v>
      </c>
      <c r="C32" s="195"/>
      <c r="D32" s="194" t="s">
        <v>159</v>
      </c>
      <c r="E32" s="195"/>
      <c r="F32" s="468" t="s">
        <v>282</v>
      </c>
      <c r="G32" s="469"/>
      <c r="H32" s="194" t="s">
        <v>283</v>
      </c>
      <c r="I32" s="195"/>
      <c r="K32" s="444" t="s">
        <v>289</v>
      </c>
      <c r="L32" s="445"/>
      <c r="M32" s="445"/>
      <c r="N32" s="445"/>
      <c r="O32" s="445"/>
      <c r="P32" s="445"/>
      <c r="Q32" s="446"/>
      <c r="R32" s="77"/>
    </row>
    <row r="33" spans="2:9" ht="17" thickBot="1">
      <c r="B33" s="462" t="s">
        <v>166</v>
      </c>
      <c r="C33" s="463"/>
      <c r="D33" s="405">
        <v>8</v>
      </c>
      <c r="E33" s="406"/>
      <c r="F33" s="405">
        <v>9</v>
      </c>
      <c r="G33" s="406"/>
      <c r="H33" s="405">
        <f>D33*F33</f>
        <v>72</v>
      </c>
      <c r="I33" s="406"/>
    </row>
    <row r="34" spans="2:9" ht="17" thickBot="1">
      <c r="B34" s="460" t="s">
        <v>167</v>
      </c>
      <c r="C34" s="461"/>
      <c r="D34" s="405">
        <v>4</v>
      </c>
      <c r="E34" s="406"/>
      <c r="F34" s="405">
        <v>2</v>
      </c>
      <c r="G34" s="406"/>
      <c r="H34" s="405">
        <f t="shared" ref="H34:H36" si="0">D34*F34</f>
        <v>8</v>
      </c>
      <c r="I34" s="406"/>
    </row>
    <row r="35" spans="2:9" ht="17" thickBot="1">
      <c r="B35" s="462" t="s">
        <v>168</v>
      </c>
      <c r="C35" s="463"/>
      <c r="D35" s="405">
        <v>4</v>
      </c>
      <c r="E35" s="406"/>
      <c r="F35" s="405">
        <v>2</v>
      </c>
      <c r="G35" s="406"/>
      <c r="H35" s="405">
        <f t="shared" si="0"/>
        <v>8</v>
      </c>
      <c r="I35" s="406"/>
    </row>
    <row r="36" spans="2:9" ht="17" thickBot="1">
      <c r="B36" s="462" t="s">
        <v>169</v>
      </c>
      <c r="C36" s="463"/>
      <c r="D36" s="405">
        <v>1</v>
      </c>
      <c r="E36" s="406"/>
      <c r="F36" s="405">
        <v>12</v>
      </c>
      <c r="G36" s="406"/>
      <c r="H36" s="405">
        <f t="shared" si="0"/>
        <v>12</v>
      </c>
      <c r="I36" s="406"/>
    </row>
    <row r="37" spans="2:9" ht="17" thickBot="1">
      <c r="H37" s="470">
        <f>CEILING((SUM(H33:I36)),1)</f>
        <v>100</v>
      </c>
      <c r="I37" s="471"/>
    </row>
  </sheetData>
  <mergeCells count="98">
    <mergeCell ref="B31:I31"/>
    <mergeCell ref="B32:C32"/>
    <mergeCell ref="D32:E32"/>
    <mergeCell ref="F32:G32"/>
    <mergeCell ref="H32:I32"/>
    <mergeCell ref="H37:I37"/>
    <mergeCell ref="B35:C35"/>
    <mergeCell ref="D35:E35"/>
    <mergeCell ref="F35:G35"/>
    <mergeCell ref="H35:I35"/>
    <mergeCell ref="B36:C36"/>
    <mergeCell ref="D36:E36"/>
    <mergeCell ref="F36:G36"/>
    <mergeCell ref="H36:I36"/>
    <mergeCell ref="B33:C33"/>
    <mergeCell ref="D33:E33"/>
    <mergeCell ref="F33:G33"/>
    <mergeCell ref="H33:I33"/>
    <mergeCell ref="B34:C34"/>
    <mergeCell ref="D34:E34"/>
    <mergeCell ref="F34:G34"/>
    <mergeCell ref="H34:I34"/>
    <mergeCell ref="B3:I3"/>
    <mergeCell ref="B10:I10"/>
    <mergeCell ref="B11:C11"/>
    <mergeCell ref="D11:E11"/>
    <mergeCell ref="F11:G11"/>
    <mergeCell ref="H11:I11"/>
    <mergeCell ref="B7:C7"/>
    <mergeCell ref="D5:E5"/>
    <mergeCell ref="F5:G5"/>
    <mergeCell ref="H5:I5"/>
    <mergeCell ref="D6:E6"/>
    <mergeCell ref="F6:G6"/>
    <mergeCell ref="H6:I6"/>
    <mergeCell ref="D7:E7"/>
    <mergeCell ref="F7:G7"/>
    <mergeCell ref="H7:I7"/>
    <mergeCell ref="B4:C4"/>
    <mergeCell ref="D4:E4"/>
    <mergeCell ref="F4:G4"/>
    <mergeCell ref="H4:I4"/>
    <mergeCell ref="B5:C5"/>
    <mergeCell ref="B6:C6"/>
    <mergeCell ref="H8:I8"/>
    <mergeCell ref="K25:L25"/>
    <mergeCell ref="M25:N25"/>
    <mergeCell ref="M26:N26"/>
    <mergeCell ref="H12:I12"/>
    <mergeCell ref="F25:G25"/>
    <mergeCell ref="H25:I25"/>
    <mergeCell ref="D12:E12"/>
    <mergeCell ref="H16:I16"/>
    <mergeCell ref="H28:I28"/>
    <mergeCell ref="B12:C12"/>
    <mergeCell ref="D15:E15"/>
    <mergeCell ref="F15:G15"/>
    <mergeCell ref="H15:I15"/>
    <mergeCell ref="B27:C27"/>
    <mergeCell ref="D27:E27"/>
    <mergeCell ref="B28:C28"/>
    <mergeCell ref="D28:E28"/>
    <mergeCell ref="F28:G28"/>
    <mergeCell ref="B26:C26"/>
    <mergeCell ref="F12:G12"/>
    <mergeCell ref="F27:G27"/>
    <mergeCell ref="H27:I27"/>
    <mergeCell ref="H29:I29"/>
    <mergeCell ref="B24:I24"/>
    <mergeCell ref="B25:C25"/>
    <mergeCell ref="D25:E25"/>
    <mergeCell ref="B13:C13"/>
    <mergeCell ref="D13:E13"/>
    <mergeCell ref="F13:G13"/>
    <mergeCell ref="H13:I13"/>
    <mergeCell ref="B14:C14"/>
    <mergeCell ref="D14:E14"/>
    <mergeCell ref="D26:E26"/>
    <mergeCell ref="F26:G26"/>
    <mergeCell ref="H26:I26"/>
    <mergeCell ref="F14:G14"/>
    <mergeCell ref="H14:I14"/>
    <mergeCell ref="B15:C15"/>
    <mergeCell ref="K32:Q32"/>
    <mergeCell ref="M7:N7"/>
    <mergeCell ref="M8:N8"/>
    <mergeCell ref="K11:Q11"/>
    <mergeCell ref="K3:S3"/>
    <mergeCell ref="K4:L4"/>
    <mergeCell ref="M4:N4"/>
    <mergeCell ref="K5:K6"/>
    <mergeCell ref="M5:N5"/>
    <mergeCell ref="M6:N6"/>
    <mergeCell ref="K24:S24"/>
    <mergeCell ref="M29:N29"/>
    <mergeCell ref="K26:K27"/>
    <mergeCell ref="M28:N28"/>
    <mergeCell ref="M27:N27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F128"/>
  <sheetViews>
    <sheetView zoomScale="60" zoomScaleNormal="60" workbookViewId="0">
      <selection activeCell="J63" sqref="J63:K64"/>
    </sheetView>
  </sheetViews>
  <sheetFormatPr baseColWidth="10" defaultColWidth="11.1640625" defaultRowHeight="16"/>
  <cols>
    <col min="1" max="1" width="11.1640625" style="155"/>
    <col min="3" max="3" width="17.1640625" customWidth="1"/>
    <col min="4" max="4" width="20.83203125" customWidth="1"/>
    <col min="5" max="5" width="19.1640625" customWidth="1"/>
    <col min="6" max="6" width="17.33203125" customWidth="1"/>
    <col min="7" max="7" width="24" customWidth="1"/>
    <col min="8" max="8" width="18.1640625" customWidth="1"/>
    <col min="9" max="9" width="25.1640625" customWidth="1"/>
    <col min="10" max="11" width="12.6640625" customWidth="1"/>
    <col min="12" max="12" width="11.1640625" style="105"/>
    <col min="14" max="14" width="14" customWidth="1"/>
    <col min="15" max="15" width="14.33203125" customWidth="1"/>
    <col min="16" max="16" width="17" customWidth="1"/>
    <col min="17" max="17" width="14.6640625" customWidth="1"/>
    <col min="18" max="18" width="15.5" customWidth="1"/>
    <col min="19" max="19" width="24" customWidth="1"/>
    <col min="20" max="20" width="18.5" customWidth="1"/>
    <col min="21" max="21" width="24" customWidth="1"/>
  </cols>
  <sheetData>
    <row r="1" spans="1:11" s="105" customFormat="1">
      <c r="A1" s="77"/>
      <c r="B1" s="77"/>
      <c r="C1" s="77"/>
      <c r="D1" s="77"/>
    </row>
    <row r="2" spans="1:11" s="105" customFormat="1" ht="16.25" customHeight="1" thickBot="1">
      <c r="A2" s="77"/>
      <c r="B2" s="144"/>
      <c r="C2" s="145"/>
      <c r="D2" s="102"/>
    </row>
    <row r="3" spans="1:11" ht="16.25" customHeight="1">
      <c r="A3" s="158"/>
      <c r="B3" s="373" t="s">
        <v>245</v>
      </c>
      <c r="C3" s="374"/>
      <c r="D3" s="374"/>
      <c r="E3" s="374"/>
      <c r="F3" s="374"/>
      <c r="G3" s="374"/>
      <c r="H3" s="374"/>
      <c r="I3" s="374"/>
      <c r="J3" s="374"/>
      <c r="K3" s="375"/>
    </row>
    <row r="4" spans="1:11" ht="17" thickBot="1">
      <c r="A4" s="158"/>
      <c r="B4" s="376"/>
      <c r="C4" s="377"/>
      <c r="D4" s="377"/>
      <c r="E4" s="377"/>
      <c r="F4" s="377"/>
      <c r="G4" s="377"/>
      <c r="H4" s="377"/>
      <c r="I4" s="377"/>
      <c r="J4" s="377"/>
      <c r="K4" s="378"/>
    </row>
    <row r="5" spans="1:11" ht="16.5" customHeight="1">
      <c r="A5" s="158"/>
      <c r="B5" s="246" t="s">
        <v>336</v>
      </c>
      <c r="C5" s="254"/>
      <c r="D5" s="248" t="s">
        <v>323</v>
      </c>
      <c r="E5" s="250"/>
      <c r="F5" s="246" t="s">
        <v>246</v>
      </c>
      <c r="G5" s="254"/>
      <c r="H5" s="248" t="s">
        <v>309</v>
      </c>
      <c r="I5" s="250"/>
      <c r="J5" s="248" t="s">
        <v>308</v>
      </c>
      <c r="K5" s="250"/>
    </row>
    <row r="6" spans="1:11" ht="17" thickBot="1">
      <c r="A6" s="158"/>
      <c r="B6" s="337"/>
      <c r="C6" s="338"/>
      <c r="D6" s="238"/>
      <c r="E6" s="379"/>
      <c r="F6" s="337"/>
      <c r="G6" s="338"/>
      <c r="H6" s="238"/>
      <c r="I6" s="379"/>
      <c r="J6" s="238"/>
      <c r="K6" s="379"/>
    </row>
    <row r="7" spans="1:11" ht="17" thickBot="1">
      <c r="A7" s="158"/>
      <c r="B7" s="482" t="s">
        <v>247</v>
      </c>
      <c r="C7" s="483"/>
      <c r="D7" s="405">
        <v>50</v>
      </c>
      <c r="E7" s="406"/>
      <c r="F7" s="405">
        <v>25</v>
      </c>
      <c r="G7" s="406"/>
      <c r="H7" s="405">
        <f>(D7/24)*F7*0.001</f>
        <v>5.2083333333333336E-2</v>
      </c>
      <c r="I7" s="406"/>
      <c r="J7" s="369">
        <f>SUM(H7:H8)</f>
        <v>0.13541666666666669</v>
      </c>
      <c r="K7" s="370"/>
    </row>
    <row r="8" spans="1:11" ht="17" thickBot="1">
      <c r="A8" s="159"/>
      <c r="B8" s="482" t="s">
        <v>248</v>
      </c>
      <c r="C8" s="483"/>
      <c r="D8" s="405">
        <v>80</v>
      </c>
      <c r="E8" s="406"/>
      <c r="F8" s="405">
        <v>25</v>
      </c>
      <c r="G8" s="406"/>
      <c r="H8" s="405">
        <f>(D8/24)*F8*0.001</f>
        <v>8.3333333333333343E-2</v>
      </c>
      <c r="I8" s="406"/>
      <c r="J8" s="371"/>
      <c r="K8" s="372"/>
    </row>
    <row r="9" spans="1:11" s="105" customFormat="1" ht="16.25" customHeight="1">
      <c r="A9" s="78"/>
    </row>
    <row r="10" spans="1:11" s="105" customFormat="1" ht="15.5" customHeight="1" thickBot="1">
      <c r="A10" s="78"/>
      <c r="B10" s="78"/>
      <c r="C10" s="78"/>
    </row>
    <row r="11" spans="1:11" ht="18" customHeight="1">
      <c r="A11" s="159"/>
      <c r="B11" s="291" t="s">
        <v>357</v>
      </c>
      <c r="C11" s="384"/>
      <c r="D11" s="384"/>
      <c r="E11" s="384"/>
      <c r="F11" s="384"/>
      <c r="G11" s="384"/>
      <c r="H11" s="384"/>
      <c r="I11" s="384"/>
      <c r="J11" s="384"/>
      <c r="K11" s="292"/>
    </row>
    <row r="12" spans="1:11" ht="17" thickBot="1">
      <c r="A12" s="158"/>
      <c r="B12" s="275"/>
      <c r="C12" s="385"/>
      <c r="D12" s="385"/>
      <c r="E12" s="385"/>
      <c r="F12" s="385"/>
      <c r="G12" s="385"/>
      <c r="H12" s="385"/>
      <c r="I12" s="385"/>
      <c r="J12" s="385"/>
      <c r="K12" s="294"/>
    </row>
    <row r="13" spans="1:11">
      <c r="B13" s="246" t="s">
        <v>173</v>
      </c>
      <c r="C13" s="254"/>
      <c r="D13" s="246" t="s">
        <v>178</v>
      </c>
      <c r="E13" s="254"/>
      <c r="F13" s="248" t="s">
        <v>310</v>
      </c>
      <c r="G13" s="250"/>
      <c r="H13" s="248" t="s">
        <v>311</v>
      </c>
      <c r="I13" s="250"/>
      <c r="J13" s="248" t="s">
        <v>312</v>
      </c>
      <c r="K13" s="250"/>
    </row>
    <row r="14" spans="1:11" ht="17" thickBot="1">
      <c r="B14" s="247"/>
      <c r="C14" s="256"/>
      <c r="D14" s="247"/>
      <c r="E14" s="256"/>
      <c r="F14" s="239"/>
      <c r="G14" s="252"/>
      <c r="H14" s="239"/>
      <c r="I14" s="252"/>
      <c r="J14" s="239"/>
      <c r="K14" s="252"/>
    </row>
    <row r="15" spans="1:11" ht="17" thickBot="1">
      <c r="B15" s="482" t="s">
        <v>4</v>
      </c>
      <c r="C15" s="483"/>
      <c r="D15" s="214">
        <v>10</v>
      </c>
      <c r="E15" s="216"/>
      <c r="F15" s="405">
        <v>2.5</v>
      </c>
      <c r="G15" s="406"/>
      <c r="H15" s="405">
        <f>D15*F15</f>
        <v>25</v>
      </c>
      <c r="I15" s="406"/>
      <c r="J15" s="369">
        <f>SUM(H15:I17)</f>
        <v>41</v>
      </c>
      <c r="K15" s="370"/>
    </row>
    <row r="16" spans="1:11" ht="17" thickBot="1">
      <c r="B16" s="482" t="s">
        <v>6</v>
      </c>
      <c r="C16" s="483"/>
      <c r="D16" s="214">
        <v>7</v>
      </c>
      <c r="E16" s="216"/>
      <c r="F16" s="405">
        <v>2</v>
      </c>
      <c r="G16" s="406"/>
      <c r="H16" s="405">
        <f>D16*F16</f>
        <v>14</v>
      </c>
      <c r="I16" s="406"/>
      <c r="J16" s="488"/>
      <c r="K16" s="489"/>
    </row>
    <row r="17" spans="2:32" ht="17" thickBot="1">
      <c r="B17" s="482" t="s">
        <v>7</v>
      </c>
      <c r="C17" s="483"/>
      <c r="D17" s="214">
        <v>2</v>
      </c>
      <c r="E17" s="216"/>
      <c r="F17" s="405">
        <v>1</v>
      </c>
      <c r="G17" s="406"/>
      <c r="H17" s="405">
        <f>D17*F17</f>
        <v>2</v>
      </c>
      <c r="I17" s="406"/>
      <c r="J17" s="371"/>
      <c r="K17" s="372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</row>
    <row r="18" spans="2:32" s="105" customFormat="1"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</row>
    <row r="19" spans="2:32" s="105" customFormat="1" ht="17" thickBot="1">
      <c r="M19" s="155"/>
      <c r="N19" s="155"/>
      <c r="O19" s="155"/>
      <c r="P19" s="165"/>
      <c r="Q19" s="155"/>
      <c r="R19" s="155"/>
      <c r="S19" s="155"/>
      <c r="T19" s="155"/>
      <c r="U19" s="155"/>
      <c r="V19" s="155"/>
      <c r="W19" s="155"/>
      <c r="X19" s="155"/>
      <c r="Y19" s="155"/>
      <c r="Z19" s="158"/>
      <c r="AA19" s="158"/>
      <c r="AB19" s="155"/>
    </row>
    <row r="20" spans="2:32">
      <c r="B20" s="291" t="s">
        <v>327</v>
      </c>
      <c r="C20" s="384"/>
      <c r="D20" s="384"/>
      <c r="E20" s="384"/>
      <c r="F20" s="384"/>
      <c r="G20" s="384"/>
      <c r="H20" s="384"/>
      <c r="I20" s="384"/>
      <c r="J20" s="384"/>
      <c r="K20" s="292"/>
      <c r="M20" s="155"/>
      <c r="N20" s="426" t="s">
        <v>353</v>
      </c>
      <c r="O20" s="427"/>
      <c r="P20" s="427"/>
      <c r="Q20" s="427"/>
      <c r="R20" s="427"/>
      <c r="S20" s="427"/>
      <c r="T20" s="427"/>
      <c r="U20" s="427"/>
      <c r="V20" s="427"/>
      <c r="W20" s="427"/>
      <c r="X20" s="427"/>
      <c r="Y20" s="427"/>
      <c r="Z20" s="427"/>
      <c r="AA20" s="428"/>
      <c r="AB20" s="155"/>
    </row>
    <row r="21" spans="2:32" ht="17" thickBot="1">
      <c r="B21" s="275"/>
      <c r="C21" s="385"/>
      <c r="D21" s="385"/>
      <c r="E21" s="385"/>
      <c r="F21" s="385"/>
      <c r="G21" s="385"/>
      <c r="H21" s="385"/>
      <c r="I21" s="385"/>
      <c r="J21" s="385"/>
      <c r="K21" s="294"/>
      <c r="M21" s="155"/>
      <c r="N21" s="429"/>
      <c r="O21" s="430"/>
      <c r="P21" s="430"/>
      <c r="Q21" s="430"/>
      <c r="R21" s="430"/>
      <c r="S21" s="430"/>
      <c r="T21" s="430"/>
      <c r="U21" s="430"/>
      <c r="V21" s="430"/>
      <c r="W21" s="430"/>
      <c r="X21" s="430"/>
      <c r="Y21" s="430"/>
      <c r="Z21" s="430"/>
      <c r="AA21" s="431"/>
      <c r="AB21" s="155"/>
    </row>
    <row r="22" spans="2:32" ht="16.5" customHeight="1" thickBot="1">
      <c r="B22" s="432" t="s">
        <v>313</v>
      </c>
      <c r="C22" s="432"/>
      <c r="D22" s="432" t="s">
        <v>314</v>
      </c>
      <c r="E22" s="432"/>
      <c r="F22" s="432" t="s">
        <v>315</v>
      </c>
      <c r="G22" s="432"/>
      <c r="H22" s="432" t="s">
        <v>316</v>
      </c>
      <c r="I22" s="432"/>
      <c r="J22" s="432" t="s">
        <v>324</v>
      </c>
      <c r="K22" s="432"/>
      <c r="M22" s="155"/>
      <c r="N22" s="433" t="s">
        <v>312</v>
      </c>
      <c r="O22" s="433"/>
      <c r="P22" s="433" t="s">
        <v>313</v>
      </c>
      <c r="Q22" s="433"/>
      <c r="R22" s="433" t="s">
        <v>314</v>
      </c>
      <c r="S22" s="433"/>
      <c r="T22" s="433" t="s">
        <v>315</v>
      </c>
      <c r="U22" s="433"/>
      <c r="V22" s="248" t="s">
        <v>316</v>
      </c>
      <c r="W22" s="249"/>
      <c r="X22" s="250"/>
      <c r="Y22" s="248" t="s">
        <v>324</v>
      </c>
      <c r="Z22" s="249"/>
      <c r="AA22" s="250"/>
      <c r="AB22" s="155"/>
    </row>
    <row r="23" spans="2:32" ht="17" thickBot="1">
      <c r="B23" s="432"/>
      <c r="C23" s="432"/>
      <c r="D23" s="432"/>
      <c r="E23" s="432"/>
      <c r="F23" s="432"/>
      <c r="G23" s="432"/>
      <c r="H23" s="432"/>
      <c r="I23" s="432"/>
      <c r="J23" s="432"/>
      <c r="K23" s="432"/>
      <c r="M23" s="155"/>
      <c r="N23" s="433"/>
      <c r="O23" s="433"/>
      <c r="P23" s="433"/>
      <c r="Q23" s="433"/>
      <c r="R23" s="433"/>
      <c r="S23" s="433"/>
      <c r="T23" s="433"/>
      <c r="U23" s="433"/>
      <c r="V23" s="239"/>
      <c r="W23" s="251"/>
      <c r="X23" s="252"/>
      <c r="Y23" s="239"/>
      <c r="Z23" s="251"/>
      <c r="AA23" s="252"/>
      <c r="AB23" s="155"/>
    </row>
    <row r="24" spans="2:32" ht="17" thickBot="1">
      <c r="B24" s="475">
        <f>J15/3600</f>
        <v>1.1388888888888889E-2</v>
      </c>
      <c r="C24" s="475"/>
      <c r="D24" s="475">
        <f>((B24*4)/(1*3.14))^(1/2)*1000</f>
        <v>120.44973520917499</v>
      </c>
      <c r="E24" s="475"/>
      <c r="F24" s="475">
        <v>300000</v>
      </c>
      <c r="G24" s="475"/>
      <c r="H24" s="475">
        <f>((F24*D24/1000)/(2*117.9*1000000))*1000</f>
        <v>0.15324393792515906</v>
      </c>
      <c r="I24" s="475"/>
      <c r="J24" s="475">
        <f>D24+(2*H24)</f>
        <v>120.75622308502531</v>
      </c>
      <c r="K24" s="475"/>
      <c r="M24" s="155"/>
      <c r="N24" s="477">
        <v>5.25</v>
      </c>
      <c r="O24" s="477"/>
      <c r="P24" s="477">
        <f>N24/3600</f>
        <v>1.4583333333333334E-3</v>
      </c>
      <c r="Q24" s="477"/>
      <c r="R24" s="477">
        <f>((P24*4)/(1*3.14))^(1/2)*1000</f>
        <v>43.101617941957088</v>
      </c>
      <c r="S24" s="477"/>
      <c r="T24" s="477">
        <v>300000</v>
      </c>
      <c r="U24" s="477"/>
      <c r="V24" s="519">
        <f>((T24*R24/1000)/(2*117.9*1000000))*1000</f>
        <v>5.4836664048291454E-2</v>
      </c>
      <c r="W24" s="520"/>
      <c r="X24" s="521"/>
      <c r="Y24" s="519">
        <f>R24+2*V24</f>
        <v>43.211291270053671</v>
      </c>
      <c r="Z24" s="520"/>
      <c r="AA24" s="521"/>
      <c r="AB24" s="155"/>
    </row>
    <row r="25" spans="2:32" ht="17" thickBot="1">
      <c r="B25" s="475"/>
      <c r="C25" s="475"/>
      <c r="D25" s="475"/>
      <c r="E25" s="475"/>
      <c r="F25" s="475"/>
      <c r="G25" s="475"/>
      <c r="H25" s="475"/>
      <c r="I25" s="475"/>
      <c r="J25" s="475"/>
      <c r="K25" s="475"/>
      <c r="M25" s="155"/>
      <c r="N25" s="477"/>
      <c r="O25" s="477"/>
      <c r="P25" s="477"/>
      <c r="Q25" s="477"/>
      <c r="R25" s="477"/>
      <c r="S25" s="477"/>
      <c r="T25" s="477"/>
      <c r="U25" s="477"/>
      <c r="V25" s="522"/>
      <c r="W25" s="523"/>
      <c r="X25" s="524"/>
      <c r="Y25" s="522"/>
      <c r="Z25" s="523"/>
      <c r="AA25" s="524"/>
      <c r="AB25" s="155"/>
    </row>
    <row r="26" spans="2:32" ht="16.5" customHeight="1" thickBot="1">
      <c r="B26" s="479" t="s">
        <v>326</v>
      </c>
      <c r="C26" s="480"/>
      <c r="D26" s="480"/>
      <c r="E26" s="480"/>
      <c r="F26" s="480"/>
      <c r="G26" s="481"/>
      <c r="H26" s="105"/>
      <c r="I26" s="105"/>
      <c r="J26" s="105"/>
      <c r="K26" s="105"/>
      <c r="M26" s="155"/>
      <c r="N26" s="479" t="s">
        <v>326</v>
      </c>
      <c r="O26" s="480"/>
      <c r="P26" s="480"/>
      <c r="Q26" s="480"/>
      <c r="R26" s="480"/>
      <c r="S26" s="481"/>
      <c r="T26" s="175"/>
      <c r="U26" s="175"/>
      <c r="V26" s="155"/>
      <c r="W26" s="155"/>
      <c r="X26" s="155"/>
      <c r="Y26" s="155"/>
      <c r="Z26" s="158"/>
      <c r="AA26" s="158"/>
      <c r="AB26" s="155"/>
    </row>
    <row r="27" spans="2:32" s="105" customFormat="1"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8"/>
      <c r="AA27" s="158"/>
      <c r="AB27" s="155"/>
      <c r="AC27" s="106"/>
      <c r="AD27" s="106"/>
      <c r="AE27" s="106"/>
      <c r="AF27" s="106"/>
    </row>
    <row r="28" spans="2:32" s="105" customFormat="1" ht="17" thickBot="1">
      <c r="E28" s="106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9"/>
      <c r="AA28" s="159"/>
      <c r="AB28" s="159"/>
      <c r="AC28" s="106"/>
      <c r="AD28" s="106"/>
      <c r="AE28" s="106"/>
      <c r="AF28" s="106"/>
    </row>
    <row r="29" spans="2:32">
      <c r="B29" s="291" t="s">
        <v>327</v>
      </c>
      <c r="C29" s="384"/>
      <c r="D29" s="384"/>
      <c r="E29" s="384"/>
      <c r="F29" s="384"/>
      <c r="G29" s="384"/>
      <c r="H29" s="384"/>
      <c r="I29" s="292"/>
      <c r="J29" s="105"/>
      <c r="K29" s="105"/>
      <c r="M29" s="155"/>
      <c r="N29" s="426" t="s">
        <v>353</v>
      </c>
      <c r="O29" s="427"/>
      <c r="P29" s="427"/>
      <c r="Q29" s="427"/>
      <c r="R29" s="427"/>
      <c r="S29" s="427"/>
      <c r="T29" s="427"/>
      <c r="U29" s="428"/>
      <c r="V29" s="155"/>
      <c r="W29" s="155"/>
      <c r="X29" s="155"/>
      <c r="Y29" s="155"/>
      <c r="Z29" s="159"/>
      <c r="AA29" s="159"/>
      <c r="AB29" s="159"/>
      <c r="AC29" s="106"/>
      <c r="AD29" s="106"/>
      <c r="AE29" s="106"/>
      <c r="AF29" s="106"/>
    </row>
    <row r="30" spans="2:32" ht="17" thickBot="1">
      <c r="B30" s="275"/>
      <c r="C30" s="385"/>
      <c r="D30" s="385"/>
      <c r="E30" s="385"/>
      <c r="F30" s="385"/>
      <c r="G30" s="385"/>
      <c r="H30" s="385"/>
      <c r="I30" s="294"/>
      <c r="J30" s="105"/>
      <c r="K30" s="105"/>
      <c r="M30" s="155"/>
      <c r="N30" s="429"/>
      <c r="O30" s="430"/>
      <c r="P30" s="430"/>
      <c r="Q30" s="430"/>
      <c r="R30" s="430"/>
      <c r="S30" s="430"/>
      <c r="T30" s="430"/>
      <c r="U30" s="431"/>
      <c r="V30" s="155"/>
      <c r="W30" s="155"/>
      <c r="X30" s="155"/>
      <c r="Y30" s="155"/>
      <c r="Z30" s="159"/>
      <c r="AA30" s="159"/>
      <c r="AB30" s="159"/>
      <c r="AC30" s="106"/>
      <c r="AD30" s="106"/>
      <c r="AE30" s="106"/>
      <c r="AF30" s="106"/>
    </row>
    <row r="31" spans="2:32" ht="17" thickBot="1">
      <c r="B31" s="433" t="s">
        <v>249</v>
      </c>
      <c r="C31" s="433"/>
      <c r="D31" s="432" t="s">
        <v>325</v>
      </c>
      <c r="E31" s="432"/>
      <c r="F31" s="433" t="s">
        <v>317</v>
      </c>
      <c r="G31" s="478"/>
      <c r="H31" s="433" t="s">
        <v>251</v>
      </c>
      <c r="I31" s="433"/>
      <c r="J31" s="105"/>
      <c r="K31" s="105"/>
      <c r="M31" s="155"/>
      <c r="N31" s="433" t="s">
        <v>249</v>
      </c>
      <c r="O31" s="433"/>
      <c r="P31" s="432" t="s">
        <v>250</v>
      </c>
      <c r="Q31" s="432"/>
      <c r="R31" s="433" t="s">
        <v>317</v>
      </c>
      <c r="S31" s="478"/>
      <c r="T31" s="433" t="s">
        <v>251</v>
      </c>
      <c r="U31" s="433"/>
      <c r="V31" s="155"/>
      <c r="W31" s="155"/>
      <c r="X31" s="155"/>
      <c r="Y31" s="155"/>
      <c r="Z31" s="159"/>
      <c r="AA31" s="159"/>
      <c r="AB31" s="159"/>
      <c r="AC31" s="106"/>
      <c r="AD31" s="106"/>
      <c r="AE31" s="106"/>
      <c r="AF31" s="106"/>
    </row>
    <row r="32" spans="2:32" ht="18.75" customHeight="1" thickBot="1">
      <c r="B32" s="433"/>
      <c r="C32" s="433"/>
      <c r="D32" s="432"/>
      <c r="E32" s="432"/>
      <c r="F32" s="478"/>
      <c r="G32" s="478"/>
      <c r="H32" s="433"/>
      <c r="I32" s="433"/>
      <c r="J32" s="105"/>
      <c r="K32" s="105"/>
      <c r="M32" s="155"/>
      <c r="N32" s="433"/>
      <c r="O32" s="433"/>
      <c r="P32" s="432"/>
      <c r="Q32" s="432"/>
      <c r="R32" s="478"/>
      <c r="S32" s="478"/>
      <c r="T32" s="433"/>
      <c r="U32" s="433"/>
      <c r="V32" s="155"/>
      <c r="W32" s="155"/>
      <c r="X32" s="155"/>
      <c r="Y32" s="155"/>
      <c r="Z32" s="159"/>
      <c r="AA32" s="159"/>
      <c r="AB32" s="159"/>
      <c r="AC32" s="106"/>
      <c r="AD32" s="106"/>
      <c r="AE32" s="106"/>
      <c r="AF32" s="106"/>
    </row>
    <row r="33" spans="1:84" ht="17" thickBot="1">
      <c r="B33" s="476">
        <v>121</v>
      </c>
      <c r="C33" s="476"/>
      <c r="D33" s="476">
        <v>2.6</v>
      </c>
      <c r="E33" s="476"/>
      <c r="F33" s="476">
        <f>B33-2*D33</f>
        <v>115.8</v>
      </c>
      <c r="G33" s="476"/>
      <c r="H33" s="476">
        <f>((B24*4)/(3.14*(F33/1000)^2))</f>
        <v>1.0819185833445468</v>
      </c>
      <c r="I33" s="476"/>
      <c r="J33" s="105"/>
      <c r="K33" s="105"/>
      <c r="M33" s="155"/>
      <c r="N33" s="476">
        <v>44.5</v>
      </c>
      <c r="O33" s="476"/>
      <c r="P33" s="476">
        <v>1.6</v>
      </c>
      <c r="Q33" s="476"/>
      <c r="R33" s="476">
        <f>N33-2*P33</f>
        <v>41.3</v>
      </c>
      <c r="S33" s="476"/>
      <c r="T33" s="476">
        <f>((P24*4)/(3.14*(R33/1000)^2))</f>
        <v>1.0891483617858098</v>
      </c>
      <c r="U33" s="476"/>
      <c r="V33" s="155"/>
      <c r="W33" s="155"/>
      <c r="X33" s="155"/>
      <c r="Y33" s="155"/>
      <c r="Z33" s="159"/>
      <c r="AA33" s="159"/>
      <c r="AB33" s="159"/>
      <c r="AC33" s="106"/>
      <c r="AD33" s="106"/>
      <c r="AE33" s="106"/>
      <c r="AF33" s="106"/>
    </row>
    <row r="34" spans="1:84" ht="17" thickBot="1">
      <c r="B34" s="476"/>
      <c r="C34" s="476"/>
      <c r="D34" s="476"/>
      <c r="E34" s="476"/>
      <c r="F34" s="476"/>
      <c r="G34" s="476"/>
      <c r="H34" s="476"/>
      <c r="I34" s="476"/>
      <c r="J34" s="105"/>
      <c r="K34" s="105"/>
      <c r="M34" s="155"/>
      <c r="N34" s="476"/>
      <c r="O34" s="476"/>
      <c r="P34" s="476"/>
      <c r="Q34" s="476"/>
      <c r="R34" s="476"/>
      <c r="S34" s="476"/>
      <c r="T34" s="476"/>
      <c r="U34" s="476"/>
      <c r="V34" s="155"/>
      <c r="W34" s="155"/>
      <c r="X34" s="155"/>
      <c r="Y34" s="155"/>
      <c r="Z34" s="159"/>
      <c r="AA34" s="159"/>
      <c r="AB34" s="159"/>
      <c r="AC34" s="106"/>
      <c r="AD34" s="106"/>
      <c r="AE34" s="106"/>
      <c r="AF34" s="106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8"/>
    </row>
    <row r="35" spans="1:84" s="105" customFormat="1"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9"/>
      <c r="AA35" s="159"/>
      <c r="AB35" s="159"/>
      <c r="AC35" s="106"/>
      <c r="AD35" s="106"/>
      <c r="AE35" s="106"/>
      <c r="AF35" s="106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  <c r="BV35" s="78"/>
      <c r="BW35" s="78"/>
      <c r="BX35" s="78"/>
      <c r="BY35" s="78"/>
      <c r="BZ35" s="78"/>
      <c r="CA35" s="78"/>
      <c r="CB35" s="78"/>
      <c r="CC35" s="78"/>
      <c r="CD35" s="78"/>
      <c r="CE35" s="78"/>
      <c r="CF35" s="78"/>
    </row>
    <row r="36" spans="1:84" s="172" customFormat="1" ht="17" thickBot="1">
      <c r="A36" s="169"/>
      <c r="B36" s="170"/>
      <c r="C36" s="170"/>
      <c r="D36" s="171"/>
      <c r="AC36" s="106"/>
      <c r="AD36" s="106"/>
      <c r="AE36" s="106"/>
      <c r="AF36" s="106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78"/>
      <c r="CF36" s="78"/>
    </row>
    <row r="37" spans="1:84" ht="16.5" customHeight="1">
      <c r="A37" s="158"/>
      <c r="B37" s="291" t="s">
        <v>358</v>
      </c>
      <c r="C37" s="384"/>
      <c r="D37" s="384"/>
      <c r="E37" s="384"/>
      <c r="F37" s="384"/>
      <c r="G37" s="384"/>
      <c r="H37" s="384"/>
      <c r="I37" s="384"/>
      <c r="J37" s="384"/>
      <c r="K37" s="292"/>
      <c r="L37" s="155"/>
      <c r="M37" s="155"/>
      <c r="N37" s="426" t="s">
        <v>360</v>
      </c>
      <c r="O37" s="427"/>
      <c r="P37" s="427"/>
      <c r="Q37" s="427"/>
      <c r="R37" s="427"/>
      <c r="S37" s="427"/>
      <c r="T37" s="427"/>
      <c r="U37" s="427"/>
      <c r="V37" s="427"/>
      <c r="W37" s="427"/>
      <c r="X37" s="427"/>
      <c r="Y37" s="427"/>
      <c r="Z37" s="427"/>
      <c r="AA37" s="428"/>
      <c r="AB37" s="155"/>
      <c r="AC37" s="106"/>
      <c r="AD37" s="106"/>
      <c r="AE37" s="106"/>
      <c r="AF37" s="106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78"/>
      <c r="CF37" s="78"/>
    </row>
    <row r="38" spans="1:84" ht="17" thickBot="1">
      <c r="A38" s="158"/>
      <c r="B38" s="275"/>
      <c r="C38" s="385"/>
      <c r="D38" s="385"/>
      <c r="E38" s="385"/>
      <c r="F38" s="385"/>
      <c r="G38" s="385"/>
      <c r="H38" s="385"/>
      <c r="I38" s="385"/>
      <c r="J38" s="385"/>
      <c r="K38" s="294"/>
      <c r="L38" s="155"/>
      <c r="M38" s="155"/>
      <c r="N38" s="429"/>
      <c r="O38" s="430"/>
      <c r="P38" s="430"/>
      <c r="Q38" s="430"/>
      <c r="R38" s="430"/>
      <c r="S38" s="430"/>
      <c r="T38" s="430"/>
      <c r="U38" s="430"/>
      <c r="V38" s="430"/>
      <c r="W38" s="430"/>
      <c r="X38" s="430"/>
      <c r="Y38" s="430"/>
      <c r="Z38" s="430"/>
      <c r="AA38" s="431"/>
      <c r="AB38" s="155"/>
      <c r="AC38" s="106"/>
      <c r="AD38" s="106"/>
      <c r="AE38" s="106"/>
      <c r="AF38" s="106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</row>
    <row r="39" spans="1:84" ht="16.5" customHeight="1">
      <c r="A39" s="158"/>
      <c r="B39" s="248" t="s">
        <v>255</v>
      </c>
      <c r="C39" s="250"/>
      <c r="D39" s="196" t="s">
        <v>252</v>
      </c>
      <c r="E39" s="196" t="s">
        <v>334</v>
      </c>
      <c r="F39" s="196" t="s">
        <v>253</v>
      </c>
      <c r="G39" s="196" t="s">
        <v>338</v>
      </c>
      <c r="H39" s="196" t="s">
        <v>254</v>
      </c>
      <c r="I39" s="196" t="s">
        <v>339</v>
      </c>
      <c r="J39" s="248" t="s">
        <v>335</v>
      </c>
      <c r="K39" s="250"/>
      <c r="L39" s="155"/>
      <c r="M39" s="155"/>
      <c r="N39" s="246" t="s">
        <v>255</v>
      </c>
      <c r="O39" s="254"/>
      <c r="P39" s="196" t="s">
        <v>252</v>
      </c>
      <c r="Q39" s="196" t="s">
        <v>334</v>
      </c>
      <c r="R39" s="196" t="s">
        <v>253</v>
      </c>
      <c r="S39" s="196" t="s">
        <v>338</v>
      </c>
      <c r="T39" s="196" t="s">
        <v>254</v>
      </c>
      <c r="U39" s="196" t="s">
        <v>339</v>
      </c>
      <c r="V39" s="248" t="s">
        <v>329</v>
      </c>
      <c r="W39" s="250"/>
      <c r="X39" s="248" t="s">
        <v>330</v>
      </c>
      <c r="Y39" s="250"/>
      <c r="Z39" s="248" t="s">
        <v>337</v>
      </c>
      <c r="AA39" s="250"/>
      <c r="AB39" s="155"/>
      <c r="AC39" s="106"/>
      <c r="AD39" s="106"/>
      <c r="AE39" s="106"/>
      <c r="AF39" s="106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8"/>
      <c r="CF39" s="78"/>
    </row>
    <row r="40" spans="1:84">
      <c r="A40" s="158"/>
      <c r="B40" s="238"/>
      <c r="C40" s="379"/>
      <c r="D40" s="204"/>
      <c r="E40" s="204"/>
      <c r="F40" s="204"/>
      <c r="G40" s="204"/>
      <c r="H40" s="204"/>
      <c r="I40" s="204"/>
      <c r="J40" s="238"/>
      <c r="K40" s="379"/>
      <c r="L40" s="155"/>
      <c r="M40" s="155"/>
      <c r="N40" s="337"/>
      <c r="O40" s="338"/>
      <c r="P40" s="204"/>
      <c r="Q40" s="204"/>
      <c r="R40" s="204"/>
      <c r="S40" s="204"/>
      <c r="T40" s="204"/>
      <c r="U40" s="204"/>
      <c r="V40" s="238"/>
      <c r="W40" s="379"/>
      <c r="X40" s="238"/>
      <c r="Y40" s="379"/>
      <c r="Z40" s="238"/>
      <c r="AA40" s="379"/>
      <c r="AB40" s="155"/>
      <c r="AC40" s="106"/>
      <c r="AD40" s="106"/>
      <c r="AE40" s="106"/>
      <c r="AF40" s="106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</row>
    <row r="41" spans="1:84" ht="17" thickBot="1">
      <c r="B41" s="239"/>
      <c r="C41" s="252"/>
      <c r="D41" s="197"/>
      <c r="E41" s="197"/>
      <c r="F41" s="197"/>
      <c r="G41" s="197"/>
      <c r="H41" s="197"/>
      <c r="I41" s="197"/>
      <c r="J41" s="239"/>
      <c r="K41" s="252"/>
      <c r="L41" s="155"/>
      <c r="M41" s="155"/>
      <c r="N41" s="247"/>
      <c r="O41" s="256"/>
      <c r="P41" s="197"/>
      <c r="Q41" s="197"/>
      <c r="R41" s="197"/>
      <c r="S41" s="197"/>
      <c r="T41" s="197"/>
      <c r="U41" s="197"/>
      <c r="V41" s="239"/>
      <c r="W41" s="252"/>
      <c r="X41" s="239"/>
      <c r="Y41" s="252"/>
      <c r="Z41" s="239"/>
      <c r="AA41" s="252"/>
      <c r="AB41" s="155"/>
      <c r="AC41" s="106"/>
      <c r="AD41" s="106"/>
      <c r="AE41" s="106"/>
      <c r="AF41" s="106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</row>
    <row r="42" spans="1:84">
      <c r="B42" s="369">
        <f>B33*0.001</f>
        <v>0.121</v>
      </c>
      <c r="C42" s="370"/>
      <c r="D42" s="369">
        <v>2</v>
      </c>
      <c r="E42" s="202">
        <f>D42*B42*EXP(1.3)</f>
        <v>0.88796979356385708</v>
      </c>
      <c r="F42" s="525">
        <v>1</v>
      </c>
      <c r="G42" s="202">
        <f>F42*B42*EXP(1.9)</f>
        <v>0.8089932275157915</v>
      </c>
      <c r="H42" s="369">
        <v>4</v>
      </c>
      <c r="I42" s="202">
        <f>H42*B42*EXP(2.53)</f>
        <v>6.075896970147423</v>
      </c>
      <c r="J42" s="369">
        <f>SUM(E42,G42,I42)</f>
        <v>7.7728599912270715</v>
      </c>
      <c r="K42" s="370"/>
      <c r="L42" s="155"/>
      <c r="M42" s="155"/>
      <c r="N42" s="369">
        <f>N33*0.001</f>
        <v>4.4499999999999998E-2</v>
      </c>
      <c r="O42" s="370"/>
      <c r="P42" s="202">
        <v>2</v>
      </c>
      <c r="Q42" s="202">
        <f>P42*N42*EXP(1.3)</f>
        <v>0.32656740341811274</v>
      </c>
      <c r="R42" s="202">
        <v>1</v>
      </c>
      <c r="S42" s="202">
        <f>R42*N42*EXP(1.9)</f>
        <v>0.29752230268142743</v>
      </c>
      <c r="T42" s="202">
        <v>2</v>
      </c>
      <c r="U42" s="202">
        <f>T42*N42*EXP(2.53)</f>
        <v>1.1172620461634724</v>
      </c>
      <c r="V42" s="369">
        <f>SUM(Q42,S42,U42)</f>
        <v>1.7413517522630126</v>
      </c>
      <c r="W42" s="370"/>
      <c r="X42" s="369">
        <v>60</v>
      </c>
      <c r="Y42" s="370"/>
      <c r="Z42" s="369">
        <f>V42+X42</f>
        <v>61.741351752263014</v>
      </c>
      <c r="AA42" s="370"/>
      <c r="AB42" s="155"/>
      <c r="AC42" s="106"/>
      <c r="AD42" s="106"/>
      <c r="AE42" s="106"/>
      <c r="AF42" s="106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</row>
    <row r="43" spans="1:84" ht="17" thickBot="1">
      <c r="B43" s="371"/>
      <c r="C43" s="372"/>
      <c r="D43" s="371"/>
      <c r="E43" s="203"/>
      <c r="F43" s="526"/>
      <c r="G43" s="203"/>
      <c r="H43" s="371"/>
      <c r="I43" s="203"/>
      <c r="J43" s="371"/>
      <c r="K43" s="372"/>
      <c r="L43" s="155"/>
      <c r="M43" s="155"/>
      <c r="N43" s="371"/>
      <c r="O43" s="372"/>
      <c r="P43" s="203"/>
      <c r="Q43" s="203"/>
      <c r="R43" s="203"/>
      <c r="S43" s="203"/>
      <c r="T43" s="203"/>
      <c r="U43" s="203"/>
      <c r="V43" s="371"/>
      <c r="W43" s="372"/>
      <c r="X43" s="371"/>
      <c r="Y43" s="372"/>
      <c r="Z43" s="371"/>
      <c r="AA43" s="372"/>
      <c r="AB43" s="155"/>
      <c r="AC43" s="106"/>
      <c r="AD43" s="106"/>
      <c r="AE43" s="106"/>
      <c r="AF43" s="106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</row>
    <row r="44" spans="1:84">
      <c r="B44" s="291" t="s">
        <v>359</v>
      </c>
      <c r="C44" s="384"/>
      <c r="D44" s="384"/>
      <c r="E44" s="384"/>
      <c r="F44" s="384"/>
      <c r="G44" s="384"/>
      <c r="H44" s="384"/>
      <c r="I44" s="384"/>
      <c r="J44" s="384"/>
      <c r="K44" s="292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74"/>
      <c r="Y44" s="174"/>
      <c r="Z44" s="174"/>
      <c r="AA44" s="174"/>
      <c r="AB44" s="155"/>
      <c r="AC44" s="106"/>
      <c r="AD44" s="106"/>
      <c r="AE44" s="106"/>
      <c r="AF44" s="106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</row>
    <row r="45" spans="1:84" ht="17" thickBot="1">
      <c r="B45" s="275"/>
      <c r="C45" s="385"/>
      <c r="D45" s="385"/>
      <c r="E45" s="385"/>
      <c r="F45" s="385"/>
      <c r="G45" s="385"/>
      <c r="H45" s="385"/>
      <c r="I45" s="385"/>
      <c r="J45" s="385"/>
      <c r="K45" s="294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06"/>
      <c r="AD45" s="106"/>
      <c r="AE45" s="106"/>
      <c r="AF45" s="106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</row>
    <row r="46" spans="1:84">
      <c r="B46" s="484" t="s">
        <v>333</v>
      </c>
      <c r="C46" s="485"/>
      <c r="D46" s="248" t="s">
        <v>332</v>
      </c>
      <c r="E46" s="250"/>
      <c r="F46" s="248" t="s">
        <v>331</v>
      </c>
      <c r="G46" s="250"/>
      <c r="H46" s="248" t="s">
        <v>330</v>
      </c>
      <c r="I46" s="250"/>
      <c r="J46" s="248" t="s">
        <v>337</v>
      </c>
      <c r="K46" s="250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06"/>
      <c r="AD46" s="106"/>
      <c r="AE46" s="106"/>
      <c r="AF46" s="106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</row>
    <row r="47" spans="1:84" ht="17" thickBot="1">
      <c r="B47" s="486"/>
      <c r="C47" s="487"/>
      <c r="D47" s="239"/>
      <c r="E47" s="252"/>
      <c r="F47" s="239"/>
      <c r="G47" s="252"/>
      <c r="H47" s="239"/>
      <c r="I47" s="252"/>
      <c r="J47" s="239"/>
      <c r="K47" s="252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06"/>
      <c r="AD47" s="106"/>
      <c r="AE47" s="106"/>
      <c r="AF47" s="106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</row>
    <row r="48" spans="1:84">
      <c r="B48" s="492">
        <v>4.5</v>
      </c>
      <c r="C48" s="493"/>
      <c r="D48" s="492">
        <v>14</v>
      </c>
      <c r="E48" s="493"/>
      <c r="F48" s="492">
        <v>16.75</v>
      </c>
      <c r="G48" s="493"/>
      <c r="H48" s="369">
        <f>SUM(B48:G48)</f>
        <v>35.25</v>
      </c>
      <c r="I48" s="370"/>
      <c r="J48" s="369">
        <f>J42+H48</f>
        <v>43.022859991227072</v>
      </c>
      <c r="K48" s="370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06"/>
      <c r="AD48" s="106"/>
      <c r="AE48" s="106"/>
      <c r="AF48" s="106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</row>
    <row r="49" spans="1:84" ht="17" thickBot="1">
      <c r="B49" s="494"/>
      <c r="C49" s="495"/>
      <c r="D49" s="494"/>
      <c r="E49" s="495"/>
      <c r="F49" s="494"/>
      <c r="G49" s="495"/>
      <c r="H49" s="371"/>
      <c r="I49" s="372"/>
      <c r="J49" s="371"/>
      <c r="K49" s="372"/>
      <c r="L49" s="155"/>
      <c r="M49" s="155"/>
      <c r="N49" s="170"/>
      <c r="O49" s="170"/>
      <c r="P49" s="170"/>
      <c r="Q49" s="170"/>
      <c r="R49" s="170"/>
      <c r="S49" s="170"/>
      <c r="T49" s="169"/>
      <c r="U49" s="169"/>
      <c r="V49" s="169"/>
      <c r="W49" s="169"/>
      <c r="X49" s="155"/>
      <c r="Y49" s="155"/>
      <c r="Z49" s="155"/>
      <c r="AA49" s="155"/>
      <c r="AB49" s="155"/>
      <c r="AC49" s="106"/>
      <c r="AD49" s="106"/>
      <c r="AE49" s="106"/>
      <c r="AF49" s="106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</row>
    <row r="50" spans="1:84" s="155" customFormat="1"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AC50" s="106"/>
      <c r="AD50" s="106"/>
      <c r="AE50" s="106"/>
      <c r="AF50" s="106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</row>
    <row r="51" spans="1:84" s="155" customFormat="1" ht="17" thickBot="1"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AC51" s="106"/>
      <c r="AD51" s="106"/>
      <c r="AE51" s="106"/>
      <c r="AF51" s="106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  <c r="BV51" s="78"/>
      <c r="BW51" s="78"/>
      <c r="BX51" s="78"/>
      <c r="BY51" s="78"/>
      <c r="BZ51" s="78"/>
      <c r="CA51" s="78"/>
      <c r="CB51" s="78"/>
      <c r="CC51" s="78"/>
      <c r="CD51" s="78"/>
      <c r="CE51" s="78"/>
      <c r="CF51" s="78"/>
    </row>
    <row r="52" spans="1:84" ht="15.75" customHeight="1">
      <c r="B52" s="496" t="s">
        <v>321</v>
      </c>
      <c r="C52" s="497"/>
      <c r="D52" s="497"/>
      <c r="E52" s="497"/>
      <c r="F52" s="497"/>
      <c r="G52" s="497"/>
      <c r="H52" s="497"/>
      <c r="I52" s="497"/>
      <c r="J52" s="497"/>
      <c r="K52" s="498"/>
      <c r="L52" s="155"/>
      <c r="M52" s="155"/>
      <c r="N52" s="506" t="s">
        <v>361</v>
      </c>
      <c r="O52" s="507"/>
      <c r="P52" s="507"/>
      <c r="Q52" s="507"/>
      <c r="R52" s="507"/>
      <c r="S52" s="507"/>
      <c r="T52" s="507"/>
      <c r="U52" s="507"/>
      <c r="V52" s="507"/>
      <c r="W52" s="507"/>
      <c r="X52" s="507"/>
      <c r="Y52" s="507"/>
      <c r="Z52" s="507"/>
      <c r="AA52" s="508"/>
      <c r="AB52" s="155"/>
      <c r="AC52" s="106"/>
      <c r="AD52" s="106"/>
      <c r="AE52" s="106"/>
      <c r="AF52" s="106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8"/>
    </row>
    <row r="53" spans="1:84" ht="17" thickBot="1">
      <c r="B53" s="499"/>
      <c r="C53" s="500"/>
      <c r="D53" s="500"/>
      <c r="E53" s="500"/>
      <c r="F53" s="500"/>
      <c r="G53" s="500"/>
      <c r="H53" s="500"/>
      <c r="I53" s="500"/>
      <c r="J53" s="500"/>
      <c r="K53" s="501"/>
      <c r="L53" s="155"/>
      <c r="M53" s="155"/>
      <c r="N53" s="509"/>
      <c r="O53" s="510"/>
      <c r="P53" s="510"/>
      <c r="Q53" s="510"/>
      <c r="R53" s="510"/>
      <c r="S53" s="510"/>
      <c r="T53" s="510"/>
      <c r="U53" s="510"/>
      <c r="V53" s="510"/>
      <c r="W53" s="510"/>
      <c r="X53" s="510"/>
      <c r="Y53" s="510"/>
      <c r="Z53" s="510"/>
      <c r="AA53" s="511"/>
      <c r="AB53" s="155"/>
      <c r="AC53" s="106"/>
      <c r="AD53" s="106"/>
      <c r="AE53" s="106"/>
      <c r="AF53" s="106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8"/>
      <c r="CD53" s="78"/>
      <c r="CE53" s="78"/>
      <c r="CF53" s="78"/>
    </row>
    <row r="54" spans="1:84" ht="31.5" customHeight="1" thickBot="1">
      <c r="A54" s="158"/>
      <c r="B54" s="502" t="s">
        <v>343</v>
      </c>
      <c r="C54" s="503"/>
      <c r="D54" s="120" t="s">
        <v>340</v>
      </c>
      <c r="E54" s="119" t="s">
        <v>341</v>
      </c>
      <c r="F54" s="121" t="s">
        <v>342</v>
      </c>
      <c r="G54" s="119" t="s">
        <v>345</v>
      </c>
      <c r="H54" s="119" t="s">
        <v>256</v>
      </c>
      <c r="I54" s="119" t="s">
        <v>344</v>
      </c>
      <c r="J54" s="468" t="s">
        <v>346</v>
      </c>
      <c r="K54" s="469"/>
      <c r="L54" s="158"/>
      <c r="M54" s="155"/>
      <c r="N54" s="512" t="s">
        <v>343</v>
      </c>
      <c r="O54" s="513"/>
      <c r="P54" s="468" t="s">
        <v>340</v>
      </c>
      <c r="Q54" s="469"/>
      <c r="R54" s="116" t="s">
        <v>341</v>
      </c>
      <c r="S54" s="117" t="s">
        <v>342</v>
      </c>
      <c r="T54" s="468" t="s">
        <v>345</v>
      </c>
      <c r="U54" s="469"/>
      <c r="V54" s="468" t="s">
        <v>256</v>
      </c>
      <c r="W54" s="469"/>
      <c r="X54" s="468" t="s">
        <v>344</v>
      </c>
      <c r="Y54" s="469"/>
      <c r="Z54" s="239" t="s">
        <v>346</v>
      </c>
      <c r="AA54" s="252"/>
      <c r="AB54" s="155"/>
      <c r="AC54" s="106"/>
      <c r="AD54" s="106"/>
      <c r="AE54" s="106"/>
      <c r="AF54" s="106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8"/>
    </row>
    <row r="55" spans="1:84">
      <c r="B55" s="369">
        <v>9.9999999999999995E-7</v>
      </c>
      <c r="C55" s="370"/>
      <c r="D55" s="202">
        <f>H33*(F33/1000)/B55</f>
        <v>125286.17195129851</v>
      </c>
      <c r="E55" s="504">
        <f>0.00005/(F33/1000)</f>
        <v>4.3177892918825565E-4</v>
      </c>
      <c r="F55" s="202">
        <v>1.7999999999999999E-2</v>
      </c>
      <c r="G55" s="202">
        <v>0</v>
      </c>
      <c r="H55" s="202">
        <f>F24/(9.81*1000)</f>
        <v>30.581039755351682</v>
      </c>
      <c r="I55" s="202">
        <f>(F55*J48*(H33^2))/((F33/1000)*2*9.81)</f>
        <v>0.39898207139269121</v>
      </c>
      <c r="J55" s="369">
        <f>SUM(G55:I56)</f>
        <v>30.980021826744373</v>
      </c>
      <c r="K55" s="370"/>
      <c r="L55" s="155"/>
      <c r="M55" s="155"/>
      <c r="N55" s="369">
        <v>9.9999999999999995E-7</v>
      </c>
      <c r="O55" s="370"/>
      <c r="P55" s="369">
        <f>T33*(R33/1000)/N55</f>
        <v>44981.827341753939</v>
      </c>
      <c r="Q55" s="370"/>
      <c r="R55" s="202">
        <f>0.00005/R33</f>
        <v>1.2106537530266345E-6</v>
      </c>
      <c r="S55" s="202">
        <v>2.3E-2</v>
      </c>
      <c r="T55" s="369">
        <v>50</v>
      </c>
      <c r="U55" s="370"/>
      <c r="V55" s="369">
        <f>T24/(9.81*1000)</f>
        <v>30.581039755351682</v>
      </c>
      <c r="W55" s="370"/>
      <c r="X55" s="369">
        <f>(S55*Z42*(T33^2))/((R33/1000)*2*9.81)</f>
        <v>2.0788779846437566</v>
      </c>
      <c r="Y55" s="370"/>
      <c r="Z55" s="369">
        <f>SUM(T55:Y55)</f>
        <v>82.659917739995436</v>
      </c>
      <c r="AA55" s="370"/>
      <c r="AB55" s="155"/>
      <c r="AC55" s="106"/>
      <c r="AD55" s="106"/>
      <c r="AE55" s="106"/>
      <c r="AF55" s="106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  <c r="CA55" s="78"/>
      <c r="CB55" s="78"/>
      <c r="CC55" s="78"/>
      <c r="CD55" s="78"/>
      <c r="CE55" s="78"/>
      <c r="CF55" s="78"/>
    </row>
    <row r="56" spans="1:84" ht="17" thickBot="1">
      <c r="B56" s="371"/>
      <c r="C56" s="372"/>
      <c r="D56" s="203"/>
      <c r="E56" s="505"/>
      <c r="F56" s="203"/>
      <c r="G56" s="203"/>
      <c r="H56" s="203"/>
      <c r="I56" s="203"/>
      <c r="J56" s="371"/>
      <c r="K56" s="372"/>
      <c r="L56" s="155"/>
      <c r="M56" s="155"/>
      <c r="N56" s="371"/>
      <c r="O56" s="372"/>
      <c r="P56" s="371"/>
      <c r="Q56" s="372"/>
      <c r="R56" s="203"/>
      <c r="S56" s="203"/>
      <c r="T56" s="371"/>
      <c r="U56" s="372"/>
      <c r="V56" s="371"/>
      <c r="W56" s="372"/>
      <c r="X56" s="371"/>
      <c r="Y56" s="372"/>
      <c r="Z56" s="371"/>
      <c r="AA56" s="372"/>
      <c r="AB56" s="155"/>
      <c r="AC56" s="106"/>
      <c r="AD56" s="106"/>
      <c r="AE56" s="106"/>
      <c r="AF56" s="106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78"/>
      <c r="CF56" s="78"/>
    </row>
    <row r="57" spans="1:84" s="155" customFormat="1">
      <c r="AC57" s="106"/>
      <c r="AD57" s="106"/>
      <c r="AE57" s="106"/>
      <c r="AF57" s="106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</row>
    <row r="58" spans="1:84" s="155" customFormat="1" ht="17" thickBot="1">
      <c r="AC58" s="106"/>
      <c r="AD58" s="106"/>
      <c r="AE58" s="106"/>
      <c r="AF58" s="106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</row>
    <row r="59" spans="1:84" ht="15.75" customHeight="1">
      <c r="B59" s="496" t="s">
        <v>321</v>
      </c>
      <c r="C59" s="497"/>
      <c r="D59" s="497"/>
      <c r="E59" s="497"/>
      <c r="F59" s="497"/>
      <c r="G59" s="497"/>
      <c r="H59" s="497"/>
      <c r="I59" s="497"/>
      <c r="J59" s="497"/>
      <c r="K59" s="498"/>
      <c r="L59" s="155"/>
      <c r="M59" s="155"/>
      <c r="N59" s="506" t="s">
        <v>361</v>
      </c>
      <c r="O59" s="507"/>
      <c r="P59" s="507"/>
      <c r="Q59" s="507"/>
      <c r="R59" s="507"/>
      <c r="S59" s="507"/>
      <c r="T59" s="507"/>
      <c r="U59" s="507"/>
      <c r="V59" s="507"/>
      <c r="W59" s="507"/>
      <c r="X59" s="507"/>
      <c r="Y59" s="507"/>
      <c r="Z59" s="507"/>
      <c r="AA59" s="508"/>
      <c r="AB59" s="155"/>
      <c r="AC59" s="106"/>
      <c r="AD59" s="106"/>
      <c r="AE59" s="106"/>
      <c r="AF59" s="106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78"/>
      <c r="CF59" s="78"/>
    </row>
    <row r="60" spans="1:84" ht="17" thickBot="1">
      <c r="B60" s="499"/>
      <c r="C60" s="500"/>
      <c r="D60" s="500"/>
      <c r="E60" s="500"/>
      <c r="F60" s="500"/>
      <c r="G60" s="500"/>
      <c r="H60" s="500"/>
      <c r="I60" s="500"/>
      <c r="J60" s="500"/>
      <c r="K60" s="501"/>
      <c r="L60" s="155"/>
      <c r="M60" s="155"/>
      <c r="N60" s="509"/>
      <c r="O60" s="510"/>
      <c r="P60" s="510"/>
      <c r="Q60" s="510"/>
      <c r="R60" s="510"/>
      <c r="S60" s="510"/>
      <c r="T60" s="510"/>
      <c r="U60" s="510"/>
      <c r="V60" s="510"/>
      <c r="W60" s="510"/>
      <c r="X60" s="510"/>
      <c r="Y60" s="510"/>
      <c r="Z60" s="510"/>
      <c r="AA60" s="511"/>
      <c r="AB60" s="155"/>
      <c r="AC60" s="106"/>
      <c r="AD60" s="106"/>
      <c r="AE60" s="106"/>
      <c r="AF60" s="106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</row>
    <row r="61" spans="1:84">
      <c r="B61" s="248" t="s">
        <v>347</v>
      </c>
      <c r="C61" s="250"/>
      <c r="D61" s="196" t="s">
        <v>356</v>
      </c>
      <c r="E61" s="196" t="s">
        <v>346</v>
      </c>
      <c r="F61" s="248" t="s">
        <v>348</v>
      </c>
      <c r="G61" s="250"/>
      <c r="H61" s="196" t="s">
        <v>349</v>
      </c>
      <c r="I61" s="196" t="s">
        <v>350</v>
      </c>
      <c r="J61" s="248" t="s">
        <v>351</v>
      </c>
      <c r="K61" s="250"/>
      <c r="L61" s="155"/>
      <c r="M61" s="155"/>
      <c r="N61" s="337" t="s">
        <v>347</v>
      </c>
      <c r="O61" s="338"/>
      <c r="P61" s="248" t="s">
        <v>356</v>
      </c>
      <c r="Q61" s="250"/>
      <c r="R61" s="248" t="s">
        <v>346</v>
      </c>
      <c r="S61" s="250"/>
      <c r="T61" s="337" t="s">
        <v>348</v>
      </c>
      <c r="U61" s="338"/>
      <c r="V61" s="246" t="s">
        <v>349</v>
      </c>
      <c r="W61" s="254"/>
      <c r="X61" s="246" t="s">
        <v>350</v>
      </c>
      <c r="Y61" s="254"/>
      <c r="Z61" s="238" t="s">
        <v>351</v>
      </c>
      <c r="AA61" s="379"/>
      <c r="AB61" s="155"/>
      <c r="AC61" s="106"/>
      <c r="AD61" s="106"/>
      <c r="AE61" s="106"/>
      <c r="AF61" s="106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</row>
    <row r="62" spans="1:84" ht="17" thickBot="1">
      <c r="B62" s="239"/>
      <c r="C62" s="252"/>
      <c r="D62" s="197"/>
      <c r="E62" s="197"/>
      <c r="F62" s="238"/>
      <c r="G62" s="379"/>
      <c r="H62" s="197"/>
      <c r="I62" s="197"/>
      <c r="J62" s="239"/>
      <c r="K62" s="252"/>
      <c r="L62" s="155"/>
      <c r="M62" s="155"/>
      <c r="N62" s="247"/>
      <c r="O62" s="256"/>
      <c r="P62" s="239"/>
      <c r="Q62" s="252"/>
      <c r="R62" s="239"/>
      <c r="S62" s="252"/>
      <c r="T62" s="337"/>
      <c r="U62" s="338"/>
      <c r="V62" s="247"/>
      <c r="W62" s="256"/>
      <c r="X62" s="247"/>
      <c r="Y62" s="256"/>
      <c r="Z62" s="239"/>
      <c r="AA62" s="252"/>
      <c r="AB62" s="155"/>
      <c r="AC62" s="106"/>
      <c r="AD62" s="106"/>
      <c r="AE62" s="106"/>
      <c r="AF62" s="106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</row>
    <row r="63" spans="1:84">
      <c r="A63" s="158"/>
      <c r="B63" s="369">
        <f>J15*1000/60</f>
        <v>683.33333333333337</v>
      </c>
      <c r="C63" s="370"/>
      <c r="D63" s="202">
        <v>9810</v>
      </c>
      <c r="E63" s="202">
        <f>CEILING(J55,1)</f>
        <v>31</v>
      </c>
      <c r="F63" s="369">
        <f>D63*E63*B24</f>
        <v>3463.4750000000004</v>
      </c>
      <c r="G63" s="370"/>
      <c r="H63" s="490">
        <v>0.65</v>
      </c>
      <c r="I63" s="490">
        <v>0.76</v>
      </c>
      <c r="J63" s="492">
        <f>F63/(H63*I63)</f>
        <v>7011.0829959514167</v>
      </c>
      <c r="K63" s="493"/>
      <c r="L63" s="155"/>
      <c r="M63" s="155"/>
      <c r="N63" s="369">
        <f>N24*1000/60</f>
        <v>87.5</v>
      </c>
      <c r="O63" s="370"/>
      <c r="P63" s="369">
        <v>9810</v>
      </c>
      <c r="Q63" s="370"/>
      <c r="R63" s="369">
        <f>CEILING(Z55,1)</f>
        <v>83</v>
      </c>
      <c r="S63" s="370"/>
      <c r="T63" s="369">
        <f>P63*R63*P24</f>
        <v>1187.41875</v>
      </c>
      <c r="U63" s="370"/>
      <c r="V63" s="369">
        <v>0.68</v>
      </c>
      <c r="W63" s="370"/>
      <c r="X63" s="369">
        <v>0.73</v>
      </c>
      <c r="Y63" s="370"/>
      <c r="Z63" s="369">
        <f>T63/(V63*X63)</f>
        <v>2392.0603344077358</v>
      </c>
      <c r="AA63" s="370"/>
      <c r="AB63" s="155"/>
      <c r="AC63" s="106"/>
      <c r="AD63" s="106"/>
      <c r="AE63" s="106"/>
      <c r="AF63" s="106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8"/>
      <c r="CD63" s="78"/>
      <c r="CE63" s="78"/>
      <c r="CF63" s="78"/>
    </row>
    <row r="64" spans="1:84" ht="17" thickBot="1">
      <c r="A64" s="158"/>
      <c r="B64" s="371"/>
      <c r="C64" s="372"/>
      <c r="D64" s="203"/>
      <c r="E64" s="203"/>
      <c r="F64" s="371"/>
      <c r="G64" s="372"/>
      <c r="H64" s="491"/>
      <c r="I64" s="491"/>
      <c r="J64" s="494"/>
      <c r="K64" s="495"/>
      <c r="L64" s="168"/>
      <c r="M64" s="155"/>
      <c r="N64" s="371"/>
      <c r="O64" s="372"/>
      <c r="P64" s="371"/>
      <c r="Q64" s="372"/>
      <c r="R64" s="371"/>
      <c r="S64" s="372"/>
      <c r="T64" s="371"/>
      <c r="U64" s="372"/>
      <c r="V64" s="371"/>
      <c r="W64" s="372"/>
      <c r="X64" s="371"/>
      <c r="Y64" s="372"/>
      <c r="Z64" s="371"/>
      <c r="AA64" s="372"/>
      <c r="AB64" s="155"/>
      <c r="AC64" s="106"/>
      <c r="AD64" s="106"/>
      <c r="AE64" s="106"/>
      <c r="AF64" s="106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</row>
    <row r="65" spans="1:84" s="155" customFormat="1">
      <c r="A65" s="158"/>
      <c r="B65" s="158"/>
      <c r="C65" s="158"/>
      <c r="E65" s="168"/>
      <c r="F65" s="168"/>
      <c r="G65" s="168"/>
      <c r="H65" s="168"/>
      <c r="I65" s="168"/>
      <c r="J65" s="168"/>
      <c r="K65" s="168"/>
      <c r="L65" s="168"/>
      <c r="AC65" s="106"/>
      <c r="AD65" s="106"/>
      <c r="AE65" s="106"/>
      <c r="AF65" s="106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78"/>
      <c r="CD65" s="78"/>
      <c r="CE65" s="78"/>
      <c r="CF65" s="78"/>
    </row>
    <row r="66" spans="1:84" s="155" customFormat="1">
      <c r="A66" s="158"/>
      <c r="B66" s="158"/>
      <c r="C66" s="173"/>
      <c r="D66" s="166"/>
      <c r="E66" s="166"/>
      <c r="F66" s="166"/>
      <c r="G66" s="166"/>
      <c r="H66" s="166"/>
      <c r="I66" s="166"/>
      <c r="J66" s="166"/>
      <c r="K66" s="167"/>
      <c r="L66" s="167"/>
      <c r="AC66" s="106"/>
      <c r="AD66" s="106"/>
      <c r="AE66" s="106"/>
      <c r="AF66" s="106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78"/>
      <c r="CF66" s="78"/>
    </row>
    <row r="67" spans="1:84">
      <c r="A67" s="158"/>
      <c r="B67" s="77"/>
      <c r="C67" s="146"/>
      <c r="D67" s="146"/>
      <c r="E67" s="146"/>
      <c r="F67" s="146"/>
      <c r="G67" s="146"/>
      <c r="H67" s="146"/>
      <c r="I67" s="146"/>
      <c r="J67" s="146"/>
      <c r="K67" s="110"/>
      <c r="L67" s="110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06"/>
      <c r="AD67" s="106"/>
      <c r="AE67" s="106"/>
      <c r="AF67" s="106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78"/>
      <c r="CF67" s="78"/>
    </row>
    <row r="68" spans="1:84" ht="17" thickBot="1">
      <c r="A68" s="158"/>
      <c r="B68" s="77"/>
      <c r="C68" s="143"/>
      <c r="D68" s="143"/>
      <c r="E68" s="143"/>
      <c r="F68" s="143"/>
      <c r="G68" s="143"/>
      <c r="H68" s="143"/>
      <c r="I68" s="143"/>
      <c r="J68" s="143"/>
      <c r="K68" s="110"/>
      <c r="L68" s="110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06"/>
      <c r="AD68" s="106"/>
      <c r="AE68" s="106"/>
      <c r="AF68" s="106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8"/>
      <c r="CD68" s="78"/>
      <c r="CE68" s="78"/>
      <c r="CF68" s="78"/>
    </row>
    <row r="69" spans="1:84">
      <c r="A69" s="158"/>
      <c r="B69" s="339" t="s">
        <v>322</v>
      </c>
      <c r="C69" s="340"/>
      <c r="D69" s="340"/>
      <c r="E69" s="340"/>
      <c r="F69" s="340"/>
      <c r="G69" s="340"/>
      <c r="H69" s="340"/>
      <c r="I69" s="340"/>
      <c r="J69" s="340"/>
      <c r="K69" s="341"/>
      <c r="L69" s="110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06"/>
      <c r="AD69" s="106"/>
      <c r="AE69" s="106"/>
      <c r="AF69" s="106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  <c r="BV69" s="78"/>
      <c r="BW69" s="78"/>
      <c r="BX69" s="78"/>
      <c r="BY69" s="78"/>
      <c r="BZ69" s="78"/>
      <c r="CA69" s="78"/>
      <c r="CB69" s="78"/>
      <c r="CC69" s="78"/>
      <c r="CD69" s="78"/>
      <c r="CE69" s="78"/>
      <c r="CF69" s="78"/>
    </row>
    <row r="70" spans="1:84" ht="17" thickBot="1">
      <c r="A70" s="158"/>
      <c r="B70" s="342"/>
      <c r="C70" s="343"/>
      <c r="D70" s="343"/>
      <c r="E70" s="343"/>
      <c r="F70" s="343"/>
      <c r="G70" s="343"/>
      <c r="H70" s="343"/>
      <c r="I70" s="343"/>
      <c r="J70" s="343"/>
      <c r="K70" s="344"/>
      <c r="L70" s="77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06"/>
      <c r="AD70" s="106"/>
      <c r="AE70" s="106"/>
      <c r="AF70" s="106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  <c r="BV70" s="78"/>
      <c r="BW70" s="78"/>
      <c r="BX70" s="78"/>
      <c r="BY70" s="78"/>
      <c r="BZ70" s="78"/>
      <c r="CA70" s="78"/>
      <c r="CB70" s="78"/>
      <c r="CC70" s="78"/>
      <c r="CD70" s="78"/>
      <c r="CE70" s="78"/>
      <c r="CF70" s="78"/>
    </row>
    <row r="71" spans="1:84">
      <c r="A71" s="158"/>
      <c r="B71" s="278" t="s">
        <v>173</v>
      </c>
      <c r="C71" s="279"/>
      <c r="D71" s="278" t="s">
        <v>178</v>
      </c>
      <c r="E71" s="279"/>
      <c r="F71" s="348" t="s">
        <v>310</v>
      </c>
      <c r="G71" s="350"/>
      <c r="H71" s="348" t="s">
        <v>311</v>
      </c>
      <c r="I71" s="350"/>
      <c r="J71" s="348" t="s">
        <v>312</v>
      </c>
      <c r="K71" s="350"/>
      <c r="L71" s="77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06"/>
      <c r="AD71" s="106"/>
      <c r="AE71" s="106"/>
      <c r="AF71" s="106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  <c r="BV71" s="78"/>
      <c r="BW71" s="78"/>
      <c r="BX71" s="78"/>
      <c r="BY71" s="78"/>
      <c r="BZ71" s="78"/>
      <c r="CA71" s="78"/>
      <c r="CB71" s="78"/>
      <c r="CC71" s="78"/>
      <c r="CD71" s="78"/>
      <c r="CE71" s="78"/>
      <c r="CF71" s="78"/>
    </row>
    <row r="72" spans="1:84" ht="17" thickBot="1">
      <c r="B72" s="282"/>
      <c r="C72" s="283"/>
      <c r="D72" s="282"/>
      <c r="E72" s="283"/>
      <c r="F72" s="354"/>
      <c r="G72" s="356"/>
      <c r="H72" s="354"/>
      <c r="I72" s="356"/>
      <c r="J72" s="354"/>
      <c r="K72" s="356"/>
      <c r="L72" s="77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06"/>
      <c r="AD72" s="106"/>
      <c r="AE72" s="106"/>
      <c r="AF72" s="106"/>
    </row>
    <row r="73" spans="1:84" ht="17" thickBot="1">
      <c r="B73" s="482" t="s">
        <v>4</v>
      </c>
      <c r="C73" s="483"/>
      <c r="D73" s="214">
        <v>13</v>
      </c>
      <c r="E73" s="216"/>
      <c r="F73" s="405">
        <v>2.5</v>
      </c>
      <c r="G73" s="406"/>
      <c r="H73" s="405">
        <f>D73*F73</f>
        <v>32.5</v>
      </c>
      <c r="I73" s="406"/>
      <c r="J73" s="369">
        <f>SUM(H73:I75)</f>
        <v>51.5</v>
      </c>
      <c r="K73" s="370"/>
      <c r="L73" s="77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06"/>
      <c r="AD73" s="106"/>
      <c r="AE73" s="106"/>
      <c r="AF73" s="106"/>
    </row>
    <row r="74" spans="1:84" ht="17" thickBot="1">
      <c r="B74" s="482" t="s">
        <v>6</v>
      </c>
      <c r="C74" s="483"/>
      <c r="D74" s="214">
        <v>8</v>
      </c>
      <c r="E74" s="216"/>
      <c r="F74" s="405">
        <v>2</v>
      </c>
      <c r="G74" s="406"/>
      <c r="H74" s="405">
        <f>D74*F74</f>
        <v>16</v>
      </c>
      <c r="I74" s="406"/>
      <c r="J74" s="488"/>
      <c r="K74" s="489"/>
      <c r="L74" s="77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06"/>
      <c r="AD74" s="106"/>
      <c r="AE74" s="106"/>
      <c r="AF74" s="106"/>
    </row>
    <row r="75" spans="1:84" ht="17" thickBot="1">
      <c r="B75" s="482" t="s">
        <v>7</v>
      </c>
      <c r="C75" s="483"/>
      <c r="D75" s="214">
        <v>3</v>
      </c>
      <c r="E75" s="216"/>
      <c r="F75" s="405">
        <v>1</v>
      </c>
      <c r="G75" s="406"/>
      <c r="H75" s="405">
        <f>D75*F75</f>
        <v>3</v>
      </c>
      <c r="I75" s="406"/>
      <c r="J75" s="371"/>
      <c r="K75" s="372"/>
      <c r="L75" s="77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06"/>
      <c r="AD75" s="106"/>
      <c r="AE75" s="106"/>
      <c r="AF75" s="106"/>
    </row>
    <row r="76" spans="1:84">
      <c r="L76" s="77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06"/>
      <c r="AD76" s="106"/>
      <c r="AE76" s="106"/>
      <c r="AF76" s="106"/>
    </row>
    <row r="77" spans="1:84" ht="17" thickBot="1">
      <c r="L77" s="77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06"/>
      <c r="AD77" s="106"/>
      <c r="AE77" s="106"/>
      <c r="AF77" s="106"/>
    </row>
    <row r="78" spans="1:84">
      <c r="B78" s="339" t="s">
        <v>328</v>
      </c>
      <c r="C78" s="340"/>
      <c r="D78" s="340"/>
      <c r="E78" s="340"/>
      <c r="F78" s="340"/>
      <c r="G78" s="340"/>
      <c r="H78" s="340"/>
      <c r="I78" s="340"/>
      <c r="J78" s="340"/>
      <c r="K78" s="341"/>
      <c r="L78" s="77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  <c r="AB78" s="155"/>
      <c r="AC78" s="106"/>
      <c r="AD78" s="106"/>
      <c r="AE78" s="106"/>
      <c r="AF78" s="106"/>
    </row>
    <row r="79" spans="1:84" ht="17" thickBot="1">
      <c r="B79" s="342"/>
      <c r="C79" s="343"/>
      <c r="D79" s="343"/>
      <c r="E79" s="343"/>
      <c r="F79" s="343"/>
      <c r="G79" s="343"/>
      <c r="H79" s="343"/>
      <c r="I79" s="343"/>
      <c r="J79" s="343"/>
      <c r="K79" s="344"/>
      <c r="L79" s="77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06"/>
      <c r="AD79" s="106"/>
      <c r="AE79" s="106"/>
      <c r="AF79" s="106"/>
    </row>
    <row r="80" spans="1:84" ht="17" thickBot="1">
      <c r="B80" s="436" t="s">
        <v>313</v>
      </c>
      <c r="C80" s="436"/>
      <c r="D80" s="435" t="s">
        <v>314</v>
      </c>
      <c r="E80" s="435"/>
      <c r="F80" s="435" t="s">
        <v>315</v>
      </c>
      <c r="G80" s="435"/>
      <c r="H80" s="436" t="s">
        <v>316</v>
      </c>
      <c r="I80" s="436"/>
      <c r="J80" s="436" t="s">
        <v>324</v>
      </c>
      <c r="K80" s="436"/>
      <c r="L80" s="102"/>
      <c r="M80" s="102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06"/>
      <c r="AD80" s="106"/>
      <c r="AE80" s="106"/>
      <c r="AF80" s="106"/>
    </row>
    <row r="81" spans="2:32" ht="17" thickBot="1">
      <c r="B81" s="436"/>
      <c r="C81" s="436"/>
      <c r="D81" s="435"/>
      <c r="E81" s="435"/>
      <c r="F81" s="435"/>
      <c r="G81" s="435"/>
      <c r="H81" s="436"/>
      <c r="I81" s="436"/>
      <c r="J81" s="436"/>
      <c r="K81" s="436"/>
      <c r="L81" s="102"/>
      <c r="M81" s="102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06"/>
      <c r="AD81" s="106"/>
      <c r="AE81" s="106"/>
      <c r="AF81" s="106"/>
    </row>
    <row r="82" spans="2:32" ht="17" thickBot="1">
      <c r="B82" s="475">
        <f>J73/3600</f>
        <v>1.4305555555555556E-2</v>
      </c>
      <c r="C82" s="475"/>
      <c r="D82" s="475">
        <f>((B82*4)/(1*3.14))^(1/2)*1000</f>
        <v>134.99495416640298</v>
      </c>
      <c r="E82" s="475"/>
      <c r="F82" s="475">
        <v>300000</v>
      </c>
      <c r="G82" s="475"/>
      <c r="H82" s="475">
        <f>((F82*D82/1000)/(2*117.9*1000000))*1000</f>
        <v>0.17174930555522006</v>
      </c>
      <c r="I82" s="475"/>
      <c r="J82" s="475">
        <f>D82+(2*H82)</f>
        <v>135.33845277751342</v>
      </c>
      <c r="K82" s="475"/>
      <c r="L82" s="78"/>
      <c r="M82" s="78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06"/>
      <c r="AD82" s="106"/>
      <c r="AE82" s="106"/>
      <c r="AF82" s="106"/>
    </row>
    <row r="83" spans="2:32" ht="17" thickBot="1">
      <c r="B83" s="475"/>
      <c r="C83" s="475"/>
      <c r="D83" s="475"/>
      <c r="E83" s="475"/>
      <c r="F83" s="475"/>
      <c r="G83" s="475"/>
      <c r="H83" s="475"/>
      <c r="I83" s="475"/>
      <c r="J83" s="475"/>
      <c r="K83" s="47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06"/>
      <c r="AD83" s="106"/>
      <c r="AE83" s="106"/>
      <c r="AF83" s="106"/>
    </row>
    <row r="84" spans="2:32" ht="17" thickBot="1">
      <c r="B84" s="479" t="s">
        <v>326</v>
      </c>
      <c r="C84" s="480"/>
      <c r="D84" s="480"/>
      <c r="E84" s="480"/>
      <c r="F84" s="480"/>
      <c r="G84" s="481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06"/>
      <c r="AD84" s="106"/>
      <c r="AE84" s="106"/>
      <c r="AF84" s="106"/>
    </row>
    <row r="85" spans="2:32"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06"/>
      <c r="AD85" s="106"/>
      <c r="AE85" s="106"/>
      <c r="AF85" s="106"/>
    </row>
    <row r="86" spans="2:32" ht="17" thickBot="1">
      <c r="E86" s="142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  <c r="AA86" s="155"/>
      <c r="AB86" s="155"/>
      <c r="AC86" s="106"/>
      <c r="AD86" s="106"/>
      <c r="AE86" s="106"/>
      <c r="AF86" s="106"/>
    </row>
    <row r="87" spans="2:32">
      <c r="B87" s="339" t="s">
        <v>328</v>
      </c>
      <c r="C87" s="340"/>
      <c r="D87" s="340"/>
      <c r="E87" s="340"/>
      <c r="F87" s="340"/>
      <c r="G87" s="340"/>
      <c r="H87" s="340"/>
      <c r="I87" s="341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</row>
    <row r="88" spans="2:32" ht="17" thickBot="1">
      <c r="B88" s="342"/>
      <c r="C88" s="343"/>
      <c r="D88" s="343"/>
      <c r="E88" s="343"/>
      <c r="F88" s="343"/>
      <c r="G88" s="343"/>
      <c r="H88" s="343"/>
      <c r="I88" s="344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  <c r="AB88" s="155"/>
    </row>
    <row r="89" spans="2:32" ht="17" thickBot="1">
      <c r="B89" s="436" t="s">
        <v>249</v>
      </c>
      <c r="C89" s="436"/>
      <c r="D89" s="435" t="s">
        <v>325</v>
      </c>
      <c r="E89" s="435"/>
      <c r="F89" s="436" t="s">
        <v>317</v>
      </c>
      <c r="G89" s="514"/>
      <c r="H89" s="436" t="s">
        <v>251</v>
      </c>
      <c r="I89" s="436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  <c r="AA89" s="155"/>
      <c r="AB89" s="155"/>
    </row>
    <row r="90" spans="2:32" ht="17" thickBot="1">
      <c r="B90" s="436"/>
      <c r="C90" s="436"/>
      <c r="D90" s="435"/>
      <c r="E90" s="435"/>
      <c r="F90" s="514"/>
      <c r="G90" s="514"/>
      <c r="H90" s="436"/>
      <c r="I90" s="436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  <c r="AA90" s="155"/>
      <c r="AB90" s="155"/>
    </row>
    <row r="91" spans="2:32" ht="17" thickBot="1">
      <c r="B91" s="476">
        <v>139.69999999999999</v>
      </c>
      <c r="C91" s="476"/>
      <c r="D91" s="476">
        <v>2.6</v>
      </c>
      <c r="E91" s="476"/>
      <c r="F91" s="476">
        <f>B91-2*D91</f>
        <v>134.5</v>
      </c>
      <c r="G91" s="476"/>
      <c r="H91" s="476">
        <f>((B82*4)/(3.14*(F91/1000)^2))</f>
        <v>1.0073734553358433</v>
      </c>
      <c r="I91" s="476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  <c r="AA91" s="155"/>
      <c r="AB91" s="155"/>
    </row>
    <row r="92" spans="2:32" ht="17" thickBot="1">
      <c r="B92" s="476"/>
      <c r="C92" s="476"/>
      <c r="D92" s="476"/>
      <c r="E92" s="476"/>
      <c r="F92" s="476"/>
      <c r="G92" s="476"/>
      <c r="H92" s="476"/>
      <c r="I92" s="476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  <c r="AA92" s="155"/>
      <c r="AB92" s="155"/>
    </row>
    <row r="93" spans="2:32"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  <c r="AB93" s="155"/>
    </row>
    <row r="94" spans="2:32" ht="17" thickBot="1">
      <c r="B94" s="143"/>
      <c r="C94" s="143"/>
      <c r="D94" s="110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</row>
    <row r="95" spans="2:32">
      <c r="B95" s="339" t="s">
        <v>355</v>
      </c>
      <c r="C95" s="340"/>
      <c r="D95" s="340"/>
      <c r="E95" s="340"/>
      <c r="F95" s="340"/>
      <c r="G95" s="340"/>
      <c r="H95" s="340"/>
      <c r="I95" s="340"/>
      <c r="J95" s="340"/>
      <c r="K95" s="341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</row>
    <row r="96" spans="2:32" ht="17" thickBot="1">
      <c r="B96" s="342"/>
      <c r="C96" s="343"/>
      <c r="D96" s="343"/>
      <c r="E96" s="343"/>
      <c r="F96" s="343"/>
      <c r="G96" s="343"/>
      <c r="H96" s="343"/>
      <c r="I96" s="343"/>
      <c r="J96" s="343"/>
      <c r="K96" s="344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</row>
    <row r="97" spans="2:21">
      <c r="B97" s="278" t="s">
        <v>255</v>
      </c>
      <c r="C97" s="279"/>
      <c r="D97" s="381" t="s">
        <v>252</v>
      </c>
      <c r="E97" s="381" t="s">
        <v>334</v>
      </c>
      <c r="F97" s="381" t="s">
        <v>253</v>
      </c>
      <c r="G97" s="381" t="s">
        <v>338</v>
      </c>
      <c r="H97" s="381" t="s">
        <v>254</v>
      </c>
      <c r="I97" s="381" t="s">
        <v>339</v>
      </c>
      <c r="J97" s="348" t="s">
        <v>335</v>
      </c>
      <c r="K97" s="350"/>
      <c r="M97" s="142"/>
      <c r="N97" s="142"/>
      <c r="O97" s="142"/>
      <c r="P97" s="142"/>
      <c r="Q97" s="142"/>
      <c r="R97" s="142"/>
      <c r="S97" s="142"/>
      <c r="T97" s="142"/>
      <c r="U97" s="142"/>
    </row>
    <row r="98" spans="2:21">
      <c r="B98" s="280"/>
      <c r="C98" s="281"/>
      <c r="D98" s="382"/>
      <c r="E98" s="382"/>
      <c r="F98" s="382"/>
      <c r="G98" s="382"/>
      <c r="H98" s="382"/>
      <c r="I98" s="382"/>
      <c r="J98" s="351"/>
      <c r="K98" s="353"/>
      <c r="M98" s="142"/>
      <c r="N98" s="142"/>
      <c r="O98" s="142"/>
      <c r="P98" s="142"/>
      <c r="Q98" s="142"/>
      <c r="R98" s="142"/>
      <c r="S98" s="142"/>
      <c r="T98" s="142"/>
      <c r="U98" s="142"/>
    </row>
    <row r="99" spans="2:21" ht="17" thickBot="1">
      <c r="B99" s="282"/>
      <c r="C99" s="283"/>
      <c r="D99" s="383"/>
      <c r="E99" s="383"/>
      <c r="F99" s="383"/>
      <c r="G99" s="383"/>
      <c r="H99" s="383"/>
      <c r="I99" s="383"/>
      <c r="J99" s="354"/>
      <c r="K99" s="356"/>
      <c r="M99" s="185"/>
      <c r="N99" s="185"/>
      <c r="O99" s="185"/>
      <c r="P99" s="185"/>
      <c r="Q99" s="185"/>
      <c r="R99" s="185"/>
      <c r="S99" s="185"/>
      <c r="T99" s="185"/>
      <c r="U99" s="185"/>
    </row>
    <row r="100" spans="2:21">
      <c r="B100" s="369">
        <f>B91*0.001</f>
        <v>0.13969999999999999</v>
      </c>
      <c r="C100" s="370"/>
      <c r="D100" s="369">
        <v>2</v>
      </c>
      <c r="E100" s="369">
        <f>D100*B100*EXP(1.3)</f>
        <v>1.0252014889328169</v>
      </c>
      <c r="F100" s="369">
        <v>1</v>
      </c>
      <c r="G100" s="202">
        <f>F100*B100*EXP(1.9)</f>
        <v>0.93401945358641381</v>
      </c>
      <c r="H100" s="370">
        <v>4</v>
      </c>
      <c r="I100" s="370">
        <f>H100*B100*EXP(2.53)</f>
        <v>7.0148992291702061</v>
      </c>
      <c r="J100" s="369">
        <f>SUM(E100,G100,I100)</f>
        <v>8.974120171689437</v>
      </c>
      <c r="K100" s="370"/>
      <c r="M100" s="185"/>
      <c r="N100" s="185"/>
      <c r="O100" s="185"/>
      <c r="P100" s="185"/>
      <c r="Q100" s="185"/>
      <c r="R100" s="185"/>
      <c r="S100" s="185"/>
      <c r="T100" s="185"/>
      <c r="U100" s="185"/>
    </row>
    <row r="101" spans="2:21" ht="17" thickBot="1">
      <c r="B101" s="371"/>
      <c r="C101" s="372"/>
      <c r="D101" s="371"/>
      <c r="E101" s="371"/>
      <c r="F101" s="371"/>
      <c r="G101" s="203"/>
      <c r="H101" s="372"/>
      <c r="I101" s="372"/>
      <c r="J101" s="371"/>
      <c r="K101" s="372"/>
      <c r="M101" s="185"/>
      <c r="N101" s="185"/>
      <c r="O101" s="185"/>
      <c r="P101" s="185"/>
      <c r="Q101" s="185"/>
      <c r="R101" s="185"/>
      <c r="S101" s="185"/>
      <c r="T101" s="185"/>
      <c r="U101" s="185"/>
    </row>
    <row r="102" spans="2:21">
      <c r="B102" s="339" t="s">
        <v>354</v>
      </c>
      <c r="C102" s="340"/>
      <c r="D102" s="340"/>
      <c r="E102" s="340"/>
      <c r="F102" s="340"/>
      <c r="G102" s="340"/>
      <c r="H102" s="340"/>
      <c r="I102" s="340"/>
      <c r="J102" s="340"/>
      <c r="K102" s="341"/>
      <c r="M102" s="185"/>
      <c r="N102" s="185"/>
      <c r="O102" s="185"/>
      <c r="P102" s="185"/>
      <c r="Q102" s="185"/>
      <c r="R102" s="185"/>
      <c r="S102" s="185"/>
      <c r="T102" s="185"/>
      <c r="U102" s="185"/>
    </row>
    <row r="103" spans="2:21" ht="17" thickBot="1">
      <c r="B103" s="342"/>
      <c r="C103" s="343"/>
      <c r="D103" s="343"/>
      <c r="E103" s="343"/>
      <c r="F103" s="343"/>
      <c r="G103" s="343"/>
      <c r="H103" s="343"/>
      <c r="I103" s="343"/>
      <c r="J103" s="343"/>
      <c r="K103" s="344"/>
      <c r="M103" s="185"/>
      <c r="N103" s="185"/>
      <c r="O103" s="185"/>
      <c r="P103" s="185"/>
      <c r="Q103" s="185"/>
      <c r="R103" s="185"/>
      <c r="S103" s="185"/>
      <c r="T103" s="185"/>
      <c r="U103" s="185"/>
    </row>
    <row r="104" spans="2:21">
      <c r="B104" s="515" t="s">
        <v>333</v>
      </c>
      <c r="C104" s="516"/>
      <c r="D104" s="348" t="s">
        <v>332</v>
      </c>
      <c r="E104" s="350"/>
      <c r="F104" s="348" t="s">
        <v>331</v>
      </c>
      <c r="G104" s="350"/>
      <c r="H104" s="348" t="s">
        <v>330</v>
      </c>
      <c r="I104" s="350"/>
      <c r="J104" s="348" t="s">
        <v>337</v>
      </c>
      <c r="K104" s="350"/>
      <c r="M104" s="185"/>
      <c r="N104" s="185"/>
      <c r="O104" s="185"/>
      <c r="P104" s="185"/>
      <c r="Q104" s="185"/>
      <c r="R104" s="185"/>
      <c r="S104" s="185"/>
      <c r="T104" s="185"/>
      <c r="U104" s="185"/>
    </row>
    <row r="105" spans="2:21" ht="17" thickBot="1">
      <c r="B105" s="517"/>
      <c r="C105" s="518"/>
      <c r="D105" s="354"/>
      <c r="E105" s="356"/>
      <c r="F105" s="354"/>
      <c r="G105" s="356"/>
      <c r="H105" s="354"/>
      <c r="I105" s="356"/>
      <c r="J105" s="354"/>
      <c r="K105" s="356"/>
      <c r="M105" s="185"/>
      <c r="N105" s="185"/>
      <c r="O105" s="185"/>
      <c r="P105" s="185"/>
      <c r="Q105" s="185"/>
      <c r="R105" s="185"/>
      <c r="S105" s="185"/>
      <c r="T105" s="185"/>
      <c r="U105" s="185"/>
    </row>
    <row r="106" spans="2:21">
      <c r="B106" s="369">
        <v>4.72</v>
      </c>
      <c r="C106" s="370"/>
      <c r="D106" s="492">
        <v>17.93</v>
      </c>
      <c r="E106" s="493"/>
      <c r="F106" s="492">
        <v>9.2799999999999994</v>
      </c>
      <c r="G106" s="493"/>
      <c r="H106" s="369">
        <f>SUM(B106:G106)</f>
        <v>31.93</v>
      </c>
      <c r="I106" s="370"/>
      <c r="J106" s="369">
        <f>J100+H106</f>
        <v>40.904120171689435</v>
      </c>
      <c r="K106" s="370"/>
      <c r="M106" s="185"/>
      <c r="N106" s="185"/>
      <c r="O106" s="185"/>
      <c r="P106" s="185"/>
      <c r="Q106" s="185"/>
      <c r="R106" s="185"/>
      <c r="S106" s="185"/>
      <c r="T106" s="185"/>
      <c r="U106" s="185"/>
    </row>
    <row r="107" spans="2:21" ht="17" thickBot="1">
      <c r="B107" s="371"/>
      <c r="C107" s="372"/>
      <c r="D107" s="494"/>
      <c r="E107" s="495"/>
      <c r="F107" s="494"/>
      <c r="G107" s="495"/>
      <c r="H107" s="371"/>
      <c r="I107" s="372"/>
      <c r="J107" s="371"/>
      <c r="K107" s="372"/>
      <c r="M107" s="185"/>
      <c r="N107" s="185"/>
      <c r="O107" s="185"/>
      <c r="P107" s="185"/>
      <c r="Q107" s="185"/>
      <c r="R107" s="185"/>
      <c r="S107" s="185"/>
      <c r="T107" s="185"/>
      <c r="U107" s="185"/>
    </row>
    <row r="108" spans="2:21">
      <c r="M108" s="185"/>
      <c r="N108" s="185"/>
      <c r="O108" s="185"/>
      <c r="P108" s="185"/>
      <c r="Q108" s="185"/>
      <c r="R108" s="185"/>
      <c r="S108" s="185"/>
      <c r="T108" s="185"/>
      <c r="U108" s="185"/>
    </row>
    <row r="109" spans="2:21" ht="17" thickBot="1">
      <c r="M109" s="185"/>
      <c r="N109" s="185"/>
      <c r="O109" s="185"/>
      <c r="P109" s="185"/>
      <c r="Q109" s="185"/>
      <c r="R109" s="185"/>
      <c r="S109" s="185"/>
      <c r="T109" s="185"/>
      <c r="U109" s="185"/>
    </row>
    <row r="110" spans="2:21">
      <c r="B110" s="527" t="s">
        <v>352</v>
      </c>
      <c r="C110" s="528"/>
      <c r="D110" s="528"/>
      <c r="E110" s="528"/>
      <c r="F110" s="528"/>
      <c r="G110" s="528"/>
      <c r="H110" s="528"/>
      <c r="I110" s="528"/>
      <c r="J110" s="528"/>
      <c r="K110" s="529"/>
      <c r="M110" s="185"/>
      <c r="N110" s="185"/>
      <c r="O110" s="185"/>
      <c r="P110" s="185"/>
      <c r="Q110" s="185"/>
      <c r="R110" s="185"/>
      <c r="S110" s="185"/>
      <c r="T110" s="185"/>
      <c r="U110" s="185"/>
    </row>
    <row r="111" spans="2:21" ht="17" thickBot="1">
      <c r="B111" s="530"/>
      <c r="C111" s="531"/>
      <c r="D111" s="531"/>
      <c r="E111" s="531"/>
      <c r="F111" s="531"/>
      <c r="G111" s="531"/>
      <c r="H111" s="531"/>
      <c r="I111" s="531"/>
      <c r="J111" s="531"/>
      <c r="K111" s="532"/>
      <c r="M111" s="185"/>
      <c r="N111" s="185"/>
      <c r="O111" s="185"/>
      <c r="P111" s="185"/>
      <c r="Q111" s="185"/>
      <c r="R111" s="185"/>
      <c r="S111" s="185"/>
      <c r="T111" s="185"/>
      <c r="U111" s="185"/>
    </row>
    <row r="112" spans="2:21" ht="18" thickBot="1">
      <c r="B112" s="533" t="s">
        <v>343</v>
      </c>
      <c r="C112" s="534"/>
      <c r="D112" s="147" t="s">
        <v>340</v>
      </c>
      <c r="E112" s="118" t="s">
        <v>341</v>
      </c>
      <c r="F112" s="148" t="s">
        <v>342</v>
      </c>
      <c r="G112" s="118" t="s">
        <v>345</v>
      </c>
      <c r="H112" s="118" t="s">
        <v>256</v>
      </c>
      <c r="I112" s="118" t="s">
        <v>344</v>
      </c>
      <c r="J112" s="533" t="s">
        <v>346</v>
      </c>
      <c r="K112" s="534"/>
      <c r="M112" s="185"/>
      <c r="N112" s="185"/>
      <c r="O112" s="185"/>
      <c r="P112" s="185"/>
      <c r="Q112" s="185"/>
      <c r="R112" s="185"/>
      <c r="S112" s="185"/>
      <c r="T112" s="185"/>
      <c r="U112" s="185"/>
    </row>
    <row r="113" spans="2:21">
      <c r="B113" s="369">
        <v>9.9999999999999995E-7</v>
      </c>
      <c r="C113" s="370"/>
      <c r="D113" s="202">
        <f>H91*(F91/1000)/B113</f>
        <v>135491.72974267093</v>
      </c>
      <c r="E113" s="202">
        <f>0.00005/F91</f>
        <v>3.717472118959108E-7</v>
      </c>
      <c r="F113" s="202">
        <v>1.7999999999999999E-2</v>
      </c>
      <c r="G113" s="202">
        <v>0</v>
      </c>
      <c r="H113" s="202">
        <f>F82/(9.81*1000)</f>
        <v>30.581039755351682</v>
      </c>
      <c r="I113" s="202">
        <f>(F113*J106*(H91^2))/((F91/1000)*2*9.81)</f>
        <v>0.28313872955747033</v>
      </c>
      <c r="J113" s="369">
        <f>SUM(G113:I114)</f>
        <v>30.864178484909154</v>
      </c>
      <c r="K113" s="370"/>
      <c r="M113" s="185"/>
      <c r="N113" s="185"/>
      <c r="O113" s="185"/>
      <c r="P113" s="185"/>
      <c r="Q113" s="185"/>
      <c r="R113" s="185"/>
      <c r="S113" s="185"/>
      <c r="T113" s="185"/>
      <c r="U113" s="185"/>
    </row>
    <row r="114" spans="2:21" ht="17" thickBot="1">
      <c r="B114" s="371"/>
      <c r="C114" s="372"/>
      <c r="D114" s="203"/>
      <c r="E114" s="203"/>
      <c r="F114" s="203"/>
      <c r="G114" s="203"/>
      <c r="H114" s="203"/>
      <c r="I114" s="203"/>
      <c r="J114" s="371"/>
      <c r="K114" s="372"/>
      <c r="M114" s="185"/>
      <c r="N114" s="185"/>
      <c r="O114" s="185"/>
      <c r="P114" s="185"/>
      <c r="Q114" s="185"/>
      <c r="R114" s="185"/>
      <c r="S114" s="185"/>
      <c r="T114" s="185"/>
      <c r="U114" s="185"/>
    </row>
    <row r="115" spans="2:21">
      <c r="M115" s="185"/>
      <c r="N115" s="185"/>
      <c r="O115" s="185"/>
      <c r="P115" s="185"/>
      <c r="Q115" s="185"/>
      <c r="R115" s="185"/>
      <c r="S115" s="185"/>
      <c r="T115" s="185"/>
      <c r="U115" s="185"/>
    </row>
    <row r="116" spans="2:21" ht="17" thickBot="1">
      <c r="M116" s="185"/>
      <c r="N116" s="185"/>
      <c r="O116" s="185"/>
      <c r="P116" s="185"/>
      <c r="Q116" s="185"/>
      <c r="R116" s="185"/>
      <c r="S116" s="185"/>
      <c r="T116" s="185"/>
      <c r="U116" s="185"/>
    </row>
    <row r="117" spans="2:21">
      <c r="B117" s="527" t="s">
        <v>352</v>
      </c>
      <c r="C117" s="528"/>
      <c r="D117" s="528"/>
      <c r="E117" s="528"/>
      <c r="F117" s="528"/>
      <c r="G117" s="528"/>
      <c r="H117" s="528"/>
      <c r="I117" s="528"/>
      <c r="J117" s="528"/>
      <c r="K117" s="529"/>
      <c r="M117" s="185"/>
      <c r="N117" s="185"/>
      <c r="O117" s="185"/>
      <c r="P117" s="185"/>
      <c r="Q117" s="185"/>
      <c r="R117" s="185"/>
      <c r="S117" s="185"/>
      <c r="T117" s="185"/>
      <c r="U117" s="185"/>
    </row>
    <row r="118" spans="2:21" ht="17" thickBot="1">
      <c r="B118" s="530"/>
      <c r="C118" s="531"/>
      <c r="D118" s="531"/>
      <c r="E118" s="531"/>
      <c r="F118" s="531"/>
      <c r="G118" s="531"/>
      <c r="H118" s="531"/>
      <c r="I118" s="531"/>
      <c r="J118" s="531"/>
      <c r="K118" s="532"/>
      <c r="M118" s="185"/>
      <c r="N118" s="185"/>
      <c r="O118" s="185"/>
      <c r="P118" s="185"/>
      <c r="Q118" s="185"/>
      <c r="R118" s="185"/>
      <c r="S118" s="185"/>
      <c r="T118" s="185"/>
      <c r="U118" s="185"/>
    </row>
    <row r="119" spans="2:21">
      <c r="B119" s="348" t="s">
        <v>347</v>
      </c>
      <c r="C119" s="350"/>
      <c r="D119" s="381" t="s">
        <v>356</v>
      </c>
      <c r="E119" s="381" t="s">
        <v>346</v>
      </c>
      <c r="F119" s="348" t="s">
        <v>348</v>
      </c>
      <c r="G119" s="350"/>
      <c r="H119" s="381" t="s">
        <v>349</v>
      </c>
      <c r="I119" s="381" t="s">
        <v>350</v>
      </c>
      <c r="J119" s="348" t="s">
        <v>351</v>
      </c>
      <c r="K119" s="350"/>
      <c r="M119" s="185"/>
      <c r="N119" s="185"/>
      <c r="O119" s="185"/>
      <c r="P119" s="185"/>
      <c r="Q119" s="185"/>
      <c r="R119" s="185"/>
      <c r="S119" s="185"/>
      <c r="T119" s="185"/>
      <c r="U119" s="185"/>
    </row>
    <row r="120" spans="2:21" ht="17" thickBot="1">
      <c r="B120" s="354"/>
      <c r="C120" s="356"/>
      <c r="D120" s="383"/>
      <c r="E120" s="383"/>
      <c r="F120" s="351"/>
      <c r="G120" s="353"/>
      <c r="H120" s="383"/>
      <c r="I120" s="383"/>
      <c r="J120" s="354"/>
      <c r="K120" s="356"/>
      <c r="M120" s="185"/>
      <c r="N120" s="185"/>
      <c r="O120" s="185"/>
      <c r="P120" s="185"/>
      <c r="Q120" s="185"/>
      <c r="R120" s="185"/>
      <c r="S120" s="185"/>
      <c r="T120" s="185"/>
      <c r="U120" s="185"/>
    </row>
    <row r="121" spans="2:21">
      <c r="B121" s="369">
        <f>J73*1000/60</f>
        <v>858.33333333333337</v>
      </c>
      <c r="C121" s="370"/>
      <c r="D121" s="202">
        <v>9810</v>
      </c>
      <c r="E121" s="202">
        <f>CEILING(J113,1)</f>
        <v>31</v>
      </c>
      <c r="F121" s="369">
        <f>D121*E121*B82</f>
        <v>4350.4624999999996</v>
      </c>
      <c r="G121" s="370"/>
      <c r="H121" s="202">
        <v>0.65</v>
      </c>
      <c r="I121" s="202">
        <v>0.83</v>
      </c>
      <c r="J121" s="369">
        <f>F121/(H121*I121)</f>
        <v>8063.8785912882295</v>
      </c>
      <c r="K121" s="370"/>
      <c r="M121" s="185"/>
      <c r="N121" s="185"/>
      <c r="O121" s="185"/>
      <c r="P121" s="185"/>
      <c r="Q121" s="185"/>
      <c r="R121" s="185"/>
      <c r="S121" s="185"/>
      <c r="T121" s="185"/>
      <c r="U121" s="185"/>
    </row>
    <row r="122" spans="2:21" ht="17" thickBot="1">
      <c r="B122" s="371"/>
      <c r="C122" s="372"/>
      <c r="D122" s="203"/>
      <c r="E122" s="203"/>
      <c r="F122" s="371"/>
      <c r="G122" s="372"/>
      <c r="H122" s="203"/>
      <c r="I122" s="203"/>
      <c r="J122" s="371"/>
      <c r="K122" s="372"/>
      <c r="M122" s="185"/>
      <c r="N122" s="185"/>
      <c r="O122" s="185"/>
      <c r="P122" s="185"/>
      <c r="Q122" s="185"/>
      <c r="R122" s="185"/>
      <c r="S122" s="185"/>
      <c r="T122" s="185"/>
      <c r="U122" s="185"/>
    </row>
    <row r="123" spans="2:21">
      <c r="M123" s="185"/>
      <c r="N123" s="185"/>
      <c r="O123" s="185"/>
      <c r="P123" s="185"/>
      <c r="Q123" s="185"/>
      <c r="R123" s="185"/>
      <c r="S123" s="185"/>
      <c r="T123" s="185"/>
      <c r="U123" s="185"/>
    </row>
    <row r="124" spans="2:21">
      <c r="M124" s="185"/>
      <c r="N124" s="185"/>
      <c r="O124" s="185"/>
      <c r="P124" s="185"/>
      <c r="Q124" s="185"/>
      <c r="R124" s="185"/>
      <c r="S124" s="185"/>
      <c r="T124" s="185"/>
      <c r="U124" s="185"/>
    </row>
    <row r="125" spans="2:21">
      <c r="M125" s="185"/>
      <c r="N125" s="185"/>
      <c r="O125" s="185"/>
      <c r="P125" s="185"/>
      <c r="Q125" s="185"/>
      <c r="R125" s="185"/>
      <c r="S125" s="185"/>
      <c r="T125" s="185"/>
      <c r="U125" s="185"/>
    </row>
    <row r="126" spans="2:21">
      <c r="M126" s="185"/>
      <c r="N126" s="185"/>
      <c r="O126" s="185"/>
      <c r="P126" s="185"/>
      <c r="Q126" s="185"/>
      <c r="R126" s="185"/>
      <c r="S126" s="185"/>
      <c r="T126" s="185"/>
      <c r="U126" s="185"/>
    </row>
    <row r="127" spans="2:21">
      <c r="M127" s="185"/>
      <c r="N127" s="185"/>
      <c r="O127" s="185"/>
      <c r="P127" s="185"/>
      <c r="Q127" s="185"/>
      <c r="R127" s="185"/>
      <c r="S127" s="185"/>
      <c r="T127" s="185"/>
      <c r="U127" s="185"/>
    </row>
    <row r="128" spans="2:21">
      <c r="M128" s="185"/>
      <c r="N128" s="185"/>
      <c r="O128" s="185"/>
      <c r="P128" s="185"/>
      <c r="Q128" s="185"/>
      <c r="R128" s="185"/>
      <c r="S128" s="185"/>
      <c r="T128" s="185"/>
      <c r="U128" s="185"/>
    </row>
  </sheetData>
  <mergeCells count="277">
    <mergeCell ref="B121:C122"/>
    <mergeCell ref="D121:D122"/>
    <mergeCell ref="E121:E122"/>
    <mergeCell ref="F121:G122"/>
    <mergeCell ref="H121:H122"/>
    <mergeCell ref="I121:I122"/>
    <mergeCell ref="J121:K122"/>
    <mergeCell ref="N63:O64"/>
    <mergeCell ref="P63:Q64"/>
    <mergeCell ref="B110:K111"/>
    <mergeCell ref="B112:C112"/>
    <mergeCell ref="J112:K112"/>
    <mergeCell ref="B117:K118"/>
    <mergeCell ref="B119:C120"/>
    <mergeCell ref="D119:D120"/>
    <mergeCell ref="E119:E120"/>
    <mergeCell ref="F119:G120"/>
    <mergeCell ref="H119:H120"/>
    <mergeCell ref="I119:I120"/>
    <mergeCell ref="J119:K120"/>
    <mergeCell ref="B113:C114"/>
    <mergeCell ref="D113:D114"/>
    <mergeCell ref="E113:E114"/>
    <mergeCell ref="F113:F114"/>
    <mergeCell ref="R63:S64"/>
    <mergeCell ref="T63:U64"/>
    <mergeCell ref="V63:W64"/>
    <mergeCell ref="X63:Y64"/>
    <mergeCell ref="Z63:AA64"/>
    <mergeCell ref="B100:C101"/>
    <mergeCell ref="D100:D101"/>
    <mergeCell ref="E100:E101"/>
    <mergeCell ref="F100:F101"/>
    <mergeCell ref="G100:G101"/>
    <mergeCell ref="H100:H101"/>
    <mergeCell ref="I100:I101"/>
    <mergeCell ref="J100:K101"/>
    <mergeCell ref="B95:K96"/>
    <mergeCell ref="B97:C99"/>
    <mergeCell ref="D97:D99"/>
    <mergeCell ref="E97:E99"/>
    <mergeCell ref="F97:F99"/>
    <mergeCell ref="G97:G99"/>
    <mergeCell ref="H97:H99"/>
    <mergeCell ref="I97:I99"/>
    <mergeCell ref="J97:K99"/>
    <mergeCell ref="B84:G84"/>
    <mergeCell ref="B87:I88"/>
    <mergeCell ref="Y22:AA23"/>
    <mergeCell ref="Y24:AA25"/>
    <mergeCell ref="V22:X23"/>
    <mergeCell ref="V24:X25"/>
    <mergeCell ref="B42:C43"/>
    <mergeCell ref="D42:D43"/>
    <mergeCell ref="E42:E43"/>
    <mergeCell ref="F42:F43"/>
    <mergeCell ref="G42:G43"/>
    <mergeCell ref="H42:H43"/>
    <mergeCell ref="I42:I43"/>
    <mergeCell ref="J42:K43"/>
    <mergeCell ref="N42:O43"/>
    <mergeCell ref="P42:P43"/>
    <mergeCell ref="Q42:Q43"/>
    <mergeCell ref="R42:R43"/>
    <mergeCell ref="S42:S43"/>
    <mergeCell ref="T42:T43"/>
    <mergeCell ref="U42:U43"/>
    <mergeCell ref="V42:W43"/>
    <mergeCell ref="N37:AA38"/>
    <mergeCell ref="N29:U30"/>
    <mergeCell ref="B26:G26"/>
    <mergeCell ref="T31:U32"/>
    <mergeCell ref="G113:G114"/>
    <mergeCell ref="H113:H114"/>
    <mergeCell ref="I113:I114"/>
    <mergeCell ref="J113:K114"/>
    <mergeCell ref="B102:K103"/>
    <mergeCell ref="B104:C105"/>
    <mergeCell ref="D104:E105"/>
    <mergeCell ref="F104:G105"/>
    <mergeCell ref="H104:I105"/>
    <mergeCell ref="J104:K105"/>
    <mergeCell ref="B106:C107"/>
    <mergeCell ref="D106:E107"/>
    <mergeCell ref="F106:G107"/>
    <mergeCell ref="H106:I107"/>
    <mergeCell ref="J106:K107"/>
    <mergeCell ref="B89:C90"/>
    <mergeCell ref="D89:E90"/>
    <mergeCell ref="F89:G90"/>
    <mergeCell ref="H89:I90"/>
    <mergeCell ref="B91:C92"/>
    <mergeCell ref="D91:E92"/>
    <mergeCell ref="F91:G92"/>
    <mergeCell ref="H91:I92"/>
    <mergeCell ref="B69:K70"/>
    <mergeCell ref="B71:C72"/>
    <mergeCell ref="D71:E72"/>
    <mergeCell ref="F71:G72"/>
    <mergeCell ref="H71:I72"/>
    <mergeCell ref="J71:K72"/>
    <mergeCell ref="B73:C73"/>
    <mergeCell ref="D73:E73"/>
    <mergeCell ref="F73:G73"/>
    <mergeCell ref="H73:I73"/>
    <mergeCell ref="J73:K75"/>
    <mergeCell ref="B74:C74"/>
    <mergeCell ref="D74:E74"/>
    <mergeCell ref="F74:G74"/>
    <mergeCell ref="H74:I74"/>
    <mergeCell ref="B75:C75"/>
    <mergeCell ref="D75:E75"/>
    <mergeCell ref="F75:G75"/>
    <mergeCell ref="H75:I75"/>
    <mergeCell ref="X42:Y43"/>
    <mergeCell ref="Z42:AA43"/>
    <mergeCell ref="B48:C49"/>
    <mergeCell ref="D48:E49"/>
    <mergeCell ref="N59:AA60"/>
    <mergeCell ref="V54:W54"/>
    <mergeCell ref="X54:Y54"/>
    <mergeCell ref="T54:U54"/>
    <mergeCell ref="P54:Q54"/>
    <mergeCell ref="R61:S62"/>
    <mergeCell ref="P61:Q62"/>
    <mergeCell ref="V61:W62"/>
    <mergeCell ref="X61:Y62"/>
    <mergeCell ref="N55:O56"/>
    <mergeCell ref="P55:Q56"/>
    <mergeCell ref="R55:R56"/>
    <mergeCell ref="S55:S56"/>
    <mergeCell ref="N54:O54"/>
    <mergeCell ref="Z54:AA54"/>
    <mergeCell ref="N52:AA53"/>
    <mergeCell ref="N61:O62"/>
    <mergeCell ref="T61:U62"/>
    <mergeCell ref="Z61:AA62"/>
    <mergeCell ref="T55:U56"/>
    <mergeCell ref="V55:W56"/>
    <mergeCell ref="X55:Y56"/>
    <mergeCell ref="Z55:AA56"/>
    <mergeCell ref="X39:Y41"/>
    <mergeCell ref="Z39:AA41"/>
    <mergeCell ref="B59:K60"/>
    <mergeCell ref="B61:C62"/>
    <mergeCell ref="D61:D62"/>
    <mergeCell ref="E61:E62"/>
    <mergeCell ref="H61:H62"/>
    <mergeCell ref="J61:K62"/>
    <mergeCell ref="I61:I62"/>
    <mergeCell ref="F61:G62"/>
    <mergeCell ref="N39:O41"/>
    <mergeCell ref="P39:P41"/>
    <mergeCell ref="Q39:Q41"/>
    <mergeCell ref="F48:G49"/>
    <mergeCell ref="H48:I49"/>
    <mergeCell ref="J48:K49"/>
    <mergeCell ref="B55:C56"/>
    <mergeCell ref="D55:D56"/>
    <mergeCell ref="B63:C64"/>
    <mergeCell ref="D63:D64"/>
    <mergeCell ref="E63:E64"/>
    <mergeCell ref="F63:G64"/>
    <mergeCell ref="H63:H64"/>
    <mergeCell ref="I63:I64"/>
    <mergeCell ref="J63:K64"/>
    <mergeCell ref="B52:K53"/>
    <mergeCell ref="B54:C54"/>
    <mergeCell ref="J54:K54"/>
    <mergeCell ref="E55:E56"/>
    <mergeCell ref="F55:F56"/>
    <mergeCell ref="G55:G56"/>
    <mergeCell ref="H55:H56"/>
    <mergeCell ref="I55:I56"/>
    <mergeCell ref="J55:K56"/>
    <mergeCell ref="D16:E16"/>
    <mergeCell ref="D17:E17"/>
    <mergeCell ref="B15:C15"/>
    <mergeCell ref="H16:I16"/>
    <mergeCell ref="F15:G15"/>
    <mergeCell ref="F16:G16"/>
    <mergeCell ref="B44:K45"/>
    <mergeCell ref="H46:I47"/>
    <mergeCell ref="J46:K47"/>
    <mergeCell ref="D46:E47"/>
    <mergeCell ref="F46:G47"/>
    <mergeCell ref="B37:K38"/>
    <mergeCell ref="B39:C41"/>
    <mergeCell ref="D39:D41"/>
    <mergeCell ref="B46:C47"/>
    <mergeCell ref="E39:E41"/>
    <mergeCell ref="F39:F41"/>
    <mergeCell ref="G39:G41"/>
    <mergeCell ref="H39:H41"/>
    <mergeCell ref="I39:I41"/>
    <mergeCell ref="J39:K41"/>
    <mergeCell ref="B29:I30"/>
    <mergeCell ref="B16:C16"/>
    <mergeCell ref="J15:K17"/>
    <mergeCell ref="D15:E15"/>
    <mergeCell ref="B3:K4"/>
    <mergeCell ref="B13:C14"/>
    <mergeCell ref="D13:E14"/>
    <mergeCell ref="F13:G14"/>
    <mergeCell ref="H13:I14"/>
    <mergeCell ref="J13:K14"/>
    <mergeCell ref="B11:K12"/>
    <mergeCell ref="B7:C7"/>
    <mergeCell ref="D7:E7"/>
    <mergeCell ref="F7:G7"/>
    <mergeCell ref="H7:I7"/>
    <mergeCell ref="J7:K8"/>
    <mergeCell ref="B8:C8"/>
    <mergeCell ref="D8:E8"/>
    <mergeCell ref="F8:G8"/>
    <mergeCell ref="H8:I8"/>
    <mergeCell ref="B5:C6"/>
    <mergeCell ref="D5:E6"/>
    <mergeCell ref="F5:G6"/>
    <mergeCell ref="H5:I6"/>
    <mergeCell ref="J5:K6"/>
    <mergeCell ref="H15:I15"/>
    <mergeCell ref="B31:C32"/>
    <mergeCell ref="D31:E32"/>
    <mergeCell ref="F31:G32"/>
    <mergeCell ref="H31:I32"/>
    <mergeCell ref="B33:C34"/>
    <mergeCell ref="D33:E34"/>
    <mergeCell ref="F33:G34"/>
    <mergeCell ref="H33:I34"/>
    <mergeCell ref="B17:C17"/>
    <mergeCell ref="B20:K21"/>
    <mergeCell ref="B24:C25"/>
    <mergeCell ref="D24:E25"/>
    <mergeCell ref="F24:G25"/>
    <mergeCell ref="H24:I25"/>
    <mergeCell ref="J24:K25"/>
    <mergeCell ref="B22:C23"/>
    <mergeCell ref="D22:E23"/>
    <mergeCell ref="F22:G23"/>
    <mergeCell ref="H22:I23"/>
    <mergeCell ref="H17:I17"/>
    <mergeCell ref="F17:G17"/>
    <mergeCell ref="P24:Q25"/>
    <mergeCell ref="R24:S25"/>
    <mergeCell ref="T24:U25"/>
    <mergeCell ref="J22:K23"/>
    <mergeCell ref="N22:O23"/>
    <mergeCell ref="P22:Q23"/>
    <mergeCell ref="R22:S23"/>
    <mergeCell ref="T22:U23"/>
    <mergeCell ref="R31:S32"/>
    <mergeCell ref="N26:S26"/>
    <mergeCell ref="B82:C83"/>
    <mergeCell ref="D82:E83"/>
    <mergeCell ref="F82:G83"/>
    <mergeCell ref="H82:I83"/>
    <mergeCell ref="J82:K83"/>
    <mergeCell ref="N20:AA21"/>
    <mergeCell ref="R39:R41"/>
    <mergeCell ref="S39:S41"/>
    <mergeCell ref="T39:T41"/>
    <mergeCell ref="U39:U41"/>
    <mergeCell ref="V39:W41"/>
    <mergeCell ref="H80:I81"/>
    <mergeCell ref="B78:K79"/>
    <mergeCell ref="B80:C81"/>
    <mergeCell ref="D80:E81"/>
    <mergeCell ref="F80:G81"/>
    <mergeCell ref="J80:K81"/>
    <mergeCell ref="N33:O34"/>
    <mergeCell ref="P33:Q34"/>
    <mergeCell ref="R33:S34"/>
    <mergeCell ref="T33:U34"/>
    <mergeCell ref="N31:O32"/>
    <mergeCell ref="P31:Q32"/>
    <mergeCell ref="N24:O25"/>
  </mergeCells>
  <phoneticPr fontId="8" type="noConversion"/>
  <pageMargins left="0.7" right="0.7" top="0.75" bottom="0.75" header="0.3" footer="0.3"/>
  <pageSetup paperSize="9" orientation="portrait" horizontalDpi="4294967293" verticalDpi="0" r:id="rId1"/>
  <ignoredErrors>
    <ignoredError sqref="E75 E16 E15 E17 E73 E74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R68"/>
  <sheetViews>
    <sheetView tabSelected="1" topLeftCell="A37" zoomScale="79" zoomScaleNormal="76" workbookViewId="0">
      <selection activeCell="J70" sqref="J70"/>
    </sheetView>
  </sheetViews>
  <sheetFormatPr baseColWidth="10" defaultColWidth="11.1640625" defaultRowHeight="16"/>
  <cols>
    <col min="2" max="2" width="30" customWidth="1"/>
    <col min="3" max="3" width="18.1640625" customWidth="1"/>
    <col min="4" max="4" width="14.83203125" customWidth="1"/>
    <col min="5" max="5" width="16" customWidth="1"/>
    <col min="9" max="9" width="14.6640625" customWidth="1"/>
    <col min="17" max="17" width="13.1640625" customWidth="1"/>
    <col min="21" max="21" width="14.1640625" customWidth="1"/>
  </cols>
  <sheetData>
    <row r="2" spans="2:5" ht="17" thickBot="1"/>
    <row r="3" spans="2:5">
      <c r="B3" s="426" t="s">
        <v>371</v>
      </c>
      <c r="C3" s="427"/>
      <c r="D3" s="427"/>
      <c r="E3" s="428"/>
    </row>
    <row r="4" spans="2:5" ht="17" thickBot="1">
      <c r="B4" s="429"/>
      <c r="C4" s="430"/>
      <c r="D4" s="430"/>
      <c r="E4" s="431"/>
    </row>
    <row r="5" spans="2:5">
      <c r="B5" s="552" t="s">
        <v>174</v>
      </c>
      <c r="C5" s="552" t="s">
        <v>295</v>
      </c>
      <c r="D5" s="552" t="s">
        <v>296</v>
      </c>
      <c r="E5" s="552" t="s">
        <v>297</v>
      </c>
    </row>
    <row r="6" spans="2:5" ht="33" customHeight="1" thickBot="1">
      <c r="B6" s="540"/>
      <c r="C6" s="540"/>
      <c r="D6" s="540"/>
      <c r="E6" s="540"/>
    </row>
    <row r="7" spans="2:5">
      <c r="B7" s="232" t="s">
        <v>304</v>
      </c>
      <c r="C7" s="220">
        <v>10</v>
      </c>
      <c r="D7" s="220">
        <f>721.5+666+(9*10.5)+18+(7.5*2)</f>
        <v>1515</v>
      </c>
      <c r="E7" s="220">
        <f>C7*D7</f>
        <v>15150</v>
      </c>
    </row>
    <row r="8" spans="2:5" ht="54" customHeight="1" thickBot="1">
      <c r="B8" s="234"/>
      <c r="C8" s="222"/>
      <c r="D8" s="222"/>
      <c r="E8" s="222"/>
    </row>
    <row r="9" spans="2:5" ht="30.75" customHeight="1">
      <c r="B9" s="232" t="s">
        <v>257</v>
      </c>
      <c r="C9" s="220">
        <v>5</v>
      </c>
      <c r="D9" s="220">
        <f>156+546+368+70+90+81+54</f>
        <v>1365</v>
      </c>
      <c r="E9" s="220">
        <f>C9*D9</f>
        <v>6825</v>
      </c>
    </row>
    <row r="10" spans="2:5" ht="39.75" customHeight="1" thickBot="1">
      <c r="B10" s="234"/>
      <c r="C10" s="222"/>
      <c r="D10" s="222"/>
      <c r="E10" s="222"/>
    </row>
    <row r="11" spans="2:5">
      <c r="B11" s="223" t="s">
        <v>175</v>
      </c>
      <c r="C11" s="220">
        <v>0.2</v>
      </c>
      <c r="D11" s="220">
        <f>783-(D13+70+90+81+54)</f>
        <v>360.5</v>
      </c>
      <c r="E11" s="220">
        <f>C11*D11</f>
        <v>72.100000000000009</v>
      </c>
    </row>
    <row r="12" spans="2:5" ht="17" thickBot="1">
      <c r="B12" s="225"/>
      <c r="C12" s="222"/>
      <c r="D12" s="222"/>
      <c r="E12" s="222"/>
    </row>
    <row r="13" spans="2:5">
      <c r="B13" s="232" t="s">
        <v>194</v>
      </c>
      <c r="C13" s="220">
        <v>20</v>
      </c>
      <c r="D13" s="220">
        <f>(9*10.5)+18+(7.5*2)</f>
        <v>127.5</v>
      </c>
      <c r="E13" s="220">
        <f>C13*D13</f>
        <v>2550</v>
      </c>
    </row>
    <row r="14" spans="2:5" ht="17" thickBot="1">
      <c r="B14" s="234"/>
      <c r="C14" s="222"/>
      <c r="D14" s="222"/>
      <c r="E14" s="222"/>
    </row>
    <row r="16" spans="2:5" ht="17" thickBot="1"/>
    <row r="17" spans="2:13">
      <c r="B17" s="426" t="s">
        <v>371</v>
      </c>
      <c r="C17" s="427"/>
      <c r="D17" s="427"/>
      <c r="E17" s="427"/>
      <c r="F17" s="427"/>
      <c r="G17" s="427"/>
      <c r="H17" s="427"/>
      <c r="I17" s="427"/>
      <c r="J17" s="427"/>
      <c r="K17" s="427"/>
      <c r="L17" s="427"/>
      <c r="M17" s="428"/>
    </row>
    <row r="18" spans="2:13" ht="17" thickBot="1">
      <c r="B18" s="429"/>
      <c r="C18" s="430"/>
      <c r="D18" s="430"/>
      <c r="E18" s="430"/>
      <c r="F18" s="430"/>
      <c r="G18" s="430"/>
      <c r="H18" s="430"/>
      <c r="I18" s="430"/>
      <c r="J18" s="430"/>
      <c r="K18" s="430"/>
      <c r="L18" s="430"/>
      <c r="M18" s="431"/>
    </row>
    <row r="19" spans="2:13">
      <c r="B19" s="551" t="s">
        <v>176</v>
      </c>
      <c r="C19" s="339" t="s">
        <v>177</v>
      </c>
      <c r="D19" s="341"/>
      <c r="E19" s="551" t="s">
        <v>178</v>
      </c>
      <c r="F19" s="527" t="s">
        <v>298</v>
      </c>
      <c r="G19" s="529"/>
      <c r="H19" s="527" t="s">
        <v>362</v>
      </c>
      <c r="I19" s="529"/>
      <c r="J19" s="551" t="s">
        <v>366</v>
      </c>
      <c r="K19" s="551" t="s">
        <v>365</v>
      </c>
      <c r="L19" s="527" t="s">
        <v>363</v>
      </c>
      <c r="M19" s="529"/>
    </row>
    <row r="20" spans="2:13" ht="17" thickBot="1">
      <c r="B20" s="538"/>
      <c r="C20" s="342"/>
      <c r="D20" s="344"/>
      <c r="E20" s="538"/>
      <c r="F20" s="530"/>
      <c r="G20" s="532"/>
      <c r="H20" s="530"/>
      <c r="I20" s="532"/>
      <c r="J20" s="538"/>
      <c r="K20" s="538"/>
      <c r="L20" s="530"/>
      <c r="M20" s="532"/>
    </row>
    <row r="21" spans="2:13" ht="17" thickBot="1">
      <c r="B21" s="223" t="s">
        <v>190</v>
      </c>
      <c r="C21" s="545" t="s">
        <v>179</v>
      </c>
      <c r="D21" s="546"/>
      <c r="E21" s="17">
        <f>Produzione!AD50</f>
        <v>13</v>
      </c>
      <c r="F21" s="405">
        <v>50</v>
      </c>
      <c r="G21" s="406"/>
      <c r="H21" s="405">
        <f>E21*F21</f>
        <v>650</v>
      </c>
      <c r="I21" s="406"/>
      <c r="J21" s="26">
        <v>0.6</v>
      </c>
      <c r="K21" s="26">
        <v>0.8</v>
      </c>
      <c r="L21" s="405">
        <f>H21*J21*K21</f>
        <v>312</v>
      </c>
      <c r="M21" s="406"/>
    </row>
    <row r="22" spans="2:13" ht="17" thickBot="1">
      <c r="B22" s="224"/>
      <c r="C22" s="545" t="s">
        <v>180</v>
      </c>
      <c r="D22" s="546"/>
      <c r="E22" s="17">
        <f>Produzione!AD56</f>
        <v>8</v>
      </c>
      <c r="F22" s="405">
        <v>40</v>
      </c>
      <c r="G22" s="406"/>
      <c r="H22" s="405">
        <f t="shared" ref="H22:H35" si="0">E22*F22</f>
        <v>320</v>
      </c>
      <c r="I22" s="406"/>
      <c r="J22" s="26">
        <v>0.6</v>
      </c>
      <c r="K22" s="26">
        <v>0.8</v>
      </c>
      <c r="L22" s="405">
        <f t="shared" ref="L22:L35" si="1">H22*J22*K22</f>
        <v>153.60000000000002</v>
      </c>
      <c r="M22" s="406"/>
    </row>
    <row r="23" spans="2:13" ht="17" thickBot="1">
      <c r="B23" s="224"/>
      <c r="C23" s="545" t="s">
        <v>181</v>
      </c>
      <c r="D23" s="546"/>
      <c r="E23" s="17">
        <f>Produzione!AD62</f>
        <v>3</v>
      </c>
      <c r="F23" s="405">
        <v>20</v>
      </c>
      <c r="G23" s="406"/>
      <c r="H23" s="405">
        <f t="shared" si="0"/>
        <v>60</v>
      </c>
      <c r="I23" s="406"/>
      <c r="J23" s="26">
        <v>0.7</v>
      </c>
      <c r="K23" s="26">
        <v>0.8</v>
      </c>
      <c r="L23" s="405">
        <f t="shared" si="1"/>
        <v>33.6</v>
      </c>
      <c r="M23" s="406"/>
    </row>
    <row r="24" spans="2:13" ht="17" thickBot="1">
      <c r="B24" s="224"/>
      <c r="C24" s="545" t="s">
        <v>182</v>
      </c>
      <c r="D24" s="546"/>
      <c r="E24" s="26">
        <v>1</v>
      </c>
      <c r="F24" s="405">
        <f>0.2*F21*E21</f>
        <v>130</v>
      </c>
      <c r="G24" s="406"/>
      <c r="H24" s="405">
        <f t="shared" si="0"/>
        <v>130</v>
      </c>
      <c r="I24" s="406"/>
      <c r="J24" s="26">
        <v>0.9</v>
      </c>
      <c r="K24" s="26">
        <v>0.8</v>
      </c>
      <c r="L24" s="405">
        <f t="shared" si="1"/>
        <v>93.600000000000009</v>
      </c>
      <c r="M24" s="406"/>
    </row>
    <row r="25" spans="2:13" ht="17" thickBot="1">
      <c r="B25" s="224"/>
      <c r="C25" s="545" t="s">
        <v>183</v>
      </c>
      <c r="D25" s="546"/>
      <c r="E25" s="26">
        <v>1</v>
      </c>
      <c r="F25" s="405">
        <f>0.2*F22*E22</f>
        <v>64</v>
      </c>
      <c r="G25" s="406"/>
      <c r="H25" s="405">
        <f t="shared" si="0"/>
        <v>64</v>
      </c>
      <c r="I25" s="406"/>
      <c r="J25" s="26">
        <v>0.9</v>
      </c>
      <c r="K25" s="26">
        <v>0.8</v>
      </c>
      <c r="L25" s="405">
        <f t="shared" si="1"/>
        <v>46.080000000000005</v>
      </c>
      <c r="M25" s="406"/>
    </row>
    <row r="26" spans="2:13" ht="17" thickBot="1">
      <c r="B26" s="224"/>
      <c r="C26" s="545" t="s">
        <v>184</v>
      </c>
      <c r="D26" s="546"/>
      <c r="E26" s="26">
        <v>1</v>
      </c>
      <c r="F26" s="405">
        <f>0.2*F23*E23</f>
        <v>12</v>
      </c>
      <c r="G26" s="406"/>
      <c r="H26" s="405">
        <f t="shared" si="0"/>
        <v>12</v>
      </c>
      <c r="I26" s="406"/>
      <c r="J26" s="26">
        <v>0.8</v>
      </c>
      <c r="K26" s="26">
        <v>0.8</v>
      </c>
      <c r="L26" s="405">
        <f t="shared" si="1"/>
        <v>7.6800000000000015</v>
      </c>
      <c r="M26" s="406"/>
    </row>
    <row r="27" spans="2:13" ht="17" thickBot="1">
      <c r="B27" s="224"/>
      <c r="C27" s="545" t="s">
        <v>185</v>
      </c>
      <c r="D27" s="546"/>
      <c r="E27" s="26">
        <v>1</v>
      </c>
      <c r="F27" s="405">
        <f>0.05*F21*E21</f>
        <v>32.5</v>
      </c>
      <c r="G27" s="406"/>
      <c r="H27" s="405">
        <f t="shared" si="0"/>
        <v>32.5</v>
      </c>
      <c r="I27" s="406"/>
      <c r="J27" s="26">
        <v>0.9</v>
      </c>
      <c r="K27" s="26">
        <v>0.8</v>
      </c>
      <c r="L27" s="405">
        <f t="shared" si="1"/>
        <v>23.400000000000002</v>
      </c>
      <c r="M27" s="406"/>
    </row>
    <row r="28" spans="2:13" ht="17" thickBot="1">
      <c r="B28" s="224"/>
      <c r="C28" s="545" t="s">
        <v>186</v>
      </c>
      <c r="D28" s="546"/>
      <c r="E28" s="26">
        <v>1</v>
      </c>
      <c r="F28" s="405">
        <f>0.05*F22*E22</f>
        <v>16</v>
      </c>
      <c r="G28" s="406"/>
      <c r="H28" s="405">
        <f t="shared" si="0"/>
        <v>16</v>
      </c>
      <c r="I28" s="406"/>
      <c r="J28" s="26">
        <v>0.8</v>
      </c>
      <c r="K28" s="26">
        <v>0.8</v>
      </c>
      <c r="L28" s="405">
        <f t="shared" si="1"/>
        <v>10.240000000000002</v>
      </c>
      <c r="M28" s="406"/>
    </row>
    <row r="29" spans="2:13" ht="17" thickBot="1">
      <c r="B29" s="224"/>
      <c r="C29" s="545" t="s">
        <v>187</v>
      </c>
      <c r="D29" s="546"/>
      <c r="E29" s="26">
        <v>1</v>
      </c>
      <c r="F29" s="405">
        <f>0.05*F23*E23</f>
        <v>3</v>
      </c>
      <c r="G29" s="406"/>
      <c r="H29" s="405">
        <f t="shared" si="0"/>
        <v>3</v>
      </c>
      <c r="I29" s="406"/>
      <c r="J29" s="26">
        <v>0.7</v>
      </c>
      <c r="K29" s="26">
        <v>0.7</v>
      </c>
      <c r="L29" s="405">
        <f t="shared" si="1"/>
        <v>1.4699999999999998</v>
      </c>
      <c r="M29" s="406"/>
    </row>
    <row r="30" spans="2:13" ht="17" thickBot="1">
      <c r="B30" s="224"/>
      <c r="C30" s="545" t="s">
        <v>166</v>
      </c>
      <c r="D30" s="546"/>
      <c r="E30" s="26">
        <f>Produzione!BF50</f>
        <v>8</v>
      </c>
      <c r="F30" s="405">
        <v>5</v>
      </c>
      <c r="G30" s="406"/>
      <c r="H30" s="405">
        <f t="shared" si="0"/>
        <v>40</v>
      </c>
      <c r="I30" s="406"/>
      <c r="J30" s="26">
        <v>0.6</v>
      </c>
      <c r="K30" s="26">
        <v>0.8</v>
      </c>
      <c r="L30" s="405">
        <f t="shared" si="1"/>
        <v>19.200000000000003</v>
      </c>
      <c r="M30" s="406"/>
    </row>
    <row r="31" spans="2:13" ht="17" thickBot="1">
      <c r="B31" s="224"/>
      <c r="C31" s="545" t="s">
        <v>188</v>
      </c>
      <c r="D31" s="546"/>
      <c r="E31" s="26">
        <f>Produzione!BF52</f>
        <v>4</v>
      </c>
      <c r="F31" s="405">
        <v>0.5</v>
      </c>
      <c r="G31" s="406"/>
      <c r="H31" s="405">
        <f t="shared" si="0"/>
        <v>2</v>
      </c>
      <c r="I31" s="406"/>
      <c r="J31" s="26">
        <v>0.6</v>
      </c>
      <c r="K31" s="26">
        <v>1</v>
      </c>
      <c r="L31" s="405">
        <f t="shared" si="1"/>
        <v>1.2</v>
      </c>
      <c r="M31" s="406"/>
    </row>
    <row r="32" spans="2:13" ht="17" thickBot="1">
      <c r="B32" s="224"/>
      <c r="C32" s="545" t="s">
        <v>189</v>
      </c>
      <c r="D32" s="546"/>
      <c r="E32" s="26">
        <f>Produzione!BF54</f>
        <v>4</v>
      </c>
      <c r="F32" s="405">
        <v>0.5</v>
      </c>
      <c r="G32" s="406"/>
      <c r="H32" s="405">
        <f t="shared" si="0"/>
        <v>2</v>
      </c>
      <c r="I32" s="406"/>
      <c r="J32" s="26">
        <v>0.6</v>
      </c>
      <c r="K32" s="26">
        <v>1</v>
      </c>
      <c r="L32" s="405">
        <f t="shared" si="1"/>
        <v>1.2</v>
      </c>
      <c r="M32" s="406"/>
    </row>
    <row r="33" spans="1:14" ht="31.25" customHeight="1" thickBot="1">
      <c r="B33" s="225"/>
      <c r="C33" s="545" t="s">
        <v>169</v>
      </c>
      <c r="D33" s="546"/>
      <c r="E33" s="26">
        <f>Produzione!BH61</f>
        <v>1</v>
      </c>
      <c r="F33" s="405">
        <v>3</v>
      </c>
      <c r="G33" s="406"/>
      <c r="H33" s="405">
        <f t="shared" si="0"/>
        <v>3</v>
      </c>
      <c r="I33" s="406"/>
      <c r="J33" s="26">
        <v>0.7</v>
      </c>
      <c r="K33" s="26">
        <v>0.7</v>
      </c>
      <c r="L33" s="405">
        <f t="shared" si="1"/>
        <v>1.4699999999999998</v>
      </c>
      <c r="M33" s="406"/>
    </row>
    <row r="34" spans="1:14" ht="31.25" customHeight="1" thickBot="1">
      <c r="B34" s="223" t="s">
        <v>193</v>
      </c>
      <c r="C34" s="545" t="s">
        <v>191</v>
      </c>
      <c r="D34" s="546"/>
      <c r="E34" s="26">
        <v>1</v>
      </c>
      <c r="F34" s="405">
        <f>Idrico!J121/1000</f>
        <v>8.0638785912882298</v>
      </c>
      <c r="G34" s="406"/>
      <c r="H34" s="405">
        <f t="shared" si="0"/>
        <v>8.0638785912882298</v>
      </c>
      <c r="I34" s="406"/>
      <c r="J34" s="26">
        <v>0.7</v>
      </c>
      <c r="K34" s="26">
        <v>0.7</v>
      </c>
      <c r="L34" s="405">
        <f t="shared" si="1"/>
        <v>3.9513005097312321</v>
      </c>
      <c r="M34" s="406"/>
    </row>
    <row r="35" spans="1:14" ht="17" thickBot="1">
      <c r="B35" s="225"/>
      <c r="C35" s="545" t="s">
        <v>192</v>
      </c>
      <c r="D35" s="546"/>
      <c r="E35" s="26">
        <v>1</v>
      </c>
      <c r="F35" s="405">
        <f>Idrico!Z63/1000</f>
        <v>2.392060334407736</v>
      </c>
      <c r="G35" s="406"/>
      <c r="H35" s="405">
        <f t="shared" si="0"/>
        <v>2.392060334407736</v>
      </c>
      <c r="I35" s="406"/>
      <c r="J35" s="26">
        <v>0.7</v>
      </c>
      <c r="K35" s="26">
        <v>0.7</v>
      </c>
      <c r="L35" s="405">
        <f t="shared" si="1"/>
        <v>1.1721095638597905</v>
      </c>
      <c r="M35" s="406"/>
    </row>
    <row r="36" spans="1:14" ht="17" thickBot="1">
      <c r="B36" s="48" t="s">
        <v>196</v>
      </c>
      <c r="C36" s="545" t="s">
        <v>195</v>
      </c>
      <c r="D36" s="546"/>
      <c r="E36" s="150" t="s">
        <v>5</v>
      </c>
      <c r="F36" s="405">
        <f>E13/1000</f>
        <v>2.5499999999999998</v>
      </c>
      <c r="G36" s="406"/>
      <c r="H36" s="492">
        <f>SUM(F36:G39)</f>
        <v>24.597099999999998</v>
      </c>
      <c r="I36" s="493"/>
      <c r="J36" s="26">
        <v>0.7</v>
      </c>
      <c r="K36" s="26">
        <v>0.7</v>
      </c>
      <c r="L36" s="405">
        <f>F36*J36*K36</f>
        <v>1.2494999999999996</v>
      </c>
      <c r="M36" s="406"/>
    </row>
    <row r="37" spans="1:14" ht="36.75" customHeight="1" thickBot="1">
      <c r="B37" s="223" t="s">
        <v>200</v>
      </c>
      <c r="C37" s="549" t="s">
        <v>197</v>
      </c>
      <c r="D37" s="550"/>
      <c r="E37" s="149" t="s">
        <v>5</v>
      </c>
      <c r="F37" s="405">
        <f>E7/1000</f>
        <v>15.15</v>
      </c>
      <c r="G37" s="406"/>
      <c r="H37" s="547"/>
      <c r="I37" s="548"/>
      <c r="J37" s="26">
        <v>0.8</v>
      </c>
      <c r="K37" s="26">
        <v>0.8</v>
      </c>
      <c r="L37" s="405">
        <f>F37*J37*K37</f>
        <v>9.6960000000000015</v>
      </c>
      <c r="M37" s="406"/>
    </row>
    <row r="38" spans="1:14" ht="33.75" customHeight="1" thickBot="1">
      <c r="B38" s="224"/>
      <c r="C38" s="549" t="s">
        <v>198</v>
      </c>
      <c r="D38" s="550"/>
      <c r="E38" s="149" t="s">
        <v>5</v>
      </c>
      <c r="F38" s="405">
        <f>E9/1000</f>
        <v>6.8250000000000002</v>
      </c>
      <c r="G38" s="406"/>
      <c r="H38" s="547"/>
      <c r="I38" s="548"/>
      <c r="J38" s="26">
        <v>0.7</v>
      </c>
      <c r="K38" s="26">
        <v>0.7</v>
      </c>
      <c r="L38" s="405">
        <f t="shared" ref="L38:L39" si="2">F38*J38*K38</f>
        <v>3.3442499999999997</v>
      </c>
      <c r="M38" s="406"/>
    </row>
    <row r="39" spans="1:14" ht="19.5" customHeight="1" thickBot="1">
      <c r="B39" s="225"/>
      <c r="C39" s="545" t="s">
        <v>199</v>
      </c>
      <c r="D39" s="546"/>
      <c r="E39" s="151"/>
      <c r="F39" s="405">
        <f>E11/1000</f>
        <v>7.2100000000000011E-2</v>
      </c>
      <c r="G39" s="406"/>
      <c r="H39" s="494"/>
      <c r="I39" s="495"/>
      <c r="J39" s="26">
        <v>1</v>
      </c>
      <c r="K39" s="26">
        <v>1</v>
      </c>
      <c r="L39" s="405">
        <f t="shared" si="2"/>
        <v>7.2100000000000011E-2</v>
      </c>
      <c r="M39" s="406"/>
    </row>
    <row r="40" spans="1:14" ht="16.5" customHeight="1" thickBot="1">
      <c r="K40" s="49" t="s">
        <v>62</v>
      </c>
      <c r="L40" s="405">
        <f>SUM(L21:M39)</f>
        <v>724.22526007359124</v>
      </c>
      <c r="M40" s="406"/>
    </row>
    <row r="41" spans="1:14">
      <c r="A41" s="155"/>
      <c r="B41" s="553"/>
      <c r="C41" s="166"/>
      <c r="D41" s="166"/>
      <c r="E41" s="158"/>
      <c r="F41" s="158"/>
      <c r="G41" s="158"/>
      <c r="H41" s="158"/>
      <c r="I41" s="155"/>
      <c r="J41" s="155"/>
      <c r="K41" s="155"/>
      <c r="L41" s="155"/>
      <c r="M41" s="155"/>
      <c r="N41" s="155"/>
    </row>
    <row r="42" spans="1:14" ht="17" thickBot="1">
      <c r="A42" s="155"/>
      <c r="B42" s="553"/>
      <c r="C42" s="166"/>
      <c r="D42" s="166"/>
      <c r="E42" s="158"/>
      <c r="F42" s="158"/>
      <c r="G42" s="158"/>
      <c r="H42" s="158"/>
      <c r="I42" s="155"/>
      <c r="J42" s="155"/>
      <c r="K42" s="155"/>
      <c r="L42" s="155"/>
      <c r="M42" s="155"/>
      <c r="N42" s="155"/>
    </row>
    <row r="43" spans="1:14" ht="15.75" customHeight="1">
      <c r="A43" s="155"/>
      <c r="B43" s="426" t="s">
        <v>370</v>
      </c>
      <c r="C43" s="427"/>
      <c r="D43" s="427"/>
      <c r="E43" s="427"/>
      <c r="F43" s="427"/>
      <c r="G43" s="427"/>
      <c r="H43" s="427"/>
      <c r="I43" s="427"/>
      <c r="J43" s="427"/>
      <c r="K43" s="427"/>
      <c r="L43" s="427"/>
      <c r="M43" s="428"/>
      <c r="N43" s="155"/>
    </row>
    <row r="44" spans="1:14" ht="17" thickBot="1">
      <c r="A44" s="155"/>
      <c r="B44" s="429"/>
      <c r="C44" s="430"/>
      <c r="D44" s="430"/>
      <c r="E44" s="430"/>
      <c r="F44" s="430"/>
      <c r="G44" s="430"/>
      <c r="H44" s="430"/>
      <c r="I44" s="430"/>
      <c r="J44" s="430"/>
      <c r="K44" s="430"/>
      <c r="L44" s="430"/>
      <c r="M44" s="431"/>
      <c r="N44" s="155"/>
    </row>
    <row r="45" spans="1:14">
      <c r="A45" s="155"/>
      <c r="B45" s="339" t="s">
        <v>307</v>
      </c>
      <c r="C45" s="341"/>
      <c r="D45" s="339" t="s">
        <v>374</v>
      </c>
      <c r="E45" s="341"/>
      <c r="F45" s="339" t="s">
        <v>368</v>
      </c>
      <c r="G45" s="341"/>
      <c r="H45" s="339" t="s">
        <v>369</v>
      </c>
      <c r="I45" s="341"/>
      <c r="J45" s="339" t="s">
        <v>364</v>
      </c>
      <c r="K45" s="341"/>
      <c r="L45" s="339" t="s">
        <v>298</v>
      </c>
      <c r="M45" s="341"/>
      <c r="N45" s="155"/>
    </row>
    <row r="46" spans="1:14" ht="16.5" customHeight="1" thickBot="1">
      <c r="A46" s="155"/>
      <c r="B46" s="342"/>
      <c r="C46" s="344"/>
      <c r="D46" s="342"/>
      <c r="E46" s="344"/>
      <c r="F46" s="342"/>
      <c r="G46" s="344"/>
      <c r="H46" s="342"/>
      <c r="I46" s="344"/>
      <c r="J46" s="342"/>
      <c r="K46" s="344"/>
      <c r="L46" s="342"/>
      <c r="M46" s="344"/>
      <c r="N46" s="155"/>
    </row>
    <row r="47" spans="1:14">
      <c r="A47" s="155"/>
      <c r="B47" s="369">
        <v>0.95</v>
      </c>
      <c r="C47" s="370"/>
      <c r="D47" s="369">
        <f>L40/B47</f>
        <v>762.34237902483289</v>
      </c>
      <c r="E47" s="370"/>
      <c r="F47" s="369">
        <v>2600</v>
      </c>
      <c r="G47" s="370"/>
      <c r="H47" s="369">
        <v>16000</v>
      </c>
      <c r="I47" s="370"/>
      <c r="J47" s="369">
        <f>(F47/H47)^(1/2)</f>
        <v>0.40311288741492751</v>
      </c>
      <c r="K47" s="370"/>
      <c r="L47" s="369">
        <v>2000</v>
      </c>
      <c r="M47" s="370"/>
      <c r="N47" s="155"/>
    </row>
    <row r="48" spans="1:14" ht="17" thickBot="1">
      <c r="A48" s="155"/>
      <c r="B48" s="371"/>
      <c r="C48" s="372"/>
      <c r="D48" s="371"/>
      <c r="E48" s="372"/>
      <c r="F48" s="371"/>
      <c r="G48" s="372"/>
      <c r="H48" s="371"/>
      <c r="I48" s="372"/>
      <c r="J48" s="371"/>
      <c r="K48" s="372"/>
      <c r="L48" s="371"/>
      <c r="M48" s="372"/>
      <c r="N48" s="155"/>
    </row>
    <row r="49" spans="1:18">
      <c r="A49" s="155"/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</row>
    <row r="50" spans="1:18" ht="17" thickBot="1">
      <c r="A50" s="155"/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</row>
    <row r="51" spans="1:18">
      <c r="B51" s="426" t="s">
        <v>367</v>
      </c>
      <c r="C51" s="427"/>
      <c r="D51" s="427"/>
      <c r="E51" s="427"/>
      <c r="F51" s="427"/>
      <c r="G51" s="427"/>
      <c r="H51" s="427"/>
      <c r="I51" s="427"/>
      <c r="J51" s="427"/>
      <c r="K51" s="427"/>
      <c r="L51" s="427"/>
      <c r="M51" s="427"/>
      <c r="N51" s="427"/>
      <c r="O51" s="427"/>
      <c r="P51" s="427"/>
      <c r="Q51" s="427"/>
      <c r="R51" s="428"/>
    </row>
    <row r="52" spans="1:18" ht="17" thickBot="1">
      <c r="B52" s="429"/>
      <c r="C52" s="430"/>
      <c r="D52" s="430"/>
      <c r="E52" s="430"/>
      <c r="F52" s="430"/>
      <c r="G52" s="430"/>
      <c r="H52" s="430"/>
      <c r="I52" s="430"/>
      <c r="J52" s="430"/>
      <c r="K52" s="430"/>
      <c r="L52" s="430"/>
      <c r="M52" s="430"/>
      <c r="N52" s="430"/>
      <c r="O52" s="430"/>
      <c r="P52" s="430"/>
      <c r="Q52" s="430"/>
      <c r="R52" s="431"/>
    </row>
    <row r="53" spans="1:18">
      <c r="B53" s="535" t="s">
        <v>177</v>
      </c>
      <c r="C53" s="536"/>
      <c r="D53" s="535" t="s">
        <v>298</v>
      </c>
      <c r="E53" s="536"/>
      <c r="F53" s="537" t="s">
        <v>201</v>
      </c>
      <c r="G53" s="539" t="s">
        <v>372</v>
      </c>
      <c r="H53" s="537" t="s">
        <v>305</v>
      </c>
      <c r="I53" s="537" t="s">
        <v>299</v>
      </c>
      <c r="J53" s="535" t="s">
        <v>202</v>
      </c>
      <c r="K53" s="536"/>
      <c r="L53" s="537" t="s">
        <v>300</v>
      </c>
      <c r="M53" s="541" t="s">
        <v>301</v>
      </c>
      <c r="N53" s="542"/>
      <c r="O53" s="537" t="s">
        <v>373</v>
      </c>
      <c r="P53" s="537" t="s">
        <v>306</v>
      </c>
      <c r="Q53" s="537" t="s">
        <v>302</v>
      </c>
      <c r="R53" s="537" t="s">
        <v>303</v>
      </c>
    </row>
    <row r="54" spans="1:18" ht="17" thickBot="1">
      <c r="B54" s="342"/>
      <c r="C54" s="344"/>
      <c r="D54" s="342"/>
      <c r="E54" s="344"/>
      <c r="F54" s="538"/>
      <c r="G54" s="540"/>
      <c r="H54" s="538"/>
      <c r="I54" s="538"/>
      <c r="J54" s="342"/>
      <c r="K54" s="344"/>
      <c r="L54" s="538"/>
      <c r="M54" s="530"/>
      <c r="N54" s="532"/>
      <c r="O54" s="538"/>
      <c r="P54" s="538"/>
      <c r="Q54" s="538"/>
      <c r="R54" s="538"/>
    </row>
    <row r="55" spans="1:18" ht="17" thickBot="1">
      <c r="B55" s="482" t="s">
        <v>179</v>
      </c>
      <c r="C55" s="483"/>
      <c r="D55" s="405">
        <v>50</v>
      </c>
      <c r="E55" s="406"/>
      <c r="F55" s="94">
        <v>0.8</v>
      </c>
      <c r="G55" s="141">
        <v>400</v>
      </c>
      <c r="H55" s="122">
        <f>3^(1/2)</f>
        <v>1.7320508075688772</v>
      </c>
      <c r="I55" s="122">
        <f>D55*1000/(F55*G55*H55)</f>
        <v>90.210979560879039</v>
      </c>
      <c r="J55" s="405">
        <v>25</v>
      </c>
      <c r="K55" s="406"/>
      <c r="L55" s="128">
        <v>0.90700000000000003</v>
      </c>
      <c r="M55" s="405">
        <f>0.07*G55</f>
        <v>28.000000000000004</v>
      </c>
      <c r="N55" s="406"/>
      <c r="O55" s="122">
        <v>8.1299999999999997E-2</v>
      </c>
      <c r="P55" s="94">
        <v>0.6</v>
      </c>
      <c r="Q55" s="152">
        <v>17</v>
      </c>
      <c r="R55" s="122">
        <f>H55*I55*Q55*((L55/1000*F55)+(O55/1000*P55))</f>
        <v>2.0569468750000004</v>
      </c>
    </row>
    <row r="56" spans="1:18" ht="17" thickBot="1">
      <c r="B56" s="482" t="s">
        <v>180</v>
      </c>
      <c r="C56" s="483"/>
      <c r="D56" s="405">
        <v>40</v>
      </c>
      <c r="E56" s="406"/>
      <c r="F56" s="94">
        <v>0.8</v>
      </c>
      <c r="G56" s="141">
        <v>400</v>
      </c>
      <c r="H56" s="122">
        <f t="shared" ref="H56:H64" si="3">3^(1/2)</f>
        <v>1.7320508075688772</v>
      </c>
      <c r="I56" s="122">
        <f>D56*1000/(F56*G56*H56)</f>
        <v>72.168783648703226</v>
      </c>
      <c r="J56" s="405">
        <v>16</v>
      </c>
      <c r="K56" s="406"/>
      <c r="L56" s="176">
        <v>1.43</v>
      </c>
      <c r="M56" s="405">
        <f t="shared" ref="M56:M61" si="4">0.07*G56</f>
        <v>28.000000000000004</v>
      </c>
      <c r="N56" s="406"/>
      <c r="O56" s="122">
        <v>8.1699999999999995E-2</v>
      </c>
      <c r="P56" s="94">
        <v>0.6</v>
      </c>
      <c r="Q56" s="153">
        <v>20</v>
      </c>
      <c r="R56" s="122">
        <f t="shared" ref="R56:R64" si="5">H56*I56*Q56*((L56/1000*F56)+(O56/1000*P56))</f>
        <v>2.9825499999999998</v>
      </c>
    </row>
    <row r="57" spans="1:18" ht="17" thickBot="1">
      <c r="B57" s="482" t="s">
        <v>181</v>
      </c>
      <c r="C57" s="483"/>
      <c r="D57" s="405">
        <v>20</v>
      </c>
      <c r="E57" s="406"/>
      <c r="F57" s="94">
        <v>0.8</v>
      </c>
      <c r="G57" s="141">
        <v>400</v>
      </c>
      <c r="H57" s="122">
        <f t="shared" si="3"/>
        <v>1.7320508075688772</v>
      </c>
      <c r="I57" s="122">
        <f t="shared" ref="I57:I64" si="6">D57*1000/(F57*G57*H57)</f>
        <v>36.084391824351613</v>
      </c>
      <c r="J57" s="405">
        <v>6</v>
      </c>
      <c r="K57" s="406"/>
      <c r="L57" s="128">
        <v>3.78</v>
      </c>
      <c r="M57" s="405">
        <f t="shared" si="4"/>
        <v>28.000000000000004</v>
      </c>
      <c r="N57" s="406"/>
      <c r="O57" s="122">
        <v>9.5500000000000002E-2</v>
      </c>
      <c r="P57" s="94">
        <v>0.6</v>
      </c>
      <c r="Q57" s="153">
        <v>24</v>
      </c>
      <c r="R57" s="122">
        <f t="shared" si="5"/>
        <v>4.6219500000000009</v>
      </c>
    </row>
    <row r="58" spans="1:18" ht="17" thickBot="1">
      <c r="B58" s="482" t="s">
        <v>166</v>
      </c>
      <c r="C58" s="483"/>
      <c r="D58" s="405">
        <v>5</v>
      </c>
      <c r="E58" s="406"/>
      <c r="F58" s="94">
        <v>0.8</v>
      </c>
      <c r="G58" s="141">
        <v>400</v>
      </c>
      <c r="H58" s="122">
        <f t="shared" si="3"/>
        <v>1.7320508075688772</v>
      </c>
      <c r="I58" s="122">
        <f t="shared" si="6"/>
        <v>9.0210979560879032</v>
      </c>
      <c r="J58" s="405">
        <v>1.5</v>
      </c>
      <c r="K58" s="406"/>
      <c r="L58" s="141">
        <v>15.1</v>
      </c>
      <c r="M58" s="405">
        <f t="shared" si="4"/>
        <v>28.000000000000004</v>
      </c>
      <c r="N58" s="406"/>
      <c r="O58" s="94">
        <v>0.11799999999999999</v>
      </c>
      <c r="P58" s="114">
        <v>0.6</v>
      </c>
      <c r="Q58" s="153">
        <v>27</v>
      </c>
      <c r="R58" s="122">
        <f t="shared" si="5"/>
        <v>5.1261187499999998</v>
      </c>
    </row>
    <row r="59" spans="1:18" ht="17" thickBot="1">
      <c r="B59" s="482" t="s">
        <v>188</v>
      </c>
      <c r="C59" s="483"/>
      <c r="D59" s="405">
        <v>0.5</v>
      </c>
      <c r="E59" s="406"/>
      <c r="F59" s="94">
        <v>0.9</v>
      </c>
      <c r="G59" s="141">
        <v>400</v>
      </c>
      <c r="H59" s="122">
        <f t="shared" si="3"/>
        <v>1.7320508075688772</v>
      </c>
      <c r="I59" s="122">
        <f t="shared" si="6"/>
        <v>0.80187537387448016</v>
      </c>
      <c r="J59" s="405">
        <v>1.5</v>
      </c>
      <c r="K59" s="406"/>
      <c r="L59" s="128">
        <v>15.1</v>
      </c>
      <c r="M59" s="405">
        <f t="shared" si="4"/>
        <v>28.000000000000004</v>
      </c>
      <c r="N59" s="406"/>
      <c r="O59" s="94">
        <v>0.11799999999999999</v>
      </c>
      <c r="P59" s="113">
        <v>0.43588989439999998</v>
      </c>
      <c r="Q59" s="153">
        <v>28</v>
      </c>
      <c r="R59" s="122">
        <f t="shared" si="5"/>
        <v>0.53050025029319092</v>
      </c>
    </row>
    <row r="60" spans="1:18" ht="17" thickBot="1">
      <c r="B60" s="482" t="s">
        <v>189</v>
      </c>
      <c r="C60" s="483"/>
      <c r="D60" s="405">
        <v>0.5</v>
      </c>
      <c r="E60" s="406"/>
      <c r="F60" s="94">
        <v>0.9</v>
      </c>
      <c r="G60" s="141">
        <v>400</v>
      </c>
      <c r="H60" s="122">
        <f t="shared" si="3"/>
        <v>1.7320508075688772</v>
      </c>
      <c r="I60" s="122">
        <f t="shared" si="6"/>
        <v>0.80187537387448016</v>
      </c>
      <c r="J60" s="405">
        <v>1.5</v>
      </c>
      <c r="K60" s="406"/>
      <c r="L60" s="141">
        <v>15.1</v>
      </c>
      <c r="M60" s="405">
        <f t="shared" si="4"/>
        <v>28.000000000000004</v>
      </c>
      <c r="N60" s="406"/>
      <c r="O60" s="94">
        <v>0.11799999999999999</v>
      </c>
      <c r="P60" s="113">
        <v>0.43588989439999998</v>
      </c>
      <c r="Q60" s="153">
        <v>40</v>
      </c>
      <c r="R60" s="122">
        <f t="shared" si="5"/>
        <v>0.75785750041884425</v>
      </c>
    </row>
    <row r="61" spans="1:18" ht="17" thickBot="1">
      <c r="B61" s="482" t="s">
        <v>169</v>
      </c>
      <c r="C61" s="483"/>
      <c r="D61" s="405">
        <v>3</v>
      </c>
      <c r="E61" s="406"/>
      <c r="F61" s="94">
        <v>0.8</v>
      </c>
      <c r="G61" s="141">
        <v>400</v>
      </c>
      <c r="H61" s="122">
        <f t="shared" si="3"/>
        <v>1.7320508075688772</v>
      </c>
      <c r="I61" s="122">
        <f t="shared" si="6"/>
        <v>5.4126587736527423</v>
      </c>
      <c r="J61" s="405">
        <v>1.5</v>
      </c>
      <c r="K61" s="406"/>
      <c r="L61" s="129">
        <v>15.1</v>
      </c>
      <c r="M61" s="405">
        <f t="shared" si="4"/>
        <v>28.000000000000004</v>
      </c>
      <c r="N61" s="406"/>
      <c r="O61" s="94">
        <v>0.11799999999999999</v>
      </c>
      <c r="P61" s="154">
        <v>0.6</v>
      </c>
      <c r="Q61" s="153">
        <v>56</v>
      </c>
      <c r="R61" s="122">
        <f t="shared" si="5"/>
        <v>6.3791700000000002</v>
      </c>
    </row>
    <row r="62" spans="1:18" ht="17" thickBot="1">
      <c r="B62" s="543" t="s">
        <v>197</v>
      </c>
      <c r="C62" s="544"/>
      <c r="D62" s="405">
        <f>F37</f>
        <v>15.15</v>
      </c>
      <c r="E62" s="406"/>
      <c r="F62" s="94">
        <v>1</v>
      </c>
      <c r="G62" s="141">
        <v>400</v>
      </c>
      <c r="H62" s="122">
        <f t="shared" si="3"/>
        <v>1.7320508075688772</v>
      </c>
      <c r="I62" s="122">
        <f t="shared" si="6"/>
        <v>21.867141445557078</v>
      </c>
      <c r="J62" s="405">
        <v>2.5</v>
      </c>
      <c r="K62" s="406"/>
      <c r="L62" s="129">
        <v>9.08</v>
      </c>
      <c r="M62" s="405">
        <f>0.04*G62</f>
        <v>16</v>
      </c>
      <c r="N62" s="406"/>
      <c r="O62" s="94">
        <v>0.109</v>
      </c>
      <c r="P62" s="112">
        <v>0</v>
      </c>
      <c r="Q62" s="152">
        <v>41</v>
      </c>
      <c r="R62" s="122">
        <f t="shared" si="5"/>
        <v>14.100104999999999</v>
      </c>
    </row>
    <row r="63" spans="1:18" ht="17" thickBot="1">
      <c r="B63" s="543" t="s">
        <v>198</v>
      </c>
      <c r="C63" s="544"/>
      <c r="D63" s="405">
        <f>F38</f>
        <v>6.8250000000000002</v>
      </c>
      <c r="E63" s="406"/>
      <c r="F63" s="94">
        <v>1</v>
      </c>
      <c r="G63" s="141">
        <v>400</v>
      </c>
      <c r="H63" s="122">
        <f t="shared" si="3"/>
        <v>1.7320508075688772</v>
      </c>
      <c r="I63" s="122">
        <f t="shared" si="6"/>
        <v>9.8510389680479893</v>
      </c>
      <c r="J63" s="405">
        <v>1.5</v>
      </c>
      <c r="K63" s="406"/>
      <c r="L63" s="129">
        <v>15.1</v>
      </c>
      <c r="M63" s="405">
        <f>0.04*G63</f>
        <v>16</v>
      </c>
      <c r="N63" s="406"/>
      <c r="O63" s="94">
        <v>0.11799999999999999</v>
      </c>
      <c r="P63" s="112">
        <v>0</v>
      </c>
      <c r="Q63" s="153">
        <v>52</v>
      </c>
      <c r="R63" s="122">
        <f t="shared" si="5"/>
        <v>13.397474999999998</v>
      </c>
    </row>
    <row r="64" spans="1:18" ht="17" thickBot="1">
      <c r="B64" s="482" t="s">
        <v>199</v>
      </c>
      <c r="C64" s="483"/>
      <c r="D64" s="405">
        <f>F39</f>
        <v>7.2100000000000011E-2</v>
      </c>
      <c r="E64" s="406"/>
      <c r="F64" s="94">
        <v>1</v>
      </c>
      <c r="G64" s="141">
        <v>400</v>
      </c>
      <c r="H64" s="122">
        <f t="shared" si="3"/>
        <v>1.7320508075688772</v>
      </c>
      <c r="I64" s="122">
        <f t="shared" si="6"/>
        <v>0.10406738602143006</v>
      </c>
      <c r="J64" s="405">
        <v>1.5</v>
      </c>
      <c r="K64" s="406"/>
      <c r="L64" s="129">
        <v>15.1</v>
      </c>
      <c r="M64" s="405">
        <f>0.04*G64</f>
        <v>16</v>
      </c>
      <c r="N64" s="406"/>
      <c r="O64" s="94">
        <v>0.11799999999999999</v>
      </c>
      <c r="P64" s="112">
        <v>0</v>
      </c>
      <c r="Q64" s="153">
        <v>75</v>
      </c>
      <c r="R64" s="122">
        <f t="shared" si="5"/>
        <v>0.204133125</v>
      </c>
    </row>
    <row r="66" spans="3:5">
      <c r="C66" s="110"/>
      <c r="D66" s="110"/>
      <c r="E66" s="77"/>
    </row>
    <row r="67" spans="3:5">
      <c r="C67" s="77"/>
      <c r="D67" s="77"/>
      <c r="E67" s="77"/>
    </row>
    <row r="68" spans="3:5">
      <c r="C68" s="77"/>
      <c r="D68" s="77"/>
      <c r="E68" s="77"/>
    </row>
  </sheetData>
  <mergeCells count="174">
    <mergeCell ref="B19:B20"/>
    <mergeCell ref="C19:D20"/>
    <mergeCell ref="E19:E20"/>
    <mergeCell ref="F19:G20"/>
    <mergeCell ref="H19:I20"/>
    <mergeCell ref="J19:J20"/>
    <mergeCell ref="K19:K20"/>
    <mergeCell ref="L19:M20"/>
    <mergeCell ref="B5:B6"/>
    <mergeCell ref="C5:C6"/>
    <mergeCell ref="D5:D6"/>
    <mergeCell ref="E5:E6"/>
    <mergeCell ref="B7:B8"/>
    <mergeCell ref="C7:C8"/>
    <mergeCell ref="D7:D8"/>
    <mergeCell ref="E7:E8"/>
    <mergeCell ref="B13:B14"/>
    <mergeCell ref="C13:C14"/>
    <mergeCell ref="D13:D14"/>
    <mergeCell ref="E13:E14"/>
    <mergeCell ref="B9:B10"/>
    <mergeCell ref="C9:C10"/>
    <mergeCell ref="D9:D10"/>
    <mergeCell ref="E9:E10"/>
    <mergeCell ref="C11:C12"/>
    <mergeCell ref="D11:D12"/>
    <mergeCell ref="B11:B12"/>
    <mergeCell ref="E11:E12"/>
    <mergeCell ref="C39:D39"/>
    <mergeCell ref="B37:B39"/>
    <mergeCell ref="F21:G21"/>
    <mergeCell ref="F22:G22"/>
    <mergeCell ref="F23:G23"/>
    <mergeCell ref="F24:G24"/>
    <mergeCell ref="F25:G25"/>
    <mergeCell ref="F26:G26"/>
    <mergeCell ref="C33:D33"/>
    <mergeCell ref="C34:D34"/>
    <mergeCell ref="C35:D35"/>
    <mergeCell ref="C36:D36"/>
    <mergeCell ref="C37:D37"/>
    <mergeCell ref="C38:D38"/>
    <mergeCell ref="C26:D26"/>
    <mergeCell ref="C27:D27"/>
    <mergeCell ref="C28:D28"/>
    <mergeCell ref="C29:D29"/>
    <mergeCell ref="C30:D30"/>
    <mergeCell ref="C31:D31"/>
    <mergeCell ref="H29:I29"/>
    <mergeCell ref="L36:M36"/>
    <mergeCell ref="C21:D21"/>
    <mergeCell ref="C22:D22"/>
    <mergeCell ref="C23:D23"/>
    <mergeCell ref="C24:D24"/>
    <mergeCell ref="F38:G38"/>
    <mergeCell ref="F27:G27"/>
    <mergeCell ref="F28:G28"/>
    <mergeCell ref="F29:G29"/>
    <mergeCell ref="F30:G30"/>
    <mergeCell ref="F31:G31"/>
    <mergeCell ref="F32:G32"/>
    <mergeCell ref="F35:G35"/>
    <mergeCell ref="F37:G37"/>
    <mergeCell ref="F33:G33"/>
    <mergeCell ref="F34:G34"/>
    <mergeCell ref="L34:M34"/>
    <mergeCell ref="L35:M35"/>
    <mergeCell ref="H36:I39"/>
    <mergeCell ref="H30:I30"/>
    <mergeCell ref="H31:I31"/>
    <mergeCell ref="H32:I32"/>
    <mergeCell ref="H33:I33"/>
    <mergeCell ref="B21:B33"/>
    <mergeCell ref="B34:B35"/>
    <mergeCell ref="C25:D25"/>
    <mergeCell ref="C32:D32"/>
    <mergeCell ref="F36:G36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H21:I21"/>
    <mergeCell ref="H22:I22"/>
    <mergeCell ref="H23:I23"/>
    <mergeCell ref="H24:I24"/>
    <mergeCell ref="H25:I25"/>
    <mergeCell ref="H26:I26"/>
    <mergeCell ref="H27:I27"/>
    <mergeCell ref="H28:I28"/>
    <mergeCell ref="L32:M32"/>
    <mergeCell ref="L33:M33"/>
    <mergeCell ref="H34:I34"/>
    <mergeCell ref="H35:I35"/>
    <mergeCell ref="B64:C64"/>
    <mergeCell ref="D56:E56"/>
    <mergeCell ref="D57:E57"/>
    <mergeCell ref="D58:E58"/>
    <mergeCell ref="D59:E59"/>
    <mergeCell ref="D60:E60"/>
    <mergeCell ref="D61:E61"/>
    <mergeCell ref="D62:E62"/>
    <mergeCell ref="B61:C61"/>
    <mergeCell ref="B62:C62"/>
    <mergeCell ref="B63:C63"/>
    <mergeCell ref="B58:C58"/>
    <mergeCell ref="B59:C59"/>
    <mergeCell ref="B60:C60"/>
    <mergeCell ref="D63:E63"/>
    <mergeCell ref="D64:E64"/>
    <mergeCell ref="B56:C56"/>
    <mergeCell ref="B57:C57"/>
    <mergeCell ref="D55:E55"/>
    <mergeCell ref="B55:C55"/>
    <mergeCell ref="M62:N62"/>
    <mergeCell ref="M63:N63"/>
    <mergeCell ref="M64:N64"/>
    <mergeCell ref="J60:K60"/>
    <mergeCell ref="J61:K61"/>
    <mergeCell ref="J62:K62"/>
    <mergeCell ref="J63:K63"/>
    <mergeCell ref="J53:K54"/>
    <mergeCell ref="L53:L54"/>
    <mergeCell ref="M53:N54"/>
    <mergeCell ref="J55:K55"/>
    <mergeCell ref="J56:K56"/>
    <mergeCell ref="J57:K57"/>
    <mergeCell ref="J58:K58"/>
    <mergeCell ref="J59:K59"/>
    <mergeCell ref="M59:N59"/>
    <mergeCell ref="M60:N60"/>
    <mergeCell ref="M61:N61"/>
    <mergeCell ref="J64:K64"/>
    <mergeCell ref="M56:N56"/>
    <mergeCell ref="M57:N57"/>
    <mergeCell ref="M58:N58"/>
    <mergeCell ref="B17:M18"/>
    <mergeCell ref="B3:E4"/>
    <mergeCell ref="G53:G54"/>
    <mergeCell ref="B51:R52"/>
    <mergeCell ref="L45:M46"/>
    <mergeCell ref="B47:C48"/>
    <mergeCell ref="D47:E48"/>
    <mergeCell ref="F47:G48"/>
    <mergeCell ref="H47:I48"/>
    <mergeCell ref="J47:K48"/>
    <mergeCell ref="L47:M48"/>
    <mergeCell ref="B43:M44"/>
    <mergeCell ref="P53:P54"/>
    <mergeCell ref="Q53:Q54"/>
    <mergeCell ref="R53:R54"/>
    <mergeCell ref="B45:C46"/>
    <mergeCell ref="D45:E46"/>
    <mergeCell ref="F45:G46"/>
    <mergeCell ref="O53:O54"/>
    <mergeCell ref="L38:M38"/>
    <mergeCell ref="L39:M39"/>
    <mergeCell ref="L40:M40"/>
    <mergeCell ref="L30:M30"/>
    <mergeCell ref="L31:M31"/>
    <mergeCell ref="L37:M37"/>
    <mergeCell ref="H45:I46"/>
    <mergeCell ref="J45:K46"/>
    <mergeCell ref="B53:C54"/>
    <mergeCell ref="D53:E54"/>
    <mergeCell ref="F53:F54"/>
    <mergeCell ref="I53:I54"/>
    <mergeCell ref="H53:H54"/>
    <mergeCell ref="M55:N55"/>
    <mergeCell ref="F39:G3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Attività</vt:lpstr>
      <vt:lpstr>Ubicazione</vt:lpstr>
      <vt:lpstr>Produzione</vt:lpstr>
      <vt:lpstr>Magazzini</vt:lpstr>
      <vt:lpstr>Layout</vt:lpstr>
      <vt:lpstr>Idrico</vt:lpstr>
      <vt:lpstr>Elettrico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marcarini</dc:creator>
  <cp:lastModifiedBy>veronica marcarini</cp:lastModifiedBy>
  <dcterms:created xsi:type="dcterms:W3CDTF">2019-12-17T07:46:18Z</dcterms:created>
  <dcterms:modified xsi:type="dcterms:W3CDTF">2020-04-24T07:55:02Z</dcterms:modified>
</cp:coreProperties>
</file>