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hisalian/Desktop/CDC-datathon/AirlineFinancials/"/>
    </mc:Choice>
  </mc:AlternateContent>
  <xr:revisionPtr revIDLastSave="0" documentId="13_ncr:1_{4BB8A4EA-F9C1-9640-8A30-28BB8230BE84}" xr6:coauthVersionLast="47" xr6:coauthVersionMax="47" xr10:uidLastSave="{00000000-0000-0000-0000-000000000000}"/>
  <bookViews>
    <workbookView xWindow="0" yWindow="780" windowWidth="29040" windowHeight="15720" xr2:uid="{00000000-000D-0000-FFFF-FFFF00000000}"/>
  </bookViews>
  <sheets>
    <sheet name="Alaska Airlines" sheetId="2" r:id="rId1"/>
    <sheet name="Sheet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4" i="2"/>
  <c r="L182" i="2"/>
  <c r="L33" i="2"/>
  <c r="L171" i="2"/>
  <c r="F177" i="2"/>
  <c r="F59" i="2"/>
  <c r="G189" i="2"/>
  <c r="G164" i="2"/>
  <c r="G159" i="2"/>
  <c r="G136" i="2"/>
  <c r="J72" i="2"/>
  <c r="E69" i="2"/>
  <c r="G123" i="2"/>
  <c r="I103" i="2"/>
  <c r="E108" i="2"/>
  <c r="N144" i="2"/>
  <c r="N149" i="2"/>
  <c r="E85" i="2"/>
  <c r="I89" i="2"/>
  <c r="N4" i="2"/>
  <c r="E95" i="2"/>
  <c r="E305" i="2"/>
  <c r="E359" i="2"/>
  <c r="E155" i="2"/>
  <c r="E319" i="2"/>
  <c r="E77" i="2"/>
  <c r="E253" i="2"/>
  <c r="K223" i="2"/>
  <c r="K374" i="2"/>
  <c r="I81" i="2"/>
  <c r="K194" i="2"/>
  <c r="J118" i="2"/>
  <c r="K325" i="2"/>
  <c r="J259" i="2"/>
  <c r="J382" i="2"/>
  <c r="J348" i="2"/>
  <c r="J285" i="2"/>
  <c r="J63" i="2"/>
  <c r="H270" i="2"/>
  <c r="H210" i="2"/>
  <c r="H141" i="2"/>
  <c r="K128" i="2"/>
  <c r="F335" i="2"/>
  <c r="F95" i="2"/>
  <c r="F247" i="2"/>
  <c r="F417" i="2"/>
  <c r="F85" i="2"/>
  <c r="F298" i="2"/>
  <c r="F108" i="2"/>
  <c r="I292" i="2"/>
  <c r="J141" i="2"/>
  <c r="I391" i="2"/>
  <c r="J89" i="2"/>
  <c r="M339" i="2"/>
  <c r="J103" i="2"/>
  <c r="M263" i="2"/>
  <c r="G177" i="2"/>
  <c r="M218" i="2"/>
  <c r="G59" i="2"/>
  <c r="H123" i="2"/>
  <c r="L72" i="2"/>
  <c r="H159" i="2"/>
  <c r="H164" i="2"/>
  <c r="H136" i="2"/>
  <c r="J81" i="2"/>
  <c r="L366" i="2"/>
  <c r="F69" i="2"/>
  <c r="L311" i="2"/>
  <c r="E145" i="2"/>
  <c r="E150" i="2"/>
  <c r="F77" i="2"/>
  <c r="G202" i="2"/>
  <c r="K118" i="2"/>
  <c r="F286" i="2"/>
  <c r="F359" i="2"/>
  <c r="F155" i="2"/>
  <c r="L398" i="2"/>
  <c r="F293" i="2"/>
  <c r="L63" i="2"/>
  <c r="F253" i="2"/>
  <c r="E375" i="2"/>
  <c r="F305" i="2"/>
  <c r="M182" i="2"/>
  <c r="E343" i="2"/>
  <c r="F319" i="2"/>
  <c r="N210" i="2"/>
  <c r="E349" i="2"/>
  <c r="N339" i="2"/>
  <c r="N224" i="2"/>
  <c r="L128" i="2"/>
  <c r="N218" i="2"/>
  <c r="N342" i="2"/>
  <c r="N263" i="2"/>
  <c r="I375" i="2"/>
  <c r="N182" i="2"/>
  <c r="I279" i="2"/>
  <c r="I343" i="2"/>
  <c r="H202" i="2"/>
  <c r="K408" i="2"/>
  <c r="I368" i="2"/>
  <c r="H189" i="2"/>
  <c r="K299" i="2"/>
  <c r="M136" i="2"/>
  <c r="H343" i="2"/>
  <c r="M398" i="2"/>
  <c r="K259" i="2"/>
  <c r="H368" i="2"/>
  <c r="M63" i="2"/>
  <c r="K348" i="2"/>
  <c r="H86" i="2"/>
  <c r="L194" i="2"/>
  <c r="G108" i="2"/>
  <c r="L374" i="2"/>
  <c r="G85" i="2"/>
  <c r="L325" i="2"/>
  <c r="M311" i="2"/>
  <c r="G417" i="2"/>
  <c r="M224" i="2"/>
  <c r="G384" i="2"/>
  <c r="M210" i="2"/>
  <c r="G95" i="2"/>
  <c r="E368" i="2"/>
  <c r="I123" i="2"/>
  <c r="E279" i="2"/>
  <c r="K89" i="2"/>
  <c r="G335" i="2"/>
  <c r="G247" i="2"/>
  <c r="K103" i="2"/>
  <c r="K141" i="2"/>
  <c r="I270" i="2"/>
  <c r="K81" i="2"/>
  <c r="F150" i="2"/>
  <c r="F145" i="2"/>
  <c r="M72" i="2"/>
  <c r="G69" i="2"/>
  <c r="I319" i="2"/>
  <c r="I202" i="2"/>
  <c r="I247" i="2"/>
  <c r="I159" i="2"/>
  <c r="I164" i="2"/>
  <c r="I189" i="2"/>
  <c r="L408" i="2"/>
  <c r="E34" i="2"/>
  <c r="E172" i="2"/>
  <c r="M265" i="2"/>
  <c r="H59" i="2"/>
  <c r="E400" i="2"/>
  <c r="M194" i="2"/>
  <c r="G77" i="2"/>
  <c r="H384" i="2"/>
  <c r="M325" i="2"/>
  <c r="L118" i="2"/>
  <c r="H312" i="2"/>
  <c r="H417" i="2"/>
  <c r="E392" i="2"/>
  <c r="H335" i="2"/>
  <c r="H51" i="2"/>
  <c r="H16" i="2"/>
  <c r="H95" i="2"/>
  <c r="M128" i="2"/>
  <c r="H177" i="2"/>
  <c r="H238" i="2"/>
  <c r="G286" i="2"/>
  <c r="G305" i="2"/>
  <c r="G253" i="2"/>
  <c r="G293" i="2"/>
  <c r="L89" i="2"/>
  <c r="L348" i="2"/>
  <c r="L141" i="2"/>
  <c r="L299" i="2"/>
  <c r="L103" i="2"/>
  <c r="L259" i="2"/>
  <c r="F368" i="2"/>
  <c r="F86" i="2"/>
  <c r="F392" i="2"/>
  <c r="K270" i="2"/>
  <c r="E211" i="2"/>
  <c r="L81" i="2"/>
  <c r="E225" i="2"/>
  <c r="E219" i="2"/>
  <c r="M408" i="2"/>
  <c r="E161" i="2"/>
  <c r="E183" i="2"/>
  <c r="M374" i="2"/>
  <c r="M55" i="2"/>
  <c r="M29" i="2"/>
  <c r="E179" i="2"/>
  <c r="F279" i="2"/>
  <c r="L73" i="2"/>
  <c r="K146" i="2"/>
  <c r="N136" i="2"/>
  <c r="M103" i="2"/>
  <c r="K197" i="2"/>
  <c r="M89" i="2"/>
  <c r="N63" i="2"/>
  <c r="I335" i="2"/>
  <c r="K231" i="2"/>
  <c r="J123" i="2"/>
  <c r="I417" i="2"/>
  <c r="I51" i="2"/>
  <c r="I16" i="2"/>
  <c r="H77" i="2"/>
  <c r="H293" i="2"/>
  <c r="I384" i="2"/>
  <c r="K60" i="2"/>
  <c r="H286" i="2"/>
  <c r="I95" i="2"/>
  <c r="H253" i="2"/>
  <c r="H69" i="2"/>
  <c r="H307" i="2"/>
  <c r="M259" i="2"/>
  <c r="M118" i="2"/>
  <c r="M202" i="2"/>
  <c r="I108" i="2"/>
  <c r="M164" i="2"/>
  <c r="M299" i="2"/>
  <c r="F400" i="2"/>
  <c r="F172" i="2"/>
  <c r="M270" i="2"/>
  <c r="I312" i="2"/>
  <c r="J319" i="2"/>
  <c r="I238" i="2"/>
  <c r="I69" i="2"/>
  <c r="G150" i="2"/>
  <c r="G279" i="2"/>
  <c r="G86" i="2"/>
  <c r="J189" i="2"/>
  <c r="G368" i="2"/>
  <c r="E119" i="2"/>
  <c r="I77" i="2"/>
  <c r="J247" i="2"/>
  <c r="N325" i="2"/>
  <c r="N408" i="2"/>
  <c r="N55" i="2"/>
  <c r="N29" i="2"/>
  <c r="F219" i="2"/>
  <c r="F161" i="2"/>
  <c r="F211" i="2"/>
  <c r="F179" i="2"/>
  <c r="F225" i="2"/>
  <c r="M73" i="2"/>
  <c r="M81" i="2"/>
  <c r="N265" i="2"/>
  <c r="G183" i="2"/>
  <c r="G219" i="2"/>
  <c r="J417" i="2"/>
  <c r="J51" i="2"/>
  <c r="J16" i="2"/>
  <c r="M231" i="2"/>
  <c r="M141" i="2"/>
  <c r="J335" i="2"/>
  <c r="L150" i="2"/>
  <c r="L146" i="2"/>
  <c r="L197" i="2"/>
  <c r="J384" i="2"/>
  <c r="K123" i="2"/>
  <c r="E409" i="2"/>
  <c r="N164" i="2"/>
  <c r="N141" i="2"/>
  <c r="N259" i="2"/>
  <c r="N202" i="2"/>
  <c r="L60" i="2"/>
  <c r="E65" i="2"/>
  <c r="E30" i="2"/>
  <c r="N231" i="2"/>
  <c r="E137" i="2"/>
  <c r="E351" i="2"/>
  <c r="K108" i="2"/>
  <c r="E266" i="2"/>
  <c r="N89" i="2"/>
  <c r="J69" i="2"/>
  <c r="K247" i="2"/>
  <c r="K189" i="2"/>
  <c r="H394" i="2"/>
  <c r="K272" i="2"/>
  <c r="N103" i="2"/>
  <c r="F326" i="2"/>
  <c r="F375" i="2"/>
  <c r="I286" i="2"/>
  <c r="E166" i="2"/>
  <c r="I253" i="2"/>
  <c r="J77" i="2"/>
  <c r="E260" i="2"/>
  <c r="K319" i="2"/>
  <c r="E240" i="2"/>
  <c r="N312" i="2"/>
  <c r="N299" i="2"/>
  <c r="E203" i="2"/>
  <c r="N81" i="2"/>
  <c r="E226" i="2"/>
  <c r="I293" i="2"/>
  <c r="G211" i="2"/>
  <c r="I394" i="2"/>
  <c r="G179" i="2"/>
  <c r="I307" i="2"/>
  <c r="I56" i="2"/>
  <c r="I20" i="2"/>
  <c r="H219" i="2"/>
  <c r="G161" i="2"/>
  <c r="H183" i="2"/>
  <c r="G74" i="2"/>
  <c r="H279" i="2"/>
  <c r="L123" i="2"/>
  <c r="M60" i="2"/>
  <c r="J238" i="2"/>
  <c r="M150" i="2"/>
  <c r="M146" i="2"/>
  <c r="M197" i="2"/>
  <c r="F119" i="2"/>
  <c r="L319" i="2"/>
  <c r="J95" i="2"/>
  <c r="L51" i="2"/>
  <c r="L16" i="2"/>
  <c r="L335" i="2"/>
  <c r="J253" i="2"/>
  <c r="G400" i="2"/>
  <c r="L247" i="2"/>
  <c r="L108" i="2"/>
  <c r="L189" i="2"/>
  <c r="I219" i="2"/>
  <c r="I211" i="2"/>
  <c r="I86" i="2"/>
  <c r="F385" i="2"/>
  <c r="I183" i="2"/>
  <c r="F65" i="2"/>
  <c r="F30" i="2"/>
  <c r="M123" i="2"/>
  <c r="F266" i="2"/>
  <c r="F351" i="2"/>
  <c r="F409" i="2"/>
  <c r="E90" i="2"/>
  <c r="N286" i="2"/>
  <c r="N60" i="2"/>
  <c r="E142" i="2"/>
  <c r="N272" i="2"/>
  <c r="E104" i="2"/>
  <c r="E174" i="2"/>
  <c r="K166" i="2"/>
  <c r="F137" i="2"/>
  <c r="G326" i="2"/>
  <c r="K95" i="2"/>
  <c r="G314" i="2"/>
  <c r="K205" i="2"/>
  <c r="N197" i="2"/>
  <c r="K417" i="2"/>
  <c r="N150" i="2"/>
  <c r="J307" i="2"/>
  <c r="J293" i="2"/>
  <c r="J56" i="2"/>
  <c r="J20" i="2"/>
  <c r="J394" i="2"/>
  <c r="J359" i="2"/>
  <c r="J155" i="2"/>
  <c r="N146" i="2"/>
  <c r="F301" i="2"/>
  <c r="H190" i="2"/>
  <c r="F418" i="2"/>
  <c r="H161" i="2"/>
  <c r="F260" i="2"/>
  <c r="H179" i="2"/>
  <c r="F226" i="2"/>
  <c r="F240" i="2"/>
  <c r="K77" i="2"/>
  <c r="K69" i="2"/>
  <c r="G119" i="2"/>
  <c r="M51" i="2"/>
  <c r="M16" i="2"/>
  <c r="E82" i="2"/>
  <c r="M247" i="2"/>
  <c r="E301" i="2"/>
  <c r="H74" i="2"/>
  <c r="H401" i="2"/>
  <c r="M319" i="2"/>
  <c r="M335" i="2"/>
  <c r="J368" i="2"/>
  <c r="G351" i="2"/>
  <c r="J281" i="2"/>
  <c r="G385" i="2"/>
  <c r="G137" i="2"/>
  <c r="G266" i="2"/>
  <c r="H314" i="2"/>
  <c r="H254" i="2"/>
  <c r="N108" i="2"/>
  <c r="H327" i="2"/>
  <c r="N48" i="2"/>
  <c r="N11" i="2"/>
  <c r="N219" i="2"/>
  <c r="N86" i="2"/>
  <c r="M108" i="2"/>
  <c r="E70" i="2"/>
  <c r="M74" i="2"/>
  <c r="I409" i="2"/>
  <c r="I161" i="2"/>
  <c r="I401" i="2"/>
  <c r="I105" i="2"/>
  <c r="K307" i="2"/>
  <c r="I91" i="2"/>
  <c r="K394" i="2"/>
  <c r="F142" i="2"/>
  <c r="F152" i="2"/>
  <c r="E344" i="2"/>
  <c r="E147" i="2"/>
  <c r="E273" i="2"/>
  <c r="E61" i="2"/>
  <c r="H70" i="2"/>
  <c r="E287" i="2"/>
  <c r="I74" i="2"/>
  <c r="G138" i="2"/>
  <c r="G65" i="2"/>
  <c r="G30" i="2"/>
  <c r="N123" i="2"/>
  <c r="K167" i="2"/>
  <c r="K48" i="2"/>
  <c r="K11" i="2"/>
  <c r="N78" i="2"/>
  <c r="F120" i="2"/>
  <c r="I190" i="2"/>
  <c r="L293" i="2"/>
  <c r="F82" i="2"/>
  <c r="I179" i="2"/>
  <c r="I254" i="2"/>
  <c r="L95" i="2"/>
  <c r="F61" i="2"/>
  <c r="F344" i="2"/>
  <c r="I314" i="2"/>
  <c r="M307" i="2"/>
  <c r="N321" i="2"/>
  <c r="N211" i="2"/>
  <c r="G147" i="2"/>
  <c r="G226" i="2"/>
  <c r="N99" i="2"/>
  <c r="N25" i="2"/>
  <c r="G260" i="2"/>
  <c r="N335" i="2"/>
  <c r="G240" i="2"/>
  <c r="N95" i="2"/>
  <c r="G402" i="2"/>
  <c r="E198" i="2"/>
  <c r="G185" i="2"/>
  <c r="G418" i="2"/>
  <c r="E185" i="2"/>
  <c r="F70" i="2"/>
  <c r="L307" i="2"/>
  <c r="L249" i="2"/>
  <c r="H138" i="2"/>
  <c r="H351" i="2"/>
  <c r="L205" i="2"/>
  <c r="H385" i="2"/>
  <c r="E87" i="2"/>
  <c r="L394" i="2"/>
  <c r="E109" i="2"/>
  <c r="J105" i="2"/>
  <c r="K281" i="2"/>
  <c r="J91" i="2"/>
  <c r="K219" i="2"/>
  <c r="M167" i="2"/>
  <c r="I411" i="2"/>
  <c r="M293" i="2"/>
  <c r="I327" i="2"/>
  <c r="H266" i="2"/>
  <c r="H301" i="2"/>
  <c r="F287" i="2"/>
  <c r="F273" i="2"/>
  <c r="G120" i="2"/>
  <c r="F174" i="2"/>
  <c r="J74" i="2"/>
  <c r="G82" i="2"/>
  <c r="E79" i="2"/>
  <c r="F96" i="2"/>
  <c r="F87" i="2"/>
  <c r="F336" i="2"/>
  <c r="F420" i="2"/>
  <c r="F109" i="2"/>
  <c r="G61" i="2"/>
  <c r="F352" i="2"/>
  <c r="H260" i="2"/>
  <c r="F413" i="2"/>
  <c r="F26" i="2"/>
  <c r="F100" i="2"/>
  <c r="H215" i="2"/>
  <c r="E126" i="2"/>
  <c r="H226" i="2"/>
  <c r="F322" i="2"/>
  <c r="G344" i="2"/>
  <c r="H240" i="2"/>
  <c r="E413" i="2"/>
  <c r="K254" i="2"/>
  <c r="K190" i="2"/>
  <c r="E96" i="2"/>
  <c r="K179" i="2"/>
  <c r="L48" i="2"/>
  <c r="L11" i="2"/>
  <c r="E336" i="2"/>
  <c r="K368" i="2"/>
  <c r="E322" i="2"/>
  <c r="G109" i="2"/>
  <c r="E44" i="2"/>
  <c r="E18" i="2"/>
  <c r="E114" i="2"/>
  <c r="F147" i="2"/>
  <c r="G352" i="2"/>
  <c r="F206" i="2"/>
  <c r="K91" i="2"/>
  <c r="F185" i="2"/>
  <c r="G386" i="2"/>
  <c r="F198" i="2"/>
  <c r="K105" i="2"/>
  <c r="G87" i="2"/>
  <c r="H402" i="2"/>
  <c r="G152" i="2"/>
  <c r="G174" i="2"/>
  <c r="G289" i="2"/>
  <c r="G273" i="2"/>
  <c r="H418" i="2"/>
  <c r="L74" i="2"/>
  <c r="G142" i="2"/>
  <c r="L82" i="2"/>
  <c r="I301" i="2"/>
  <c r="I174" i="2"/>
  <c r="I266" i="2"/>
  <c r="I226" i="2"/>
  <c r="I215" i="2"/>
  <c r="M249" i="2"/>
  <c r="I260" i="2"/>
  <c r="G70" i="2"/>
  <c r="M219" i="2"/>
  <c r="I138" i="2"/>
  <c r="J6" i="2"/>
  <c r="J232" i="2"/>
  <c r="N293" i="2"/>
  <c r="N314" i="2"/>
  <c r="F79" i="2"/>
  <c r="J301" i="2"/>
  <c r="L120" i="2"/>
  <c r="H289" i="2"/>
  <c r="M394" i="2"/>
  <c r="H344" i="2"/>
  <c r="H152" i="2"/>
  <c r="H142" i="2"/>
  <c r="G336" i="2"/>
  <c r="H273" i="2"/>
  <c r="M48" i="2"/>
  <c r="M11" i="2"/>
  <c r="M240" i="2"/>
  <c r="M370" i="2"/>
  <c r="G322" i="2"/>
  <c r="G420" i="2"/>
  <c r="G413" i="2"/>
  <c r="J161" i="2"/>
  <c r="L281" i="2"/>
  <c r="M281" i="2"/>
  <c r="L91" i="2"/>
  <c r="M402" i="2"/>
  <c r="M179" i="2"/>
  <c r="H352" i="2"/>
  <c r="H87" i="2"/>
  <c r="M190" i="2"/>
  <c r="L105" i="2"/>
  <c r="H386" i="2"/>
  <c r="I385" i="2"/>
  <c r="J327" i="2"/>
  <c r="E294" i="2"/>
  <c r="E169" i="2"/>
  <c r="N56" i="2"/>
  <c r="N20" i="2"/>
  <c r="N249" i="2"/>
  <c r="M120" i="2"/>
  <c r="G198" i="2"/>
  <c r="E395" i="2"/>
  <c r="G206" i="2"/>
  <c r="K266" i="2"/>
  <c r="E329" i="2"/>
  <c r="K161" i="2"/>
  <c r="N307" i="2"/>
  <c r="N370" i="2"/>
  <c r="G79" i="2"/>
  <c r="H147" i="2"/>
  <c r="M255" i="2"/>
  <c r="H61" i="2"/>
  <c r="I61" i="2"/>
  <c r="M221" i="2"/>
  <c r="M82" i="2"/>
  <c r="I97" i="2"/>
  <c r="F126" i="2"/>
  <c r="M215" i="2"/>
  <c r="L255" i="2"/>
  <c r="I142" i="2"/>
  <c r="J315" i="2"/>
  <c r="I315" i="2"/>
  <c r="J174" i="2"/>
  <c r="J226" i="2"/>
  <c r="E261" i="2"/>
  <c r="E250" i="2"/>
  <c r="E308" i="2"/>
  <c r="E192" i="2"/>
  <c r="H206" i="2"/>
  <c r="H198" i="2"/>
  <c r="J138" i="2"/>
  <c r="F169" i="2"/>
  <c r="G126" i="2"/>
  <c r="F180" i="2"/>
  <c r="F296" i="2"/>
  <c r="N281" i="2"/>
  <c r="N240" i="2"/>
  <c r="M91" i="2"/>
  <c r="M105" i="2"/>
  <c r="I152" i="2"/>
  <c r="H338" i="2"/>
  <c r="I273" i="2"/>
  <c r="E49" i="2"/>
  <c r="E12" i="2"/>
  <c r="N74" i="2"/>
  <c r="E371" i="2"/>
  <c r="I289" i="2"/>
  <c r="H322" i="2"/>
  <c r="H420" i="2"/>
  <c r="I185" i="2"/>
  <c r="E403" i="2"/>
  <c r="J380" i="2"/>
  <c r="J8" i="2"/>
  <c r="J132" i="2"/>
  <c r="J112" i="2"/>
  <c r="F395" i="2"/>
  <c r="F329" i="2"/>
  <c r="N157" i="2"/>
  <c r="N215" i="2"/>
  <c r="N143" i="2"/>
  <c r="K301" i="2"/>
  <c r="N192" i="2"/>
  <c r="N221" i="2"/>
  <c r="K6" i="2"/>
  <c r="K232" i="2"/>
  <c r="H71" i="2"/>
  <c r="N344" i="2"/>
  <c r="N46" i="2"/>
  <c r="N13" i="2"/>
  <c r="L161" i="2"/>
  <c r="G116" i="2"/>
  <c r="H79" i="2"/>
  <c r="L83" i="2"/>
  <c r="G267" i="2"/>
  <c r="K152" i="2"/>
  <c r="J352" i="2"/>
  <c r="K226" i="2"/>
  <c r="K185" i="2"/>
  <c r="J61" i="2"/>
  <c r="I198" i="2"/>
  <c r="I267" i="2"/>
  <c r="J413" i="2"/>
  <c r="I206" i="2"/>
  <c r="I262" i="2"/>
  <c r="J289" i="2"/>
  <c r="E345" i="2"/>
  <c r="G169" i="2"/>
  <c r="G256" i="2"/>
  <c r="E53" i="2"/>
  <c r="E23" i="2"/>
  <c r="G180" i="2"/>
  <c r="K127" i="2"/>
  <c r="E282" i="2"/>
  <c r="N120" i="2"/>
  <c r="E58" i="2"/>
  <c r="E241" i="2"/>
  <c r="E139" i="2"/>
  <c r="F308" i="2"/>
  <c r="M161" i="2"/>
  <c r="M175" i="2"/>
  <c r="F371" i="2"/>
  <c r="N175" i="2"/>
  <c r="F49" i="2"/>
  <c r="F12" i="2"/>
  <c r="N161" i="2"/>
  <c r="F403" i="2"/>
  <c r="N105" i="2"/>
  <c r="J147" i="2"/>
  <c r="J273" i="2"/>
  <c r="G296" i="2"/>
  <c r="N91" i="2"/>
  <c r="G395" i="2"/>
  <c r="I116" i="2"/>
  <c r="K147" i="2"/>
  <c r="G329" i="2"/>
  <c r="K198" i="2"/>
  <c r="G3" i="2"/>
  <c r="F250" i="2"/>
  <c r="K206" i="2"/>
  <c r="E67" i="2"/>
  <c r="I420" i="2"/>
  <c r="I27" i="2"/>
  <c r="I101" i="2"/>
  <c r="H169" i="2"/>
  <c r="L6" i="2"/>
  <c r="L232" i="2"/>
  <c r="H180" i="2"/>
  <c r="H27" i="2"/>
  <c r="H101" i="2"/>
  <c r="K315" i="2"/>
  <c r="E75" i="2"/>
  <c r="K380" i="2"/>
  <c r="E144" i="2"/>
  <c r="I71" i="2"/>
  <c r="E193" i="2"/>
  <c r="E158" i="2"/>
  <c r="F121" i="2"/>
  <c r="J180" i="2"/>
  <c r="I79" i="2"/>
  <c r="I386" i="2"/>
  <c r="L127" i="2"/>
  <c r="J97" i="2"/>
  <c r="M83" i="2"/>
  <c r="L301" i="2"/>
  <c r="G216" i="2"/>
  <c r="M185" i="2"/>
  <c r="F139" i="2"/>
  <c r="F158" i="2"/>
  <c r="K413" i="2"/>
  <c r="K262" i="2"/>
  <c r="K352" i="2"/>
  <c r="F58" i="2"/>
  <c r="F144" i="2"/>
  <c r="K273" i="2"/>
  <c r="L152" i="2"/>
  <c r="K289" i="2"/>
  <c r="I87" i="2"/>
  <c r="F153" i="2"/>
  <c r="H329" i="2"/>
  <c r="F53" i="2"/>
  <c r="F23" i="2"/>
  <c r="H256" i="2"/>
  <c r="H395" i="2"/>
  <c r="H282" i="2"/>
  <c r="L61" i="2"/>
  <c r="H296" i="2"/>
  <c r="L8" i="2"/>
  <c r="L132" i="2"/>
  <c r="L112" i="2"/>
  <c r="F67" i="2"/>
  <c r="G371" i="2"/>
  <c r="E106" i="2"/>
  <c r="G403" i="2"/>
  <c r="G308" i="2"/>
  <c r="E92" i="2"/>
  <c r="G250" i="2"/>
  <c r="I390" i="2"/>
  <c r="F75" i="2"/>
  <c r="I338" i="2"/>
  <c r="I322" i="2"/>
  <c r="H3" i="2"/>
  <c r="F241" i="2"/>
  <c r="G121" i="2"/>
  <c r="L315" i="2"/>
  <c r="F345" i="2"/>
  <c r="L380" i="2"/>
  <c r="G49" i="2"/>
  <c r="G12" i="2"/>
  <c r="G139" i="2"/>
  <c r="J79" i="2"/>
  <c r="J71" i="2"/>
  <c r="J116" i="2"/>
  <c r="M303" i="2"/>
  <c r="M6" i="2"/>
  <c r="M232" i="2"/>
  <c r="L352" i="2"/>
  <c r="N268" i="2"/>
  <c r="M127" i="2"/>
  <c r="N322" i="2"/>
  <c r="N303" i="2"/>
  <c r="L413" i="2"/>
  <c r="K97" i="2"/>
  <c r="N185" i="2"/>
  <c r="N338" i="2"/>
  <c r="L97" i="2"/>
  <c r="N83" i="2"/>
  <c r="M346" i="2"/>
  <c r="M61" i="2"/>
  <c r="J267" i="2"/>
  <c r="M380" i="2"/>
  <c r="I282" i="2"/>
  <c r="I241" i="2"/>
  <c r="M147" i="2"/>
  <c r="M8" i="2"/>
  <c r="M132" i="2"/>
  <c r="M112" i="2"/>
  <c r="I180" i="2"/>
  <c r="E222" i="2"/>
  <c r="J87" i="2"/>
  <c r="I296" i="2"/>
  <c r="I169" i="2"/>
  <c r="I3" i="2"/>
  <c r="I395" i="2"/>
  <c r="I421" i="2"/>
  <c r="M262" i="2"/>
  <c r="M198" i="2"/>
  <c r="M315" i="2"/>
  <c r="M206" i="2"/>
  <c r="E84" i="2"/>
  <c r="E330" i="2"/>
  <c r="I362" i="2"/>
  <c r="I237" i="2"/>
  <c r="E162" i="2"/>
  <c r="H371" i="2"/>
  <c r="E257" i="2"/>
  <c r="E309" i="2"/>
  <c r="H403" i="2"/>
  <c r="H250" i="2"/>
  <c r="H176" i="2"/>
  <c r="H49" i="2"/>
  <c r="H12" i="2"/>
  <c r="H216" i="2"/>
  <c r="F92" i="2"/>
  <c r="F193" i="2"/>
  <c r="J390" i="2"/>
  <c r="H121" i="2"/>
  <c r="F222" i="2"/>
  <c r="J27" i="2"/>
  <c r="J101" i="2"/>
  <c r="K116" i="2"/>
  <c r="J58" i="2"/>
  <c r="N127" i="2"/>
  <c r="K71" i="2"/>
  <c r="N198" i="2"/>
  <c r="G67" i="2"/>
  <c r="K79" i="2"/>
  <c r="N147" i="2"/>
  <c r="G153" i="2"/>
  <c r="L289" i="2"/>
  <c r="G53" i="2"/>
  <c r="G23" i="2"/>
  <c r="L273" i="2"/>
  <c r="G222" i="2"/>
  <c r="G75" i="2"/>
  <c r="G144" i="2"/>
  <c r="G193" i="2"/>
  <c r="M413" i="2"/>
  <c r="M390" i="2"/>
  <c r="F257" i="2"/>
  <c r="M289" i="2"/>
  <c r="F106" i="2"/>
  <c r="M352" i="2"/>
  <c r="F162" i="2"/>
  <c r="M273" i="2"/>
  <c r="H158" i="2"/>
  <c r="E304" i="2"/>
  <c r="H207" i="2"/>
  <c r="E63" i="2"/>
  <c r="K87" i="2"/>
  <c r="I139" i="2"/>
  <c r="H67" i="2"/>
  <c r="E347" i="2"/>
  <c r="I250" i="2"/>
  <c r="E323" i="2"/>
  <c r="G92" i="2"/>
  <c r="E339" i="2"/>
  <c r="I176" i="2"/>
  <c r="G149" i="2"/>
  <c r="H283" i="2"/>
  <c r="I216" i="2"/>
  <c r="G106" i="2"/>
  <c r="H53" i="2"/>
  <c r="H23" i="2"/>
  <c r="E263" i="2"/>
  <c r="H4" i="2"/>
  <c r="J88" i="2"/>
  <c r="E269" i="2"/>
  <c r="N8" i="2"/>
  <c r="N132" i="2"/>
  <c r="N112" i="2"/>
  <c r="J139" i="2"/>
  <c r="N315" i="2"/>
  <c r="E186" i="2"/>
  <c r="L163" i="2"/>
  <c r="N380" i="2"/>
  <c r="L135" i="2"/>
  <c r="N296" i="2"/>
  <c r="L169" i="2"/>
  <c r="F398" i="2"/>
  <c r="L158" i="2"/>
  <c r="M361" i="2"/>
  <c r="M236" i="2"/>
  <c r="F330" i="2"/>
  <c r="K117" i="2"/>
  <c r="K241" i="2"/>
  <c r="K58" i="2"/>
  <c r="I76" i="2"/>
  <c r="I403" i="2"/>
  <c r="L79" i="2"/>
  <c r="I371" i="2"/>
  <c r="I310" i="2"/>
  <c r="K102" i="2"/>
  <c r="K176" i="2"/>
  <c r="E182" i="2"/>
  <c r="E194" i="2"/>
  <c r="E381" i="2"/>
  <c r="F186" i="2"/>
  <c r="E297" i="2"/>
  <c r="J421" i="2"/>
  <c r="F170" i="2"/>
  <c r="E372" i="2"/>
  <c r="I121" i="2"/>
  <c r="F269" i="2"/>
  <c r="F347" i="2"/>
  <c r="H153" i="2"/>
  <c r="F304" i="2"/>
  <c r="H144" i="2"/>
  <c r="F316" i="2"/>
  <c r="M97" i="2"/>
  <c r="F339" i="2"/>
  <c r="L363" i="2"/>
  <c r="L71" i="2"/>
  <c r="F323" i="2"/>
  <c r="F84" i="2"/>
  <c r="H92" i="2"/>
  <c r="H54" i="2"/>
  <c r="H28" i="2"/>
  <c r="H149" i="2"/>
  <c r="I4" i="2"/>
  <c r="I144" i="2"/>
  <c r="K250" i="2"/>
  <c r="I53" i="2"/>
  <c r="I23" i="2"/>
  <c r="K201" i="2"/>
  <c r="E9" i="2"/>
  <c r="E133" i="2"/>
  <c r="E113" i="2"/>
  <c r="E414" i="2"/>
  <c r="M241" i="2"/>
  <c r="E89" i="2"/>
  <c r="M363" i="2"/>
  <c r="E406" i="2"/>
  <c r="N361" i="2"/>
  <c r="N236" i="2"/>
  <c r="M135" i="2"/>
  <c r="N390" i="2"/>
  <c r="M421" i="2"/>
  <c r="N289" i="2"/>
  <c r="E128" i="2"/>
  <c r="L117" i="2"/>
  <c r="N310" i="2"/>
  <c r="G84" i="2"/>
  <c r="G330" i="2"/>
  <c r="L58" i="2"/>
  <c r="G398" i="2"/>
  <c r="L102" i="2"/>
  <c r="G257" i="2"/>
  <c r="J121" i="2"/>
  <c r="F9" i="2"/>
  <c r="F133" i="2"/>
  <c r="F113" i="2"/>
  <c r="F414" i="2"/>
  <c r="I207" i="2"/>
  <c r="F372" i="2"/>
  <c r="F72" i="2"/>
  <c r="M79" i="2"/>
  <c r="I222" i="2"/>
  <c r="I283" i="2"/>
  <c r="F381" i="2"/>
  <c r="J76" i="2"/>
  <c r="H263" i="2"/>
  <c r="J216" i="2"/>
  <c r="F128" i="2"/>
  <c r="F63" i="2"/>
  <c r="I67" i="2"/>
  <c r="J106" i="2"/>
  <c r="G186" i="2"/>
  <c r="G170" i="2"/>
  <c r="G269" i="2"/>
  <c r="G304" i="2"/>
  <c r="G408" i="2"/>
  <c r="G194" i="2"/>
  <c r="G347" i="2"/>
  <c r="G290" i="2"/>
  <c r="G323" i="2"/>
  <c r="F318" i="2"/>
  <c r="F182" i="2"/>
  <c r="G339" i="2"/>
  <c r="F297" i="2"/>
  <c r="G63" i="2"/>
  <c r="E36" i="2"/>
  <c r="E358" i="2"/>
  <c r="E229" i="2"/>
  <c r="E422" i="2"/>
  <c r="E311" i="2"/>
  <c r="E362" i="2"/>
  <c r="E237" i="2"/>
  <c r="K139" i="2"/>
  <c r="E38" i="2"/>
  <c r="E376" i="2"/>
  <c r="M163" i="2"/>
  <c r="E391" i="2"/>
  <c r="M158" i="2"/>
  <c r="M250" i="2"/>
  <c r="E56" i="2"/>
  <c r="E20" i="2"/>
  <c r="M201" i="2"/>
  <c r="G72" i="2"/>
  <c r="H257" i="2"/>
  <c r="J53" i="2"/>
  <c r="J23" i="2"/>
  <c r="H243" i="2"/>
  <c r="J4" i="2"/>
  <c r="J207" i="2"/>
  <c r="G285" i="2"/>
  <c r="J222" i="2"/>
  <c r="H84" i="2"/>
  <c r="G414" i="2"/>
  <c r="J283" i="2"/>
  <c r="I153" i="2"/>
  <c r="G297" i="2"/>
  <c r="N79" i="2"/>
  <c r="H170" i="2"/>
  <c r="I263" i="2"/>
  <c r="G372" i="2"/>
  <c r="H194" i="2"/>
  <c r="I149" i="2"/>
  <c r="L76" i="2"/>
  <c r="G381" i="2"/>
  <c r="I92" i="2"/>
  <c r="G318" i="2"/>
  <c r="H330" i="2"/>
  <c r="I182" i="2"/>
  <c r="H398" i="2"/>
  <c r="G348" i="2"/>
  <c r="F362" i="2"/>
  <c r="F237" i="2"/>
  <c r="L176" i="2"/>
  <c r="J67" i="2"/>
  <c r="F36" i="2"/>
  <c r="F358" i="2"/>
  <c r="F229" i="2"/>
  <c r="K216" i="2"/>
  <c r="F89" i="2"/>
  <c r="K121" i="2"/>
  <c r="H339" i="2"/>
  <c r="I54" i="2"/>
  <c r="I28" i="2"/>
  <c r="N158" i="2"/>
  <c r="H323" i="2"/>
  <c r="N163" i="2"/>
  <c r="H304" i="2"/>
  <c r="N201" i="2"/>
  <c r="M58" i="2"/>
  <c r="N363" i="2"/>
  <c r="N135" i="2"/>
  <c r="H290" i="2"/>
  <c r="M117" i="2"/>
  <c r="H408" i="2"/>
  <c r="K106" i="2"/>
  <c r="F311" i="2"/>
  <c r="K144" i="2"/>
  <c r="F391" i="2"/>
  <c r="K222" i="2"/>
  <c r="K186" i="2"/>
  <c r="F422" i="2"/>
  <c r="I243" i="2"/>
  <c r="L121" i="2"/>
  <c r="I398" i="2"/>
  <c r="M102" i="2"/>
  <c r="J149" i="2"/>
  <c r="M176" i="2"/>
  <c r="I330" i="2"/>
  <c r="J54" i="2"/>
  <c r="J28" i="2"/>
  <c r="I366" i="2"/>
  <c r="J92" i="2"/>
  <c r="L139" i="2"/>
  <c r="I257" i="2"/>
  <c r="N117" i="2"/>
  <c r="L216" i="2"/>
  <c r="M84" i="2"/>
  <c r="G128" i="2"/>
  <c r="L53" i="2"/>
  <c r="L23" i="2"/>
  <c r="E210" i="2"/>
  <c r="G103" i="2"/>
  <c r="G89" i="2"/>
  <c r="L4" i="2"/>
  <c r="H72" i="2"/>
  <c r="M76" i="2"/>
  <c r="J153" i="2"/>
  <c r="I325" i="2"/>
  <c r="E159" i="2"/>
  <c r="I194" i="2"/>
  <c r="E136" i="2"/>
  <c r="I339" i="2"/>
  <c r="E164" i="2"/>
  <c r="N58" i="2"/>
  <c r="I304" i="2"/>
  <c r="I290" i="2"/>
  <c r="N176" i="2"/>
  <c r="N67" i="2"/>
  <c r="H318" i="2"/>
  <c r="L106" i="2"/>
  <c r="N250" i="2"/>
  <c r="H348" i="2"/>
  <c r="L144" i="2"/>
  <c r="E80" i="2"/>
  <c r="H285" i="2"/>
  <c r="N107" i="2"/>
  <c r="N94" i="2"/>
  <c r="H223" i="2"/>
  <c r="N140" i="2"/>
  <c r="J263" i="2"/>
  <c r="J257" i="2"/>
  <c r="I72" i="2"/>
  <c r="H63" i="2"/>
  <c r="M269" i="2"/>
  <c r="J311" i="2"/>
  <c r="J182" i="2"/>
  <c r="F38" i="2"/>
  <c r="F376" i="2"/>
  <c r="J366" i="2"/>
  <c r="M139" i="2"/>
  <c r="N243" i="2"/>
  <c r="H103" i="2"/>
  <c r="H416" i="2"/>
  <c r="N330" i="2"/>
  <c r="H89" i="2"/>
  <c r="I170" i="2"/>
  <c r="H372" i="2"/>
  <c r="N269" i="2"/>
  <c r="G382" i="2"/>
  <c r="G391" i="2"/>
  <c r="G36" i="2"/>
  <c r="G358" i="2"/>
  <c r="G229" i="2"/>
  <c r="G422" i="2"/>
  <c r="J48" i="2"/>
  <c r="J11" i="2"/>
  <c r="J398" i="2"/>
  <c r="G362" i="2"/>
  <c r="G237" i="2"/>
  <c r="K153" i="2"/>
  <c r="L297" i="2"/>
  <c r="I128" i="2"/>
  <c r="L186" i="2"/>
  <c r="M216" i="2"/>
  <c r="N84" i="2"/>
  <c r="M252" i="2"/>
  <c r="F210" i="2"/>
  <c r="E123" i="2"/>
  <c r="I408" i="2"/>
  <c r="N68" i="2"/>
  <c r="I63" i="2"/>
  <c r="N76" i="2"/>
  <c r="E202" i="2"/>
  <c r="K182" i="2"/>
  <c r="K311" i="2"/>
  <c r="E59" i="2"/>
  <c r="K263" i="2"/>
  <c r="K257" i="2"/>
  <c r="K33" i="2"/>
  <c r="K171" i="2"/>
  <c r="F202" i="2"/>
  <c r="M4" i="2"/>
  <c r="N273" i="2"/>
  <c r="J128" i="2"/>
  <c r="F159" i="2"/>
  <c r="N290" i="2"/>
  <c r="F164" i="2"/>
  <c r="F136" i="2"/>
  <c r="N270" i="2"/>
  <c r="H81" i="2"/>
  <c r="F189" i="2"/>
  <c r="N352" i="2"/>
  <c r="H362" i="2"/>
  <c r="H237" i="2"/>
  <c r="H292" i="2"/>
  <c r="N319" i="2"/>
  <c r="L339" i="2"/>
  <c r="E118" i="2"/>
  <c r="L257" i="2"/>
  <c r="N304" i="2"/>
  <c r="M254" i="2"/>
  <c r="N252" i="2"/>
  <c r="M223" i="2"/>
  <c r="N154" i="2"/>
  <c r="M226" i="2"/>
  <c r="E247" i="2"/>
  <c r="H422" i="2"/>
  <c r="E177" i="2"/>
  <c r="H391" i="2"/>
  <c r="M144" i="2"/>
  <c r="H382" i="2"/>
  <c r="M297" i="2"/>
  <c r="N241" i="2"/>
  <c r="I285" i="2"/>
  <c r="N247" i="2"/>
  <c r="I223" i="2"/>
  <c r="N318" i="2"/>
  <c r="N216" i="2"/>
  <c r="G270" i="2"/>
  <c r="E417" i="2"/>
  <c r="E214" i="2"/>
  <c r="G210" i="2"/>
  <c r="J194" i="2"/>
  <c r="E251" i="2"/>
  <c r="L218" i="2"/>
  <c r="E220" i="2"/>
  <c r="L149" i="2"/>
  <c r="E313" i="2"/>
  <c r="J374" i="2"/>
  <c r="E340" i="2"/>
  <c r="L263" i="2"/>
  <c r="J325" i="2"/>
  <c r="E264" i="2"/>
  <c r="J408" i="2"/>
  <c r="G316" i="2"/>
  <c r="G298" i="2"/>
  <c r="K398" i="2"/>
  <c r="G287" i="2"/>
  <c r="K238" i="2"/>
  <c r="G345" i="2"/>
  <c r="K366" i="2"/>
  <c r="K207" i="2"/>
  <c r="M53" i="2"/>
  <c r="M23" i="2"/>
  <c r="I348" i="2"/>
  <c r="M34" i="2"/>
  <c r="M172" i="2"/>
  <c r="H305" i="2"/>
  <c r="H336" i="2"/>
  <c r="F203" i="2"/>
  <c r="F261" i="2"/>
  <c r="I422" i="2"/>
  <c r="F349" i="2"/>
  <c r="I59" i="2"/>
  <c r="I418" i="2"/>
  <c r="F309" i="2"/>
  <c r="I49" i="2"/>
  <c r="I12" i="2"/>
  <c r="F294" i="2"/>
  <c r="E271" i="2"/>
  <c r="E364" i="2"/>
  <c r="K359" i="2"/>
  <c r="K155" i="2"/>
  <c r="E242" i="2"/>
  <c r="E57" i="2"/>
  <c r="E21" i="2"/>
  <c r="E47" i="2"/>
  <c r="E14" i="2"/>
  <c r="K267" i="2"/>
  <c r="E291" i="2"/>
  <c r="E68" i="2"/>
  <c r="E410" i="2"/>
  <c r="K327" i="2"/>
  <c r="E396" i="2"/>
  <c r="E320" i="2"/>
  <c r="H75" i="2"/>
  <c r="E295" i="2"/>
  <c r="N82" i="2"/>
  <c r="E248" i="2"/>
  <c r="M121" i="2"/>
  <c r="F99" i="2"/>
  <c r="F25" i="2"/>
  <c r="F44" i="2"/>
  <c r="F18" i="2"/>
  <c r="F114" i="2"/>
  <c r="F104" i="2"/>
  <c r="F90" i="2"/>
  <c r="K92" i="2"/>
  <c r="K96" i="2"/>
  <c r="K54" i="2"/>
  <c r="K28" i="2"/>
  <c r="K382" i="2"/>
  <c r="H400" i="2"/>
  <c r="H414" i="2"/>
  <c r="F80" i="2"/>
  <c r="J279" i="2"/>
  <c r="G52" i="2"/>
  <c r="G22" i="2"/>
  <c r="I323" i="2"/>
  <c r="G38" i="2"/>
  <c r="G376" i="2"/>
  <c r="H85" i="2"/>
  <c r="G392" i="2"/>
  <c r="G26" i="2"/>
  <c r="G100" i="2"/>
  <c r="H109" i="2"/>
  <c r="M301" i="2"/>
  <c r="H65" i="2"/>
  <c r="H30" i="2"/>
  <c r="K183" i="2"/>
  <c r="I70" i="2"/>
  <c r="K170" i="2"/>
  <c r="L283" i="2"/>
  <c r="J372" i="2"/>
  <c r="N72" i="2"/>
  <c r="J386" i="2"/>
  <c r="J3" i="2"/>
  <c r="K142" i="2"/>
  <c r="F353" i="2"/>
  <c r="K174" i="2"/>
  <c r="L77" i="2"/>
  <c r="F295" i="2"/>
  <c r="K180" i="2"/>
  <c r="H119" i="2"/>
  <c r="N226" i="2"/>
  <c r="E324" i="2"/>
  <c r="F320" i="2"/>
  <c r="L116" i="2"/>
  <c r="N194" i="2"/>
  <c r="E423" i="2"/>
  <c r="F324" i="2"/>
  <c r="F406" i="2"/>
  <c r="L87" i="2"/>
  <c r="N223" i="2"/>
  <c r="E7" i="2"/>
  <c r="E233" i="2"/>
  <c r="I126" i="2"/>
  <c r="N139" i="2"/>
  <c r="E353" i="2"/>
  <c r="N61" i="2"/>
  <c r="H148" i="2"/>
  <c r="L368" i="2"/>
  <c r="H145" i="2"/>
  <c r="N6" i="2"/>
  <c r="N232" i="2"/>
  <c r="M106" i="2"/>
  <c r="M177" i="2"/>
  <c r="M203" i="2"/>
  <c r="M220" i="2"/>
  <c r="G406" i="2"/>
  <c r="E151" i="2"/>
  <c r="G349" i="2"/>
  <c r="E187" i="2"/>
  <c r="N128" i="2"/>
  <c r="G419" i="2"/>
  <c r="E217" i="2"/>
  <c r="E200" i="2"/>
  <c r="M368" i="2"/>
  <c r="I137" i="2"/>
  <c r="M372" i="2"/>
  <c r="I336" i="2"/>
  <c r="I66" i="2"/>
  <c r="I31" i="2"/>
  <c r="F274" i="2"/>
  <c r="G162" i="2"/>
  <c r="F313" i="2"/>
  <c r="F410" i="2"/>
  <c r="I75" i="2"/>
  <c r="G280" i="2"/>
  <c r="L166" i="2"/>
  <c r="F342" i="2"/>
  <c r="G261" i="2"/>
  <c r="L153" i="2"/>
  <c r="F364" i="2"/>
  <c r="G230" i="2"/>
  <c r="L207" i="2"/>
  <c r="H415" i="2"/>
  <c r="N316" i="2"/>
  <c r="F192" i="2"/>
  <c r="N301" i="2"/>
  <c r="H345" i="2"/>
  <c r="F214" i="2"/>
  <c r="H392" i="2"/>
  <c r="N267" i="2"/>
  <c r="N254" i="2"/>
  <c r="I305" i="2"/>
  <c r="N34" i="2"/>
  <c r="N172" i="2"/>
  <c r="N53" i="2"/>
  <c r="N23" i="2"/>
  <c r="J159" i="2"/>
  <c r="K309" i="2"/>
  <c r="K264" i="2"/>
  <c r="H287" i="2"/>
  <c r="J70" i="2"/>
  <c r="H298" i="2"/>
  <c r="G99" i="2"/>
  <c r="G25" i="2"/>
  <c r="M257" i="2"/>
  <c r="G90" i="2"/>
  <c r="I85" i="2"/>
  <c r="M251" i="2"/>
  <c r="I104" i="2"/>
  <c r="M283" i="2"/>
  <c r="I65" i="2"/>
  <c r="I30" i="2"/>
  <c r="M92" i="2"/>
  <c r="M7" i="2"/>
  <c r="M233" i="2"/>
  <c r="M87" i="2"/>
  <c r="J49" i="2"/>
  <c r="J12" i="2"/>
  <c r="J59" i="2"/>
  <c r="L54" i="2"/>
  <c r="L28" i="2"/>
  <c r="K3" i="2"/>
  <c r="L96" i="2"/>
  <c r="K386" i="2"/>
  <c r="L27" i="2"/>
  <c r="L101" i="2"/>
  <c r="L382" i="2"/>
  <c r="L238" i="2"/>
  <c r="L327" i="2"/>
  <c r="H52" i="2"/>
  <c r="H22" i="2"/>
  <c r="H38" i="2"/>
  <c r="H376" i="2"/>
  <c r="F68" i="2"/>
  <c r="F47" i="2"/>
  <c r="F14" i="2"/>
  <c r="L396" i="2"/>
  <c r="F57" i="2"/>
  <c r="F21" i="2"/>
  <c r="E83" i="2"/>
  <c r="J80" i="2"/>
  <c r="E140" i="2"/>
  <c r="E73" i="2"/>
  <c r="E195" i="2"/>
  <c r="M77" i="2"/>
  <c r="J400" i="2"/>
  <c r="I119" i="2"/>
  <c r="I145" i="2"/>
  <c r="I109" i="2"/>
  <c r="I148" i="2"/>
  <c r="N121" i="2"/>
  <c r="M153" i="2"/>
  <c r="M166" i="2"/>
  <c r="E62" i="2"/>
  <c r="M170" i="2"/>
  <c r="I129" i="2"/>
  <c r="N106" i="2"/>
  <c r="L142" i="2"/>
  <c r="E227" i="2"/>
  <c r="E268" i="2"/>
  <c r="L174" i="2"/>
  <c r="E255" i="2"/>
  <c r="L180" i="2"/>
  <c r="H406" i="2"/>
  <c r="F184" i="2"/>
  <c r="E224" i="2"/>
  <c r="F151" i="2"/>
  <c r="H349" i="2"/>
  <c r="F187" i="2"/>
  <c r="L309" i="2"/>
  <c r="N283" i="2"/>
  <c r="L386" i="2"/>
  <c r="N116" i="2"/>
  <c r="N220" i="2"/>
  <c r="N177" i="2"/>
  <c r="G364" i="2"/>
  <c r="N203" i="2"/>
  <c r="G192" i="2"/>
  <c r="G313" i="2"/>
  <c r="N251" i="2"/>
  <c r="G44" i="2"/>
  <c r="G18" i="2"/>
  <c r="G114" i="2"/>
  <c r="J126" i="2"/>
  <c r="G342" i="2"/>
  <c r="N7" i="2"/>
  <c r="N233" i="2"/>
  <c r="H162" i="2"/>
  <c r="N257" i="2"/>
  <c r="E302" i="2"/>
  <c r="E39" i="2"/>
  <c r="E377" i="2"/>
  <c r="J137" i="2"/>
  <c r="E317" i="2"/>
  <c r="H261" i="2"/>
  <c r="K159" i="2"/>
  <c r="K400" i="2"/>
  <c r="H230" i="2"/>
  <c r="N368" i="2"/>
  <c r="H280" i="2"/>
  <c r="F248" i="2"/>
  <c r="N336" i="2"/>
  <c r="F200" i="2"/>
  <c r="N372" i="2"/>
  <c r="F217" i="2"/>
  <c r="N92" i="2"/>
  <c r="N298" i="2"/>
  <c r="F291" i="2"/>
  <c r="N87" i="2"/>
  <c r="I345" i="2"/>
  <c r="F271" i="2"/>
  <c r="M238" i="2"/>
  <c r="M327" i="2"/>
  <c r="M207" i="2"/>
  <c r="M382" i="2"/>
  <c r="M264" i="2"/>
  <c r="J129" i="2"/>
  <c r="M396" i="2"/>
  <c r="G274" i="2"/>
  <c r="I26" i="2"/>
  <c r="I100" i="2"/>
  <c r="I52" i="2"/>
  <c r="I22" i="2"/>
  <c r="G214" i="2"/>
  <c r="I415" i="2"/>
  <c r="M109" i="2"/>
  <c r="I38" i="2"/>
  <c r="I376" i="2"/>
  <c r="G242" i="2"/>
  <c r="G410" i="2"/>
  <c r="G57" i="2"/>
  <c r="G21" i="2"/>
  <c r="I287" i="2"/>
  <c r="G47" i="2"/>
  <c r="G14" i="2"/>
  <c r="J305" i="2"/>
  <c r="M96" i="2"/>
  <c r="L49" i="2"/>
  <c r="L12" i="2"/>
  <c r="L59" i="2"/>
  <c r="J392" i="2"/>
  <c r="M142" i="2"/>
  <c r="L3" i="2"/>
  <c r="L50" i="2"/>
  <c r="L15" i="2"/>
  <c r="M27" i="2"/>
  <c r="M101" i="2"/>
  <c r="E122" i="2"/>
  <c r="K148" i="2"/>
  <c r="G320" i="2"/>
  <c r="H419" i="2"/>
  <c r="K137" i="2"/>
  <c r="L80" i="2"/>
  <c r="G337" i="2"/>
  <c r="G154" i="2"/>
  <c r="G295" i="2"/>
  <c r="G151" i="2"/>
  <c r="G271" i="2"/>
  <c r="J119" i="2"/>
  <c r="F73" i="2"/>
  <c r="E117" i="2"/>
  <c r="G68" i="2"/>
  <c r="L70" i="2"/>
  <c r="E107" i="2"/>
  <c r="J75" i="2"/>
  <c r="E46" i="2"/>
  <c r="E13" i="2"/>
  <c r="E135" i="2"/>
  <c r="E98" i="2"/>
  <c r="E24" i="2"/>
  <c r="J66" i="2"/>
  <c r="J31" i="2"/>
  <c r="N77" i="2"/>
  <c r="H90" i="2"/>
  <c r="M65" i="2"/>
  <c r="M30" i="2"/>
  <c r="M54" i="2"/>
  <c r="M28" i="2"/>
  <c r="H99" i="2"/>
  <c r="H25" i="2"/>
  <c r="F62" i="2"/>
  <c r="F423" i="2"/>
  <c r="E361" i="2"/>
  <c r="E236" i="2"/>
  <c r="E221" i="2"/>
  <c r="F83" i="2"/>
  <c r="G353" i="2"/>
  <c r="E178" i="2"/>
  <c r="G423" i="2"/>
  <c r="E205" i="2"/>
  <c r="J145" i="2"/>
  <c r="E157" i="2"/>
  <c r="H313" i="2"/>
  <c r="J104" i="2"/>
  <c r="F227" i="2"/>
  <c r="H274" i="2"/>
  <c r="F163" i="2"/>
  <c r="J85" i="2"/>
  <c r="F239" i="2"/>
  <c r="F195" i="2"/>
  <c r="F224" i="2"/>
  <c r="H342" i="2"/>
  <c r="H291" i="2"/>
  <c r="I280" i="2"/>
  <c r="I324" i="2"/>
  <c r="F140" i="2"/>
  <c r="I261" i="2"/>
  <c r="K126" i="2"/>
  <c r="F302" i="2"/>
  <c r="F268" i="2"/>
  <c r="I44" i="2"/>
  <c r="I18" i="2"/>
  <c r="I114" i="2"/>
  <c r="F39" i="2"/>
  <c r="F377" i="2"/>
  <c r="F317" i="2"/>
  <c r="I230" i="2"/>
  <c r="I200" i="2"/>
  <c r="F98" i="2"/>
  <c r="F24" i="2"/>
  <c r="F255" i="2"/>
  <c r="F383" i="2"/>
  <c r="N207" i="2"/>
  <c r="N170" i="2"/>
  <c r="F50" i="2"/>
  <c r="F15" i="2"/>
  <c r="N166" i="2"/>
  <c r="G248" i="2"/>
  <c r="F46" i="2"/>
  <c r="F13" i="2"/>
  <c r="G184" i="2"/>
  <c r="G187" i="2"/>
  <c r="H320" i="2"/>
  <c r="G217" i="2"/>
  <c r="H353" i="2"/>
  <c r="H423" i="2"/>
  <c r="H337" i="2"/>
  <c r="H410" i="2"/>
  <c r="H214" i="2"/>
  <c r="H192" i="2"/>
  <c r="H364" i="2"/>
  <c r="H242" i="2"/>
  <c r="E346" i="2"/>
  <c r="H47" i="2"/>
  <c r="H14" i="2"/>
  <c r="E299" i="2"/>
  <c r="J415" i="2"/>
  <c r="E284" i="2"/>
  <c r="N54" i="2"/>
  <c r="N28" i="2"/>
  <c r="N27" i="2"/>
  <c r="N101" i="2"/>
  <c r="N109" i="2"/>
  <c r="J52" i="2"/>
  <c r="J22" i="2"/>
  <c r="E252" i="2"/>
  <c r="N96" i="2"/>
  <c r="J419" i="2"/>
  <c r="N65" i="2"/>
  <c r="N30" i="2"/>
  <c r="E258" i="2"/>
  <c r="J26" i="2"/>
  <c r="J100" i="2"/>
  <c r="N327" i="2"/>
  <c r="G83" i="2"/>
  <c r="N264" i="2"/>
  <c r="L159" i="2"/>
  <c r="M180" i="2"/>
  <c r="M174" i="2"/>
  <c r="E88" i="2"/>
  <c r="E78" i="2"/>
  <c r="F122" i="2"/>
  <c r="E350" i="2"/>
  <c r="E369" i="2"/>
  <c r="I99" i="2"/>
  <c r="I25" i="2"/>
  <c r="I94" i="2"/>
  <c r="E373" i="2"/>
  <c r="I90" i="2"/>
  <c r="M50" i="2"/>
  <c r="M15" i="2"/>
  <c r="M309" i="2"/>
  <c r="M3" i="2"/>
  <c r="K305" i="2"/>
  <c r="M386" i="2"/>
  <c r="L287" i="2"/>
  <c r="G73" i="2"/>
  <c r="L400" i="2"/>
  <c r="F117" i="2"/>
  <c r="L66" i="2"/>
  <c r="L31" i="2"/>
  <c r="K85" i="2"/>
  <c r="K104" i="2"/>
  <c r="M70" i="2"/>
  <c r="N396" i="2"/>
  <c r="M80" i="2"/>
  <c r="G62" i="2"/>
  <c r="M59" i="2"/>
  <c r="F107" i="2"/>
  <c r="G140" i="2"/>
  <c r="K119" i="2"/>
  <c r="G163" i="2"/>
  <c r="I406" i="2"/>
  <c r="G195" i="2"/>
  <c r="K392" i="2"/>
  <c r="F284" i="2"/>
  <c r="H184" i="2"/>
  <c r="H68" i="2"/>
  <c r="F361" i="2"/>
  <c r="F236" i="2"/>
  <c r="F221" i="2"/>
  <c r="H154" i="2"/>
  <c r="F299" i="2"/>
  <c r="K75" i="2"/>
  <c r="F252" i="2"/>
  <c r="H151" i="2"/>
  <c r="F258" i="2"/>
  <c r="G239" i="2"/>
  <c r="H217" i="2"/>
  <c r="G227" i="2"/>
  <c r="G224" i="2"/>
  <c r="H187" i="2"/>
  <c r="G268" i="2"/>
  <c r="H57" i="2"/>
  <c r="H21" i="2"/>
  <c r="G255" i="2"/>
  <c r="E167" i="2"/>
  <c r="G302" i="2"/>
  <c r="E146" i="2"/>
  <c r="E181" i="2"/>
  <c r="K129" i="2"/>
  <c r="N174" i="2"/>
  <c r="N142" i="2"/>
  <c r="K200" i="2"/>
  <c r="F178" i="2"/>
  <c r="F135" i="2"/>
  <c r="F157" i="2"/>
  <c r="F205" i="2"/>
  <c r="L126" i="2"/>
  <c r="I342" i="2"/>
  <c r="I364" i="2"/>
  <c r="L137" i="2"/>
  <c r="I313" i="2"/>
  <c r="L148" i="2"/>
  <c r="G39" i="2"/>
  <c r="G377" i="2"/>
  <c r="G317" i="2"/>
  <c r="I214" i="2"/>
  <c r="G383" i="2"/>
  <c r="I192" i="2"/>
  <c r="J230" i="2"/>
  <c r="J261" i="2"/>
  <c r="K415" i="2"/>
  <c r="K419" i="2"/>
  <c r="I274" i="2"/>
  <c r="I242" i="2"/>
  <c r="M159" i="2"/>
  <c r="F346" i="2"/>
  <c r="I291" i="2"/>
  <c r="E208" i="2"/>
  <c r="F369" i="2"/>
  <c r="E265" i="2"/>
  <c r="F350" i="2"/>
  <c r="F373" i="2"/>
  <c r="H295" i="2"/>
  <c r="H271" i="2"/>
  <c r="L119" i="2"/>
  <c r="H248" i="2"/>
  <c r="I57" i="2"/>
  <c r="I21" i="2"/>
  <c r="I47" i="2"/>
  <c r="I14" i="2"/>
  <c r="N59" i="2"/>
  <c r="N50" i="2"/>
  <c r="N15" i="2"/>
  <c r="N280" i="2"/>
  <c r="N3" i="2"/>
  <c r="J99" i="2"/>
  <c r="J25" i="2"/>
  <c r="J313" i="2"/>
  <c r="K295" i="2"/>
  <c r="L305" i="2"/>
  <c r="L392" i="2"/>
  <c r="K26" i="2"/>
  <c r="K100" i="2"/>
  <c r="J90" i="2"/>
  <c r="E397" i="2"/>
  <c r="K52" i="2"/>
  <c r="K22" i="2"/>
  <c r="J94" i="2"/>
  <c r="E328" i="2"/>
  <c r="H73" i="2"/>
  <c r="M287" i="2"/>
  <c r="F374" i="2"/>
  <c r="L75" i="2"/>
  <c r="F88" i="2"/>
  <c r="E262" i="2"/>
  <c r="E66" i="2"/>
  <c r="E31" i="2"/>
  <c r="J410" i="2"/>
  <c r="F143" i="2"/>
  <c r="H83" i="2"/>
  <c r="J406" i="2"/>
  <c r="F146" i="2"/>
  <c r="G50" i="2"/>
  <c r="G15" i="2"/>
  <c r="F328" i="2"/>
  <c r="G252" i="2"/>
  <c r="L129" i="2"/>
  <c r="G98" i="2"/>
  <c r="G24" i="2"/>
  <c r="N324" i="2"/>
  <c r="H302" i="2"/>
  <c r="G46" i="2"/>
  <c r="G13" i="2"/>
  <c r="N309" i="2"/>
  <c r="H140" i="2"/>
  <c r="N70" i="2"/>
  <c r="N386" i="2"/>
  <c r="F127" i="2"/>
  <c r="H224" i="2"/>
  <c r="M400" i="2"/>
  <c r="H239" i="2"/>
  <c r="I151" i="2"/>
  <c r="N80" i="2"/>
  <c r="H163" i="2"/>
  <c r="I154" i="2"/>
  <c r="I78" i="2"/>
  <c r="H227" i="2"/>
  <c r="M137" i="2"/>
  <c r="H195" i="2"/>
  <c r="G178" i="2"/>
  <c r="M148" i="2"/>
  <c r="I68" i="2"/>
  <c r="G117" i="2"/>
  <c r="G249" i="2"/>
  <c r="G221" i="2"/>
  <c r="E97" i="2"/>
  <c r="G33" i="2"/>
  <c r="G171" i="2"/>
  <c r="E102" i="2"/>
  <c r="G157" i="2"/>
  <c r="M66" i="2"/>
  <c r="M31" i="2"/>
  <c r="G122" i="2"/>
  <c r="G361" i="2"/>
  <c r="G236" i="2"/>
  <c r="L85" i="2"/>
  <c r="G205" i="2"/>
  <c r="G135" i="2"/>
  <c r="G107" i="2"/>
  <c r="E231" i="2"/>
  <c r="E175" i="2"/>
  <c r="H62" i="2"/>
  <c r="I181" i="2"/>
  <c r="H175" i="2"/>
  <c r="I187" i="2"/>
  <c r="H33" i="2"/>
  <c r="H171" i="2"/>
  <c r="I184" i="2"/>
  <c r="I208" i="2"/>
  <c r="H252" i="2"/>
  <c r="F167" i="2"/>
  <c r="H178" i="2"/>
  <c r="F218" i="2"/>
  <c r="F201" i="2"/>
  <c r="H249" i="2"/>
  <c r="H317" i="2"/>
  <c r="H268" i="2"/>
  <c r="H205" i="2"/>
  <c r="L104" i="2"/>
  <c r="H255" i="2"/>
  <c r="H221" i="2"/>
  <c r="H39" i="2"/>
  <c r="H377" i="2"/>
  <c r="H321" i="2"/>
  <c r="H383" i="2"/>
  <c r="J331" i="2"/>
  <c r="J275" i="2"/>
  <c r="J342" i="2"/>
  <c r="H361" i="2"/>
  <c r="H236" i="2"/>
  <c r="J242" i="2"/>
  <c r="J214" i="2"/>
  <c r="J192" i="2"/>
  <c r="L62" i="2"/>
  <c r="L419" i="2"/>
  <c r="L415" i="2"/>
  <c r="M337" i="2"/>
  <c r="G350" i="2"/>
  <c r="G299" i="2"/>
  <c r="I423" i="2"/>
  <c r="K258" i="2"/>
  <c r="I45" i="2"/>
  <c r="I19" i="2"/>
  <c r="I115" i="2"/>
  <c r="G284" i="2"/>
  <c r="I55" i="2"/>
  <c r="I29" i="2"/>
  <c r="K154" i="2"/>
  <c r="K107" i="2"/>
  <c r="G265" i="2"/>
  <c r="K94" i="2"/>
  <c r="G369" i="2"/>
  <c r="E310" i="2"/>
  <c r="E387" i="2"/>
  <c r="E325" i="2"/>
  <c r="E281" i="2"/>
  <c r="E366" i="2"/>
  <c r="N287" i="2"/>
  <c r="I227" i="2"/>
  <c r="N159" i="2"/>
  <c r="N306" i="2"/>
  <c r="I73" i="2"/>
  <c r="I195" i="2"/>
  <c r="N291" i="2"/>
  <c r="J68" i="2"/>
  <c r="I271" i="2"/>
  <c r="I224" i="2"/>
  <c r="N400" i="2"/>
  <c r="I393" i="2"/>
  <c r="N66" i="2"/>
  <c r="N31" i="2"/>
  <c r="I239" i="2"/>
  <c r="N57" i="2"/>
  <c r="N21" i="2"/>
  <c r="I346" i="2"/>
  <c r="I160" i="2"/>
  <c r="J78" i="2"/>
  <c r="F397" i="2"/>
  <c r="I163" i="2"/>
  <c r="F45" i="2"/>
  <c r="F19" i="2"/>
  <c r="F115" i="2"/>
  <c r="I122" i="2"/>
  <c r="E71" i="2"/>
  <c r="H127" i="2"/>
  <c r="E4" i="2"/>
  <c r="M119" i="2"/>
  <c r="E411" i="2"/>
  <c r="G88" i="2"/>
  <c r="E51" i="2"/>
  <c r="E16" i="2"/>
  <c r="G102" i="2"/>
  <c r="E60" i="2"/>
  <c r="G146" i="2"/>
  <c r="G143" i="2"/>
  <c r="G231" i="2"/>
  <c r="J47" i="2"/>
  <c r="J14" i="2"/>
  <c r="J57" i="2"/>
  <c r="J21" i="2"/>
  <c r="G201" i="2"/>
  <c r="I135" i="2"/>
  <c r="G218" i="2"/>
  <c r="I140" i="2"/>
  <c r="G167" i="2"/>
  <c r="H117" i="2"/>
  <c r="L90" i="2"/>
  <c r="M75" i="2"/>
  <c r="E81" i="2"/>
  <c r="M406" i="2"/>
  <c r="F97" i="2"/>
  <c r="I83" i="2"/>
  <c r="M129" i="2"/>
  <c r="M104" i="2"/>
  <c r="M44" i="2"/>
  <c r="M18" i="2"/>
  <c r="M114" i="2"/>
  <c r="M85" i="2"/>
  <c r="H50" i="2"/>
  <c r="H15" i="2"/>
  <c r="I302" i="2"/>
  <c r="N148" i="2"/>
  <c r="I317" i="2"/>
  <c r="N137" i="2"/>
  <c r="I268" i="2"/>
  <c r="I255" i="2"/>
  <c r="I321" i="2"/>
  <c r="K46" i="2"/>
  <c r="K13" i="2"/>
  <c r="K342" i="2"/>
  <c r="K331" i="2"/>
  <c r="K275" i="2"/>
  <c r="K214" i="2"/>
  <c r="K242" i="2"/>
  <c r="K208" i="2"/>
  <c r="J151" i="2"/>
  <c r="K192" i="2"/>
  <c r="K181" i="2"/>
  <c r="H157" i="2"/>
  <c r="L68" i="2"/>
  <c r="L313" i="2"/>
  <c r="L295" i="2"/>
  <c r="J122" i="2"/>
  <c r="H265" i="2"/>
  <c r="H299" i="2"/>
  <c r="H284" i="2"/>
  <c r="H350" i="2"/>
  <c r="F262" i="2"/>
  <c r="F281" i="2"/>
  <c r="F325" i="2"/>
  <c r="M187" i="2"/>
  <c r="F310" i="2"/>
  <c r="E288" i="2"/>
  <c r="E380" i="2"/>
  <c r="E48" i="2"/>
  <c r="E11" i="2"/>
  <c r="E307" i="2"/>
  <c r="E401" i="2"/>
  <c r="J83" i="2"/>
  <c r="E394" i="2"/>
  <c r="L184" i="2"/>
  <c r="E292" i="2"/>
  <c r="E33" i="2"/>
  <c r="E171" i="2"/>
  <c r="I33" i="2"/>
  <c r="I171" i="2"/>
  <c r="G328" i="2"/>
  <c r="L99" i="2"/>
  <c r="L25" i="2"/>
  <c r="I221" i="2"/>
  <c r="I205" i="2"/>
  <c r="N337" i="2"/>
  <c r="I175" i="2"/>
  <c r="L107" i="2"/>
  <c r="M62" i="2"/>
  <c r="M419" i="2"/>
  <c r="I157" i="2"/>
  <c r="J346" i="2"/>
  <c r="M415" i="2"/>
  <c r="I178" i="2"/>
  <c r="L94" i="2"/>
  <c r="I98" i="2"/>
  <c r="I24" i="2"/>
  <c r="J271" i="2"/>
  <c r="I383" i="2"/>
  <c r="F387" i="2"/>
  <c r="N227" i="2"/>
  <c r="N187" i="2"/>
  <c r="F4" i="2"/>
  <c r="F366" i="2"/>
  <c r="I117" i="2"/>
  <c r="M258" i="2"/>
  <c r="F60" i="2"/>
  <c r="F411" i="2"/>
  <c r="F51" i="2"/>
  <c r="F16" i="2"/>
  <c r="L78" i="2"/>
  <c r="N119" i="2"/>
  <c r="J73" i="2"/>
  <c r="L46" i="2"/>
  <c r="L13" i="2"/>
  <c r="I127" i="2"/>
  <c r="L57" i="2"/>
  <c r="L21" i="2"/>
  <c r="N44" i="2"/>
  <c r="N18" i="2"/>
  <c r="N114" i="2"/>
  <c r="N85" i="2"/>
  <c r="G397" i="2"/>
  <c r="G374" i="2"/>
  <c r="N104" i="2"/>
  <c r="G45" i="2"/>
  <c r="G19" i="2"/>
  <c r="G115" i="2"/>
  <c r="F81" i="2"/>
  <c r="N129" i="2"/>
  <c r="H88" i="2"/>
  <c r="G97" i="2"/>
  <c r="J135" i="2"/>
  <c r="J55" i="2"/>
  <c r="J29" i="2"/>
  <c r="F91" i="2"/>
  <c r="J423" i="2"/>
  <c r="N75" i="2"/>
  <c r="H369" i="2"/>
  <c r="K140" i="2"/>
  <c r="N406" i="2"/>
  <c r="H231" i="2"/>
  <c r="K151" i="2"/>
  <c r="E138" i="2"/>
  <c r="K195" i="2"/>
  <c r="H281" i="2"/>
  <c r="K160" i="2"/>
  <c r="F71" i="2"/>
  <c r="K224" i="2"/>
  <c r="K268" i="2"/>
  <c r="L143" i="2"/>
  <c r="L192" i="2"/>
  <c r="K239" i="2"/>
  <c r="L154" i="2"/>
  <c r="L214" i="2"/>
  <c r="K271" i="2"/>
  <c r="H201" i="2"/>
  <c r="H167" i="2"/>
  <c r="K265" i="2"/>
  <c r="H146" i="2"/>
  <c r="I361" i="2"/>
  <c r="I236" i="2"/>
  <c r="I284" i="2"/>
  <c r="I102" i="2"/>
  <c r="L357" i="2"/>
  <c r="L35" i="2"/>
  <c r="L228" i="2"/>
  <c r="I299" i="2"/>
  <c r="M184" i="2"/>
  <c r="M181" i="2"/>
  <c r="L342" i="2"/>
  <c r="M208" i="2"/>
  <c r="I249" i="2"/>
  <c r="F401" i="2"/>
  <c r="I252" i="2"/>
  <c r="F394" i="2"/>
  <c r="L331" i="2"/>
  <c r="L275" i="2"/>
  <c r="F338" i="2"/>
  <c r="L242" i="2"/>
  <c r="F416" i="2"/>
  <c r="G262" i="2"/>
  <c r="E149" i="2"/>
  <c r="F380" i="2"/>
  <c r="G310" i="2"/>
  <c r="J218" i="2"/>
  <c r="N331" i="2"/>
  <c r="N275" i="2"/>
  <c r="F292" i="2"/>
  <c r="J163" i="2"/>
  <c r="N419" i="2"/>
  <c r="F307" i="2"/>
  <c r="G4" i="2"/>
  <c r="F288" i="2"/>
  <c r="G325" i="2"/>
  <c r="N302" i="2"/>
  <c r="G411" i="2"/>
  <c r="N258" i="2"/>
  <c r="G366" i="2"/>
  <c r="J255" i="2"/>
  <c r="G60" i="2"/>
  <c r="G27" i="2"/>
  <c r="G101" i="2"/>
  <c r="G370" i="2"/>
  <c r="J321" i="2"/>
  <c r="G91" i="2"/>
  <c r="G387" i="2"/>
  <c r="J317" i="2"/>
  <c r="G51" i="2"/>
  <c r="G16" i="2"/>
  <c r="E152" i="2"/>
  <c r="H55" i="2"/>
  <c r="H29" i="2"/>
  <c r="E314" i="2"/>
  <c r="E45" i="2"/>
  <c r="E19" i="2"/>
  <c r="E115" i="2"/>
  <c r="H374" i="2"/>
  <c r="H97" i="2"/>
  <c r="E8" i="2"/>
  <c r="E132" i="2"/>
  <c r="E112" i="2"/>
  <c r="H328" i="2"/>
  <c r="H45" i="2"/>
  <c r="H19" i="2"/>
  <c r="H115" i="2"/>
  <c r="E189" i="2"/>
  <c r="M107" i="2"/>
  <c r="H397" i="2"/>
  <c r="M99" i="2"/>
  <c r="M25" i="2"/>
  <c r="J33" i="2"/>
  <c r="J171" i="2"/>
  <c r="I350" i="2"/>
  <c r="M57" i="2"/>
  <c r="M21" i="2"/>
  <c r="J157" i="2"/>
  <c r="E384" i="2"/>
  <c r="M94" i="2"/>
  <c r="I146" i="2"/>
  <c r="M68" i="2"/>
  <c r="E407" i="2"/>
  <c r="M78" i="2"/>
  <c r="I8" i="2"/>
  <c r="I132" i="2"/>
  <c r="I112" i="2"/>
  <c r="M295" i="2"/>
  <c r="G81" i="2"/>
  <c r="I167" i="2"/>
  <c r="H76" i="2"/>
  <c r="J117" i="2"/>
  <c r="K346" i="2"/>
  <c r="G71" i="2"/>
  <c r="N178" i="2"/>
  <c r="K423" i="2"/>
  <c r="K83" i="2"/>
  <c r="N181" i="2"/>
  <c r="K73" i="2"/>
  <c r="N184" i="2"/>
  <c r="N62" i="2"/>
  <c r="N38" i="2"/>
  <c r="N376" i="2"/>
  <c r="N160" i="2"/>
  <c r="I88" i="2"/>
  <c r="K175" i="2"/>
  <c r="E105" i="2"/>
  <c r="K135" i="2"/>
  <c r="E86" i="2"/>
  <c r="M46" i="2"/>
  <c r="M13" i="2"/>
  <c r="N284" i="2"/>
  <c r="K163" i="2"/>
  <c r="N208" i="2"/>
  <c r="I201" i="2"/>
  <c r="J127" i="2"/>
  <c r="I281" i="2"/>
  <c r="I231" i="2"/>
  <c r="N122" i="2"/>
  <c r="K221" i="2"/>
  <c r="F149" i="2"/>
  <c r="K249" i="2"/>
  <c r="K255" i="2"/>
  <c r="F138" i="2"/>
  <c r="M357" i="2"/>
  <c r="M35" i="2"/>
  <c r="M228" i="2"/>
  <c r="K252" i="2"/>
  <c r="E120" i="2"/>
  <c r="K218" i="2"/>
  <c r="M342" i="2"/>
  <c r="M271" i="2"/>
  <c r="G307" i="2"/>
  <c r="M239" i="2"/>
  <c r="L55" i="2"/>
  <c r="L29" i="2"/>
  <c r="G292" i="2"/>
  <c r="M242" i="2"/>
  <c r="J102" i="2"/>
  <c r="M154" i="2"/>
  <c r="G380" i="2"/>
  <c r="M268" i="2"/>
  <c r="E420" i="2"/>
  <c r="M331" i="2"/>
  <c r="M275" i="2"/>
  <c r="G338" i="2"/>
  <c r="M143" i="2"/>
  <c r="F48" i="2"/>
  <c r="F11" i="2"/>
  <c r="M192" i="2"/>
  <c r="G394" i="2"/>
  <c r="M195" i="2"/>
  <c r="M214" i="2"/>
  <c r="L140" i="2"/>
  <c r="N206" i="2"/>
  <c r="N242" i="2"/>
  <c r="N214" i="2"/>
  <c r="I329" i="2"/>
  <c r="I337" i="2"/>
  <c r="I320" i="2"/>
  <c r="I370" i="2"/>
  <c r="L423" i="2"/>
  <c r="I414" i="2"/>
  <c r="L222" i="2"/>
  <c r="I353" i="2"/>
  <c r="I402" i="2"/>
  <c r="L200" i="2"/>
  <c r="H325" i="2"/>
  <c r="G416" i="2"/>
  <c r="H310" i="2"/>
  <c r="G203" i="2"/>
  <c r="H370" i="2"/>
  <c r="G220" i="2"/>
  <c r="H387" i="2"/>
  <c r="G401" i="2"/>
  <c r="H366" i="2"/>
  <c r="I256" i="2"/>
  <c r="H262" i="2"/>
  <c r="F314" i="2"/>
  <c r="I248" i="2"/>
  <c r="J361" i="2"/>
  <c r="J236" i="2"/>
  <c r="F384" i="2"/>
  <c r="I217" i="2"/>
  <c r="J205" i="2"/>
  <c r="N328" i="2"/>
  <c r="I210" i="2"/>
  <c r="L224" i="2"/>
  <c r="I240" i="2"/>
  <c r="N295" i="2"/>
  <c r="L265" i="2"/>
  <c r="I225" i="2"/>
  <c r="E398" i="2"/>
  <c r="G288" i="2"/>
  <c r="E259" i="2"/>
  <c r="E332" i="2"/>
  <c r="E276" i="2"/>
  <c r="E303" i="2"/>
  <c r="J299" i="2"/>
  <c r="K230" i="2"/>
  <c r="F407" i="2"/>
  <c r="F197" i="2"/>
  <c r="F7" i="2"/>
  <c r="F233" i="2"/>
  <c r="J350" i="2"/>
  <c r="F259" i="2"/>
  <c r="E300" i="2"/>
  <c r="F251" i="2"/>
  <c r="K317" i="2"/>
  <c r="E315" i="2"/>
  <c r="K321" i="2"/>
  <c r="F306" i="2"/>
  <c r="F303" i="2"/>
  <c r="F264" i="2"/>
  <c r="H332" i="2"/>
  <c r="H276" i="2"/>
  <c r="H326" i="2"/>
  <c r="H288" i="2"/>
  <c r="L346" i="2"/>
  <c r="H297" i="2"/>
  <c r="I374" i="2"/>
  <c r="H269" i="2"/>
  <c r="M279" i="2"/>
  <c r="M266" i="2"/>
  <c r="N311" i="2"/>
  <c r="N271" i="2"/>
  <c r="L417" i="2"/>
  <c r="N282" i="2"/>
  <c r="L359" i="2"/>
  <c r="L155" i="2"/>
  <c r="H411" i="2"/>
  <c r="N274" i="2"/>
  <c r="H381" i="2"/>
  <c r="H347" i="2"/>
  <c r="K261" i="2"/>
  <c r="G48" i="2"/>
  <c r="G11" i="2"/>
  <c r="F396" i="2"/>
  <c r="K285" i="2"/>
  <c r="M253" i="2"/>
  <c r="G58" i="2"/>
  <c r="F367" i="2"/>
  <c r="F340" i="2"/>
  <c r="G34" i="2"/>
  <c r="G172" i="2"/>
  <c r="F399" i="2"/>
  <c r="E421" i="2"/>
  <c r="I50" i="2"/>
  <c r="I15" i="2"/>
  <c r="E390" i="2"/>
  <c r="I62" i="2"/>
  <c r="E363" i="2"/>
  <c r="F66" i="2"/>
  <c r="F31" i="2"/>
  <c r="F8" i="2"/>
  <c r="F132" i="2"/>
  <c r="F112" i="2"/>
  <c r="G294" i="2"/>
  <c r="J344" i="2"/>
  <c r="F56" i="2"/>
  <c r="F20" i="2"/>
  <c r="G309" i="2"/>
  <c r="E55" i="2"/>
  <c r="E29" i="2"/>
  <c r="J38" i="2"/>
  <c r="J376" i="2"/>
  <c r="K350" i="2"/>
  <c r="I120" i="2"/>
  <c r="E6" i="2"/>
  <c r="E232" i="2"/>
  <c r="K410" i="2"/>
  <c r="E54" i="2"/>
  <c r="E28" i="2"/>
  <c r="K384" i="2"/>
  <c r="J291" i="2"/>
  <c r="J65" i="2"/>
  <c r="J30" i="2"/>
  <c r="J323" i="2"/>
  <c r="J44" i="2"/>
  <c r="J18" i="2"/>
  <c r="J114" i="2"/>
  <c r="G407" i="2"/>
  <c r="E129" i="2"/>
  <c r="J45" i="2"/>
  <c r="J19" i="2"/>
  <c r="J115" i="2"/>
  <c r="G373" i="2"/>
  <c r="L9" i="2"/>
  <c r="L133" i="2"/>
  <c r="L113" i="2"/>
  <c r="L52" i="2"/>
  <c r="L22" i="2"/>
  <c r="L26" i="2"/>
  <c r="L100" i="2"/>
  <c r="L317" i="2"/>
  <c r="L47" i="2"/>
  <c r="L14" i="2"/>
  <c r="L88" i="2"/>
  <c r="L69" i="2"/>
  <c r="K122" i="2"/>
  <c r="N73" i="2"/>
  <c r="M49" i="2"/>
  <c r="M12" i="2"/>
  <c r="M392" i="2"/>
  <c r="M423" i="2"/>
  <c r="E76" i="2"/>
  <c r="G96" i="2"/>
  <c r="M98" i="2"/>
  <c r="M24" i="2"/>
  <c r="J98" i="2"/>
  <c r="J24" i="2"/>
  <c r="J86" i="2"/>
  <c r="J109" i="2"/>
  <c r="M200" i="2"/>
  <c r="K67" i="2"/>
  <c r="N45" i="2"/>
  <c r="N19" i="2"/>
  <c r="N115" i="2"/>
  <c r="M169" i="2"/>
  <c r="N102" i="2"/>
  <c r="H36" i="2"/>
  <c r="H358" i="2"/>
  <c r="H229" i="2"/>
  <c r="M189" i="2"/>
  <c r="M71" i="2"/>
  <c r="H60" i="2"/>
  <c r="I84" i="2"/>
  <c r="M152" i="2"/>
  <c r="G80" i="2"/>
  <c r="H46" i="2"/>
  <c r="H13" i="2"/>
  <c r="M183" i="2"/>
  <c r="H82" i="2"/>
  <c r="F105" i="2"/>
  <c r="K56" i="2"/>
  <c r="K20" i="2"/>
  <c r="J178" i="2"/>
  <c r="F78" i="2"/>
  <c r="H186" i="2"/>
  <c r="M90" i="2"/>
  <c r="N51" i="2"/>
  <c r="N16" i="2"/>
  <c r="H203" i="2"/>
  <c r="N320" i="2"/>
  <c r="N288" i="2"/>
  <c r="H107" i="2"/>
  <c r="H150" i="2"/>
  <c r="H143" i="2"/>
  <c r="H193" i="2"/>
  <c r="F118" i="2"/>
  <c r="F166" i="2"/>
  <c r="F181" i="2"/>
  <c r="M126" i="2"/>
  <c r="K157" i="2"/>
  <c r="K162" i="2"/>
  <c r="E176" i="2"/>
  <c r="E238" i="2"/>
  <c r="E207" i="2"/>
  <c r="E272" i="2"/>
  <c r="E148" i="2"/>
  <c r="E215" i="2"/>
  <c r="E94" i="2"/>
  <c r="E243" i="2"/>
  <c r="E254" i="2"/>
  <c r="E141" i="2"/>
  <c r="E283" i="2"/>
  <c r="E331" i="2"/>
  <c r="E275" i="2"/>
  <c r="E160" i="2"/>
  <c r="G359" i="2"/>
  <c r="G155" i="2"/>
  <c r="G9" i="2"/>
  <c r="G133" i="2"/>
  <c r="G113" i="2"/>
  <c r="G197" i="2"/>
  <c r="I136" i="2"/>
  <c r="L138" i="2"/>
  <c r="I381" i="2"/>
  <c r="L261" i="2"/>
  <c r="L230" i="2"/>
  <c r="L145" i="2"/>
  <c r="I46" i="2"/>
  <c r="I13" i="2"/>
  <c r="K248" i="2"/>
  <c r="K256" i="2"/>
  <c r="K225" i="2"/>
  <c r="K217" i="2"/>
  <c r="G340" i="2"/>
  <c r="G306" i="2"/>
  <c r="G303" i="2"/>
  <c r="G367" i="2"/>
  <c r="J210" i="2"/>
  <c r="J240" i="2"/>
  <c r="K344" i="2"/>
  <c r="K291" i="2"/>
  <c r="G264" i="2"/>
  <c r="L285" i="2"/>
  <c r="G7" i="2"/>
  <c r="G233" i="2"/>
  <c r="G259" i="2"/>
  <c r="L323" i="2"/>
  <c r="G251" i="2"/>
  <c r="L350" i="2"/>
  <c r="H294" i="2"/>
  <c r="H309" i="2"/>
  <c r="H220" i="2"/>
  <c r="F363" i="2"/>
  <c r="F315" i="2"/>
  <c r="N279" i="2"/>
  <c r="N266" i="2"/>
  <c r="G396" i="2"/>
  <c r="F300" i="2"/>
  <c r="G8" i="2"/>
  <c r="G132" i="2"/>
  <c r="G112" i="2"/>
  <c r="J337" i="2"/>
  <c r="J329" i="2"/>
  <c r="G399" i="2"/>
  <c r="E357" i="2"/>
  <c r="E35" i="2"/>
  <c r="E228" i="2"/>
  <c r="H373" i="2"/>
  <c r="E312" i="2"/>
  <c r="I269" i="2"/>
  <c r="H48" i="2"/>
  <c r="H11" i="2"/>
  <c r="M359" i="2"/>
  <c r="M155" i="2"/>
  <c r="H407" i="2"/>
  <c r="M317" i="2"/>
  <c r="F6" i="2"/>
  <c r="F232" i="2"/>
  <c r="I347" i="2"/>
  <c r="M69" i="2"/>
  <c r="M222" i="2"/>
  <c r="F421" i="2"/>
  <c r="I326" i="2"/>
  <c r="H58" i="2"/>
  <c r="F390" i="2"/>
  <c r="I297" i="2"/>
  <c r="H34" i="2"/>
  <c r="H172" i="2"/>
  <c r="E27" i="2"/>
  <c r="E101" i="2"/>
  <c r="E52" i="2"/>
  <c r="E22" i="2"/>
  <c r="E74" i="2"/>
  <c r="G78" i="2"/>
  <c r="I36" i="2"/>
  <c r="I358" i="2"/>
  <c r="I229" i="2"/>
  <c r="M52" i="2"/>
  <c r="M22" i="2"/>
  <c r="I60" i="2"/>
  <c r="M417" i="2"/>
  <c r="G66" i="2"/>
  <c r="G31" i="2"/>
  <c r="E3" i="2"/>
  <c r="G56" i="2"/>
  <c r="G20" i="2"/>
  <c r="I82" i="2"/>
  <c r="E415" i="2"/>
  <c r="K38" i="2"/>
  <c r="K376" i="2"/>
  <c r="N98" i="2"/>
  <c r="N24" i="2"/>
  <c r="N49" i="2"/>
  <c r="N12" i="2"/>
  <c r="K44" i="2"/>
  <c r="K18" i="2"/>
  <c r="K114" i="2"/>
  <c r="H80" i="2"/>
  <c r="L56" i="2"/>
  <c r="L20" i="2"/>
  <c r="M26" i="2"/>
  <c r="M100" i="2"/>
  <c r="F54" i="2"/>
  <c r="F28" i="2"/>
  <c r="L410" i="2"/>
  <c r="L384" i="2"/>
  <c r="M9" i="2"/>
  <c r="M133" i="2"/>
  <c r="M113" i="2"/>
  <c r="M138" i="2"/>
  <c r="F55" i="2"/>
  <c r="F29" i="2"/>
  <c r="J84" i="2"/>
  <c r="M145" i="2"/>
  <c r="J402" i="2"/>
  <c r="M88" i="2"/>
  <c r="N71" i="2"/>
  <c r="F129" i="2"/>
  <c r="J50" i="2"/>
  <c r="J15" i="2"/>
  <c r="F76" i="2"/>
  <c r="J370" i="2"/>
  <c r="I143" i="2"/>
  <c r="L67" i="2"/>
  <c r="I96" i="2"/>
  <c r="N392" i="2"/>
  <c r="N423" i="2"/>
  <c r="I107" i="2"/>
  <c r="K109" i="2"/>
  <c r="K136" i="2"/>
  <c r="K98" i="2"/>
  <c r="K24" i="2"/>
  <c r="L45" i="2"/>
  <c r="L19" i="2"/>
  <c r="L115" i="2"/>
  <c r="F148" i="2"/>
  <c r="F94" i="2"/>
  <c r="M47" i="2"/>
  <c r="M14" i="2"/>
  <c r="I150" i="2"/>
  <c r="J62" i="2"/>
  <c r="I166" i="2"/>
  <c r="F141" i="2"/>
  <c r="I203" i="2"/>
  <c r="I186" i="2"/>
  <c r="I197" i="2"/>
  <c r="I220" i="2"/>
  <c r="N152" i="2"/>
  <c r="E116" i="2"/>
  <c r="K65" i="2"/>
  <c r="K30" i="2"/>
  <c r="N200" i="2"/>
  <c r="L122" i="2"/>
  <c r="N183" i="2"/>
  <c r="N90" i="2"/>
  <c r="M285" i="2"/>
  <c r="N189" i="2"/>
  <c r="M256" i="2"/>
  <c r="N169" i="2"/>
  <c r="L86" i="2"/>
  <c r="M230" i="2"/>
  <c r="F215" i="2"/>
  <c r="M261" i="2"/>
  <c r="J120" i="2"/>
  <c r="F176" i="2"/>
  <c r="M248" i="2"/>
  <c r="N126" i="2"/>
  <c r="F160" i="2"/>
  <c r="F207" i="2"/>
  <c r="F223" i="2"/>
  <c r="E103" i="2"/>
  <c r="K178" i="2"/>
  <c r="G118" i="2"/>
  <c r="K210" i="2"/>
  <c r="F103" i="2"/>
  <c r="H9" i="2"/>
  <c r="H133" i="2"/>
  <c r="H113" i="2"/>
  <c r="F52" i="2"/>
  <c r="F22" i="2"/>
  <c r="M193" i="2"/>
  <c r="G105" i="2"/>
  <c r="M217" i="2"/>
  <c r="M225" i="2"/>
  <c r="L162" i="2"/>
  <c r="F238" i="2"/>
  <c r="L157" i="2"/>
  <c r="F254" i="2"/>
  <c r="F283" i="2"/>
  <c r="F243" i="2"/>
  <c r="F272" i="2"/>
  <c r="G181" i="2"/>
  <c r="E267" i="2"/>
  <c r="H340" i="2"/>
  <c r="I48" i="2"/>
  <c r="I11" i="2"/>
  <c r="H359" i="2"/>
  <c r="H155" i="2"/>
  <c r="E289" i="2"/>
  <c r="H367" i="2"/>
  <c r="I34" i="2"/>
  <c r="I172" i="2"/>
  <c r="E280" i="2"/>
  <c r="H306" i="2"/>
  <c r="F415" i="2"/>
  <c r="I294" i="2"/>
  <c r="N317" i="2"/>
  <c r="F27" i="2"/>
  <c r="F101" i="2"/>
  <c r="I7" i="2"/>
  <c r="I233" i="2"/>
  <c r="N326" i="2"/>
  <c r="F3" i="2"/>
  <c r="J297" i="2"/>
  <c r="J251" i="2"/>
  <c r="N332" i="2"/>
  <c r="N276" i="2"/>
  <c r="E99" i="2"/>
  <c r="E25" i="2"/>
  <c r="H331" i="2"/>
  <c r="H275" i="2"/>
  <c r="E424" i="2"/>
  <c r="N359" i="2"/>
  <c r="N155" i="2"/>
  <c r="H264" i="2"/>
  <c r="E393" i="2"/>
  <c r="L344" i="2"/>
  <c r="H259" i="2"/>
  <c r="H357" i="2"/>
  <c r="H35" i="2"/>
  <c r="H228" i="2"/>
  <c r="L38" i="2"/>
  <c r="L376" i="2"/>
  <c r="E382" i="2"/>
  <c r="E408" i="2"/>
  <c r="E321" i="2"/>
  <c r="H78" i="2"/>
  <c r="E348" i="2"/>
  <c r="L291" i="2"/>
  <c r="G6" i="2"/>
  <c r="G232" i="2"/>
  <c r="M323" i="2"/>
  <c r="K269" i="2"/>
  <c r="L84" i="2"/>
  <c r="G55" i="2"/>
  <c r="G29" i="2"/>
  <c r="K240" i="2"/>
  <c r="M384" i="2"/>
  <c r="G421" i="2"/>
  <c r="M350" i="2"/>
  <c r="G390" i="2"/>
  <c r="G300" i="2"/>
  <c r="M329" i="2"/>
  <c r="M56" i="2"/>
  <c r="M20" i="2"/>
  <c r="K337" i="2"/>
  <c r="M410" i="2"/>
  <c r="N88" i="2"/>
  <c r="N26" i="2"/>
  <c r="N100" i="2"/>
  <c r="M45" i="2"/>
  <c r="M19" i="2"/>
  <c r="M115" i="2"/>
  <c r="K370" i="2"/>
  <c r="N47" i="2"/>
  <c r="N14" i="2"/>
  <c r="J363" i="2"/>
  <c r="N417" i="2"/>
  <c r="J303" i="2"/>
  <c r="N52" i="2"/>
  <c r="N22" i="2"/>
  <c r="F312" i="2"/>
  <c r="F74" i="2"/>
  <c r="J60" i="2"/>
  <c r="J96" i="2"/>
  <c r="J396" i="2"/>
  <c r="F357" i="2"/>
  <c r="F228" i="2"/>
  <c r="J46" i="2"/>
  <c r="J13" i="2"/>
  <c r="I309" i="2"/>
  <c r="I373" i="2"/>
  <c r="G54" i="2"/>
  <c r="G28" i="2"/>
  <c r="G94" i="2"/>
  <c r="F116" i="2"/>
  <c r="K50" i="2"/>
  <c r="K15" i="2"/>
  <c r="G76" i="2"/>
  <c r="L109" i="2"/>
  <c r="N69" i="2"/>
  <c r="K402" i="2"/>
  <c r="G315" i="2"/>
  <c r="I80" i="2"/>
  <c r="L136" i="2"/>
  <c r="E50" i="2"/>
  <c r="E15" i="2"/>
  <c r="H399" i="2"/>
  <c r="E91" i="2"/>
  <c r="K143" i="2"/>
  <c r="L65" i="2"/>
  <c r="L30" i="2"/>
  <c r="H66" i="2"/>
  <c r="H31" i="2"/>
  <c r="L98" i="2"/>
  <c r="L24" i="2"/>
  <c r="K150" i="2"/>
  <c r="H56" i="2"/>
  <c r="H20" i="2"/>
  <c r="K120" i="2"/>
  <c r="J82" i="2"/>
  <c r="E72" i="2"/>
  <c r="M162" i="2"/>
  <c r="M157" i="2"/>
  <c r="N145" i="2"/>
  <c r="M67" i="2"/>
  <c r="N138" i="2"/>
  <c r="N9" i="2"/>
  <c r="N133" i="2"/>
  <c r="N113" i="2"/>
  <c r="M122" i="2"/>
  <c r="E190" i="2"/>
  <c r="E218" i="2"/>
  <c r="G129" i="2"/>
  <c r="E201" i="2"/>
  <c r="G141" i="2"/>
  <c r="E184" i="2"/>
  <c r="K62" i="2"/>
  <c r="G148" i="2"/>
  <c r="G283" i="2"/>
  <c r="I58" i="2"/>
  <c r="G312" i="2"/>
  <c r="G160" i="2"/>
  <c r="M86" i="2"/>
  <c r="G272" i="2"/>
  <c r="E170" i="2"/>
  <c r="E153" i="2"/>
  <c r="I118" i="2"/>
  <c r="E342" i="2"/>
  <c r="E127" i="2"/>
  <c r="I357" i="2"/>
  <c r="I35" i="2"/>
  <c r="I228" i="2"/>
  <c r="E360" i="2"/>
  <c r="E156" i="2"/>
  <c r="E418" i="2"/>
  <c r="J166" i="2"/>
  <c r="N256" i="2"/>
  <c r="E374" i="2"/>
  <c r="N230" i="2"/>
  <c r="J9" i="2"/>
  <c r="J133" i="2"/>
  <c r="J113" i="2"/>
  <c r="E335" i="2"/>
  <c r="N193" i="2"/>
  <c r="J107" i="2"/>
  <c r="E385" i="2"/>
  <c r="N248" i="2"/>
  <c r="N225" i="2"/>
  <c r="G243" i="2"/>
  <c r="H105" i="2"/>
  <c r="G223" i="2"/>
  <c r="G176" i="2"/>
  <c r="G254" i="2"/>
  <c r="G207" i="2"/>
  <c r="G238" i="2"/>
  <c r="G215" i="2"/>
  <c r="I306" i="2"/>
  <c r="H181" i="2"/>
  <c r="I259" i="2"/>
  <c r="J220" i="2"/>
  <c r="J186" i="2"/>
  <c r="I264" i="2"/>
  <c r="J197" i="2"/>
  <c r="F332" i="2"/>
  <c r="F276" i="2"/>
  <c r="I331" i="2"/>
  <c r="I275" i="2"/>
  <c r="I359" i="2"/>
  <c r="I155" i="2"/>
  <c r="L210" i="2"/>
  <c r="F327" i="2"/>
  <c r="K251" i="2"/>
  <c r="L240" i="2"/>
  <c r="F343" i="2"/>
  <c r="K297" i="2"/>
  <c r="E318" i="2"/>
  <c r="E327" i="2"/>
  <c r="N323" i="2"/>
  <c r="N285" i="2"/>
  <c r="N261" i="2"/>
  <c r="N294" i="2"/>
  <c r="H315" i="2"/>
  <c r="N153" i="2"/>
  <c r="K88" i="2"/>
  <c r="K86" i="2"/>
  <c r="H300" i="2"/>
  <c r="N179" i="2"/>
  <c r="K49" i="2"/>
  <c r="K12" i="2"/>
  <c r="K59" i="2"/>
  <c r="K45" i="2"/>
  <c r="K19" i="2"/>
  <c r="K115" i="2"/>
  <c r="K203" i="2"/>
  <c r="L303" i="2"/>
  <c r="N195" i="2"/>
  <c r="K66" i="2"/>
  <c r="K31" i="2"/>
  <c r="K55" i="2"/>
  <c r="K29" i="2"/>
  <c r="L269" i="2"/>
  <c r="K90" i="2"/>
  <c r="I399" i="2"/>
  <c r="N162" i="2"/>
  <c r="K53" i="2"/>
  <c r="K23" i="2"/>
  <c r="K27" i="2"/>
  <c r="K101" i="2"/>
  <c r="F280" i="2"/>
  <c r="M178" i="2"/>
  <c r="I367" i="2"/>
  <c r="K211" i="2"/>
  <c r="K63" i="2"/>
  <c r="K57" i="2"/>
  <c r="K21" i="2"/>
  <c r="F267" i="2"/>
  <c r="F382" i="2"/>
  <c r="K34" i="2"/>
  <c r="K172" i="2"/>
  <c r="K47" i="2"/>
  <c r="K14" i="2"/>
  <c r="F424" i="2"/>
  <c r="F408" i="2"/>
  <c r="K61" i="2"/>
  <c r="F289" i="2"/>
  <c r="K51" i="2"/>
  <c r="K16" i="2"/>
  <c r="F175" i="2"/>
  <c r="F348" i="2"/>
  <c r="F321" i="2"/>
  <c r="F393" i="2"/>
  <c r="F190" i="2"/>
  <c r="M33" i="2"/>
  <c r="M171" i="2"/>
  <c r="K243" i="2"/>
  <c r="K220" i="2"/>
  <c r="K253" i="2"/>
  <c r="M186" i="2"/>
  <c r="K227" i="2"/>
  <c r="K279" i="2"/>
  <c r="J309" i="2"/>
  <c r="G357" i="2"/>
  <c r="G35" i="2"/>
  <c r="G228" i="2"/>
  <c r="K361" i="2"/>
  <c r="K236" i="2"/>
  <c r="M205" i="2"/>
  <c r="G415" i="2"/>
  <c r="G166" i="2"/>
  <c r="N329" i="2"/>
  <c r="N350" i="2"/>
  <c r="G200" i="2"/>
  <c r="N410" i="2"/>
  <c r="G208" i="2"/>
  <c r="M38" i="2"/>
  <c r="M376" i="2"/>
  <c r="M291" i="2"/>
  <c r="G182" i="2"/>
  <c r="M344" i="2"/>
  <c r="J169" i="2"/>
  <c r="K363" i="2"/>
  <c r="K396" i="2"/>
  <c r="J202" i="2"/>
  <c r="L337" i="2"/>
  <c r="J184" i="2"/>
  <c r="L370" i="2"/>
  <c r="I193" i="2"/>
  <c r="L402" i="2"/>
  <c r="I158" i="2"/>
  <c r="I177" i="2"/>
  <c r="H390" i="2"/>
  <c r="L151" i="2"/>
  <c r="L160" i="2"/>
  <c r="F263" i="2"/>
  <c r="F331" i="2"/>
  <c r="F275" i="2"/>
  <c r="F282" i="2"/>
  <c r="E270" i="2"/>
  <c r="E249" i="2"/>
  <c r="E230" i="2"/>
  <c r="H218" i="2"/>
  <c r="H272" i="2"/>
  <c r="H6" i="2"/>
  <c r="H232" i="2"/>
  <c r="H251" i="2"/>
  <c r="H421" i="2"/>
  <c r="G225" i="2"/>
  <c r="G258" i="2"/>
  <c r="G241" i="2"/>
  <c r="E216" i="2"/>
  <c r="G319" i="2"/>
  <c r="G346" i="2"/>
  <c r="G324" i="2"/>
  <c r="N238" i="2"/>
  <c r="I351" i="2"/>
  <c r="N255" i="2"/>
  <c r="N222" i="2"/>
  <c r="I295" i="2"/>
  <c r="M260" i="2"/>
  <c r="I300" i="2"/>
  <c r="E285" i="2"/>
  <c r="E337" i="2"/>
  <c r="G327" i="2"/>
  <c r="E290" i="2"/>
  <c r="G343" i="2"/>
  <c r="E402" i="2"/>
  <c r="H303" i="2"/>
  <c r="G332" i="2"/>
  <c r="G276" i="2"/>
  <c r="E370" i="2"/>
  <c r="H311" i="2"/>
  <c r="G360" i="2"/>
  <c r="G156" i="2"/>
  <c r="H308" i="2"/>
  <c r="E419" i="2"/>
  <c r="E386" i="2"/>
  <c r="H316" i="2"/>
  <c r="K390" i="2"/>
  <c r="M348" i="2"/>
  <c r="K9" i="2"/>
  <c r="K133" i="2"/>
  <c r="K113" i="2"/>
  <c r="M305" i="2"/>
  <c r="K372" i="2"/>
  <c r="L267" i="2"/>
  <c r="I265" i="2"/>
  <c r="M313" i="2"/>
  <c r="K406" i="2"/>
  <c r="J287" i="2"/>
  <c r="K421" i="2"/>
  <c r="E143" i="2"/>
  <c r="K7" i="2"/>
  <c r="K233" i="2"/>
  <c r="J339" i="2"/>
  <c r="K99" i="2"/>
  <c r="K25" i="2"/>
  <c r="E26" i="2"/>
  <c r="E100" i="2"/>
  <c r="N292" i="2"/>
  <c r="K4" i="2"/>
  <c r="N297" i="2"/>
  <c r="G393" i="2"/>
  <c r="K72" i="2"/>
  <c r="G424" i="2"/>
  <c r="G375" i="2"/>
  <c r="G409" i="2"/>
  <c r="G363" i="2"/>
  <c r="N415" i="2"/>
  <c r="K80" i="2"/>
  <c r="K329" i="2"/>
  <c r="N382" i="2"/>
  <c r="K78" i="2"/>
  <c r="F123" i="2"/>
  <c r="N398" i="2"/>
  <c r="H413" i="2"/>
  <c r="H380" i="2"/>
  <c r="K8" i="2"/>
  <c r="K132" i="2"/>
  <c r="K112" i="2"/>
  <c r="H396" i="2"/>
  <c r="K138" i="2"/>
  <c r="K70" i="2"/>
  <c r="K76" i="2"/>
  <c r="K149" i="2"/>
  <c r="K84" i="2"/>
  <c r="G145" i="2"/>
  <c r="L321" i="2"/>
  <c r="K74" i="2"/>
  <c r="G104" i="2"/>
  <c r="K68" i="2"/>
  <c r="L92" i="2"/>
  <c r="L44" i="2"/>
  <c r="L18" i="2"/>
  <c r="L114" i="2"/>
  <c r="J351" i="2"/>
  <c r="J345" i="2"/>
  <c r="E121" i="2"/>
  <c r="J36" i="2"/>
  <c r="J358" i="2"/>
  <c r="J229" i="2"/>
  <c r="K82" i="2"/>
  <c r="J373" i="2"/>
  <c r="M95" i="2"/>
  <c r="J332" i="2"/>
  <c r="J276" i="2"/>
  <c r="M151" i="2"/>
  <c r="J336" i="2"/>
  <c r="J375" i="2"/>
  <c r="M140" i="2"/>
  <c r="J349" i="2"/>
  <c r="J387" i="2"/>
  <c r="I147" i="2"/>
  <c r="J39" i="2"/>
  <c r="J377" i="2"/>
  <c r="J357" i="2"/>
  <c r="J35" i="2"/>
  <c r="J228" i="2"/>
  <c r="I106" i="2"/>
  <c r="J371" i="2"/>
  <c r="J367" i="2"/>
  <c r="I9" i="2"/>
  <c r="I133" i="2"/>
  <c r="I113" i="2"/>
  <c r="J364" i="2"/>
  <c r="K193" i="2"/>
  <c r="J343" i="2"/>
  <c r="M366" i="2"/>
  <c r="G127" i="2"/>
  <c r="K169" i="2"/>
  <c r="J385" i="2"/>
  <c r="J360" i="2"/>
  <c r="J156" i="2"/>
  <c r="H129" i="2"/>
  <c r="K158" i="2"/>
  <c r="J353" i="2"/>
  <c r="K177" i="2"/>
  <c r="M116" i="2"/>
  <c r="J330" i="2"/>
  <c r="J347" i="2"/>
  <c r="K184" i="2"/>
  <c r="J108" i="2"/>
  <c r="J338" i="2"/>
  <c r="J381" i="2"/>
  <c r="K202" i="2"/>
  <c r="J136" i="2"/>
  <c r="J383" i="2"/>
  <c r="N97" i="2"/>
  <c r="M160" i="2"/>
  <c r="J362" i="2"/>
  <c r="J237" i="2"/>
  <c r="J340" i="2"/>
  <c r="M211" i="2"/>
  <c r="J369" i="2"/>
  <c r="H182" i="2"/>
  <c r="H360" i="2"/>
  <c r="H156" i="2"/>
  <c r="H166" i="2"/>
  <c r="H200" i="2"/>
  <c r="H208" i="2"/>
  <c r="G190" i="2"/>
  <c r="G175" i="2"/>
  <c r="N186" i="2"/>
  <c r="N33" i="2"/>
  <c r="N171" i="2"/>
  <c r="E197" i="2"/>
  <c r="E206" i="2"/>
  <c r="E163" i="2"/>
  <c r="M227" i="2"/>
  <c r="N118" i="2"/>
  <c r="E180" i="2"/>
  <c r="M243" i="2"/>
  <c r="E223" i="2"/>
  <c r="M267" i="2"/>
  <c r="F102" i="2"/>
  <c r="H375" i="2"/>
  <c r="H346" i="2"/>
  <c r="H319" i="2"/>
  <c r="H324" i="2"/>
  <c r="N305" i="2"/>
  <c r="L220" i="2"/>
  <c r="N300" i="2"/>
  <c r="L279" i="2"/>
  <c r="F216" i="2"/>
  <c r="N308" i="2"/>
  <c r="L253" i="2"/>
  <c r="F154" i="2"/>
  <c r="F290" i="2"/>
  <c r="L361" i="2"/>
  <c r="L236" i="2"/>
  <c r="N313" i="2"/>
  <c r="N348" i="2"/>
  <c r="F270" i="2"/>
  <c r="F249" i="2"/>
  <c r="F230" i="2"/>
  <c r="E293" i="2"/>
  <c r="F285" i="2"/>
  <c r="E352" i="2"/>
  <c r="J265" i="2"/>
  <c r="E239" i="2"/>
  <c r="E298" i="2"/>
  <c r="E256" i="2"/>
  <c r="I251" i="2"/>
  <c r="I258" i="2"/>
  <c r="I6" i="2"/>
  <c r="I232" i="2"/>
  <c r="I218" i="2"/>
  <c r="I272" i="2"/>
  <c r="H225" i="2"/>
  <c r="H241" i="2"/>
  <c r="G282" i="2"/>
  <c r="K339" i="2"/>
  <c r="G263" i="2"/>
  <c r="K357" i="2"/>
  <c r="K35" i="2"/>
  <c r="K228" i="2"/>
  <c r="F386" i="2"/>
  <c r="F402" i="2"/>
  <c r="F419" i="2"/>
  <c r="F370" i="2"/>
  <c r="E367" i="2"/>
  <c r="E399" i="2"/>
  <c r="E383" i="2"/>
  <c r="E416" i="2"/>
  <c r="H409" i="2"/>
  <c r="N260" i="2"/>
  <c r="I311" i="2"/>
  <c r="H424" i="2"/>
  <c r="H102" i="2"/>
  <c r="I316" i="2"/>
  <c r="H26" i="2"/>
  <c r="H100" i="2"/>
  <c r="K287" i="2"/>
  <c r="H393" i="2"/>
  <c r="I303" i="2"/>
  <c r="H91" i="2"/>
  <c r="H98" i="2"/>
  <c r="H24" i="2"/>
  <c r="H363" i="2"/>
  <c r="H94" i="2"/>
  <c r="H96" i="2"/>
  <c r="L421" i="2"/>
  <c r="J266" i="2"/>
  <c r="L372" i="2"/>
  <c r="J248" i="2"/>
  <c r="M321" i="2"/>
  <c r="L390" i="2"/>
  <c r="L406" i="2"/>
  <c r="J270" i="2"/>
  <c r="J243" i="2"/>
  <c r="L329" i="2"/>
  <c r="J254" i="2"/>
  <c r="J252" i="2"/>
  <c r="J282" i="2"/>
  <c r="J295" i="2"/>
  <c r="J225" i="2"/>
  <c r="J308" i="2"/>
  <c r="F337" i="2"/>
  <c r="J217" i="2"/>
  <c r="J302" i="2"/>
  <c r="J264" i="2"/>
  <c r="J326" i="2"/>
  <c r="J250" i="2"/>
  <c r="K312" i="2"/>
  <c r="J241" i="2"/>
  <c r="J306" i="2"/>
  <c r="K347" i="2"/>
  <c r="J258" i="2"/>
  <c r="J310" i="2"/>
  <c r="K300" i="2"/>
  <c r="I380" i="2"/>
  <c r="J227" i="2"/>
  <c r="J280" i="2"/>
  <c r="J262" i="2"/>
  <c r="J320" i="2"/>
  <c r="I413" i="2"/>
  <c r="J318" i="2"/>
  <c r="I396" i="2"/>
  <c r="K340" i="2"/>
  <c r="K316" i="2"/>
  <c r="J231" i="2"/>
  <c r="J223" i="2"/>
  <c r="H116" i="2"/>
  <c r="I141" i="2"/>
  <c r="K298" i="2"/>
  <c r="J239" i="2"/>
  <c r="I162" i="2"/>
  <c r="H135" i="2"/>
  <c r="K306" i="2"/>
  <c r="J312" i="2"/>
  <c r="J7" i="2"/>
  <c r="J233" i="2"/>
  <c r="H108" i="2"/>
  <c r="J206" i="2"/>
  <c r="H137" i="2"/>
  <c r="J260" i="2"/>
  <c r="J175" i="2"/>
  <c r="J316" i="2"/>
  <c r="H106" i="2"/>
  <c r="J211" i="2"/>
  <c r="H139" i="2"/>
  <c r="K310" i="2"/>
  <c r="J170" i="2"/>
  <c r="H44" i="2"/>
  <c r="H18" i="2"/>
  <c r="H114" i="2"/>
  <c r="J268" i="2"/>
  <c r="J322" i="2"/>
  <c r="K296" i="2"/>
  <c r="H8" i="2"/>
  <c r="H132" i="2"/>
  <c r="H112" i="2"/>
  <c r="J181" i="2"/>
  <c r="J274" i="2"/>
  <c r="H160" i="2"/>
  <c r="J272" i="2"/>
  <c r="J296" i="2"/>
  <c r="J167" i="2"/>
  <c r="H104" i="2"/>
  <c r="K324" i="2"/>
  <c r="J221" i="2"/>
  <c r="J164" i="2"/>
  <c r="J328" i="2"/>
  <c r="K343" i="2"/>
  <c r="J256" i="2"/>
  <c r="J187" i="2"/>
  <c r="K314" i="2"/>
  <c r="J304" i="2"/>
  <c r="J201" i="2"/>
  <c r="K304" i="2"/>
  <c r="J292" i="2"/>
  <c r="N151" i="2"/>
  <c r="J179" i="2"/>
  <c r="F220" i="2"/>
  <c r="H122" i="2"/>
  <c r="K318" i="2"/>
  <c r="J294" i="2"/>
  <c r="F183" i="2"/>
  <c r="G158" i="2"/>
  <c r="J160" i="2"/>
  <c r="J177" i="2"/>
  <c r="K332" i="2"/>
  <c r="K276" i="2"/>
  <c r="F194" i="2"/>
  <c r="J298" i="2"/>
  <c r="H118" i="2"/>
  <c r="K322" i="2"/>
  <c r="H126" i="2"/>
  <c r="F231" i="2"/>
  <c r="J314" i="2"/>
  <c r="J198" i="2"/>
  <c r="K330" i="2"/>
  <c r="F208" i="2"/>
  <c r="J183" i="2"/>
  <c r="J286" i="2"/>
  <c r="H120" i="2"/>
  <c r="K320" i="2"/>
  <c r="F33" i="2"/>
  <c r="F171" i="2"/>
  <c r="J203" i="2"/>
  <c r="F360" i="2"/>
  <c r="F156" i="2"/>
  <c r="J300" i="2"/>
  <c r="K345" i="2"/>
  <c r="J152" i="2"/>
  <c r="J288" i="2"/>
  <c r="K336" i="2"/>
  <c r="J162" i="2"/>
  <c r="H222" i="2"/>
  <c r="J290" i="2"/>
  <c r="K302" i="2"/>
  <c r="J215" i="2"/>
  <c r="H185" i="2"/>
  <c r="K326" i="2"/>
  <c r="J284" i="2"/>
  <c r="J158" i="2"/>
  <c r="H211" i="2"/>
  <c r="E154" i="2"/>
  <c r="J193" i="2"/>
  <c r="J324" i="2"/>
  <c r="K328" i="2"/>
  <c r="H174" i="2"/>
  <c r="L147" i="2"/>
  <c r="I397" i="2"/>
  <c r="J208" i="2"/>
  <c r="H197" i="2"/>
  <c r="M149" i="2"/>
  <c r="K401" i="2"/>
  <c r="I298" i="2"/>
  <c r="I416" i="2"/>
  <c r="J195" i="2"/>
  <c r="I288" i="2"/>
  <c r="K308" i="2"/>
  <c r="I349" i="2"/>
  <c r="H128" i="2"/>
  <c r="I308" i="2"/>
  <c r="I332" i="2"/>
  <c r="I276" i="2"/>
  <c r="K349" i="2"/>
  <c r="I352" i="2"/>
  <c r="J154" i="2"/>
  <c r="I387" i="2"/>
  <c r="I340" i="2"/>
  <c r="K373" i="2"/>
  <c r="I363" i="2"/>
  <c r="J190" i="2"/>
  <c r="I392" i="2"/>
  <c r="I360" i="2"/>
  <c r="I156" i="2"/>
  <c r="K399" i="2"/>
  <c r="K338" i="2"/>
  <c r="I328" i="2"/>
  <c r="J185" i="2"/>
  <c r="I419" i="2"/>
  <c r="I344" i="2"/>
  <c r="I318" i="2"/>
  <c r="K371" i="2"/>
  <c r="J34" i="2"/>
  <c r="J172" i="2"/>
  <c r="N190" i="2"/>
  <c r="K145" i="2"/>
  <c r="K393" i="2"/>
  <c r="I407" i="2"/>
  <c r="N167" i="2"/>
  <c r="K360" i="2"/>
  <c r="K156" i="2"/>
  <c r="I410" i="2"/>
  <c r="N180" i="2"/>
  <c r="K362" i="2"/>
  <c r="K237" i="2"/>
  <c r="N217" i="2"/>
  <c r="I400" i="2"/>
  <c r="K353" i="2"/>
  <c r="N205" i="2"/>
  <c r="K351" i="2"/>
  <c r="I372" i="2"/>
  <c r="K215" i="2"/>
  <c r="K407" i="2"/>
  <c r="I424" i="2"/>
  <c r="K369" i="2"/>
  <c r="J249" i="2"/>
  <c r="K187" i="2"/>
  <c r="J143" i="2"/>
  <c r="J269" i="2"/>
  <c r="I369" i="2"/>
  <c r="K39" i="2"/>
  <c r="K377" i="2"/>
  <c r="J219" i="2"/>
  <c r="K164" i="2"/>
  <c r="H267" i="2"/>
  <c r="I39" i="2"/>
  <c r="I377" i="2"/>
  <c r="K364" i="2"/>
  <c r="H7" i="2"/>
  <c r="H233" i="2"/>
  <c r="L226" i="2"/>
  <c r="K403" i="2"/>
  <c r="I382" i="2"/>
  <c r="H258" i="2"/>
  <c r="H247" i="2"/>
  <c r="L178" i="2"/>
  <c r="K397" i="2"/>
  <c r="F256" i="2"/>
  <c r="L202" i="2"/>
  <c r="F242" i="2"/>
  <c r="K375" i="2"/>
  <c r="F265" i="2"/>
  <c r="K367" i="2"/>
  <c r="E286" i="2"/>
  <c r="M367" i="2"/>
  <c r="K395" i="2"/>
  <c r="E274" i="2"/>
  <c r="N253" i="2"/>
  <c r="M39" i="2"/>
  <c r="M377" i="2"/>
  <c r="K387" i="2"/>
  <c r="N262" i="2"/>
  <c r="M343" i="2"/>
  <c r="K383" i="2"/>
  <c r="N239" i="2"/>
  <c r="K385" i="2"/>
  <c r="J200" i="2"/>
  <c r="M369" i="2"/>
  <c r="K381" i="2"/>
  <c r="J176" i="2"/>
  <c r="M347" i="2"/>
  <c r="J224" i="2"/>
  <c r="K391" i="2"/>
  <c r="M351" i="2"/>
  <c r="K36" i="2"/>
  <c r="K358" i="2"/>
  <c r="K229" i="2"/>
  <c r="M364" i="2"/>
  <c r="M345" i="2"/>
  <c r="M349" i="2"/>
  <c r="M373" i="2"/>
  <c r="L271" i="2"/>
  <c r="M387" i="2"/>
  <c r="L251" i="2"/>
  <c r="K283" i="2"/>
  <c r="M381" i="2"/>
  <c r="K293" i="2"/>
  <c r="K260" i="2"/>
  <c r="G291" i="2"/>
  <c r="M371" i="2"/>
  <c r="G281" i="2"/>
  <c r="M411" i="2"/>
  <c r="M362" i="2"/>
  <c r="M237" i="2"/>
  <c r="M375" i="2"/>
  <c r="L362" i="2"/>
  <c r="L237" i="2"/>
  <c r="E338" i="2"/>
  <c r="M340" i="2"/>
  <c r="L369" i="2"/>
  <c r="E326" i="2"/>
  <c r="E306" i="2"/>
  <c r="M360" i="2"/>
  <c r="M156" i="2"/>
  <c r="E316" i="2"/>
  <c r="L373" i="2"/>
  <c r="E296" i="2"/>
  <c r="M383" i="2"/>
  <c r="L322" i="2"/>
  <c r="M36" i="2"/>
  <c r="M358" i="2"/>
  <c r="M229" i="2"/>
  <c r="L330" i="2"/>
  <c r="M353" i="2"/>
  <c r="L367" i="2"/>
  <c r="M385" i="2"/>
  <c r="L39" i="2"/>
  <c r="L377" i="2"/>
  <c r="M338" i="2"/>
  <c r="L328" i="2"/>
  <c r="K303" i="2"/>
  <c r="K323" i="2"/>
  <c r="L347" i="2"/>
  <c r="K313" i="2"/>
  <c r="K335" i="2"/>
  <c r="G321" i="2"/>
  <c r="L351" i="2"/>
  <c r="G331" i="2"/>
  <c r="G275" i="2"/>
  <c r="G311" i="2"/>
  <c r="L349" i="2"/>
  <c r="G301" i="2"/>
  <c r="J140" i="2"/>
  <c r="L336" i="2"/>
  <c r="J150" i="2"/>
  <c r="L360" i="2"/>
  <c r="L156" i="2"/>
  <c r="N346" i="2"/>
  <c r="J148" i="2"/>
  <c r="N374" i="2"/>
  <c r="L326" i="2"/>
  <c r="N357" i="2"/>
  <c r="N35" i="2"/>
  <c r="N228" i="2"/>
  <c r="J144" i="2"/>
  <c r="L332" i="2"/>
  <c r="L276" i="2"/>
  <c r="J142" i="2"/>
  <c r="L340" i="2"/>
  <c r="J146" i="2"/>
  <c r="L364" i="2"/>
  <c r="L338" i="2"/>
  <c r="L36" i="2"/>
  <c r="L358" i="2"/>
  <c r="L229" i="2"/>
  <c r="L343" i="2"/>
  <c r="L345" i="2"/>
  <c r="L375" i="2"/>
  <c r="N421" i="2"/>
  <c r="L353" i="2"/>
  <c r="N413" i="2"/>
  <c r="L371" i="2"/>
  <c r="N366" i="2"/>
  <c r="L324" i="2"/>
  <c r="N384" i="2"/>
  <c r="N394" i="2"/>
  <c r="N402" i="2"/>
  <c r="J414" i="2"/>
  <c r="L219" i="2"/>
  <c r="J391" i="2"/>
  <c r="L252" i="2"/>
  <c r="J418" i="2"/>
  <c r="L256" i="2"/>
  <c r="J397" i="2"/>
  <c r="L227" i="2"/>
  <c r="J395" i="2"/>
  <c r="J407" i="2"/>
  <c r="L217" i="2"/>
  <c r="J424" i="2"/>
  <c r="L264" i="2"/>
  <c r="J422" i="2"/>
  <c r="L248" i="2"/>
  <c r="J416" i="2"/>
  <c r="L206" i="2"/>
  <c r="J411" i="2"/>
  <c r="L239" i="2"/>
  <c r="J393" i="2"/>
  <c r="J401" i="2"/>
  <c r="L308" i="2"/>
  <c r="L262" i="2"/>
  <c r="J420" i="2"/>
  <c r="L296" i="2"/>
  <c r="L231" i="2"/>
  <c r="L288" i="2"/>
  <c r="J403" i="2"/>
  <c r="L260" i="2"/>
  <c r="J409" i="2"/>
  <c r="L306" i="2"/>
  <c r="L208" i="2"/>
  <c r="J399" i="2"/>
  <c r="L286" i="2"/>
  <c r="L225" i="2"/>
  <c r="L316" i="2"/>
  <c r="L258" i="2"/>
  <c r="L282" i="2"/>
  <c r="L243" i="2"/>
  <c r="L304" i="2"/>
  <c r="L294" i="2"/>
  <c r="L241" i="2"/>
  <c r="L270" i="2"/>
  <c r="L250" i="2"/>
  <c r="L274" i="2"/>
  <c r="L223" i="2"/>
  <c r="L300" i="2"/>
  <c r="L221" i="2"/>
  <c r="L320" i="2"/>
  <c r="L7" i="2"/>
  <c r="L233" i="2"/>
  <c r="L318" i="2"/>
  <c r="L254" i="2"/>
  <c r="L314" i="2"/>
  <c r="L211" i="2"/>
  <c r="L310" i="2"/>
  <c r="N399" i="2"/>
  <c r="L266" i="2"/>
  <c r="L272" i="2"/>
  <c r="N391" i="2"/>
  <c r="L215" i="2"/>
  <c r="L290" i="2"/>
  <c r="N387" i="2"/>
  <c r="L298" i="2"/>
  <c r="N422" i="2"/>
  <c r="L312" i="2"/>
  <c r="N362" i="2"/>
  <c r="N237" i="2"/>
  <c r="L302" i="2"/>
  <c r="N371" i="2"/>
  <c r="L292" i="2"/>
  <c r="N385" i="2"/>
  <c r="L280" i="2"/>
  <c r="N381" i="2"/>
  <c r="L284" i="2"/>
  <c r="N401" i="2"/>
  <c r="L268" i="2"/>
  <c r="N397" i="2"/>
  <c r="N409" i="2"/>
  <c r="N424" i="2"/>
  <c r="N395" i="2"/>
  <c r="L399" i="2"/>
  <c r="L418" i="2"/>
  <c r="N375" i="2"/>
  <c r="L420" i="2"/>
  <c r="L170" i="2"/>
  <c r="N403" i="2"/>
  <c r="L393" i="2"/>
  <c r="L183" i="2"/>
  <c r="N373" i="2"/>
  <c r="L397" i="2"/>
  <c r="L175" i="2"/>
  <c r="N407" i="2"/>
  <c r="L414" i="2"/>
  <c r="N416" i="2"/>
  <c r="L179" i="2"/>
  <c r="L411" i="2"/>
  <c r="N383" i="2"/>
  <c r="L203" i="2"/>
  <c r="N39" i="2"/>
  <c r="N377" i="2"/>
  <c r="L385" i="2"/>
  <c r="L193" i="2"/>
  <c r="N411" i="2"/>
  <c r="L395" i="2"/>
  <c r="N420" i="2"/>
  <c r="L164" i="2"/>
  <c r="L422" i="2"/>
  <c r="N393" i="2"/>
  <c r="L391" i="2"/>
  <c r="L181" i="2"/>
  <c r="L383" i="2"/>
  <c r="N418" i="2"/>
  <c r="L195" i="2"/>
  <c r="N414" i="2"/>
  <c r="L409" i="2"/>
  <c r="L198" i="2"/>
  <c r="L387" i="2"/>
  <c r="L177" i="2"/>
  <c r="L424" i="2"/>
  <c r="L167" i="2"/>
  <c r="L416" i="2"/>
  <c r="L185" i="2"/>
  <c r="L381" i="2"/>
  <c r="L190" i="2"/>
  <c r="L403" i="2"/>
  <c r="L201" i="2"/>
  <c r="L401" i="2"/>
  <c r="L407" i="2"/>
  <c r="L187" i="2"/>
  <c r="N347" i="2"/>
  <c r="N36" i="2"/>
  <c r="N358" i="2"/>
  <c r="N229" i="2"/>
  <c r="L34" i="2"/>
  <c r="L172" i="2"/>
  <c r="N349" i="2"/>
  <c r="K414" i="2"/>
  <c r="M312" i="2"/>
  <c r="K294" i="2"/>
  <c r="N343" i="2"/>
  <c r="K422" i="2"/>
  <c r="M318" i="2"/>
  <c r="K274" i="2"/>
  <c r="N345" i="2"/>
  <c r="K286" i="2"/>
  <c r="K411" i="2"/>
  <c r="M328" i="2"/>
  <c r="N351" i="2"/>
  <c r="K292" i="2"/>
  <c r="K420" i="2"/>
  <c r="N360" i="2"/>
  <c r="N156" i="2"/>
  <c r="M316" i="2"/>
  <c r="K284" i="2"/>
  <c r="K280" i="2"/>
  <c r="N367" i="2"/>
  <c r="K416" i="2"/>
  <c r="M320" i="2"/>
  <c r="K288" i="2"/>
  <c r="N353" i="2"/>
  <c r="K424" i="2"/>
  <c r="M288" i="2"/>
  <c r="K282" i="2"/>
  <c r="N340" i="2"/>
  <c r="K409" i="2"/>
  <c r="K290" i="2"/>
  <c r="M310" i="2"/>
  <c r="K418" i="2"/>
  <c r="M298" i="2"/>
  <c r="M306" i="2"/>
  <c r="M332" i="2"/>
  <c r="M276" i="2"/>
  <c r="M322" i="2"/>
  <c r="M290" i="2"/>
  <c r="M296" i="2"/>
  <c r="M302" i="2"/>
  <c r="M292" i="2"/>
  <c r="M300" i="2"/>
  <c r="M324" i="2"/>
  <c r="M326" i="2"/>
  <c r="M314" i="2"/>
  <c r="M330" i="2"/>
  <c r="M308" i="2"/>
  <c r="M286" i="2"/>
  <c r="M336" i="2"/>
  <c r="M304" i="2"/>
  <c r="M294" i="2"/>
  <c r="M393" i="2"/>
  <c r="M401" i="2"/>
  <c r="M420" i="2"/>
  <c r="M414" i="2"/>
  <c r="M416" i="2"/>
  <c r="M424" i="2"/>
  <c r="M395" i="2"/>
  <c r="M391" i="2"/>
  <c r="M407" i="2"/>
  <c r="M403" i="2"/>
  <c r="M399" i="2"/>
  <c r="M409" i="2"/>
  <c r="M397" i="2"/>
  <c r="M422" i="2"/>
  <c r="M418" i="2"/>
  <c r="M282" i="2"/>
  <c r="M274" i="2"/>
  <c r="M280" i="2"/>
  <c r="M284" i="2"/>
  <c r="M272" i="2"/>
  <c r="N369" i="2"/>
  <c r="N364" i="2"/>
</calcChain>
</file>

<file path=xl/sharedStrings.xml><?xml version="1.0" encoding="utf-8"?>
<sst xmlns="http://schemas.openxmlformats.org/spreadsheetml/2006/main" count="997" uniqueCount="446">
  <si>
    <t>Alaska Air Group Inc- Company Financial (Multiple Periods)</t>
  </si>
  <si>
    <t>ALK US Equity    Periodicity:A    Currency:USD    Estimate Source:BST    Actual Source:Bloomberg</t>
  </si>
  <si>
    <t>In Millions of USD</t>
  </si>
  <si>
    <t>12 Months Ending</t>
  </si>
  <si>
    <t>Field Expression</t>
  </si>
  <si>
    <t>Calcrt Field</t>
  </si>
  <si>
    <t>Segment Id</t>
  </si>
  <si>
    <t xml:space="preserve">  Highlights</t>
  </si>
  <si>
    <t>Highlights</t>
  </si>
  <si>
    <t xml:space="preserve">  Adjusted Diluted EPS</t>
  </si>
  <si>
    <t>IS_COMP_EPS_ADJUSTED_OLD</t>
  </si>
  <si>
    <t>Non-GAAP Diluted EPS</t>
  </si>
  <si>
    <t xml:space="preserve">    YOY Growth</t>
  </si>
  <si>
    <t xml:space="preserve">  Revenue</t>
  </si>
  <si>
    <t>IS_COMP_SALES</t>
  </si>
  <si>
    <t>Revenue</t>
  </si>
  <si>
    <t xml:space="preserve">  </t>
  </si>
  <si>
    <t>REV_PASS_MILES_KM</t>
  </si>
  <si>
    <t>Revenue Passenger Miles (RPM)</t>
  </si>
  <si>
    <t xml:space="preserve">  Available Seat Miles (Km)</t>
  </si>
  <si>
    <t>AVAIL_SEAT_MILES_KM</t>
  </si>
  <si>
    <t>Available Seat Miles (ASM)</t>
  </si>
  <si>
    <t xml:space="preserve">  Load Factor (%)</t>
  </si>
  <si>
    <t>LOAD_FACTOR</t>
  </si>
  <si>
    <t>Load Factor (%)</t>
  </si>
  <si>
    <t xml:space="preserve">  Passenger Revenue</t>
  </si>
  <si>
    <t>TOTAL_PASSENGER_REVENUE</t>
  </si>
  <si>
    <t xml:space="preserve">  Passenger Revenue per ASM (ASK)</t>
  </si>
  <si>
    <t>PASSENGER_REVENUE_PER_ASM</t>
  </si>
  <si>
    <t xml:space="preserve">  Yield</t>
  </si>
  <si>
    <t>YIELD_PER_PASS_MILES_KM</t>
  </si>
  <si>
    <t xml:space="preserve">  Cost per ASM (ASK)</t>
  </si>
  <si>
    <t>OP_EXP_PER_ASM_ASK</t>
  </si>
  <si>
    <t xml:space="preserve">  Cost per ASM (ASK) - Ex-Fuel</t>
  </si>
  <si>
    <t>CONS_COST_PER_ASM_EX_FUEL</t>
  </si>
  <si>
    <t xml:space="preserve">  Passengers Carried</t>
  </si>
  <si>
    <t>REV_PASS_CARRIED</t>
  </si>
  <si>
    <t xml:space="preserve">  Size of Fleet</t>
  </si>
  <si>
    <t>SIZE_OF_FLEET</t>
  </si>
  <si>
    <t xml:space="preserve">  EBITDAR</t>
  </si>
  <si>
    <t>AIRLINES_EBITDAR_RATIO</t>
  </si>
  <si>
    <t>EBITDAR</t>
  </si>
  <si>
    <t xml:space="preserve">  Adjusted Net Income</t>
  </si>
  <si>
    <t>IS_COMP_NET_INCOME_ADJUST_OLD</t>
  </si>
  <si>
    <t>Adjusted Net Income</t>
  </si>
  <si>
    <t xml:space="preserve">  Cash Flow From Operations</t>
  </si>
  <si>
    <t>CF_CASH_FROM_OPER</t>
  </si>
  <si>
    <t xml:space="preserve">  Company Operating Metrics</t>
  </si>
  <si>
    <t>Company Operating Metrics</t>
  </si>
  <si>
    <t xml:space="preserve">  Company-Level Industry Statistics</t>
  </si>
  <si>
    <t>Company-Level Industry Statistics</t>
  </si>
  <si>
    <t xml:space="preserve">  Available Seat Miles (ASM)</t>
  </si>
  <si>
    <t xml:space="preserve">  Revenue Passenger Miles (RPM)</t>
  </si>
  <si>
    <t xml:space="preserve">  Passenger Revenue per ASM (Km) (Cents)</t>
  </si>
  <si>
    <t xml:space="preserve">  Fuel Price per Gallon (Litre)</t>
  </si>
  <si>
    <t>FUEL_PRICE_PER_GALLON_LITRE</t>
  </si>
  <si>
    <t xml:space="preserve">  ASM per Gallon</t>
  </si>
  <si>
    <t>MAINLINE_ASM_PER_GAL_LTR</t>
  </si>
  <si>
    <t xml:space="preserve">  Fuel Gallons</t>
  </si>
  <si>
    <t>FUEL_GALLONS_LITRES</t>
  </si>
  <si>
    <t>Fuel Consumption</t>
  </si>
  <si>
    <t xml:space="preserve">  Aircraft in Fleet (End of Period)</t>
  </si>
  <si>
    <t xml:space="preserve">    Mainline</t>
  </si>
  <si>
    <t>SEG0000329534 Segment</t>
  </si>
  <si>
    <t xml:space="preserve">      YOY Growth</t>
  </si>
  <si>
    <t xml:space="preserve">      B737-700F</t>
  </si>
  <si>
    <t>SEG5314221063 Segment</t>
  </si>
  <si>
    <t xml:space="preserve">        YOY Growth</t>
  </si>
  <si>
    <t xml:space="preserve">      B737-800F</t>
  </si>
  <si>
    <t>SEG1425318411 Segment</t>
  </si>
  <si>
    <t xml:space="preserve">      B737-900ER</t>
  </si>
  <si>
    <t>SEG6536415752 Segment</t>
  </si>
  <si>
    <t xml:space="preserve">      B737-8</t>
  </si>
  <si>
    <t>SEG7758610441 Segment</t>
  </si>
  <si>
    <t xml:space="preserve">      B737-9</t>
  </si>
  <si>
    <t>SEG3869707789 Segment</t>
  </si>
  <si>
    <t xml:space="preserve">      B737-800</t>
  </si>
  <si>
    <t>SEG0000329631 Segment</t>
  </si>
  <si>
    <t xml:space="preserve">    Regional</t>
  </si>
  <si>
    <t>SEG0000331377 Segment</t>
  </si>
  <si>
    <t xml:space="preserve">      E175 Operated by Horizon</t>
  </si>
  <si>
    <t>SEG0000329611 Segment</t>
  </si>
  <si>
    <t xml:space="preserve">  Avg. Aircraft Utilization</t>
  </si>
  <si>
    <t>AVG_AIRCRAFT_UTIL</t>
  </si>
  <si>
    <t xml:space="preserve">  Airline Maintenance (%)</t>
  </si>
  <si>
    <t>AIRLINE_MAINTENANCE_PCT_SALES</t>
  </si>
  <si>
    <t xml:space="preserve">  Aircraft Rentals (%)</t>
  </si>
  <si>
    <t>AIRCRAFT_RENTALS_PCT_SALES</t>
  </si>
  <si>
    <t xml:space="preserve">  Airline Landing Fees (%)</t>
  </si>
  <si>
    <t>AIRLINE_LANDING_FEES_PCT_SALES</t>
  </si>
  <si>
    <t xml:space="preserve">  Fuel Cost per Available Seat Mile/Kilometer</t>
  </si>
  <si>
    <t>FUEL_COST_PER_AVAIL_SEAT_MILE</t>
  </si>
  <si>
    <t xml:space="preserve">  Available Seat Miles/Kilometers per Gallon/Liter</t>
  </si>
  <si>
    <t>ASM_PER_GALLON_LITER</t>
  </si>
  <si>
    <t xml:space="preserve">  Cost per Available Seat Mile (Km) (Cents)</t>
  </si>
  <si>
    <t xml:space="preserve">  Cost per Available Seat Mile (Km) -Ex Fuel (Cents)</t>
  </si>
  <si>
    <t xml:space="preserve">  Cost Per Available Seat Mile (Km) - Ex Fuel and Abn Itms</t>
  </si>
  <si>
    <t>COST_PER_SEAT_EXCL_ABN_ITMS</t>
  </si>
  <si>
    <t xml:space="preserve">  Avg. Passenger Fare</t>
  </si>
  <si>
    <t>AVERAGE_PASSENGER_FARE</t>
  </si>
  <si>
    <t xml:space="preserve">  Avg. Number of Employees</t>
  </si>
  <si>
    <t>AVG_NUM_EMPLOYEES</t>
  </si>
  <si>
    <t xml:space="preserve">  Fuel Cost Excluding Hedges</t>
  </si>
  <si>
    <t>FUEL_COST_EXCLUDING_HEDGE</t>
  </si>
  <si>
    <t xml:space="preserve">  Business Breakdown</t>
  </si>
  <si>
    <t>Business Breakdown</t>
  </si>
  <si>
    <t xml:space="preserve">    Total Passenger Revenue</t>
  </si>
  <si>
    <t xml:space="preserve">      Mainline</t>
  </si>
  <si>
    <t>SALES_REV_TURN</t>
  </si>
  <si>
    <t>Mainline</t>
  </si>
  <si>
    <t>SEG0000331418 Segment</t>
  </si>
  <si>
    <t xml:space="preserve">      Regional</t>
  </si>
  <si>
    <t>IS_REV_INCLUDING_INTERSEG_REV</t>
  </si>
  <si>
    <t>Regional</t>
  </si>
  <si>
    <t>SEG0000329608 Segment</t>
  </si>
  <si>
    <t xml:space="preserve">    Mileage Plan</t>
  </si>
  <si>
    <t>Mileage Plan</t>
  </si>
  <si>
    <t>SEG0000329647 Segment</t>
  </si>
  <si>
    <t xml:space="preserve">    Cargo &amp; Other</t>
  </si>
  <si>
    <t>Cargo &amp; Other</t>
  </si>
  <si>
    <t>SEG0000329641 Segment</t>
  </si>
  <si>
    <t xml:space="preserve">  Total Revenue per ASM</t>
  </si>
  <si>
    <t>TOTAL_REVENUE_PER_ASM</t>
  </si>
  <si>
    <t xml:space="preserve">  Income Statement</t>
  </si>
  <si>
    <t>Income Statement</t>
  </si>
  <si>
    <t xml:space="preserve">  Total Revenue</t>
  </si>
  <si>
    <t>Total Revenue</t>
  </si>
  <si>
    <t xml:space="preserve">  Total Operating Expenses</t>
  </si>
  <si>
    <t>IS_TOT_OPER_EXP</t>
  </si>
  <si>
    <t xml:space="preserve">    Personnel Expenses</t>
  </si>
  <si>
    <t>IS_PERSONNEL_EXP</t>
  </si>
  <si>
    <t>Salaries &amp; Benefits</t>
  </si>
  <si>
    <t xml:space="preserve">    Aircraft Fuel</t>
  </si>
  <si>
    <t>FUEL_COST_INCLUDING_HEDGE</t>
  </si>
  <si>
    <t>Aircraft Fuel</t>
  </si>
  <si>
    <t xml:space="preserve">    Fuel Incl. Hedging Gains/Losses</t>
  </si>
  <si>
    <t>IS_FUEL_COST</t>
  </si>
  <si>
    <t xml:space="preserve">    Variable Incentive Pay</t>
  </si>
  <si>
    <t>CB_IS_PEN_AND_POST_RETIRE_EXP</t>
  </si>
  <si>
    <t>Variable Incentive Pay</t>
  </si>
  <si>
    <t xml:space="preserve">    Aircraft Maintenance &amp; Materials</t>
  </si>
  <si>
    <t>MAINTENANCE_MATERIALS_REPAIRS</t>
  </si>
  <si>
    <t>Aircraft Maintenance &amp; Materials</t>
  </si>
  <si>
    <t xml:space="preserve">    Aircraft Rent</t>
  </si>
  <si>
    <t>AIRCRAFT_RENTALS</t>
  </si>
  <si>
    <t>Aircraft Rent</t>
  </si>
  <si>
    <t xml:space="preserve">    Landing Fees &amp; Other Rentals</t>
  </si>
  <si>
    <t>OTHER_RENTALS_LANDING_FEES</t>
  </si>
  <si>
    <t>Landing Fees &amp; Other Rentals</t>
  </si>
  <si>
    <t xml:space="preserve">    Contracted Services</t>
  </si>
  <si>
    <t>IS_PROFESSIONAL_EXPENSES</t>
  </si>
  <si>
    <t>Contracted Services</t>
  </si>
  <si>
    <t xml:space="preserve">    Selling Expenses</t>
  </si>
  <si>
    <t>CB_IS_S_AND_M_EXPENSE</t>
  </si>
  <si>
    <t>Selling expenses</t>
  </si>
  <si>
    <t xml:space="preserve">    Depreciation &amp; Amortization</t>
  </si>
  <si>
    <t>IS_D_AND_A_GAAP</t>
  </si>
  <si>
    <t>Depreciation &amp; Amortization</t>
  </si>
  <si>
    <t xml:space="preserve">    Food &amp; Beverage Service</t>
  </si>
  <si>
    <t>CB_IS_PASSENGER_SERVICE_COST</t>
  </si>
  <si>
    <t>Food &amp; Beverage Service</t>
  </si>
  <si>
    <t xml:space="preserve">    Third-Party Regional Carrier Expense</t>
  </si>
  <si>
    <t>IS_REGIONAL_CAPACITY_PURCH_EXPN</t>
  </si>
  <si>
    <t>Third-Party Regional Carrier Expense</t>
  </si>
  <si>
    <t xml:space="preserve">    Special Items</t>
  </si>
  <si>
    <t>IS_OTHER_ONE_TIME_ITEMS</t>
  </si>
  <si>
    <t xml:space="preserve">    Other Expenses</t>
  </si>
  <si>
    <t>CB_IS_OTHER_OPEX</t>
  </si>
  <si>
    <t>Other Expenses</t>
  </si>
  <si>
    <t xml:space="preserve">  Operating Income</t>
  </si>
  <si>
    <t>IS_OPER_INC</t>
  </si>
  <si>
    <t>Operating Income</t>
  </si>
  <si>
    <t xml:space="preserve">  EBITDA</t>
  </si>
  <si>
    <t>EBITDA</t>
  </si>
  <si>
    <t xml:space="preserve">  Total Non-Operating Income/(Expense)</t>
  </si>
  <si>
    <t>IS_NON_OPERATING_INC_LOSS_GAAP</t>
  </si>
  <si>
    <t>Total Non-Operating Income/(Expense)</t>
  </si>
  <si>
    <t xml:space="preserve">    Net Interest Expense</t>
  </si>
  <si>
    <t>IS_NET_INTEREST_EXPENSE</t>
  </si>
  <si>
    <t xml:space="preserve">    Interest Income</t>
  </si>
  <si>
    <t>IS_INT_INC</t>
  </si>
  <si>
    <t>Interest Income</t>
  </si>
  <si>
    <t xml:space="preserve">    Interest Expense</t>
  </si>
  <si>
    <t>CB_IS_INTEREST_EXPENSE</t>
  </si>
  <si>
    <t>Interest Expense</t>
  </si>
  <si>
    <t xml:space="preserve">      As % of Revenue</t>
  </si>
  <si>
    <t>INT_EXP_TO_TOT_REV_UTL</t>
  </si>
  <si>
    <t xml:space="preserve">    Interest Capitalized</t>
  </si>
  <si>
    <t>IS_CAP_INT_EXP</t>
  </si>
  <si>
    <t>Interest Capitalized</t>
  </si>
  <si>
    <t xml:space="preserve">    Other Non-Operating (Income) Expense</t>
  </si>
  <si>
    <t>CB_IS_OTHER_NON_OPER_INC_EXPN</t>
  </si>
  <si>
    <t xml:space="preserve">  Pre-Tax Income</t>
  </si>
  <si>
    <t>PRETAX_INC</t>
  </si>
  <si>
    <t>Pre-Tax Income</t>
  </si>
  <si>
    <t xml:space="preserve">  Income Tax Expense</t>
  </si>
  <si>
    <t>IS_INC_TAX_EXP</t>
  </si>
  <si>
    <t xml:space="preserve">    Tax Rate (%)</t>
  </si>
  <si>
    <t>EFF_TAX_RATE</t>
  </si>
  <si>
    <t>Tax Rate (%)</t>
  </si>
  <si>
    <t xml:space="preserve">  Net Income</t>
  </si>
  <si>
    <t>IS_COMP_NET_INCOME_GAAP</t>
  </si>
  <si>
    <t>Net Income</t>
  </si>
  <si>
    <t xml:space="preserve">  Basic Weighted Avg. Shares</t>
  </si>
  <si>
    <t>IS_AVG_NUM_SH_FOR_EPS</t>
  </si>
  <si>
    <t xml:space="preserve">  Basic EPS</t>
  </si>
  <si>
    <t>IS_EPS</t>
  </si>
  <si>
    <t xml:space="preserve">  Diluted Weighted Avg. Shares</t>
  </si>
  <si>
    <t>IS_SH_FOR_DILUTED_EPS</t>
  </si>
  <si>
    <t>Diluted Weighted Avg. Shares</t>
  </si>
  <si>
    <t xml:space="preserve">  Diluted EPS</t>
  </si>
  <si>
    <t>IS_COMP_EPS_GAAP</t>
  </si>
  <si>
    <t>Diluted EPS</t>
  </si>
  <si>
    <t xml:space="preserve">  Dividend per Share</t>
  </si>
  <si>
    <t>HEADLINE_DPS</t>
  </si>
  <si>
    <t>Dividend Per Share</t>
  </si>
  <si>
    <t xml:space="preserve">  Adjusted Results</t>
  </si>
  <si>
    <t>Non-GAAP Results</t>
  </si>
  <si>
    <t xml:space="preserve">    Total Operating Expenses</t>
  </si>
  <si>
    <t>CB_IS_ADJUSTED_OPEX</t>
  </si>
  <si>
    <t>Total Operating Expenses</t>
  </si>
  <si>
    <t xml:space="preserve">      Other Operating Expenses </t>
  </si>
  <si>
    <t>IS_OTHER_OPERATING_EXPN_ADJUST</t>
  </si>
  <si>
    <t xml:space="preserve">    Operating Income</t>
  </si>
  <si>
    <t>IS_COMPARABLE_EBIT</t>
  </si>
  <si>
    <t xml:space="preserve">      Operating Margin (%)</t>
  </si>
  <si>
    <t>OPER_MARGIN</t>
  </si>
  <si>
    <t xml:space="preserve">    EBITDA</t>
  </si>
  <si>
    <t>IS_COMPARABLE_EBITDA</t>
  </si>
  <si>
    <t xml:space="preserve">    Pre-Tax Income</t>
  </si>
  <si>
    <t>IS_COMP_PTP_EX_STK_BASED_COMP</t>
  </si>
  <si>
    <t>PRETAX_MARGIN</t>
  </si>
  <si>
    <t xml:space="preserve">    Net Income</t>
  </si>
  <si>
    <t xml:space="preserve">      Net Margin (%)</t>
  </si>
  <si>
    <t>ADJ_PROFIT_MARGIN</t>
  </si>
  <si>
    <t>Net Margin (%)</t>
  </si>
  <si>
    <t xml:space="preserve">    Diluted EPS</t>
  </si>
  <si>
    <t xml:space="preserve">  Company-Specific Adjustments</t>
  </si>
  <si>
    <t xml:space="preserve">    Stock-Based Compensation</t>
  </si>
  <si>
    <t>CF_STOCK_BASED_COMPENSATION</t>
  </si>
  <si>
    <t xml:space="preserve">    Income Tax Effect of Adjustments</t>
  </si>
  <si>
    <t>IS_INC_TAX_EFFECT_NONGAAP_REC</t>
  </si>
  <si>
    <t xml:space="preserve">    Gain/Loss from Derivatives</t>
  </si>
  <si>
    <t>CB_IS_DERIVATIVES_GAIN_LOSS_NON_OP</t>
  </si>
  <si>
    <t xml:space="preserve">    Net Income Adjustment</t>
  </si>
  <si>
    <t>IS_NET_ABNORMAL_ITEMS</t>
  </si>
  <si>
    <t xml:space="preserve">  Condensed Balance Sheet</t>
  </si>
  <si>
    <t>Condensed Balance Sheet</t>
  </si>
  <si>
    <t xml:space="preserve">  Assets</t>
  </si>
  <si>
    <t>Assets</t>
  </si>
  <si>
    <t xml:space="preserve">    Current Assets</t>
  </si>
  <si>
    <t>BS_CUR_ASSET_REPORT</t>
  </si>
  <si>
    <t>Current Assets</t>
  </si>
  <si>
    <t xml:space="preserve">      Cash, Cash Equivalents &amp; Short-Term Investments</t>
  </si>
  <si>
    <t>BS_CASH_CASH_EQUIVALENTS_AND_STI</t>
  </si>
  <si>
    <t>Cash &amp; Cash Equivalents</t>
  </si>
  <si>
    <t xml:space="preserve">      Cash &amp; Cash Equivalents</t>
  </si>
  <si>
    <t>CB_BS_CASH</t>
  </si>
  <si>
    <t xml:space="preserve">      Short-Term Investments</t>
  </si>
  <si>
    <t>CB_BS_ST_MARKETABLE_SECS</t>
  </si>
  <si>
    <t xml:space="preserve">      Accounts Receivable</t>
  </si>
  <si>
    <t>BS_ACCTS_REC_EXCL_NOTES_REC</t>
  </si>
  <si>
    <t>Accounts Receivable</t>
  </si>
  <si>
    <t xml:space="preserve">      Inventories</t>
  </si>
  <si>
    <t>BS_INVENTORIES</t>
  </si>
  <si>
    <t>Inventories</t>
  </si>
  <si>
    <t xml:space="preserve">      Pre-Paid Expenses &amp; Other</t>
  </si>
  <si>
    <t>PREPAID_EXPNSS_AND_OTHR</t>
  </si>
  <si>
    <t xml:space="preserve">    Non-Current Assets</t>
  </si>
  <si>
    <t>BS_TOTAL_NON_CURRENT_ASSETS</t>
  </si>
  <si>
    <t xml:space="preserve">      Property, Plant &amp; Equipment</t>
  </si>
  <si>
    <t>CB_BS_PP_AND_E_NET</t>
  </si>
  <si>
    <t>Property, Plant &amp; Equipment</t>
  </si>
  <si>
    <t xml:space="preserve">      Accumulated Depreciation </t>
  </si>
  <si>
    <t>CB_BS_ACCUMULATED_DEPRECIATION</t>
  </si>
  <si>
    <t xml:space="preserve">      Operating Lease Assets</t>
  </si>
  <si>
    <t>BS_OPER_LEA_RT_OF_USE_ASSETS</t>
  </si>
  <si>
    <t xml:space="preserve">      Intangible Assets</t>
  </si>
  <si>
    <t>BS_DISCLOSED_INTANGIBLES</t>
  </si>
  <si>
    <t xml:space="preserve">      Goodwill and Intangible Assets</t>
  </si>
  <si>
    <t>BS_OTHER_ASSETS_DEF_CHRG_OTHER</t>
  </si>
  <si>
    <t xml:space="preserve">      Other</t>
  </si>
  <si>
    <t>CB_BS_OTHER_NONCURRENT_ASSETS</t>
  </si>
  <si>
    <t xml:space="preserve">    Total Assets</t>
  </si>
  <si>
    <t>BS_TOT_ASSET</t>
  </si>
  <si>
    <t>Total Assets</t>
  </si>
  <si>
    <t xml:space="preserve">  Liabilities &amp; Equity</t>
  </si>
  <si>
    <t>Liabilities &amp; Equity</t>
  </si>
  <si>
    <t xml:space="preserve">    Current Liabilities</t>
  </si>
  <si>
    <t>BS_CUR_LIAB</t>
  </si>
  <si>
    <t>Current Liabilities</t>
  </si>
  <si>
    <t xml:space="preserve">      Accounts Payable</t>
  </si>
  <si>
    <t>BS_ACCT_PAYABLE</t>
  </si>
  <si>
    <t>Accounts Payable</t>
  </si>
  <si>
    <t xml:space="preserve">      Accrued Expenses</t>
  </si>
  <si>
    <t>BS_ST_ACC_CMPNSTN_POSTRET_OBLIG</t>
  </si>
  <si>
    <t>Accrued Expenses</t>
  </si>
  <si>
    <t xml:space="preserve">      Short-Term Debt</t>
  </si>
  <si>
    <t>BS_CURR_PORTION_LT_DEBT</t>
  </si>
  <si>
    <t>Short-Term Debt</t>
  </si>
  <si>
    <t xml:space="preserve">      Current Portion of Long-Term Debt</t>
  </si>
  <si>
    <t>BS_ST_PORTION_OF_LT_DEBT</t>
  </si>
  <si>
    <t xml:space="preserve">      Operating Lease Liabilities</t>
  </si>
  <si>
    <t>BS_ST_OPERATING_LEASE_LIABS</t>
  </si>
  <si>
    <t xml:space="preserve">      Short-Term Deferred Revenue</t>
  </si>
  <si>
    <t>CB_BS_ST_DEFER_REVENUE</t>
  </si>
  <si>
    <t xml:space="preserve">      Air Traffice Liabilities</t>
  </si>
  <si>
    <t>BS_ST_AIR_TRAFFC_LIBLTS</t>
  </si>
  <si>
    <t xml:space="preserve">      Other Accrued Liabilities</t>
  </si>
  <si>
    <t>BS_SHORTTERM_ACCRUD_EXPNSS</t>
  </si>
  <si>
    <t xml:space="preserve">    Non-Current Liabilities</t>
  </si>
  <si>
    <t>BS_ADJ_TOTAL_LT_LIABILITIES</t>
  </si>
  <si>
    <t xml:space="preserve">      Long-Term Debt</t>
  </si>
  <si>
    <t>BS_LONG_TERM_BORROWINGS</t>
  </si>
  <si>
    <t>Long-Term Debt</t>
  </si>
  <si>
    <t xml:space="preserve">      Long-Term Leases</t>
  </si>
  <si>
    <t>BS_LT_CPTL_LEA_AND_OP_LEA_LIABS</t>
  </si>
  <si>
    <t xml:space="preserve">        Operating Lease Liabilities</t>
  </si>
  <si>
    <t>BS_LT_OPERATING_LEASE_LIABS</t>
  </si>
  <si>
    <t xml:space="preserve">          YOY Growth</t>
  </si>
  <si>
    <t xml:space="preserve">        Net Operating Lease Liabilities</t>
  </si>
  <si>
    <t>BS_TOTAL_OPERATING_LEASE_LIABS</t>
  </si>
  <si>
    <t xml:space="preserve">      Deferred Revenue</t>
  </si>
  <si>
    <t>LT_DEFERRED_REVENUE</t>
  </si>
  <si>
    <t>Deferred Revenue</t>
  </si>
  <si>
    <t xml:space="preserve">      Pension &amp; Other Post Retirement Liabilities</t>
  </si>
  <si>
    <t>PENSION_LIABILITIES</t>
  </si>
  <si>
    <t xml:space="preserve">      Deferred Tax Liabilities</t>
  </si>
  <si>
    <t>BS_DEFERRED_TAX_LIABILITIES_LT</t>
  </si>
  <si>
    <t>Deferred Tax Liabilities</t>
  </si>
  <si>
    <t xml:space="preserve">      Other Liabilities</t>
  </si>
  <si>
    <t>CB_BS_OTHER_NONCURRENT_LIABS</t>
  </si>
  <si>
    <t xml:space="preserve">      Other </t>
  </si>
  <si>
    <t>BS_OTHER_LT_LIABILITIES</t>
  </si>
  <si>
    <t xml:space="preserve">    Total Liabilities</t>
  </si>
  <si>
    <t>BS_TOTAL_LIABILITIES</t>
  </si>
  <si>
    <t>Total Liabilities</t>
  </si>
  <si>
    <t xml:space="preserve">    Total Shareholders' Equity</t>
  </si>
  <si>
    <t>HEADLINE_NAV</t>
  </si>
  <si>
    <t>Shareholder Equity</t>
  </si>
  <si>
    <t xml:space="preserve">      Common Stock</t>
  </si>
  <si>
    <t>CB_BS_SHARE_CAPITAL</t>
  </si>
  <si>
    <t xml:space="preserve">      Additional Paid in Capital</t>
  </si>
  <si>
    <t>CB_BS_APIC</t>
  </si>
  <si>
    <t xml:space="preserve">      Retained Earnings</t>
  </si>
  <si>
    <t>BS_PURE_RETAINED_EARNINGS</t>
  </si>
  <si>
    <t xml:space="preserve">      Treasury Stock</t>
  </si>
  <si>
    <t>BS_AMT_OF_TSY_STOCK</t>
  </si>
  <si>
    <t xml:space="preserve">      Accumulated Other Comprehensive Income</t>
  </si>
  <si>
    <t>BS_ACCUMULATED_OTHER_COMP_INC</t>
  </si>
  <si>
    <t xml:space="preserve">    Total Liabilities &amp; Shareholder Equity</t>
  </si>
  <si>
    <t>Total Liabilities &amp; Shareholder Equity</t>
  </si>
  <si>
    <t xml:space="preserve">  Special Company Reference Items</t>
  </si>
  <si>
    <t>Special Company Reference Items</t>
  </si>
  <si>
    <t xml:space="preserve">    Net Debt</t>
  </si>
  <si>
    <t>NET_DEBT</t>
  </si>
  <si>
    <t xml:space="preserve">    Total Debt</t>
  </si>
  <si>
    <t>CB_BS_TOTAL_DEBT_FROM_SCHEDULE</t>
  </si>
  <si>
    <t xml:space="preserve">    Adjusted Total Debt</t>
  </si>
  <si>
    <t>SHORT_AND_LONG_TERM_DEBT</t>
  </si>
  <si>
    <t xml:space="preserve">    </t>
  </si>
  <si>
    <t xml:space="preserve">    Return on Equity (%)</t>
  </si>
  <si>
    <t>RETURN_COM_EQY</t>
  </si>
  <si>
    <t xml:space="preserve">    Inventory to Sales</t>
  </si>
  <si>
    <t>INVENT_TO_SALES</t>
  </si>
  <si>
    <t xml:space="preserve">    Total Available Lines Of Credit</t>
  </si>
  <si>
    <t>BS_TOTAL_AVAIL_LINE_OF_CREDIT</t>
  </si>
  <si>
    <t xml:space="preserve">    Total Assets to Total Assets</t>
  </si>
  <si>
    <t>TOT_ASSET_TO_TOT_ASSET</t>
  </si>
  <si>
    <t xml:space="preserve">    Current Ratio</t>
  </si>
  <si>
    <t>CUR_RATIO</t>
  </si>
  <si>
    <t xml:space="preserve">    Book Value per Share</t>
  </si>
  <si>
    <t>HEADLINE_BVPS</t>
  </si>
  <si>
    <t>Book Value Per Share</t>
  </si>
  <si>
    <t xml:space="preserve">  Condensed Cash Flow Statement</t>
  </si>
  <si>
    <t>Condensed Cash Flow Statement</t>
  </si>
  <si>
    <t xml:space="preserve">  Cash from Operating Activities</t>
  </si>
  <si>
    <t>Cash from Operating Activities</t>
  </si>
  <si>
    <t xml:space="preserve">    Deferred Income Taxes</t>
  </si>
  <si>
    <t>CF_DEF_INC_TAX</t>
  </si>
  <si>
    <t xml:space="preserve">    Change in Working Capital</t>
  </si>
  <si>
    <t xml:space="preserve">      Accounts Receivable </t>
  </si>
  <si>
    <t>CF_ACCT_RCV_UNBILLED_REV</t>
  </si>
  <si>
    <t>CF_CHG_IN_DEFER_UNEARND_REV_ST</t>
  </si>
  <si>
    <t xml:space="preserve">      Air Traffice Liablities</t>
  </si>
  <si>
    <t>CB_CF_CHG_IN_AIR_TRAFFIC_LIAB</t>
  </si>
  <si>
    <t xml:space="preserve">      Other Current Assets and Liblts</t>
  </si>
  <si>
    <t>CF_CHG_IN_OTH_CURR_AST_LIBLTS</t>
  </si>
  <si>
    <t xml:space="preserve">      Proceeds From Investments</t>
  </si>
  <si>
    <t>CF_PROCDS_FROM_INVSTMNTS</t>
  </si>
  <si>
    <t xml:space="preserve">  Cash Flow from Operations</t>
  </si>
  <si>
    <t>Cash Flow from Operations</t>
  </si>
  <si>
    <t xml:space="preserve">  Cash from Investing Activities</t>
  </si>
  <si>
    <t>Cash from Investing Activities</t>
  </si>
  <si>
    <t xml:space="preserve">    Capital Expenditures</t>
  </si>
  <si>
    <t>HEADLINE_CAPEX</t>
  </si>
  <si>
    <t>Capital Expenditures</t>
  </si>
  <si>
    <t>CAP_EXPEND_TO_SALES</t>
  </si>
  <si>
    <t xml:space="preserve">    Purchases of Short-Term Marketable Securities</t>
  </si>
  <si>
    <t>CB_CF_PURCHASES_OF_ST_MARKTABLE_SECS</t>
  </si>
  <si>
    <t xml:space="preserve">  Cash Flow from Investing</t>
  </si>
  <si>
    <t>CF_CASH_FROM_INV_ACT</t>
  </si>
  <si>
    <t>Cash Flow from Investing</t>
  </si>
  <si>
    <t xml:space="preserve">  Cash from Financing Activities</t>
  </si>
  <si>
    <t>Cash from Financing Activities</t>
  </si>
  <si>
    <t xml:space="preserve">    Dividends Paid</t>
  </si>
  <si>
    <t>CF_DVD_PAID</t>
  </si>
  <si>
    <t>Dividends Paid</t>
  </si>
  <si>
    <t xml:space="preserve">    Change in Debt</t>
  </si>
  <si>
    <t>CF_PROCEEDS_REPAYMNTS_BORROWINGS</t>
  </si>
  <si>
    <t>Change in Debt</t>
  </si>
  <si>
    <t xml:space="preserve">      Increase in Long-Term Borrowings</t>
  </si>
  <si>
    <t>CF_PROC_LT_DEBT_AND_CAPITAL_LEASE</t>
  </si>
  <si>
    <t>Issuance Stock</t>
  </si>
  <si>
    <t xml:space="preserve">      Decrease in Long-Term Borrowings</t>
  </si>
  <si>
    <t>CF_PYMT_LT_DEBT_AND_CAPITAL_LEASE</t>
  </si>
  <si>
    <t xml:space="preserve">    Repurchase of Stock</t>
  </si>
  <si>
    <t>BS_COM_SHS_REPO_AM_FR_SH_REP_PRG</t>
  </si>
  <si>
    <t>Repurchase of Stock</t>
  </si>
  <si>
    <t xml:space="preserve">    Other</t>
  </si>
  <si>
    <t>CF_OTHER_FNC_ACT</t>
  </si>
  <si>
    <t xml:space="preserve">  Cash Flow from Financing</t>
  </si>
  <si>
    <t>CF_NET_CSH_PROV_BY_FINANCING_ACT</t>
  </si>
  <si>
    <t>Cash Flow from Financing</t>
  </si>
  <si>
    <t xml:space="preserve">    Net Change in Cash</t>
  </si>
  <si>
    <t>CF_NET_CHNG_CASH</t>
  </si>
  <si>
    <t>Net Change in Cash</t>
  </si>
  <si>
    <t xml:space="preserve">      Cash &amp; Cash Equivalents (BOP)</t>
  </si>
  <si>
    <t>CF_CASH_AND_CASH_EQUIV_BEG_BAL</t>
  </si>
  <si>
    <t xml:space="preserve">      Cash &amp; Cash Equivalents (EOP)</t>
  </si>
  <si>
    <t>CF_CASH_AND_CASH_EQUIV_END_BAL</t>
  </si>
  <si>
    <t xml:space="preserve">    CFO per Basic Share</t>
  </si>
  <si>
    <t>CASH_FLOW_PER_SH</t>
  </si>
  <si>
    <t xml:space="preserve">    Free Cash Flow</t>
  </si>
  <si>
    <t>CF_FREE_CASH_FLOW</t>
  </si>
  <si>
    <t>Free Cash Flow</t>
  </si>
  <si>
    <t xml:space="preserve">      Free Cash Flow per Share </t>
  </si>
  <si>
    <t>FCF_PER_DIL_SHR</t>
  </si>
  <si>
    <t xml:space="preserve">    Free Cash Flow to Equity</t>
  </si>
  <si>
    <t>FREE_CASH_FLOW_EQUITY</t>
  </si>
  <si>
    <t xml:space="preserve">    Interest Paid</t>
  </si>
  <si>
    <t>CF_ACT_CASH_PAID_FOR_INT_DEBT</t>
  </si>
  <si>
    <t xml:space="preserve">    Cash Paid for Taxes</t>
  </si>
  <si>
    <t>CB_CF_CASH_PAID_FOR_TAXES</t>
  </si>
  <si>
    <t>Source: Bloomberg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</si>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</sst>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0">
    <xf numFmtId="0" fontId="0" fillId="0" borderId="0"/>
    <xf numFmtId="0" fontId="8" fillId="10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14" fillId="3" borderId="0" applyNumberFormat="0" applyBorder="0" applyAlignment="0" applyProtection="0"/>
    <xf numFmtId="0" fontId="18" fillId="6" borderId="9" applyNumberFormat="0" applyAlignment="0" applyProtection="0"/>
    <xf numFmtId="0" fontId="20" fillId="7" borderId="12" applyNumberFormat="0" applyAlignment="0" applyProtection="0"/>
    <xf numFmtId="0" fontId="22" fillId="0" borderId="0" applyNumberFormat="0" applyFill="0" applyBorder="0" applyAlignment="0" applyProtection="0"/>
    <xf numFmtId="0" fontId="5" fillId="33" borderId="3">
      <alignment horizontal="left"/>
    </xf>
    <xf numFmtId="4" fontId="1" fillId="34" borderId="2"/>
    <xf numFmtId="0" fontId="7" fillId="35" borderId="4" applyNumberFormat="0" applyAlignment="0" applyProtection="0"/>
    <xf numFmtId="0" fontId="3" fillId="0" borderId="0"/>
    <xf numFmtId="0" fontId="6" fillId="34" borderId="5"/>
    <xf numFmtId="0" fontId="13" fillId="2" borderId="0" applyNumberFormat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6" fillId="5" borderId="9" applyNumberFormat="0" applyAlignment="0" applyProtection="0"/>
    <xf numFmtId="0" fontId="19" fillId="0" borderId="11" applyNumberFormat="0" applyFill="0" applyAlignment="0" applyProtection="0"/>
    <xf numFmtId="0" fontId="15" fillId="4" borderId="0" applyNumberFormat="0" applyBorder="0" applyAlignment="0" applyProtection="0"/>
    <xf numFmtId="0" fontId="8" fillId="8" borderId="13" applyNumberFormat="0" applyFont="0" applyAlignment="0" applyProtection="0"/>
    <xf numFmtId="0" fontId="17" fillId="6" borderId="10" applyNumberFormat="0" applyAlignment="0" applyProtection="0"/>
    <xf numFmtId="0" fontId="9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5" fillId="33" borderId="1">
      <alignment horizontal="left"/>
    </xf>
    <xf numFmtId="4" fontId="1" fillId="34" borderId="2">
      <alignment horizontal="right"/>
    </xf>
  </cellStyleXfs>
  <cellXfs count="10">
    <xf numFmtId="0" fontId="0" fillId="0" borderId="0" xfId="0"/>
    <xf numFmtId="14" fontId="5" fillId="33" borderId="1" xfId="48" applyNumberFormat="1">
      <alignment horizontal="left"/>
    </xf>
    <xf numFmtId="0" fontId="3" fillId="0" borderId="0" xfId="32"/>
    <xf numFmtId="0" fontId="5" fillId="33" borderId="3" xfId="29">
      <alignment horizontal="left"/>
    </xf>
    <xf numFmtId="4" fontId="1" fillId="34" borderId="2" xfId="30"/>
    <xf numFmtId="0" fontId="7" fillId="35" borderId="4" xfId="31"/>
    <xf numFmtId="0" fontId="4" fillId="33" borderId="15" xfId="47">
      <alignment horizontal="left" vertical="center" readingOrder="1"/>
    </xf>
    <xf numFmtId="0" fontId="5" fillId="33" borderId="1" xfId="48">
      <alignment horizontal="left"/>
    </xf>
    <xf numFmtId="0" fontId="2" fillId="34" borderId="5" xfId="33" applyFont="1"/>
    <xf numFmtId="4" fontId="1" fillId="34" borderId="2" xfId="49">
      <alignment horizontal="right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title_header_row_left" xfId="47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fa_column_header_bottom_left" xfId="48" xr:uid="{00000000-0005-0000-0000-00001D000000}"/>
    <cellStyle name="fa_column_header_top_left" xfId="29" xr:uid="{00000000-0005-0000-0000-00001E000000}"/>
    <cellStyle name="fa_data_standard" xfId="30" xr:uid="{00000000-0005-0000-0000-00001F000000}"/>
    <cellStyle name="fa_data_standard_2_grouped" xfId="49" xr:uid="{00000000-0005-0000-0000-000020000000}"/>
    <cellStyle name="fa_footer_italic" xfId="31" xr:uid="{00000000-0005-0000-0000-000021000000}"/>
    <cellStyle name="fa_grey_text_italics" xfId="32" xr:uid="{00000000-0005-0000-0000-000022000000}"/>
    <cellStyle name="fa_row_header_standard" xfId="33" xr:uid="{00000000-0005-0000-0000-000023000000}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34.33203125" customWidth="1"/>
    <col min="2" max="4" width="0" hidden="1" customWidth="1"/>
    <col min="5" max="14" width="19" customWidth="1"/>
  </cols>
  <sheetData>
    <row r="1" spans="1:14" ht="20" x14ac:dyDescent="0.2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2">
      <c r="A3" s="3" t="s">
        <v>2</v>
      </c>
      <c r="B3" s="3"/>
      <c r="C3" s="3"/>
      <c r="D3" s="3"/>
      <c r="E3" s="3" t="str">
        <f>_xll.BQL("ALK US Equity", "FISCAL_PERIOD", "FPT=A", "FPO=4A", "ACT_EST_MAPPING=PRECISE", "FS=MRC", "CURRENCY=USD", "XLFILL=b")</f>
        <v>2027 A (Fwd)</v>
      </c>
      <c r="F3" s="3" t="str">
        <f>_xll.BQL("ALK US Equity", "FISCAL_PERIOD", "FPT=A", "FPO=3A", "ACT_EST_MAPPING=PRECISE", "FS=MRC", "CURRENCY=USD", "XLFILL=b")</f>
        <v>2026 A (Fwd)</v>
      </c>
      <c r="G3" s="3" t="str">
        <f>_xll.BQL("ALK US Equity", "FISCAL_PERIOD", "FPT=A", "FPO=2A", "ACT_EST_MAPPING=PRECISE", "FS=MRC", "CURRENCY=USD", "XLFILL=b")</f>
        <v>2025 A (Fwd)</v>
      </c>
      <c r="H3" s="3" t="str">
        <f>_xll.BQL("ALK US Equity", "FISCAL_PERIOD", "FPT=A", "FPO=1A", "ACT_EST_MAPPING=PRECISE", "FS=MRC", "CURRENCY=USD", "XLFILL=b")</f>
        <v>2024 A (Fwd)</v>
      </c>
      <c r="I3" s="3" t="str">
        <f>_xll.BQL("ALK US Equity", "FISCAL_PERIOD", "FPT=A", "FPO=0A", "ACT_EST_MAPPING=PRECISE", "FS=MRC", "CURRENCY=USD", "XLFILL=b")</f>
        <v>2023 A (Rep)</v>
      </c>
      <c r="J3" s="3" t="str">
        <f>_xll.BQL("ALK US Equity", "FISCAL_PERIOD", "FPT=A", "FPO=-1A", "ACT_EST_MAPPING=PRECISE", "FS=MRC", "CURRENCY=USD", "XLFILL=b")</f>
        <v>2022 A (Rep)</v>
      </c>
      <c r="K3" s="3" t="str">
        <f>_xll.BQL("ALK US Equity", "FISCAL_PERIOD", "FPT=A", "FPO=-2A", "ACT_EST_MAPPING=PRECISE", "FS=MRC", "CURRENCY=USD", "XLFILL=b")</f>
        <v>2021 A (Rep)</v>
      </c>
      <c r="L3" s="3" t="str">
        <f>_xll.BQL("ALK US Equity", "FISCAL_PERIOD", "FPT=A", "FPO=-3A", "ACT_EST_MAPPING=PRECISE", "FS=MRC", "CURRENCY=USD", "XLFILL=b")</f>
        <v>2020 A (Rep)</v>
      </c>
      <c r="M3" s="3" t="str">
        <f>_xll.BQL("ALK US Equity", "FISCAL_PERIOD", "FPT=A", "FPO=-4A", "ACT_EST_MAPPING=PRECISE", "FS=MRC", "CURRENCY=USD", "XLFILL=b")</f>
        <v>2019 A (Rep)</v>
      </c>
      <c r="N3" s="3" t="str">
        <f>_xll.BQL("ALK US Equity", "FISCAL_PERIOD", "FPT=A", "FPO=-5A", "ACT_EST_MAPPING=PRECISE", "FS=MRC", "CURRENCY=USD", "XLFILL=b")</f>
        <v>2018 A (Rep)</v>
      </c>
    </row>
    <row r="4" spans="1:14" x14ac:dyDescent="0.2">
      <c r="A4" s="7" t="s">
        <v>3</v>
      </c>
      <c r="B4" s="7" t="s">
        <v>4</v>
      </c>
      <c r="C4" s="7" t="s">
        <v>5</v>
      </c>
      <c r="D4" s="7" t="s">
        <v>6</v>
      </c>
      <c r="E4" s="1">
        <f>_xll.BQL("ALK US Equity", "IS_COMP_SALES().period_end_date", "FPT=A", "FPO=4A", "ACT_EST_MAPPING=PRECISE", "FS=MRC", "CURRENCY=USD", "XLFILL=b")</f>
        <v>46752</v>
      </c>
      <c r="F4" s="1">
        <f>_xll.BQL("ALK US Equity", "IS_COMP_SALES().period_end_date", "FPT=A", "FPO=3A", "ACT_EST_MAPPING=PRECISE", "FS=MRC", "CURRENCY=USD", "XLFILL=b")</f>
        <v>46387</v>
      </c>
      <c r="G4" s="1">
        <f>_xll.BQL("ALK US Equity", "IS_COMP_SALES().period_end_date", "FPT=A", "FPO=2A", "ACT_EST_MAPPING=PRECISE", "FS=MRC", "CURRENCY=USD", "XLFILL=b")</f>
        <v>46022</v>
      </c>
      <c r="H4" s="1">
        <f>_xll.BQL("ALK US Equity", "IS_COMP_SALES().period_end_date", "FPT=A", "FPO=1A", "ACT_EST_MAPPING=PRECISE", "FS=MRC", "CURRENCY=USD", "XLFILL=b")</f>
        <v>45657</v>
      </c>
      <c r="I4" s="1">
        <f>_xll.BQL("ALK US Equity", "IS_COMP_SALES().period_end_date", "FPT=A", "FPO=0A", "ACT_EST_MAPPING=PRECISE", "FS=MRC", "CURRENCY=USD", "XLFILL=b")</f>
        <v>45291</v>
      </c>
      <c r="J4" s="1">
        <f>_xll.BQL("ALK US Equity", "IS_COMP_SALES().period_end_date", "FPT=A", "FPO=-1A", "ACT_EST_MAPPING=PRECISE", "FS=MRC", "CURRENCY=USD", "XLFILL=b")</f>
        <v>44926</v>
      </c>
      <c r="K4" s="1">
        <f>_xll.BQL("ALK US Equity", "IS_COMP_SALES().period_end_date", "FPT=A", "FPO=-2A", "ACT_EST_MAPPING=PRECISE", "FS=MRC", "CURRENCY=USD", "XLFILL=b")</f>
        <v>44561</v>
      </c>
      <c r="L4" s="1">
        <f>_xll.BQL("ALK US Equity", "IS_COMP_SALES().period_end_date", "FPT=A", "FPO=-3A", "ACT_EST_MAPPING=PRECISE", "FS=MRC", "CURRENCY=USD", "XLFILL=b")</f>
        <v>44196</v>
      </c>
      <c r="M4" s="1">
        <f>_xll.BQL("ALK US Equity", "IS_COMP_SALES().period_end_date", "FPT=A", "FPO=-4A", "ACT_EST_MAPPING=PRECISE", "FS=MRC", "CURRENCY=USD", "XLFILL=b")</f>
        <v>43830</v>
      </c>
      <c r="N4" s="1">
        <f>_xll.BQL("ALK US Equity", "IS_COMP_SALES().period_end_date", "FPT=A", "FPO=-5A", "ACT_EST_MAPPING=PRECISE", "FS=MRC", "CURRENCY=USD", "XLFILL=b")</f>
        <v>43465</v>
      </c>
    </row>
    <row r="5" spans="1:14" x14ac:dyDescent="0.2">
      <c r="A5" s="8" t="s">
        <v>7</v>
      </c>
      <c r="B5" s="4"/>
      <c r="C5" s="4" t="s">
        <v>8</v>
      </c>
      <c r="D5" s="4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8" t="s">
        <v>9</v>
      </c>
      <c r="B6" s="4" t="s">
        <v>10</v>
      </c>
      <c r="C6" s="4" t="s">
        <v>11</v>
      </c>
      <c r="D6" s="4"/>
      <c r="E6" s="9" t="str">
        <f>_xll.BQL("ALK US Equity", "IS_COMP_EPS_ADJUSTED_OLD", "FPT=A", "FPO=4A", "ACT_EST_MAPPING=PRECISE", "FS=MRC", "CURRENCY=USD", "XLFILL=b")</f>
        <v/>
      </c>
      <c r="F6" s="9">
        <f>_xll.BQL("ALK US Equity", "IS_COMP_EPS_ADJUSTED_OLD", "FPT=A", "FPO=3A", "ACT_EST_MAPPING=PRECISE", "FS=MRC", "CURRENCY=USD", "XLFILL=b")</f>
        <v>6.6112500000000001</v>
      </c>
      <c r="G6" s="9">
        <f>_xll.BQL("ALK US Equity", "IS_COMP_EPS_ADJUSTED_OLD", "FPT=A", "FPO=2A", "ACT_EST_MAPPING=PRECISE", "FS=MRC", "CURRENCY=USD", "XLFILL=b")</f>
        <v>5.8166666666666664</v>
      </c>
      <c r="H6" s="9">
        <f>_xll.BQL("ALK US Equity", "IS_COMP_EPS_ADJUSTED_OLD", "FPT=A", "FPO=1A", "ACT_EST_MAPPING=PRECISE", "FS=MRC", "CURRENCY=USD", "XLFILL=b")</f>
        <v>4.5841666666666656</v>
      </c>
      <c r="I6" s="9">
        <f>_xll.BQL("ALK US Equity", "IS_COMP_EPS_ADJUSTED_OLD", "FPT=A", "FPO=0A", "ACT_EST_MAPPING=PRECISE", "FS=MRC", "CURRENCY=USD", "XLFILL=b")</f>
        <v>4.53</v>
      </c>
      <c r="J6" s="9">
        <f>_xll.BQL("ALK US Equity", "IS_COMP_EPS_ADJUSTED_OLD", "FPT=A", "FPO=-1A", "ACT_EST_MAPPING=PRECISE", "FS=MRC", "CURRENCY=USD", "XLFILL=b")</f>
        <v>4.3499999999999996</v>
      </c>
      <c r="K6" s="9">
        <f>_xll.BQL("ALK US Equity", "IS_COMP_EPS_ADJUSTED_OLD", "FPT=A", "FPO=-2A", "ACT_EST_MAPPING=PRECISE", "FS=MRC", "CURRENCY=USD", "XLFILL=b")</f>
        <v>-2.0299999999999998</v>
      </c>
      <c r="L6" s="9">
        <f>_xll.BQL("ALK US Equity", "IS_COMP_EPS_ADJUSTED_OLD", "FPT=A", "FPO=-3A", "ACT_EST_MAPPING=PRECISE", "FS=MRC", "CURRENCY=USD", "XLFILL=b")</f>
        <v>-10.17</v>
      </c>
      <c r="M6" s="9">
        <f>_xll.BQL("ALK US Equity", "IS_COMP_EPS_ADJUSTED_OLD", "FPT=A", "FPO=-4A", "ACT_EST_MAPPING=PRECISE", "FS=MRC", "CURRENCY=USD", "XLFILL=b")</f>
        <v>6.42</v>
      </c>
      <c r="N6" s="9">
        <f>_xll.BQL("ALK US Equity", "IS_COMP_EPS_ADJUSTED_OLD", "FPT=A", "FPO=-5A", "ACT_EST_MAPPING=PRECISE", "FS=MRC", "CURRENCY=USD", "XLFILL=b")</f>
        <v>4.46</v>
      </c>
    </row>
    <row r="7" spans="1:14" x14ac:dyDescent="0.2">
      <c r="A7" s="8" t="s">
        <v>12</v>
      </c>
      <c r="B7" s="4" t="s">
        <v>10</v>
      </c>
      <c r="C7" s="4" t="s">
        <v>11</v>
      </c>
      <c r="D7" s="4"/>
      <c r="E7" s="9" t="str">
        <f>_xll.BQL("ALK US Equity", "FA_GROWTH(IS_COMP_EPS_ADJUSTED_OLD, YOY)", "FPT=A", "FPO=4A", "ACT_EST_MAPPING=PRECISE", "FS=MRC", "CURRENCY=USD", "XLFILL=b")</f>
        <v/>
      </c>
      <c r="F7" s="9">
        <f>_xll.BQL("ALK US Equity", "FA_GROWTH(IS_COMP_EPS_ADJUSTED_OLD, YOY)", "FPT=A", "FPO=3A", "ACT_EST_MAPPING=PRECISE", "FS=MRC", "CURRENCY=USD", "XLFILL=b")</f>
        <v>13.66045845272207</v>
      </c>
      <c r="G7" s="9">
        <f>_xll.BQL("ALK US Equity", "FA_GROWTH(IS_COMP_EPS_ADJUSTED_OLD, YOY)", "FPT=A", "FPO=2A", "ACT_EST_MAPPING=PRECISE", "FS=MRC", "CURRENCY=USD", "XLFILL=b")</f>
        <v>26.886020723504842</v>
      </c>
      <c r="H7" s="9">
        <f>_xll.BQL("ALK US Equity", "FA_GROWTH(IS_COMP_EPS_ADJUSTED_OLD, YOY)", "FPT=A", "FPO=1A", "ACT_EST_MAPPING=PRECISE", "FS=MRC", "CURRENCY=USD", "XLFILL=b")</f>
        <v>1.1957321559970278</v>
      </c>
      <c r="I7" s="9">
        <f>_xll.BQL("ALK US Equity", "FA_GROWTH(IS_COMP_EPS_ADJUSTED_OLD, YOY)", "FPT=A", "FPO=0A", "ACT_EST_MAPPING=PRECISE", "FS=MRC", "CURRENCY=USD", "XLFILL=b")</f>
        <v>4.1379310344827731</v>
      </c>
      <c r="J7" s="9">
        <f>_xll.BQL("ALK US Equity", "FA_GROWTH(IS_COMP_EPS_ADJUSTED_OLD, YOY)", "FPT=A", "FPO=-1A", "ACT_EST_MAPPING=PRECISE", "FS=MRC", "CURRENCY=USD", "XLFILL=b")</f>
        <v>314.28571428571428</v>
      </c>
      <c r="K7" s="9">
        <f>_xll.BQL("ALK US Equity", "FA_GROWTH(IS_COMP_EPS_ADJUSTED_OLD, YOY)", "FPT=A", "FPO=-2A", "ACT_EST_MAPPING=PRECISE", "FS=MRC", "CURRENCY=USD", "XLFILL=b")</f>
        <v>80.039331366764998</v>
      </c>
      <c r="L7" s="9">
        <f>_xll.BQL("ALK US Equity", "FA_GROWTH(IS_COMP_EPS_ADJUSTED_OLD, YOY)", "FPT=A", "FPO=-3A", "ACT_EST_MAPPING=PRECISE", "FS=MRC", "CURRENCY=USD", "XLFILL=b")</f>
        <v>-258.41121495327104</v>
      </c>
      <c r="M7" s="9">
        <f>_xll.BQL("ALK US Equity", "FA_GROWTH(IS_COMP_EPS_ADJUSTED_OLD, YOY)", "FPT=A", "FPO=-4A", "ACT_EST_MAPPING=PRECISE", "FS=MRC", "CURRENCY=USD", "XLFILL=b")</f>
        <v>43.946188340807176</v>
      </c>
      <c r="N7" s="9">
        <f>_xll.BQL("ALK US Equity", "FA_GROWTH(IS_COMP_EPS_ADJUSTED_OLD, YOY)", "FPT=A", "FPO=-5A", "ACT_EST_MAPPING=PRECISE", "FS=MRC", "CURRENCY=USD", "XLFILL=b")</f>
        <v>-32.831325301204814</v>
      </c>
    </row>
    <row r="8" spans="1:14" x14ac:dyDescent="0.2">
      <c r="A8" s="8" t="s">
        <v>13</v>
      </c>
      <c r="B8" s="4" t="s">
        <v>14</v>
      </c>
      <c r="C8" s="4" t="s">
        <v>15</v>
      </c>
      <c r="D8" s="4"/>
      <c r="E8" s="9" t="str">
        <f>_xll.BQL("ALK US Equity", "IS_COMP_SALES/1M", "FPT=A", "FPO=4A", "ACT_EST_MAPPING=PRECISE", "FS=MRC", "CURRENCY=USD", "XLFILL=b")</f>
        <v/>
      </c>
      <c r="F8" s="9">
        <f>_xll.BQL("ALK US Equity", "IS_COMP_SALES/1M", "FPT=A", "FPO=3A", "ACT_EST_MAPPING=PRECISE", "FS=MRC", "CURRENCY=USD", "XLFILL=b")</f>
        <v>12884.625</v>
      </c>
      <c r="G8" s="9">
        <f>_xll.BQL("ALK US Equity", "IS_COMP_SALES/1M", "FPT=A", "FPO=2A", "ACT_EST_MAPPING=PRECISE", "FS=MRC", "CURRENCY=USD", "XLFILL=b")</f>
        <v>11690.916666666666</v>
      </c>
      <c r="H8" s="9">
        <f>_xll.BQL("ALK US Equity", "IS_COMP_SALES/1M", "FPT=A", "FPO=1A", "ACT_EST_MAPPING=PRECISE", "FS=MRC", "CURRENCY=USD", "XLFILL=b")</f>
        <v>10791.833333333334</v>
      </c>
      <c r="I8" s="9">
        <f>_xll.BQL("ALK US Equity", "IS_COMP_SALES/1M", "FPT=A", "FPO=0A", "ACT_EST_MAPPING=PRECISE", "FS=MRC", "CURRENCY=USD", "XLFILL=b")</f>
        <v>10426</v>
      </c>
      <c r="J8" s="9">
        <f>_xll.BQL("ALK US Equity", "IS_COMP_SALES/1M", "FPT=A", "FPO=-1A", "ACT_EST_MAPPING=PRECISE", "FS=MRC", "CURRENCY=USD", "XLFILL=b")</f>
        <v>9646</v>
      </c>
      <c r="K8" s="9">
        <f>_xll.BQL("ALK US Equity", "IS_COMP_SALES/1M", "FPT=A", "FPO=-2A", "ACT_EST_MAPPING=PRECISE", "FS=MRC", "CURRENCY=USD", "XLFILL=b")</f>
        <v>6176</v>
      </c>
      <c r="L8" s="9">
        <f>_xll.BQL("ALK US Equity", "IS_COMP_SALES/1M", "FPT=A", "FPO=-3A", "ACT_EST_MAPPING=PRECISE", "FS=MRC", "CURRENCY=USD", "XLFILL=b")</f>
        <v>3566</v>
      </c>
      <c r="M8" s="9">
        <f>_xll.BQL("ALK US Equity", "IS_COMP_SALES/1M", "FPT=A", "FPO=-4A", "ACT_EST_MAPPING=PRECISE", "FS=MRC", "CURRENCY=USD", "XLFILL=b")</f>
        <v>8781</v>
      </c>
      <c r="N8" s="9">
        <f>_xll.BQL("ALK US Equity", "IS_COMP_SALES/1M", "FPT=A", "FPO=-5A", "ACT_EST_MAPPING=PRECISE", "FS=MRC", "CURRENCY=USD", "XLFILL=b")</f>
        <v>8264</v>
      </c>
    </row>
    <row r="9" spans="1:14" x14ac:dyDescent="0.2">
      <c r="A9" s="8" t="s">
        <v>12</v>
      </c>
      <c r="B9" s="4" t="s">
        <v>14</v>
      </c>
      <c r="C9" s="4" t="s">
        <v>15</v>
      </c>
      <c r="D9" s="4"/>
      <c r="E9" s="9" t="str">
        <f>_xll.BQL("ALK US Equity", "FA_GROWTH(IS_COMP_SALES, YOY)", "FPT=A", "FPO=4A", "ACT_EST_MAPPING=PRECISE", "FS=MRC", "CURRENCY=USD", "XLFILL=b")</f>
        <v/>
      </c>
      <c r="F9" s="9">
        <f>_xll.BQL("ALK US Equity", "FA_GROWTH(IS_COMP_SALES, YOY)", "FPT=A", "FPO=3A", "ACT_EST_MAPPING=PRECISE", "FS=MRC", "CURRENCY=USD", "XLFILL=b")</f>
        <v>10.210562331154536</v>
      </c>
      <c r="G9" s="9">
        <f>_xll.BQL("ALK US Equity", "FA_GROWTH(IS_COMP_SALES, YOY)", "FPT=A", "FPO=2A", "ACT_EST_MAPPING=PRECISE", "FS=MRC", "CURRENCY=USD", "XLFILL=b")</f>
        <v>8.3311454649348917</v>
      </c>
      <c r="H9" s="9">
        <f>_xll.BQL("ALK US Equity", "FA_GROWTH(IS_COMP_SALES, YOY)", "FPT=A", "FPO=1A", "ACT_EST_MAPPING=PRECISE", "FS=MRC", "CURRENCY=USD", "XLFILL=b")</f>
        <v>3.5088560649657969</v>
      </c>
      <c r="I9" s="9">
        <f>_xll.BQL("ALK US Equity", "FA_GROWTH(IS_COMP_SALES, YOY)", "FPT=A", "FPO=0A", "ACT_EST_MAPPING=PRECISE", "FS=MRC", "CURRENCY=USD", "XLFILL=b")</f>
        <v>8.0862533692722369</v>
      </c>
      <c r="J9" s="9">
        <f>_xll.BQL("ALK US Equity", "FA_GROWTH(IS_COMP_SALES, YOY)", "FPT=A", "FPO=-1A", "ACT_EST_MAPPING=PRECISE", "FS=MRC", "CURRENCY=USD", "XLFILL=b")</f>
        <v>56.185233160621763</v>
      </c>
      <c r="K9" s="9">
        <f>_xll.BQL("ALK US Equity", "FA_GROWTH(IS_COMP_SALES, YOY)", "FPT=A", "FPO=-2A", "ACT_EST_MAPPING=PRECISE", "FS=MRC", "CURRENCY=USD", "XLFILL=b")</f>
        <v>73.191250701065613</v>
      </c>
      <c r="L9" s="9">
        <f>_xll.BQL("ALK US Equity", "FA_GROWTH(IS_COMP_SALES, YOY)", "FPT=A", "FPO=-3A", "ACT_EST_MAPPING=PRECISE", "FS=MRC", "CURRENCY=USD", "XLFILL=b")</f>
        <v>-59.38959116273773</v>
      </c>
      <c r="M9" s="9">
        <f>_xll.BQL("ALK US Equity", "FA_GROWTH(IS_COMP_SALES, YOY)", "FPT=A", "FPO=-4A", "ACT_EST_MAPPING=PRECISE", "FS=MRC", "CURRENCY=USD", "XLFILL=b")</f>
        <v>6.2560503388189739</v>
      </c>
      <c r="N9" s="9">
        <f>_xll.BQL("ALK US Equity", "FA_GROWTH(IS_COMP_SALES, YOY)", "FPT=A", "FPO=-5A", "ACT_EST_MAPPING=PRECISE", "FS=MRC", "CURRENCY=USD", "XLFILL=b")</f>
        <v>4.1724442203453931</v>
      </c>
    </row>
    <row r="10" spans="1:14" x14ac:dyDescent="0.2">
      <c r="A10" s="8" t="s">
        <v>16</v>
      </c>
      <c r="B10" s="4"/>
      <c r="C10" s="4"/>
      <c r="D10" s="4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A11" s="8" t="s">
        <v>445</v>
      </c>
      <c r="B11" s="4" t="s">
        <v>17</v>
      </c>
      <c r="C11" s="4" t="s">
        <v>18</v>
      </c>
      <c r="D11" s="4"/>
      <c r="E11" s="9" t="str">
        <f>_xll.BQL("ALK US Equity", "REV_PASS_MILES_KM/1M", "FPT=A", "FPO=4A", "ACT_EST_MAPPING=PRECISE", "FS=MRC", "CURRENCY=USD", "XLFILL=b")</f>
        <v/>
      </c>
      <c r="F11" s="9">
        <f>_xll.BQL("ALK US Equity", "REV_PASS_MILES_KM/1M", "FPT=A", "FPO=3A", "ACT_EST_MAPPING=PRECISE", "FS=MRC", "CURRENCY=USD", "XLFILL=b")</f>
        <v>73535.169300462076</v>
      </c>
      <c r="G11" s="9">
        <f>_xll.BQL("ALK US Equity", "REV_PASS_MILES_KM/1M", "FPT=A", "FPO=2A", "ACT_EST_MAPPING=PRECISE", "FS=MRC", "CURRENCY=USD", "XLFILL=b")</f>
        <v>66015.519130115266</v>
      </c>
      <c r="H11" s="9">
        <f>_xll.BQL("ALK US Equity", "REV_PASS_MILES_KM/1M", "FPT=A", "FPO=1A", "ACT_EST_MAPPING=PRECISE", "FS=MRC", "CURRENCY=USD", "XLFILL=b")</f>
        <v>58630.342468586001</v>
      </c>
      <c r="I11" s="9">
        <f>_xll.BQL("ALK US Equity", "REV_PASS_MILES_KM/1M", "FPT=A", "FPO=0A", "ACT_EST_MAPPING=PRECISE", "FS=MRC", "CURRENCY=USD", "XLFILL=b")</f>
        <v>57362</v>
      </c>
      <c r="J11" s="9">
        <f>_xll.BQL("ALK US Equity", "REV_PASS_MILES_KM/1M", "FPT=A", "FPO=-1A", "ACT_EST_MAPPING=PRECISE", "FS=MRC", "CURRENCY=USD", "XLFILL=b")</f>
        <v>51330</v>
      </c>
      <c r="K11" s="9">
        <f>_xll.BQL("ALK US Equity", "REV_PASS_MILES_KM/1M", "FPT=A", "FPO=-2A", "ACT_EST_MAPPING=PRECISE", "FS=MRC", "CURRENCY=USD", "XLFILL=b")</f>
        <v>38598</v>
      </c>
      <c r="L11" s="9">
        <f>_xll.BQL("ALK US Equity", "REV_PASS_MILES_KM/1M", "FPT=A", "FPO=-3A", "ACT_EST_MAPPING=PRECISE", "FS=MRC", "CURRENCY=USD", "XLFILL=b")</f>
        <v>20493</v>
      </c>
      <c r="M11" s="9">
        <f>_xll.BQL("ALK US Equity", "REV_PASS_MILES_KM/1M", "FPT=A", "FPO=-4A", "ACT_EST_MAPPING=PRECISE", "FS=MRC", "CURRENCY=USD", "XLFILL=b")</f>
        <v>56040</v>
      </c>
      <c r="N11" s="9">
        <f>_xll.BQL("ALK US Equity", "REV_PASS_MILES_KM/1M", "FPT=A", "FPO=-5A", "ACT_EST_MAPPING=PRECISE", "FS=MRC", "CURRENCY=USD", "XLFILL=b")</f>
        <v>54673</v>
      </c>
    </row>
    <row r="12" spans="1:14" x14ac:dyDescent="0.2">
      <c r="A12" s="8" t="s">
        <v>12</v>
      </c>
      <c r="B12" s="4" t="s">
        <v>17</v>
      </c>
      <c r="C12" s="4" t="s">
        <v>18</v>
      </c>
      <c r="D12" s="4"/>
      <c r="E12" s="9" t="str">
        <f>_xll.BQL("ALK US Equity", "FA_GROWTH(REV_PASS_MILES_KM, YOY)", "FPT=A", "FPO=4A", "ACT_EST_MAPPING=PRECISE", "FS=MRC", "CURRENCY=USD", "XLFILL=b")</f>
        <v/>
      </c>
      <c r="F12" s="9">
        <f>_xll.BQL("ALK US Equity", "FA_GROWTH(REV_PASS_MILES_KM, YOY)", "FPT=A", "FPO=3A", "ACT_EST_MAPPING=PRECISE", "FS=MRC", "CURRENCY=USD", "XLFILL=b")</f>
        <v>11.390730951499052</v>
      </c>
      <c r="G12" s="9">
        <f>_xll.BQL("ALK US Equity", "FA_GROWTH(REV_PASS_MILES_KM, YOY)", "FPT=A", "FPO=2A", "ACT_EST_MAPPING=PRECISE", "FS=MRC", "CURRENCY=USD", "XLFILL=b")</f>
        <v>12.596168384119924</v>
      </c>
      <c r="H12" s="9">
        <f>_xll.BQL("ALK US Equity", "FA_GROWTH(REV_PASS_MILES_KM, YOY)", "FPT=A", "FPO=1A", "ACT_EST_MAPPING=PRECISE", "FS=MRC", "CURRENCY=USD", "XLFILL=b")</f>
        <v>2.2111196760677774</v>
      </c>
      <c r="I12" s="9">
        <f>_xll.BQL("ALK US Equity", "FA_GROWTH(REV_PASS_MILES_KM, YOY)", "FPT=A", "FPO=0A", "ACT_EST_MAPPING=PRECISE", "FS=MRC", "CURRENCY=USD", "XLFILL=b")</f>
        <v>11.751412429378531</v>
      </c>
      <c r="J12" s="9">
        <f>_xll.BQL("ALK US Equity", "FA_GROWTH(REV_PASS_MILES_KM, YOY)", "FPT=A", "FPO=-1A", "ACT_EST_MAPPING=PRECISE", "FS=MRC", "CURRENCY=USD", "XLFILL=b")</f>
        <v>32.9861650862739</v>
      </c>
      <c r="K12" s="9">
        <f>_xll.BQL("ALK US Equity", "FA_GROWTH(REV_PASS_MILES_KM, YOY)", "FPT=A", "FPO=-2A", "ACT_EST_MAPPING=PRECISE", "FS=MRC", "CURRENCY=USD", "XLFILL=b")</f>
        <v>88.347240521153566</v>
      </c>
      <c r="L12" s="9">
        <f>_xll.BQL("ALK US Equity", "FA_GROWTH(REV_PASS_MILES_KM, YOY)", "FPT=A", "FPO=-3A", "ACT_EST_MAPPING=PRECISE", "FS=MRC", "CURRENCY=USD", "XLFILL=b")</f>
        <v>-63.431477516059957</v>
      </c>
      <c r="M12" s="9">
        <f>_xll.BQL("ALK US Equity", "FA_GROWTH(REV_PASS_MILES_KM, YOY)", "FPT=A", "FPO=-4A", "ACT_EST_MAPPING=PRECISE", "FS=MRC", "CURRENCY=USD", "XLFILL=b")</f>
        <v>2.5003200848682163</v>
      </c>
      <c r="N12" s="9">
        <f>_xll.BQL("ALK US Equity", "FA_GROWTH(REV_PASS_MILES_KM, YOY)", "FPT=A", "FPO=-5A", "ACT_EST_MAPPING=PRECISE", "FS=MRC", "CURRENCY=USD", "XLFILL=b")</f>
        <v>4.4613856089265926</v>
      </c>
    </row>
    <row r="13" spans="1:14" x14ac:dyDescent="0.2">
      <c r="A13" s="8" t="s">
        <v>19</v>
      </c>
      <c r="B13" s="4" t="s">
        <v>20</v>
      </c>
      <c r="C13" s="4" t="s">
        <v>21</v>
      </c>
      <c r="D13" s="4"/>
      <c r="E13" s="9" t="str">
        <f>_xll.BQL("ALK US Equity", "AVAIL_SEAT_MILES_KM/1M", "FPT=A", "FPO=4A", "ACT_EST_MAPPING=PRECISE", "FS=MRC", "CURRENCY=USD", "XLFILL=b")</f>
        <v/>
      </c>
      <c r="F13" s="9">
        <f>_xll.BQL("ALK US Equity", "AVAIL_SEAT_MILES_KM/1M", "FPT=A", "FPO=3A", "ACT_EST_MAPPING=PRECISE", "FS=MRC", "CURRENCY=USD", "XLFILL=b")</f>
        <v>87328.343607206654</v>
      </c>
      <c r="G13" s="9">
        <f>_xll.BQL("ALK US Equity", "AVAIL_SEAT_MILES_KM/1M", "FPT=A", "FPO=2A", "ACT_EST_MAPPING=PRECISE", "FS=MRC", "CURRENCY=USD", "XLFILL=b")</f>
        <v>78629.373765227749</v>
      </c>
      <c r="H13" s="9">
        <f>_xll.BQL("ALK US Equity", "AVAIL_SEAT_MILES_KM/1M", "FPT=A", "FPO=1A", "ACT_EST_MAPPING=PRECISE", "FS=MRC", "CURRENCY=USD", "XLFILL=b")</f>
        <v>70000.352358192511</v>
      </c>
      <c r="I13" s="9">
        <f>_xll.BQL("ALK US Equity", "AVAIL_SEAT_MILES_KM/1M", "FPT=A", "FPO=0A", "ACT_EST_MAPPING=PRECISE", "FS=MRC", "CURRENCY=USD", "XLFILL=b")</f>
        <v>68524</v>
      </c>
      <c r="J13" s="9">
        <f>_xll.BQL("ALK US Equity", "AVAIL_SEAT_MILES_KM/1M", "FPT=A", "FPO=-1A", "ACT_EST_MAPPING=PRECISE", "FS=MRC", "CURRENCY=USD", "XLFILL=b")</f>
        <v>60773</v>
      </c>
      <c r="K13" s="9">
        <f>_xll.BQL("ALK US Equity", "AVAIL_SEAT_MILES_KM/1M", "FPT=A", "FPO=-2A", "ACT_EST_MAPPING=PRECISE", "FS=MRC", "CURRENCY=USD", "XLFILL=b")</f>
        <v>52445</v>
      </c>
      <c r="L13" s="9">
        <f>_xll.BQL("ALK US Equity", "AVAIL_SEAT_MILES_KM/1M", "FPT=A", "FPO=-3A", "ACT_EST_MAPPING=PRECISE", "FS=MRC", "CURRENCY=USD", "XLFILL=b")</f>
        <v>37114</v>
      </c>
      <c r="M13" s="9">
        <f>_xll.BQL("ALK US Equity", "AVAIL_SEAT_MILES_KM/1M", "FPT=A", "FPO=-4A", "ACT_EST_MAPPING=PRECISE", "FS=MRC", "CURRENCY=USD", "XLFILL=b")</f>
        <v>66654</v>
      </c>
      <c r="N13" s="9">
        <f>_xll.BQL("ALK US Equity", "AVAIL_SEAT_MILES_KM/1M", "FPT=A", "FPO=-5A", "ACT_EST_MAPPING=PRECISE", "FS=MRC", "CURRENCY=USD", "XLFILL=b")</f>
        <v>65335</v>
      </c>
    </row>
    <row r="14" spans="1:14" x14ac:dyDescent="0.2">
      <c r="A14" s="8" t="s">
        <v>12</v>
      </c>
      <c r="B14" s="4" t="s">
        <v>20</v>
      </c>
      <c r="C14" s="4" t="s">
        <v>21</v>
      </c>
      <c r="D14" s="4"/>
      <c r="E14" s="9" t="str">
        <f>_xll.BQL("ALK US Equity", "FA_GROWTH(AVAIL_SEAT_MILES_KM, YOY)", "FPT=A", "FPO=4A", "ACT_EST_MAPPING=PRECISE", "FS=MRC", "CURRENCY=USD", "XLFILL=b")</f>
        <v/>
      </c>
      <c r="F14" s="9">
        <f>_xll.BQL("ALK US Equity", "FA_GROWTH(AVAIL_SEAT_MILES_KM, YOY)", "FPT=A", "FPO=3A", "ACT_EST_MAPPING=PRECISE", "FS=MRC", "CURRENCY=USD", "XLFILL=b")</f>
        <v>11.063257184207462</v>
      </c>
      <c r="G14" s="9">
        <f>_xll.BQL("ALK US Equity", "FA_GROWTH(AVAIL_SEAT_MILES_KM, YOY)", "FPT=A", "FPO=2A", "ACT_EST_MAPPING=PRECISE", "FS=MRC", "CURRENCY=USD", "XLFILL=b")</f>
        <v>12.327111387783392</v>
      </c>
      <c r="H14" s="9">
        <f>_xll.BQL("ALK US Equity", "FA_GROWTH(AVAIL_SEAT_MILES_KM, YOY)", "FPT=A", "FPO=1A", "ACT_EST_MAPPING=PRECISE", "FS=MRC", "CURRENCY=USD", "XLFILL=b")</f>
        <v>2.1545040543349847</v>
      </c>
      <c r="I14" s="9">
        <f>_xll.BQL("ALK US Equity", "FA_GROWTH(AVAIL_SEAT_MILES_KM, YOY)", "FPT=A", "FPO=0A", "ACT_EST_MAPPING=PRECISE", "FS=MRC", "CURRENCY=USD", "XLFILL=b")</f>
        <v>12.754019054514341</v>
      </c>
      <c r="J14" s="9">
        <f>_xll.BQL("ALK US Equity", "FA_GROWTH(AVAIL_SEAT_MILES_KM, YOY)", "FPT=A", "FPO=-1A", "ACT_EST_MAPPING=PRECISE", "FS=MRC", "CURRENCY=USD", "XLFILL=b")</f>
        <v>15.87949280198303</v>
      </c>
      <c r="K14" s="9">
        <f>_xll.BQL("ALK US Equity", "FA_GROWTH(AVAIL_SEAT_MILES_KM, YOY)", "FPT=A", "FPO=-2A", "ACT_EST_MAPPING=PRECISE", "FS=MRC", "CURRENCY=USD", "XLFILL=b")</f>
        <v>41.307862262219111</v>
      </c>
      <c r="L14" s="9">
        <f>_xll.BQL("ALK US Equity", "FA_GROWTH(AVAIL_SEAT_MILES_KM, YOY)", "FPT=A", "FPO=-3A", "ACT_EST_MAPPING=PRECISE", "FS=MRC", "CURRENCY=USD", "XLFILL=b")</f>
        <v>-44.318420499894977</v>
      </c>
      <c r="M14" s="9">
        <f>_xll.BQL("ALK US Equity", "FA_GROWTH(AVAIL_SEAT_MILES_KM, YOY)", "FPT=A", "FPO=-4A", "ACT_EST_MAPPING=PRECISE", "FS=MRC", "CURRENCY=USD", "XLFILL=b")</f>
        <v>2.0188260503558584</v>
      </c>
      <c r="N14" s="9">
        <f>_xll.BQL("ALK US Equity", "FA_GROWTH(AVAIL_SEAT_MILES_KM, YOY)", "FPT=A", "FPO=-5A", "ACT_EST_MAPPING=PRECISE", "FS=MRC", "CURRENCY=USD", "XLFILL=b")</f>
        <v>5.2567985565150153</v>
      </c>
    </row>
    <row r="15" spans="1:14" x14ac:dyDescent="0.2">
      <c r="A15" s="8" t="s">
        <v>22</v>
      </c>
      <c r="B15" s="4" t="s">
        <v>23</v>
      </c>
      <c r="C15" s="4" t="s">
        <v>24</v>
      </c>
      <c r="D15" s="4"/>
      <c r="E15" s="9" t="str">
        <f>_xll.BQL("ALK US Equity", "LOAD_FACTOR", "FPT=A", "FPO=4A", "ACT_EST_MAPPING=PRECISE", "FS=MRC", "CURRENCY=USD", "XLFILL=b")</f>
        <v/>
      </c>
      <c r="F15" s="9">
        <f>_xll.BQL("ALK US Equity", "LOAD_FACTOR", "FPT=A", "FPO=3A", "ACT_EST_MAPPING=PRECISE", "FS=MRC", "CURRENCY=USD", "XLFILL=b")</f>
        <v>84.237673012483526</v>
      </c>
      <c r="G15" s="9">
        <f>_xll.BQL("ALK US Equity", "LOAD_FACTOR", "FPT=A", "FPO=2A", "ACT_EST_MAPPING=PRECISE", "FS=MRC", "CURRENCY=USD", "XLFILL=b")</f>
        <v>83.956746673972845</v>
      </c>
      <c r="H15" s="9">
        <f>_xll.BQL("ALK US Equity", "LOAD_FACTOR", "FPT=A", "FPO=1A", "ACT_EST_MAPPING=PRECISE", "FS=MRC", "CURRENCY=USD", "XLFILL=b")</f>
        <v>83.757517792536717</v>
      </c>
      <c r="I15" s="9">
        <f>_xll.BQL("ALK US Equity", "LOAD_FACTOR", "FPT=A", "FPO=0A", "ACT_EST_MAPPING=PRECISE", "FS=MRC", "CURRENCY=USD", "XLFILL=b")</f>
        <v>83.7</v>
      </c>
      <c r="J15" s="9">
        <f>_xll.BQL("ALK US Equity", "LOAD_FACTOR", "FPT=A", "FPO=-1A", "ACT_EST_MAPPING=PRECISE", "FS=MRC", "CURRENCY=USD", "XLFILL=b")</f>
        <v>84.5</v>
      </c>
      <c r="K15" s="9">
        <f>_xll.BQL("ALK US Equity", "LOAD_FACTOR", "FPT=A", "FPO=-2A", "ACT_EST_MAPPING=PRECISE", "FS=MRC", "CURRENCY=USD", "XLFILL=b")</f>
        <v>73.599999999999994</v>
      </c>
      <c r="L15" s="9">
        <f>_xll.BQL("ALK US Equity", "LOAD_FACTOR", "FPT=A", "FPO=-3A", "ACT_EST_MAPPING=PRECISE", "FS=MRC", "CURRENCY=USD", "XLFILL=b")</f>
        <v>55.2</v>
      </c>
      <c r="M15" s="9">
        <f>_xll.BQL("ALK US Equity", "LOAD_FACTOR", "FPT=A", "FPO=-4A", "ACT_EST_MAPPING=PRECISE", "FS=MRC", "CURRENCY=USD", "XLFILL=b")</f>
        <v>84.1</v>
      </c>
      <c r="N15" s="9">
        <f>_xll.BQL("ALK US Equity", "LOAD_FACTOR", "FPT=A", "FPO=-5A", "ACT_EST_MAPPING=PRECISE", "FS=MRC", "CURRENCY=USD", "XLFILL=b")</f>
        <v>83.7</v>
      </c>
    </row>
    <row r="16" spans="1:14" x14ac:dyDescent="0.2">
      <c r="A16" s="8" t="s">
        <v>12</v>
      </c>
      <c r="B16" s="4" t="s">
        <v>23</v>
      </c>
      <c r="C16" s="4" t="s">
        <v>24</v>
      </c>
      <c r="D16" s="4"/>
      <c r="E16" s="9" t="str">
        <f>_xll.BQL("ALK US Equity", "FA_GROWTH(LOAD_FACTOR, YOY)", "FPT=A", "FPO=4A", "ACT_EST_MAPPING=PRECISE", "FS=MRC", "CURRENCY=USD", "XLFILL=b")</f>
        <v/>
      </c>
      <c r="F16" s="9">
        <f>_xll.BQL("ALK US Equity", "FA_GROWTH(LOAD_FACTOR, YOY)", "FPT=A", "FPO=3A", "ACT_EST_MAPPING=PRECISE", "FS=MRC", "CURRENCY=USD", "XLFILL=b")</f>
        <v>0.33460841402251568</v>
      </c>
      <c r="G16" s="9">
        <f>_xll.BQL("ALK US Equity", "FA_GROWTH(LOAD_FACTOR, YOY)", "FPT=A", "FPO=2A", "ACT_EST_MAPPING=PRECISE", "FS=MRC", "CURRENCY=USD", "XLFILL=b")</f>
        <v>0.23786387978880605</v>
      </c>
      <c r="H16" s="9">
        <f>_xll.BQL("ALK US Equity", "FA_GROWTH(LOAD_FACTOR, YOY)", "FPT=A", "FPO=1A", "ACT_EST_MAPPING=PRECISE", "FS=MRC", "CURRENCY=USD", "XLFILL=b")</f>
        <v>6.8718987499061288E-2</v>
      </c>
      <c r="I16" s="9">
        <f>_xll.BQL("ALK US Equity", "FA_GROWTH(LOAD_FACTOR, YOY)", "FPT=A", "FPO=0A", "ACT_EST_MAPPING=PRECISE", "FS=MRC", "CURRENCY=USD", "XLFILL=b")</f>
        <v>-0.94674556213017413</v>
      </c>
      <c r="J16" s="9">
        <f>_xll.BQL("ALK US Equity", "FA_GROWTH(LOAD_FACTOR, YOY)", "FPT=A", "FPO=-1A", "ACT_EST_MAPPING=PRECISE", "FS=MRC", "CURRENCY=USD", "XLFILL=b")</f>
        <v>14.809782608695659</v>
      </c>
      <c r="K16" s="9">
        <f>_xll.BQL("ALK US Equity", "FA_GROWTH(LOAD_FACTOR, YOY)", "FPT=A", "FPO=-2A", "ACT_EST_MAPPING=PRECISE", "FS=MRC", "CURRENCY=USD", "XLFILL=b")</f>
        <v>33.333333333333314</v>
      </c>
      <c r="L16" s="9">
        <f>_xll.BQL("ALK US Equity", "FA_GROWTH(LOAD_FACTOR, YOY)", "FPT=A", "FPO=-3A", "ACT_EST_MAPPING=PRECISE", "FS=MRC", "CURRENCY=USD", "XLFILL=b")</f>
        <v>-34.363852556480374</v>
      </c>
      <c r="M16" s="9">
        <f>_xll.BQL("ALK US Equity", "FA_GROWTH(LOAD_FACTOR, YOY)", "FPT=A", "FPO=-4A", "ACT_EST_MAPPING=PRECISE", "FS=MRC", "CURRENCY=USD", "XLFILL=b")</f>
        <v>0.47789725209079026</v>
      </c>
      <c r="N16" s="9">
        <f>_xll.BQL("ALK US Equity", "FA_GROWTH(LOAD_FACTOR, YOY)", "FPT=A", "FPO=-5A", "ACT_EST_MAPPING=PRECISE", "FS=MRC", "CURRENCY=USD", "XLFILL=b")</f>
        <v>-0.71174377224198615</v>
      </c>
    </row>
    <row r="17" spans="1:14" x14ac:dyDescent="0.2">
      <c r="A17" s="8" t="s">
        <v>16</v>
      </c>
      <c r="B17" s="4"/>
      <c r="C17" s="4"/>
      <c r="D17" s="4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8" t="s">
        <v>25</v>
      </c>
      <c r="B18" s="4" t="s">
        <v>26</v>
      </c>
      <c r="C18" s="4"/>
      <c r="D18" s="4"/>
      <c r="E18" s="9" t="str">
        <f>_xll.BQL("ALK US Equity", "TOTAL_PASSENGER_REVENUE/1M", "FPT=A", "FPO=4A", "ACT_EST_MAPPING=PRECISE", "FS=MRC", "CURRENCY=USD", "XLFILL=b")</f>
        <v/>
      </c>
      <c r="F18" s="9">
        <f>_xll.BQL("ALK US Equity", "TOTAL_PASSENGER_REVENUE/1M", "FPT=A", "FPO=3A", "ACT_EST_MAPPING=PRECISE", "FS=MRC", "CURRENCY=USD", "XLFILL=b")</f>
        <v>12479.558567453614</v>
      </c>
      <c r="G18" s="9">
        <f>_xll.BQL("ALK US Equity", "TOTAL_PASSENGER_REVENUE/1M", "FPT=A", "FPO=2A", "ACT_EST_MAPPING=PRECISE", "FS=MRC", "CURRENCY=USD", "XLFILL=b")</f>
        <v>11104.678879688718</v>
      </c>
      <c r="H18" s="9">
        <f>_xll.BQL("ALK US Equity", "TOTAL_PASSENGER_REVENUE/1M", "FPT=A", "FPO=1A", "ACT_EST_MAPPING=PRECISE", "FS=MRC", "CURRENCY=USD", "XLFILL=b")</f>
        <v>9870.2622259431864</v>
      </c>
      <c r="I18" s="9">
        <f>_xll.BQL("ALK US Equity", "TOTAL_PASSENGER_REVENUE/1M", "FPT=A", "FPO=0A", "ACT_EST_MAPPING=PRECISE", "FS=MRC", "CURRENCY=USD", "XLFILL=b")</f>
        <v>9526</v>
      </c>
      <c r="J18" s="9">
        <f>_xll.BQL("ALK US Equity", "TOTAL_PASSENGER_REVENUE/1M", "FPT=A", "FPO=-1A", "ACT_EST_MAPPING=PRECISE", "FS=MRC", "CURRENCY=USD", "XLFILL=b")</f>
        <v>8808</v>
      </c>
      <c r="K18" s="9">
        <f>_xll.BQL("ALK US Equity", "TOTAL_PASSENGER_REVENUE/1M", "FPT=A", "FPO=-2A", "ACT_EST_MAPPING=PRECISE", "FS=MRC", "CURRENCY=USD", "XLFILL=b")</f>
        <v>5499</v>
      </c>
      <c r="L18" s="9">
        <f>_xll.BQL("ALK US Equity", "TOTAL_PASSENGER_REVENUE/1M", "FPT=A", "FPO=-3A", "ACT_EST_MAPPING=PRECISE", "FS=MRC", "CURRENCY=USD", "XLFILL=b")</f>
        <v>3019</v>
      </c>
      <c r="M18" s="9">
        <f>_xll.BQL("ALK US Equity", "TOTAL_PASSENGER_REVENUE/1M", "FPT=A", "FPO=-4A", "ACT_EST_MAPPING=PRECISE", "FS=MRC", "CURRENCY=USD", "XLFILL=b")</f>
        <v>8095</v>
      </c>
      <c r="N18" s="9">
        <f>_xll.BQL("ALK US Equity", "TOTAL_PASSENGER_REVENUE/1M", "FPT=A", "FPO=-5A", "ACT_EST_MAPPING=PRECISE", "FS=MRC", "CURRENCY=USD", "XLFILL=b")</f>
        <v>7631</v>
      </c>
    </row>
    <row r="19" spans="1:14" x14ac:dyDescent="0.2">
      <c r="A19" s="8" t="s">
        <v>12</v>
      </c>
      <c r="B19" s="4" t="s">
        <v>26</v>
      </c>
      <c r="C19" s="4"/>
      <c r="D19" s="4"/>
      <c r="E19" s="9" t="str">
        <f>_xll.BQL("ALK US Equity", "FA_GROWTH(TOTAL_PASSENGER_REVENUE, YOY)", "FPT=A", "FPO=4A", "ACT_EST_MAPPING=PRECISE", "FS=MRC", "CURRENCY=USD", "XLFILL=b")</f>
        <v/>
      </c>
      <c r="F19" s="9">
        <f>_xll.BQL("ALK US Equity", "FA_GROWTH(TOTAL_PASSENGER_REVENUE, YOY)", "FPT=A", "FPO=3A", "ACT_EST_MAPPING=PRECISE", "FS=MRC", "CURRENCY=USD", "XLFILL=b")</f>
        <v>12.381084610016535</v>
      </c>
      <c r="G19" s="9">
        <f>_xll.BQL("ALK US Equity", "FA_GROWTH(TOTAL_PASSENGER_REVENUE, YOY)", "FPT=A", "FPO=2A", "ACT_EST_MAPPING=PRECISE", "FS=MRC", "CURRENCY=USD", "XLFILL=b")</f>
        <v>12.506422073579429</v>
      </c>
      <c r="H19" s="9">
        <f>_xll.BQL("ALK US Equity", "FA_GROWTH(TOTAL_PASSENGER_REVENUE, YOY)", "FPT=A", "FPO=1A", "ACT_EST_MAPPING=PRECISE", "FS=MRC", "CURRENCY=USD", "XLFILL=b")</f>
        <v>3.613922170304281</v>
      </c>
      <c r="I19" s="9">
        <f>_xll.BQL("ALK US Equity", "FA_GROWTH(TOTAL_PASSENGER_REVENUE, YOY)", "FPT=A", "FPO=0A", "ACT_EST_MAPPING=PRECISE", "FS=MRC", "CURRENCY=USD", "XLFILL=b")</f>
        <v>8.1516802906448689</v>
      </c>
      <c r="J19" s="9">
        <f>_xll.BQL("ALK US Equity", "FA_GROWTH(TOTAL_PASSENGER_REVENUE, YOY)", "FPT=A", "FPO=-1A", "ACT_EST_MAPPING=PRECISE", "FS=MRC", "CURRENCY=USD", "XLFILL=b")</f>
        <v>60.174577195853793</v>
      </c>
      <c r="K19" s="9">
        <f>_xll.BQL("ALK US Equity", "FA_GROWTH(TOTAL_PASSENGER_REVENUE, YOY)", "FPT=A", "FPO=-2A", "ACT_EST_MAPPING=PRECISE", "FS=MRC", "CURRENCY=USD", "XLFILL=b")</f>
        <v>82.146406094733351</v>
      </c>
      <c r="L19" s="9">
        <f>_xll.BQL("ALK US Equity", "FA_GROWTH(TOTAL_PASSENGER_REVENUE, YOY)", "FPT=A", "FPO=-3A", "ACT_EST_MAPPING=PRECISE", "FS=MRC", "CURRENCY=USD", "XLFILL=b")</f>
        <v>-62.705373687461396</v>
      </c>
      <c r="M19" s="9">
        <f>_xll.BQL("ALK US Equity", "FA_GROWTH(TOTAL_PASSENGER_REVENUE, YOY)", "FPT=A", "FPO=-4A", "ACT_EST_MAPPING=PRECISE", "FS=MRC", "CURRENCY=USD", "XLFILL=b")</f>
        <v>6.0804612763726906</v>
      </c>
      <c r="N19" s="9">
        <f>_xll.BQL("ALK US Equity", "FA_GROWTH(TOTAL_PASSENGER_REVENUE, YOY)", "FPT=A", "FPO=-5A", "ACT_EST_MAPPING=PRECISE", "FS=MRC", "CURRENCY=USD", "XLFILL=b")</f>
        <v>4.5199287768798797</v>
      </c>
    </row>
    <row r="20" spans="1:14" x14ac:dyDescent="0.2">
      <c r="A20" s="8" t="s">
        <v>27</v>
      </c>
      <c r="B20" s="4" t="s">
        <v>28</v>
      </c>
      <c r="C20" s="4"/>
      <c r="D20" s="4"/>
      <c r="E20" s="9" t="str">
        <f>_xll.BQL("ALK US Equity", "PASSENGER_REVENUE_PER_ASM", "FPT=A", "FPO=4A", "ACT_EST_MAPPING=PRECISE", "FS=MRC", "CURRENCY=USD", "XLFILL=b")</f>
        <v/>
      </c>
      <c r="F20" s="9">
        <f>_xll.BQL("ALK US Equity", "PASSENGER_REVENUE_PER_ASM", "FPT=A", "FPO=3A", "ACT_EST_MAPPING=PRECISE", "FS=MRC", "CURRENCY=USD", "XLFILL=b")</f>
        <v>15.69624579665258</v>
      </c>
      <c r="G20" s="9">
        <f>_xll.BQL("ALK US Equity", "PASSENGER_REVENUE_PER_ASM", "FPT=A", "FPO=2A", "ACT_EST_MAPPING=PRECISE", "FS=MRC", "CURRENCY=USD", "XLFILL=b")</f>
        <v>15.570033599511071</v>
      </c>
      <c r="H20" s="9">
        <f>_xll.BQL("ALK US Equity", "PASSENGER_REVENUE_PER_ASM", "FPT=A", "FPO=1A", "ACT_EST_MAPPING=PRECISE", "FS=MRC", "CURRENCY=USD", "XLFILL=b")</f>
        <v>15.334563368667192</v>
      </c>
      <c r="I20" s="9">
        <f>_xll.BQL("ALK US Equity", "PASSENGER_REVENUE_PER_ASM", "FPT=A", "FPO=0A", "ACT_EST_MAPPING=PRECISE", "FS=MRC", "CURRENCY=USD", "XLFILL=b")</f>
        <v>15.21</v>
      </c>
      <c r="J20" s="9">
        <f>_xll.BQL("ALK US Equity", "PASSENGER_REVENUE_PER_ASM", "FPT=A", "FPO=-1A", "ACT_EST_MAPPING=PRECISE", "FS=MRC", "CURRENCY=USD", "XLFILL=b")</f>
        <v>15.87</v>
      </c>
      <c r="K20" s="9">
        <f>_xll.BQL("ALK US Equity", "PASSENGER_REVENUE_PER_ASM", "FPT=A", "FPO=-2A", "ACT_EST_MAPPING=PRECISE", "FS=MRC", "CURRENCY=USD", "XLFILL=b")</f>
        <v>11.78</v>
      </c>
      <c r="L20" s="9">
        <f>_xll.BQL("ALK US Equity", "PASSENGER_REVENUE_PER_ASM", "FPT=A", "FPO=-3A", "ACT_EST_MAPPING=PRECISE", "FS=MRC", "CURRENCY=USD", "XLFILL=b")</f>
        <v>9.61</v>
      </c>
      <c r="M20" s="9">
        <f>_xll.BQL("ALK US Equity", "PASSENGER_REVENUE_PER_ASM", "FPT=A", "FPO=-4A", "ACT_EST_MAPPING=PRECISE", "FS=MRC", "CURRENCY=USD", "XLFILL=b")</f>
        <v>13.17</v>
      </c>
      <c r="N20" s="9">
        <f>_xll.BQL("ALK US Equity", "PASSENGER_REVENUE_PER_ASM", "FPT=A", "FPO=-5A", "ACT_EST_MAPPING=PRECISE", "FS=MRC", "CURRENCY=USD", "XLFILL=b")</f>
        <v>12.65</v>
      </c>
    </row>
    <row r="21" spans="1:14" x14ac:dyDescent="0.2">
      <c r="A21" s="8" t="s">
        <v>12</v>
      </c>
      <c r="B21" s="4" t="s">
        <v>28</v>
      </c>
      <c r="C21" s="4"/>
      <c r="D21" s="4"/>
      <c r="E21" s="9" t="str">
        <f>_xll.BQL("ALK US Equity", "FA_GROWTH(PASSENGER_REVENUE_PER_ASM, YOY)", "FPT=A", "FPO=4A", "ACT_EST_MAPPING=PRECISE", "FS=MRC", "CURRENCY=USD", "XLFILL=b")</f>
        <v/>
      </c>
      <c r="F21" s="9">
        <f>_xll.BQL("ALK US Equity", "FA_GROWTH(PASSENGER_REVENUE_PER_ASM, YOY)", "FPT=A", "FPO=3A", "ACT_EST_MAPPING=PRECISE", "FS=MRC", "CURRENCY=USD", "XLFILL=b")</f>
        <v>0.81060966461544703</v>
      </c>
      <c r="G21" s="9">
        <f>_xll.BQL("ALK US Equity", "FA_GROWTH(PASSENGER_REVENUE_PER_ASM, YOY)", "FPT=A", "FPO=2A", "ACT_EST_MAPPING=PRECISE", "FS=MRC", "CURRENCY=USD", "XLFILL=b")</f>
        <v>1.5355522370138699</v>
      </c>
      <c r="H21" s="9">
        <f>_xll.BQL("ALK US Equity", "FA_GROWTH(PASSENGER_REVENUE_PER_ASM, YOY)", "FPT=A", "FPO=1A", "ACT_EST_MAPPING=PRECISE", "FS=MRC", "CURRENCY=USD", "XLFILL=b")</f>
        <v>0.8189570589558921</v>
      </c>
      <c r="I21" s="9">
        <f>_xll.BQL("ALK US Equity", "FA_GROWTH(PASSENGER_REVENUE_PER_ASM, YOY)", "FPT=A", "FPO=0A", "ACT_EST_MAPPING=PRECISE", "FS=MRC", "CURRENCY=USD", "XLFILL=b")</f>
        <v>-4.1587901701323142</v>
      </c>
      <c r="J21" s="9">
        <f>_xll.BQL("ALK US Equity", "FA_GROWTH(PASSENGER_REVENUE_PER_ASM, YOY)", "FPT=A", "FPO=-1A", "ACT_EST_MAPPING=PRECISE", "FS=MRC", "CURRENCY=USD", "XLFILL=b")</f>
        <v>34.719864176570461</v>
      </c>
      <c r="K21" s="9">
        <f>_xll.BQL("ALK US Equity", "FA_GROWTH(PASSENGER_REVENUE_PER_ASM, YOY)", "FPT=A", "FPO=-2A", "ACT_EST_MAPPING=PRECISE", "FS=MRC", "CURRENCY=USD", "XLFILL=b")</f>
        <v>22.580645161290324</v>
      </c>
      <c r="L21" s="9">
        <f>_xll.BQL("ALK US Equity", "FA_GROWTH(PASSENGER_REVENUE_PER_ASM, YOY)", "FPT=A", "FPO=-3A", "ACT_EST_MAPPING=PRECISE", "FS=MRC", "CURRENCY=USD", "XLFILL=b")</f>
        <v>-27.031131359149587</v>
      </c>
      <c r="M21" s="9">
        <f>_xll.BQL("ALK US Equity", "FA_GROWTH(PASSENGER_REVENUE_PER_ASM, YOY)", "FPT=A", "FPO=-4A", "ACT_EST_MAPPING=PRECISE", "FS=MRC", "CURRENCY=USD", "XLFILL=b")</f>
        <v>4.11067193675889</v>
      </c>
      <c r="N21" s="9">
        <f>_xll.BQL("ALK US Equity", "FA_GROWTH(PASSENGER_REVENUE_PER_ASM, YOY)", "FPT=A", "FPO=-5A", "ACT_EST_MAPPING=PRECISE", "FS=MRC", "CURRENCY=USD", "XLFILL=b")</f>
        <v>-0.55031446540880724</v>
      </c>
    </row>
    <row r="22" spans="1:14" x14ac:dyDescent="0.2">
      <c r="A22" s="8" t="s">
        <v>29</v>
      </c>
      <c r="B22" s="4" t="s">
        <v>30</v>
      </c>
      <c r="C22" s="4"/>
      <c r="D22" s="4"/>
      <c r="E22" s="9" t="str">
        <f>_xll.BQL("ALK US Equity", "YIELD_PER_PASS_MILES_KM", "FPT=A", "FPO=4A", "ACT_EST_MAPPING=PRECISE", "FS=MRC", "CURRENCY=USD", "XLFILL=b")</f>
        <v/>
      </c>
      <c r="F22" s="9">
        <f>_xll.BQL("ALK US Equity", "YIELD_PER_PASS_MILES_KM", "FPT=A", "FPO=3A", "ACT_EST_MAPPING=PRECISE", "FS=MRC", "CURRENCY=USD", "XLFILL=b")</f>
        <v>17.04930782618332</v>
      </c>
      <c r="G22" s="9">
        <f>_xll.BQL("ALK US Equity", "YIELD_PER_PASS_MILES_KM", "FPT=A", "FPO=2A", "ACT_EST_MAPPING=PRECISE", "FS=MRC", "CURRENCY=USD", "XLFILL=b")</f>
        <v>16.833390368815586</v>
      </c>
      <c r="H22" s="9">
        <f>_xll.BQL("ALK US Equity", "YIELD_PER_PASS_MILES_KM", "FPT=A", "FPO=1A", "ACT_EST_MAPPING=PRECISE", "FS=MRC", "CURRENCY=USD", "XLFILL=b")</f>
        <v>16.851272063074116</v>
      </c>
      <c r="I22" s="9">
        <f>_xll.BQL("ALK US Equity", "YIELD_PER_PASS_MILES_KM", "FPT=A", "FPO=0A", "ACT_EST_MAPPING=PRECISE", "FS=MRC", "CURRENCY=USD", "XLFILL=b")</f>
        <v>16.61</v>
      </c>
      <c r="J22" s="9">
        <f>_xll.BQL("ALK US Equity", "YIELD_PER_PASS_MILES_KM", "FPT=A", "FPO=-1A", "ACT_EST_MAPPING=PRECISE", "FS=MRC", "CURRENCY=USD", "XLFILL=b")</f>
        <v>17.16</v>
      </c>
      <c r="K22" s="9">
        <f>_xll.BQL("ALK US Equity", "YIELD_PER_PASS_MILES_KM", "FPT=A", "FPO=-2A", "ACT_EST_MAPPING=PRECISE", "FS=MRC", "CURRENCY=USD", "XLFILL=b")</f>
        <v>14.25</v>
      </c>
      <c r="L22" s="9">
        <f>_xll.BQL("ALK US Equity", "YIELD_PER_PASS_MILES_KM", "FPT=A", "FPO=-3A", "ACT_EST_MAPPING=PRECISE", "FS=MRC", "CURRENCY=USD", "XLFILL=b")</f>
        <v>14.73</v>
      </c>
      <c r="M22" s="9">
        <f>_xll.BQL("ALK US Equity", "YIELD_PER_PASS_MILES_KM", "FPT=A", "FPO=-4A", "ACT_EST_MAPPING=PRECISE", "FS=MRC", "CURRENCY=USD", "XLFILL=b")</f>
        <v>14.45</v>
      </c>
      <c r="N22" s="9">
        <f>_xll.BQL("ALK US Equity", "YIELD_PER_PASS_MILES_KM", "FPT=A", "FPO=-5A", "ACT_EST_MAPPING=PRECISE", "FS=MRC", "CURRENCY=USD", "XLFILL=b")</f>
        <v>13.96</v>
      </c>
    </row>
    <row r="23" spans="1:14" x14ac:dyDescent="0.2">
      <c r="A23" s="8" t="s">
        <v>12</v>
      </c>
      <c r="B23" s="4" t="s">
        <v>30</v>
      </c>
      <c r="C23" s="4"/>
      <c r="D23" s="4"/>
      <c r="E23" s="9" t="str">
        <f>_xll.BQL("ALK US Equity", "FA_GROWTH(YIELD_PER_PASS_MILES_KM, YOY)", "FPT=A", "FPO=4A", "ACT_EST_MAPPING=PRECISE", "FS=MRC", "CURRENCY=USD", "XLFILL=b")</f>
        <v/>
      </c>
      <c r="F23" s="9">
        <f>_xll.BQL("ALK US Equity", "FA_GROWTH(YIELD_PER_PASS_MILES_KM, YOY)", "FPT=A", "FPO=3A", "ACT_EST_MAPPING=PRECISE", "FS=MRC", "CURRENCY=USD", "XLFILL=b")</f>
        <v>1.2826736185464356</v>
      </c>
      <c r="G23" s="9">
        <f>_xll.BQL("ALK US Equity", "FA_GROWTH(YIELD_PER_PASS_MILES_KM, YOY)", "FPT=A", "FPO=2A", "ACT_EST_MAPPING=PRECISE", "FS=MRC", "CURRENCY=USD", "XLFILL=b")</f>
        <v>-0.10611480362787881</v>
      </c>
      <c r="H23" s="9">
        <f>_xll.BQL("ALK US Equity", "FA_GROWTH(YIELD_PER_PASS_MILES_KM, YOY)", "FPT=A", "FPO=1A", "ACT_EST_MAPPING=PRECISE", "FS=MRC", "CURRENCY=USD", "XLFILL=b")</f>
        <v>1.4525711202535641</v>
      </c>
      <c r="I23" s="9">
        <f>_xll.BQL("ALK US Equity", "FA_GROWTH(YIELD_PER_PASS_MILES_KM, YOY)", "FPT=A", "FPO=0A", "ACT_EST_MAPPING=PRECISE", "FS=MRC", "CURRENCY=USD", "XLFILL=b")</f>
        <v>-3.2051282051282093</v>
      </c>
      <c r="J23" s="9">
        <f>_xll.BQL("ALK US Equity", "FA_GROWTH(YIELD_PER_PASS_MILES_KM, YOY)", "FPT=A", "FPO=-1A", "ACT_EST_MAPPING=PRECISE", "FS=MRC", "CURRENCY=USD", "XLFILL=b")</f>
        <v>20.421052631578949</v>
      </c>
      <c r="K23" s="9">
        <f>_xll.BQL("ALK US Equity", "FA_GROWTH(YIELD_PER_PASS_MILES_KM, YOY)", "FPT=A", "FPO=-2A", "ACT_EST_MAPPING=PRECISE", "FS=MRC", "CURRENCY=USD", "XLFILL=b")</f>
        <v>-3.2586558044806546</v>
      </c>
      <c r="L23" s="9">
        <f>_xll.BQL("ALK US Equity", "FA_GROWTH(YIELD_PER_PASS_MILES_KM, YOY)", "FPT=A", "FPO=-3A", "ACT_EST_MAPPING=PRECISE", "FS=MRC", "CURRENCY=USD", "XLFILL=b")</f>
        <v>1.9377162629757865</v>
      </c>
      <c r="M23" s="9">
        <f>_xll.BQL("ALK US Equity", "FA_GROWTH(YIELD_PER_PASS_MILES_KM, YOY)", "FPT=A", "FPO=-4A", "ACT_EST_MAPPING=PRECISE", "FS=MRC", "CURRENCY=USD", "XLFILL=b")</f>
        <v>3.5100286532951177</v>
      </c>
      <c r="N23" s="9">
        <f>_xll.BQL("ALK US Equity", "FA_GROWTH(YIELD_PER_PASS_MILES_KM, YOY)", "FPT=A", "FPO=-5A", "ACT_EST_MAPPING=PRECISE", "FS=MRC", "CURRENCY=USD", "XLFILL=b")</f>
        <v>7.1684587813631281E-2</v>
      </c>
    </row>
    <row r="24" spans="1:14" x14ac:dyDescent="0.2">
      <c r="A24" s="8" t="s">
        <v>31</v>
      </c>
      <c r="B24" s="4" t="s">
        <v>32</v>
      </c>
      <c r="C24" s="4"/>
      <c r="D24" s="4"/>
      <c r="E24" s="9" t="str">
        <f>_xll.BQL("ALK US Equity", "OP_EXP_PER_ASM_ASK", "FPT=A", "FPO=4A", "ACT_EST_MAPPING=PRECISE", "FS=MRC", "CURRENCY=USD", "XLFILL=b")</f>
        <v/>
      </c>
      <c r="F24" s="9">
        <f>_xll.BQL("ALK US Equity", "OP_EXP_PER_ASM_ASK", "FPT=A", "FPO=3A", "ACT_EST_MAPPING=PRECISE", "FS=MRC", "CURRENCY=USD", "XLFILL=b")</f>
        <v>14.286552318859183</v>
      </c>
      <c r="G24" s="9">
        <f>_xll.BQL("ALK US Equity", "OP_EXP_PER_ASM_ASK", "FPT=A", "FPO=2A", "ACT_EST_MAPPING=PRECISE", "FS=MRC", "CURRENCY=USD", "XLFILL=b")</f>
        <v>14.211050666657584</v>
      </c>
      <c r="H24" s="9">
        <f>_xll.BQL("ALK US Equity", "OP_EXP_PER_ASM_ASK", "FPT=A", "FPO=1A", "ACT_EST_MAPPING=PRECISE", "FS=MRC", "CURRENCY=USD", "XLFILL=b")</f>
        <v>14.202002296505595</v>
      </c>
      <c r="I24" s="9">
        <f>_xll.BQL("ALK US Equity", "OP_EXP_PER_ASM_ASK", "FPT=A", "FPO=0A", "ACT_EST_MAPPING=PRECISE", "FS=MRC", "CURRENCY=USD", "XLFILL=b")</f>
        <v>14.64</v>
      </c>
      <c r="J24" s="9">
        <f>_xll.BQL("ALK US Equity", "OP_EXP_PER_ASM_ASK", "FPT=A", "FPO=-1A", "ACT_EST_MAPPING=PRECISE", "FS=MRC", "CURRENCY=USD", "XLFILL=b")</f>
        <v>15.76</v>
      </c>
      <c r="K24" s="9">
        <f>_xll.BQL("ALK US Equity", "OP_EXP_PER_ASM_ASK", "FPT=A", "FPO=-2A", "ACT_EST_MAPPING=PRECISE", "FS=MRC", "CURRENCY=USD", "XLFILL=b")</f>
        <v>10.47</v>
      </c>
      <c r="L24" s="9">
        <f>_xll.BQL("ALK US Equity", "OP_EXP_PER_ASM_ASK", "FPT=A", "FPO=-3A", "ACT_EST_MAPPING=PRECISE", "FS=MRC", "CURRENCY=USD", "XLFILL=b")</f>
        <v>14.39</v>
      </c>
      <c r="M24" s="9">
        <f>_xll.BQL("ALK US Equity", "OP_EXP_PER_ASM_ASK", "FPT=A", "FPO=-4A", "ACT_EST_MAPPING=PRECISE", "FS=MRC", "CURRENCY=USD", "XLFILL=b")</f>
        <v>11.58</v>
      </c>
      <c r="N24" s="9">
        <f>_xll.BQL("ALK US Equity", "OP_EXP_PER_ASM_ASK", "FPT=A", "FPO=-5A", "ACT_EST_MAPPING=PRECISE", "FS=MRC", "CURRENCY=USD", "XLFILL=b")</f>
        <v>11.66</v>
      </c>
    </row>
    <row r="25" spans="1:14" x14ac:dyDescent="0.2">
      <c r="A25" s="8" t="s">
        <v>12</v>
      </c>
      <c r="B25" s="4" t="s">
        <v>32</v>
      </c>
      <c r="C25" s="4"/>
      <c r="D25" s="4"/>
      <c r="E25" s="9" t="str">
        <f>_xll.BQL("ALK US Equity", "FA_GROWTH(OP_EXP_PER_ASM_ASK, YOY)", "FPT=A", "FPO=4A", "ACT_EST_MAPPING=PRECISE", "FS=MRC", "CURRENCY=USD", "XLFILL=b")</f>
        <v/>
      </c>
      <c r="F25" s="9">
        <f>_xll.BQL("ALK US Equity", "FA_GROWTH(OP_EXP_PER_ASM_ASK, YOY)", "FPT=A", "FPO=3A", "ACT_EST_MAPPING=PRECISE", "FS=MRC", "CURRENCY=USD", "XLFILL=b")</f>
        <v>0.53128831901741724</v>
      </c>
      <c r="G25" s="9">
        <f>_xll.BQL("ALK US Equity", "FA_GROWTH(OP_EXP_PER_ASM_ASK, YOY)", "FPT=A", "FPO=2A", "ACT_EST_MAPPING=PRECISE", "FS=MRC", "CURRENCY=USD", "XLFILL=b")</f>
        <v>6.3711932747788372E-2</v>
      </c>
      <c r="H25" s="9">
        <f>_xll.BQL("ALK US Equity", "FA_GROWTH(OP_EXP_PER_ASM_ASK, YOY)", "FPT=A", "FPO=1A", "ACT_EST_MAPPING=PRECISE", "FS=MRC", "CURRENCY=USD", "XLFILL=b")</f>
        <v>-2.9917875921748984</v>
      </c>
      <c r="I25" s="9">
        <f>_xll.BQL("ALK US Equity", "FA_GROWTH(OP_EXP_PER_ASM_ASK, YOY)", "FPT=A", "FPO=0A", "ACT_EST_MAPPING=PRECISE", "FS=MRC", "CURRENCY=USD", "XLFILL=b")</f>
        <v>-7.1065989847715683</v>
      </c>
      <c r="J25" s="9">
        <f>_xll.BQL("ALK US Equity", "FA_GROWTH(OP_EXP_PER_ASM_ASK, YOY)", "FPT=A", "FPO=-1A", "ACT_EST_MAPPING=PRECISE", "FS=MRC", "CURRENCY=USD", "XLFILL=b")</f>
        <v>50.525310410697216</v>
      </c>
      <c r="K25" s="9">
        <f>_xll.BQL("ALK US Equity", "FA_GROWTH(OP_EXP_PER_ASM_ASK, YOY)", "FPT=A", "FPO=-2A", "ACT_EST_MAPPING=PRECISE", "FS=MRC", "CURRENCY=USD", "XLFILL=b")</f>
        <v>-27.241139680333564</v>
      </c>
      <c r="L25" s="9">
        <f>_xll.BQL("ALK US Equity", "FA_GROWTH(OP_EXP_PER_ASM_ASK, YOY)", "FPT=A", "FPO=-3A", "ACT_EST_MAPPING=PRECISE", "FS=MRC", "CURRENCY=USD", "XLFILL=b")</f>
        <v>24.265975820379971</v>
      </c>
      <c r="M25" s="9">
        <f>_xll.BQL("ALK US Equity", "FA_GROWTH(OP_EXP_PER_ASM_ASK, YOY)", "FPT=A", "FPO=-4A", "ACT_EST_MAPPING=PRECISE", "FS=MRC", "CURRENCY=USD", "XLFILL=b")</f>
        <v>-0.68610634648370561</v>
      </c>
      <c r="N25" s="9">
        <f>_xll.BQL("ALK US Equity", "FA_GROWTH(OP_EXP_PER_ASM_ASK, YOY)", "FPT=A", "FPO=-5A", "ACT_EST_MAPPING=PRECISE", "FS=MRC", "CURRENCY=USD", "XLFILL=b")</f>
        <v>8.2636954503249829</v>
      </c>
    </row>
    <row r="26" spans="1:14" x14ac:dyDescent="0.2">
      <c r="A26" s="8" t="s">
        <v>33</v>
      </c>
      <c r="B26" s="4" t="s">
        <v>34</v>
      </c>
      <c r="C26" s="4"/>
      <c r="D26" s="4"/>
      <c r="E26" s="9" t="str">
        <f>_xll.BQL("ALK US Equity", "CONS_COST_PER_ASM_EX_FUEL", "FPT=A", "FPO=4A", "ACT_EST_MAPPING=PRECISE", "FS=MRC", "CURRENCY=USD", "XLFILL=b")</f>
        <v/>
      </c>
      <c r="F26" s="9">
        <f>_xll.BQL("ALK US Equity", "CONS_COST_PER_ASM_EX_FUEL", "FPT=A", "FPO=3A", "ACT_EST_MAPPING=PRECISE", "FS=MRC", "CURRENCY=USD", "XLFILL=b")</f>
        <v>10.973640606929495</v>
      </c>
      <c r="G26" s="9">
        <f>_xll.BQL("ALK US Equity", "CONS_COST_PER_ASM_EX_FUEL", "FPT=A", "FPO=2A", "ACT_EST_MAPPING=PRECISE", "FS=MRC", "CURRENCY=USD", "XLFILL=b")</f>
        <v>10.795193876602132</v>
      </c>
      <c r="H26" s="9">
        <f>_xll.BQL("ALK US Equity", "CONS_COST_PER_ASM_EX_FUEL", "FPT=A", "FPO=1A", "ACT_EST_MAPPING=PRECISE", "FS=MRC", "CURRENCY=USD", "XLFILL=b")</f>
        <v>10.69147888523327</v>
      </c>
      <c r="I26" s="9">
        <f>_xll.BQL("ALK US Equity", "CONS_COST_PER_ASM_EX_FUEL", "FPT=A", "FPO=0A", "ACT_EST_MAPPING=PRECISE", "FS=MRC", "CURRENCY=USD", "XLFILL=b")</f>
        <v>10.79</v>
      </c>
      <c r="J26" s="9">
        <f>_xll.BQL("ALK US Equity", "CONS_COST_PER_ASM_EX_FUEL", "FPT=A", "FPO=-1A", "ACT_EST_MAPPING=PRECISE", "FS=MRC", "CURRENCY=USD", "XLFILL=b")</f>
        <v>11.37</v>
      </c>
      <c r="K26" s="9">
        <f>_xll.BQL("ALK US Equity", "CONS_COST_PER_ASM_EX_FUEL", "FPT=A", "FPO=-2A", "ACT_EST_MAPPING=PRECISE", "FS=MRC", "CURRENCY=USD", "XLFILL=b")</f>
        <v>9.7740489999999998</v>
      </c>
      <c r="L26" s="9">
        <f>_xll.BQL("ALK US Equity", "CONS_COST_PER_ASM_EX_FUEL", "FPT=A", "FPO=-3A", "ACT_EST_MAPPING=PRECISE", "FS=MRC", "CURRENCY=USD", "XLFILL=b")</f>
        <v>12.44</v>
      </c>
      <c r="M26" s="9">
        <f>_xll.BQL("ALK US Equity", "CONS_COST_PER_ASM_EX_FUEL", "FPT=A", "FPO=-4A", "ACT_EST_MAPPING=PRECISE", "FS=MRC", "CURRENCY=USD", "XLFILL=b")</f>
        <v>8.76</v>
      </c>
      <c r="N26" s="9">
        <f>_xll.BQL("ALK US Equity", "CONS_COST_PER_ASM_EX_FUEL", "FPT=A", "FPO=-5A", "ACT_EST_MAPPING=PRECISE", "FS=MRC", "CURRENCY=USD", "XLFILL=b")</f>
        <v>8.6999999999999993</v>
      </c>
    </row>
    <row r="27" spans="1:14" x14ac:dyDescent="0.2">
      <c r="A27" s="8" t="s">
        <v>12</v>
      </c>
      <c r="B27" s="4" t="s">
        <v>34</v>
      </c>
      <c r="C27" s="4"/>
      <c r="D27" s="4"/>
      <c r="E27" s="9" t="str">
        <f>_xll.BQL("ALK US Equity", "FA_GROWTH(CONS_COST_PER_ASM_EX_FUEL, YOY)", "FPT=A", "FPO=4A", "ACT_EST_MAPPING=PRECISE", "FS=MRC", "CURRENCY=USD", "XLFILL=b")</f>
        <v/>
      </c>
      <c r="F27" s="9">
        <f>_xll.BQL("ALK US Equity", "FA_GROWTH(CONS_COST_PER_ASM_EX_FUEL, YOY)", "FPT=A", "FPO=3A", "ACT_EST_MAPPING=PRECISE", "FS=MRC", "CURRENCY=USD", "XLFILL=b")</f>
        <v>1.6530201529231792</v>
      </c>
      <c r="G27" s="9">
        <f>_xll.BQL("ALK US Equity", "FA_GROWTH(CONS_COST_PER_ASM_EX_FUEL, YOY)", "FPT=A", "FPO=2A", "ACT_EST_MAPPING=PRECISE", "FS=MRC", "CURRENCY=USD", "XLFILL=b")</f>
        <v>0.97007151659917212</v>
      </c>
      <c r="H27" s="9">
        <f>_xll.BQL("ALK US Equity", "FA_GROWTH(CONS_COST_PER_ASM_EX_FUEL, YOY)", "FPT=A", "FPO=1A", "ACT_EST_MAPPING=PRECISE", "FS=MRC", "CURRENCY=USD", "XLFILL=b")</f>
        <v>-0.91307798671667584</v>
      </c>
      <c r="I27" s="9">
        <f>_xll.BQL("ALK US Equity", "FA_GROWTH(CONS_COST_PER_ASM_EX_FUEL, YOY)", "FPT=A", "FPO=0A", "ACT_EST_MAPPING=PRECISE", "FS=MRC", "CURRENCY=USD", "XLFILL=b")</f>
        <v>-5.1011433597185585</v>
      </c>
      <c r="J27" s="9">
        <f>_xll.BQL("ALK US Equity", "FA_GROWTH(CONS_COST_PER_ASM_EX_FUEL, YOY)", "FPT=A", "FPO=-1A", "ACT_EST_MAPPING=PRECISE", "FS=MRC", "CURRENCY=USD", "XLFILL=b")</f>
        <v>16.328453029036375</v>
      </c>
      <c r="K27" s="9">
        <f>_xll.BQL("ALK US Equity", "FA_GROWTH(CONS_COST_PER_ASM_EX_FUEL, YOY)", "FPT=A", "FPO=-2A", "ACT_EST_MAPPING=PRECISE", "FS=MRC", "CURRENCY=USD", "XLFILL=b")</f>
        <v>-21.430474276527331</v>
      </c>
      <c r="L27" s="9">
        <f>_xll.BQL("ALK US Equity", "FA_GROWTH(CONS_COST_PER_ASM_EX_FUEL, YOY)", "FPT=A", "FPO=-3A", "ACT_EST_MAPPING=PRECISE", "FS=MRC", "CURRENCY=USD", "XLFILL=b")</f>
        <v>42.009132420091326</v>
      </c>
      <c r="M27" s="9">
        <f>_xll.BQL("ALK US Equity", "FA_GROWTH(CONS_COST_PER_ASM_EX_FUEL, YOY)", "FPT=A", "FPO=-4A", "ACT_EST_MAPPING=PRECISE", "FS=MRC", "CURRENCY=USD", "XLFILL=b")</f>
        <v>0.68965517241379892</v>
      </c>
      <c r="N27" s="9">
        <f>_xll.BQL("ALK US Equity", "FA_GROWTH(CONS_COST_PER_ASM_EX_FUEL, YOY)", "FPT=A", "FPO=-5A", "ACT_EST_MAPPING=PRECISE", "FS=MRC", "CURRENCY=USD", "XLFILL=b")</f>
        <v>3.0805687203791448</v>
      </c>
    </row>
    <row r="28" spans="1:14" x14ac:dyDescent="0.2">
      <c r="A28" s="8" t="s">
        <v>35</v>
      </c>
      <c r="B28" s="4" t="s">
        <v>36</v>
      </c>
      <c r="C28" s="4"/>
      <c r="D28" s="4"/>
      <c r="E28" s="9" t="str">
        <f>_xll.BQL("ALK US Equity", "REV_PASS_CARRIED/1K", "FPT=A", "FPO=4A", "ACT_EST_MAPPING=PRECISE", "FS=MRC", "CURRENCY=USD", "XLFILL=b")</f>
        <v/>
      </c>
      <c r="F28" s="9">
        <f>_xll.BQL("ALK US Equity", "REV_PASS_CARRIED/1K", "FPT=A", "FPO=3A", "ACT_EST_MAPPING=PRECISE", "FS=MRC", "CURRENCY=USD", "XLFILL=b")</f>
        <v>77236.060068148407</v>
      </c>
      <c r="G28" s="9">
        <f>_xll.BQL("ALK US Equity", "REV_PASS_CARRIED/1K", "FPT=A", "FPO=2A", "ACT_EST_MAPPING=PRECISE", "FS=MRC", "CURRENCY=USD", "XLFILL=b")</f>
        <v>74986.466085580963</v>
      </c>
      <c r="H28" s="9">
        <f>_xll.BQL("ALK US Equity", "REV_PASS_CARRIED/1K", "FPT=A", "FPO=1A", "ACT_EST_MAPPING=PRECISE", "FS=MRC", "CURRENCY=USD", "XLFILL=b")</f>
        <v>46290.942279466399</v>
      </c>
      <c r="I28" s="9">
        <f>_xll.BQL("ALK US Equity", "REV_PASS_CARRIED/1K", "FPT=A", "FPO=0A", "ACT_EST_MAPPING=PRECISE", "FS=MRC", "CURRENCY=USD", "XLFILL=b")</f>
        <v>44557</v>
      </c>
      <c r="J28" s="9">
        <f>_xll.BQL("ALK US Equity", "REV_PASS_CARRIED/1K", "FPT=A", "FPO=-1A", "ACT_EST_MAPPING=PRECISE", "FS=MRC", "CURRENCY=USD", "XLFILL=b")</f>
        <v>41468</v>
      </c>
      <c r="K28" s="9">
        <f>_xll.BQL("ALK US Equity", "REV_PASS_CARRIED/1K", "FPT=A", "FPO=-2A", "ACT_EST_MAPPING=PRECISE", "FS=MRC", "CURRENCY=USD", "XLFILL=b")</f>
        <v>32407</v>
      </c>
      <c r="L28" s="9">
        <f>_xll.BQL("ALK US Equity", "REV_PASS_CARRIED/1K", "FPT=A", "FPO=-3A", "ACT_EST_MAPPING=PRECISE", "FS=MRC", "CURRENCY=USD", "XLFILL=b")</f>
        <v>17927</v>
      </c>
      <c r="M28" s="9">
        <f>_xll.BQL("ALK US Equity", "REV_PASS_CARRIED/1K", "FPT=A", "FPO=-4A", "ACT_EST_MAPPING=PRECISE", "FS=MRC", "CURRENCY=USD", "XLFILL=b")</f>
        <v>46733</v>
      </c>
      <c r="N28" s="9">
        <f>_xll.BQL("ALK US Equity", "REV_PASS_CARRIED/1K", "FPT=A", "FPO=-5A", "ACT_EST_MAPPING=PRECISE", "FS=MRC", "CURRENCY=USD", "XLFILL=b")</f>
        <v>45802</v>
      </c>
    </row>
    <row r="29" spans="1:14" x14ac:dyDescent="0.2">
      <c r="A29" s="8" t="s">
        <v>12</v>
      </c>
      <c r="B29" s="4" t="s">
        <v>36</v>
      </c>
      <c r="C29" s="4"/>
      <c r="D29" s="4"/>
      <c r="E29" s="9" t="str">
        <f>_xll.BQL("ALK US Equity", "FA_GROWTH(REV_PASS_CARRIED, YOY)", "FPT=A", "FPO=4A", "ACT_EST_MAPPING=PRECISE", "FS=MRC", "CURRENCY=USD", "XLFILL=b")</f>
        <v/>
      </c>
      <c r="F29" s="9">
        <f>_xll.BQL("ALK US Equity", "FA_GROWTH(REV_PASS_CARRIED, YOY)", "FPT=A", "FPO=3A", "ACT_EST_MAPPING=PRECISE", "FS=MRC", "CURRENCY=USD", "XLFILL=b")</f>
        <v>3.0000000000000209</v>
      </c>
      <c r="G29" s="9">
        <f>_xll.BQL("ALK US Equity", "FA_GROWTH(REV_PASS_CARRIED, YOY)", "FPT=A", "FPO=2A", "ACT_EST_MAPPING=PRECISE", "FS=MRC", "CURRENCY=USD", "XLFILL=b")</f>
        <v>61.989500306290459</v>
      </c>
      <c r="H29" s="9">
        <f>_xll.BQL("ALK US Equity", "FA_GROWTH(REV_PASS_CARRIED, YOY)", "FPT=A", "FPO=1A", "ACT_EST_MAPPING=PRECISE", "FS=MRC", "CURRENCY=USD", "XLFILL=b")</f>
        <v>3.8915148673977109</v>
      </c>
      <c r="I29" s="9">
        <f>_xll.BQL("ALK US Equity", "FA_GROWTH(REV_PASS_CARRIED, YOY)", "FPT=A", "FPO=0A", "ACT_EST_MAPPING=PRECISE", "FS=MRC", "CURRENCY=USD", "XLFILL=b")</f>
        <v>7.449117391723739</v>
      </c>
      <c r="J29" s="9">
        <f>_xll.BQL("ALK US Equity", "FA_GROWTH(REV_PASS_CARRIED, YOY)", "FPT=A", "FPO=-1A", "ACT_EST_MAPPING=PRECISE", "FS=MRC", "CURRENCY=USD", "XLFILL=b")</f>
        <v>27.960008640108619</v>
      </c>
      <c r="K29" s="9">
        <f>_xll.BQL("ALK US Equity", "FA_GROWTH(REV_PASS_CARRIED, YOY)", "FPT=A", "FPO=-2A", "ACT_EST_MAPPING=PRECISE", "FS=MRC", "CURRENCY=USD", "XLFILL=b")</f>
        <v>80.77201985831428</v>
      </c>
      <c r="L29" s="9">
        <f>_xll.BQL("ALK US Equity", "FA_GROWTH(REV_PASS_CARRIED, YOY)", "FPT=A", "FPO=-3A", "ACT_EST_MAPPING=PRECISE", "FS=MRC", "CURRENCY=USD", "XLFILL=b")</f>
        <v>-61.639526672800805</v>
      </c>
      <c r="M29" s="9">
        <f>_xll.BQL("ALK US Equity", "FA_GROWTH(REV_PASS_CARRIED, YOY)", "FPT=A", "FPO=-4A", "ACT_EST_MAPPING=PRECISE", "FS=MRC", "CURRENCY=USD", "XLFILL=b")</f>
        <v>2.032662329155932</v>
      </c>
      <c r="N29" s="9">
        <f>_xll.BQL("ALK US Equity", "FA_GROWTH(REV_PASS_CARRIED, YOY)", "FPT=A", "FPO=-5A", "ACT_EST_MAPPING=PRECISE", "FS=MRC", "CURRENCY=USD", "XLFILL=b")</f>
        <v>4.0836268605840242</v>
      </c>
    </row>
    <row r="30" spans="1:14" x14ac:dyDescent="0.2">
      <c r="A30" s="8" t="s">
        <v>37</v>
      </c>
      <c r="B30" s="4" t="s">
        <v>38</v>
      </c>
      <c r="C30" s="4"/>
      <c r="D30" s="4"/>
      <c r="E30" s="9" t="str">
        <f>_xll.BQL("ALK US Equity", "SIZE_OF_FLEET", "FPT=A", "FPO=4A", "ACT_EST_MAPPING=PRECISE", "FS=MRC", "CURRENCY=USD", "XLFILL=b")</f>
        <v/>
      </c>
      <c r="F30" s="9">
        <f>_xll.BQL("ALK US Equity", "SIZE_OF_FLEET", "FPT=A", "FPO=3A", "ACT_EST_MAPPING=PRECISE", "FS=MRC", "CURRENCY=USD", "XLFILL=b")</f>
        <v>389</v>
      </c>
      <c r="G30" s="9">
        <f>_xll.BQL("ALK US Equity", "SIZE_OF_FLEET", "FPT=A", "FPO=2A", "ACT_EST_MAPPING=PRECISE", "FS=MRC", "CURRENCY=USD", "XLFILL=b")</f>
        <v>356</v>
      </c>
      <c r="H30" s="9">
        <f>_xll.BQL("ALK US Equity", "SIZE_OF_FLEET", "FPT=A", "FPO=1A", "ACT_EST_MAPPING=PRECISE", "FS=MRC", "CURRENCY=USD", "XLFILL=b")</f>
        <v>340</v>
      </c>
      <c r="I30" s="9">
        <f>_xll.BQL("ALK US Equity", "SIZE_OF_FLEET", "FPT=A", "FPO=0A", "ACT_EST_MAPPING=PRECISE", "FS=MRC", "CURRENCY=USD", "XLFILL=b")</f>
        <v>314</v>
      </c>
      <c r="J30" s="9">
        <f>_xll.BQL("ALK US Equity", "SIZE_OF_FLEET", "FPT=A", "FPO=-1A", "ACT_EST_MAPPING=PRECISE", "FS=MRC", "CURRENCY=USD", "XLFILL=b")</f>
        <v>311</v>
      </c>
      <c r="K30" s="9">
        <f>_xll.BQL("ALK US Equity", "SIZE_OF_FLEET", "FPT=A", "FPO=-2A", "ACT_EST_MAPPING=PRECISE", "FS=MRC", "CURRENCY=USD", "XLFILL=b")</f>
        <v>311</v>
      </c>
      <c r="L30" s="9">
        <f>_xll.BQL("ALK US Equity", "SIZE_OF_FLEET", "FPT=A", "FPO=-3A", "ACT_EST_MAPPING=PRECISE", "FS=MRC", "CURRENCY=USD", "XLFILL=b")</f>
        <v>291</v>
      </c>
      <c r="M30" s="9">
        <f>_xll.BQL("ALK US Equity", "SIZE_OF_FLEET", "FPT=A", "FPO=-4A", "ACT_EST_MAPPING=PRECISE", "FS=MRC", "CURRENCY=USD", "XLFILL=b")</f>
        <v>332</v>
      </c>
      <c r="N30" s="9">
        <f>_xll.BQL("ALK US Equity", "SIZE_OF_FLEET", "FPT=A", "FPO=-5A", "ACT_EST_MAPPING=PRECISE", "FS=MRC", "CURRENCY=USD", "XLFILL=b")</f>
        <v>330</v>
      </c>
    </row>
    <row r="31" spans="1:14" x14ac:dyDescent="0.2">
      <c r="A31" s="8" t="s">
        <v>12</v>
      </c>
      <c r="B31" s="4" t="s">
        <v>38</v>
      </c>
      <c r="C31" s="4"/>
      <c r="D31" s="4"/>
      <c r="E31" s="9" t="str">
        <f>_xll.BQL("ALK US Equity", "FA_GROWTH(SIZE_OF_FLEET, YOY)", "FPT=A", "FPO=4A", "ACT_EST_MAPPING=PRECISE", "FS=MRC", "CURRENCY=USD", "XLFILL=b")</f>
        <v/>
      </c>
      <c r="F31" s="9">
        <f>_xll.BQL("ALK US Equity", "FA_GROWTH(SIZE_OF_FLEET, YOY)", "FPT=A", "FPO=3A", "ACT_EST_MAPPING=PRECISE", "FS=MRC", "CURRENCY=USD", "XLFILL=b")</f>
        <v>9.2696629213483153</v>
      </c>
      <c r="G31" s="9">
        <f>_xll.BQL("ALK US Equity", "FA_GROWTH(SIZE_OF_FLEET, YOY)", "FPT=A", "FPO=2A", "ACT_EST_MAPPING=PRECISE", "FS=MRC", "CURRENCY=USD", "XLFILL=b")</f>
        <v>4.7058823529411766</v>
      </c>
      <c r="H31" s="9">
        <f>_xll.BQL("ALK US Equity", "FA_GROWTH(SIZE_OF_FLEET, YOY)", "FPT=A", "FPO=1A", "ACT_EST_MAPPING=PRECISE", "FS=MRC", "CURRENCY=USD", "XLFILL=b")</f>
        <v>8.2802547770700645</v>
      </c>
      <c r="I31" s="9">
        <f>_xll.BQL("ALK US Equity", "FA_GROWTH(SIZE_OF_FLEET, YOY)", "FPT=A", "FPO=0A", "ACT_EST_MAPPING=PRECISE", "FS=MRC", "CURRENCY=USD", "XLFILL=b")</f>
        <v>0.96463022508038587</v>
      </c>
      <c r="J31" s="9">
        <f>_xll.BQL("ALK US Equity", "FA_GROWTH(SIZE_OF_FLEET, YOY)", "FPT=A", "FPO=-1A", "ACT_EST_MAPPING=PRECISE", "FS=MRC", "CURRENCY=USD", "XLFILL=b")</f>
        <v>0</v>
      </c>
      <c r="K31" s="9">
        <f>_xll.BQL("ALK US Equity", "FA_GROWTH(SIZE_OF_FLEET, YOY)", "FPT=A", "FPO=-2A", "ACT_EST_MAPPING=PRECISE", "FS=MRC", "CURRENCY=USD", "XLFILL=b")</f>
        <v>6.8728522336769755</v>
      </c>
      <c r="L31" s="9">
        <f>_xll.BQL("ALK US Equity", "FA_GROWTH(SIZE_OF_FLEET, YOY)", "FPT=A", "FPO=-3A", "ACT_EST_MAPPING=PRECISE", "FS=MRC", "CURRENCY=USD", "XLFILL=b")</f>
        <v>-12.349397590361447</v>
      </c>
      <c r="M31" s="9">
        <f>_xll.BQL("ALK US Equity", "FA_GROWTH(SIZE_OF_FLEET, YOY)", "FPT=A", "FPO=-4A", "ACT_EST_MAPPING=PRECISE", "FS=MRC", "CURRENCY=USD", "XLFILL=b")</f>
        <v>0.60606060606060608</v>
      </c>
      <c r="N31" s="9">
        <f>_xll.BQL("ALK US Equity", "FA_GROWTH(SIZE_OF_FLEET, YOY)", "FPT=A", "FPO=-5A", "ACT_EST_MAPPING=PRECISE", "FS=MRC", "CURRENCY=USD", "XLFILL=b")</f>
        <v>8.5526315789473681</v>
      </c>
    </row>
    <row r="32" spans="1:14" x14ac:dyDescent="0.2">
      <c r="A32" s="8" t="s">
        <v>16</v>
      </c>
      <c r="B32" s="4"/>
      <c r="C32" s="4"/>
      <c r="D32" s="4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x14ac:dyDescent="0.2">
      <c r="A33" s="8" t="s">
        <v>39</v>
      </c>
      <c r="B33" s="4" t="s">
        <v>40</v>
      </c>
      <c r="C33" s="4" t="s">
        <v>41</v>
      </c>
      <c r="D33" s="4"/>
      <c r="E33" s="9" t="str">
        <f>_xll.BQL("ALK US Equity", "AIRLINES_EBITDAR_RATIO/1M", "FPT=A", "FPO=4A", "ACT_EST_MAPPING=PRECISE", "FS=MRC", "CURRENCY=USD", "XLFILL=b")</f>
        <v/>
      </c>
      <c r="F33" s="9">
        <f>_xll.BQL("ALK US Equity", "AIRLINES_EBITDAR_RATIO/1M", "FPT=A", "FPO=3A", "ACT_EST_MAPPING=PRECISE", "FS=MRC", "CURRENCY=USD", "XLFILL=b")</f>
        <v>1964.7171081018739</v>
      </c>
      <c r="G33" s="9">
        <f>_xll.BQL("ALK US Equity", "AIRLINES_EBITDAR_RATIO/1M", "FPT=A", "FPO=2A", "ACT_EST_MAPPING=PRECISE", "FS=MRC", "CURRENCY=USD", "XLFILL=b")</f>
        <v>1791.0120381894128</v>
      </c>
      <c r="H33" s="9">
        <f>_xll.BQL("ALK US Equity", "AIRLINES_EBITDAR_RATIO/1M", "FPT=A", "FPO=1A", "ACT_EST_MAPPING=PRECISE", "FS=MRC", "CURRENCY=USD", "XLFILL=b")</f>
        <v>1426.6549633050522</v>
      </c>
      <c r="I33" s="9">
        <f>_xll.BQL("ALK US Equity", "AIRLINES_EBITDAR_RATIO/1M", "FPT=A", "FPO=0A", "ACT_EST_MAPPING=PRECISE", "FS=MRC", "CURRENCY=USD", "XLFILL=b")</f>
        <v>1520</v>
      </c>
      <c r="J33" s="9">
        <f>_xll.BQL("ALK US Equity", "AIRLINES_EBITDAR_RATIO/1M", "FPT=A", "FPO=-1A", "ACT_EST_MAPPING=PRECISE", "FS=MRC", "CURRENCY=USD", "XLFILL=b")</f>
        <v>1178</v>
      </c>
      <c r="K33" s="9">
        <f>_xll.BQL("ALK US Equity", "AIRLINES_EBITDAR_RATIO/1M", "FPT=A", "FPO=-2A", "ACT_EST_MAPPING=PRECISE", "FS=MRC", "CURRENCY=USD", "XLFILL=b")</f>
        <v>1079</v>
      </c>
      <c r="L33" s="9">
        <f>_xll.BQL("ALK US Equity", "AIRLINES_EBITDAR_RATIO/1M", "FPT=A", "FPO=-3A", "ACT_EST_MAPPING=PRECISE", "FS=MRC", "CURRENCY=USD", "XLFILL=b")</f>
        <v>-1066</v>
      </c>
      <c r="M33" s="9">
        <f>_xll.BQL("ALK US Equity", "AIRLINES_EBITDAR_RATIO/1M", "FPT=A", "FPO=-4A", "ACT_EST_MAPPING=PRECISE", "FS=MRC", "CURRENCY=USD", "XLFILL=b")</f>
        <v>1805</v>
      </c>
      <c r="N33" s="9">
        <f>_xll.BQL("ALK US Equity", "AIRLINES_EBITDAR_RATIO/1M", "FPT=A", "FPO=-5A", "ACT_EST_MAPPING=PRECISE", "FS=MRC", "CURRENCY=USD", "XLFILL=b")</f>
        <v>1041</v>
      </c>
    </row>
    <row r="34" spans="1:14" x14ac:dyDescent="0.2">
      <c r="A34" s="8" t="s">
        <v>12</v>
      </c>
      <c r="B34" s="4" t="s">
        <v>40</v>
      </c>
      <c r="C34" s="4" t="s">
        <v>41</v>
      </c>
      <c r="D34" s="4"/>
      <c r="E34" s="9" t="str">
        <f>_xll.BQL("ALK US Equity", "FA_GROWTH(AIRLINES_EBITDAR_RATIO, YOY)", "FPT=A", "FPO=4A", "ACT_EST_MAPPING=PRECISE", "FS=MRC", "CURRENCY=USD", "XLFILL=b")</f>
        <v/>
      </c>
      <c r="F34" s="9" t="e">
        <f ca="1">_xll.BQL("ALK US Equity", "FA_GROWTH(AIRLINES_EBITDAR_RATIO, YOY)", "FPT=A", "FPO=3A", "ACT_EST_MAPPING=PRECISE", "FS=MRC", "CURRENCY=USD", "XLFILL=b")</f>
        <v>#NAME?</v>
      </c>
      <c r="G34" s="9">
        <f>_xll.BQL("ALK US Equity", "FA_GROWTH(AIRLINES_EBITDAR_RATIO, YOY)", "FPT=A", "FPO=2A", "ACT_EST_MAPPING=PRECISE", "FS=MRC", "CURRENCY=USD", "XLFILL=b")</f>
        <v>25.53925681093029</v>
      </c>
      <c r="H34" s="9">
        <f>_xll.BQL("ALK US Equity", "FA_GROWTH(AIRLINES_EBITDAR_RATIO, YOY)", "FPT=A", "FPO=1A", "ACT_EST_MAPPING=PRECISE", "FS=MRC", "CURRENCY=USD", "XLFILL=b")</f>
        <v>-6.141120835193929</v>
      </c>
      <c r="I34" s="9">
        <f>_xll.BQL("ALK US Equity", "FA_GROWTH(AIRLINES_EBITDAR_RATIO, YOY)", "FPT=A", "FPO=0A", "ACT_EST_MAPPING=PRECISE", "FS=MRC", "CURRENCY=USD", "XLFILL=b")</f>
        <v>29.032258064516128</v>
      </c>
      <c r="J34" s="9">
        <f>_xll.BQL("ALK US Equity", "FA_GROWTH(AIRLINES_EBITDAR_RATIO, YOY)", "FPT=A", "FPO=-1A", "ACT_EST_MAPPING=PRECISE", "FS=MRC", "CURRENCY=USD", "XLFILL=b")</f>
        <v>9.1751621872103808</v>
      </c>
      <c r="K34" s="9">
        <f>_xll.BQL("ALK US Equity", "FA_GROWTH(AIRLINES_EBITDAR_RATIO, YOY)", "FPT=A", "FPO=-2A", "ACT_EST_MAPPING=PRECISE", "FS=MRC", "CURRENCY=USD", "XLFILL=b")</f>
        <v>201.21951219512195</v>
      </c>
      <c r="L34" s="9">
        <f>_xll.BQL("ALK US Equity", "FA_GROWTH(AIRLINES_EBITDAR_RATIO, YOY)", "FPT=A", "FPO=-3A", "ACT_EST_MAPPING=PRECISE", "FS=MRC", "CURRENCY=USD", "XLFILL=b")</f>
        <v>-159.05817174515235</v>
      </c>
      <c r="M34" s="9">
        <f>_xll.BQL("ALK US Equity", "FA_GROWTH(AIRLINES_EBITDAR_RATIO, YOY)", "FPT=A", "FPO=-4A", "ACT_EST_MAPPING=PRECISE", "FS=MRC", "CURRENCY=USD", "XLFILL=b")</f>
        <v>73.390970220941398</v>
      </c>
      <c r="N34" s="9" t="str">
        <f>_xll.BQL("ALK US Equity", "FA_GROWTH(AIRLINES_EBITDAR_RATIO, YOY)", "FPT=A", "FPO=-5A", "ACT_EST_MAPPING=PRECISE", "FS=MRC", "CURRENCY=USD", "XLFILL=b")</f>
        <v/>
      </c>
    </row>
    <row r="35" spans="1:14" x14ac:dyDescent="0.2">
      <c r="A35" s="8" t="s">
        <v>42</v>
      </c>
      <c r="B35" s="4" t="s">
        <v>43</v>
      </c>
      <c r="C35" s="4" t="s">
        <v>44</v>
      </c>
      <c r="D35" s="4"/>
      <c r="E35" s="9" t="str">
        <f>_xll.BQL("ALK US Equity", "IS_COMP_NET_INCOME_ADJUST_OLD/1M", "FPT=A", "FPO=4A", "ACT_EST_MAPPING=PRECISE", "FS=MRC", "CURRENCY=USD", "XLFILL=b")</f>
        <v/>
      </c>
      <c r="F35" s="9" t="e">
        <f ca="1">_xll.BQL("ALK US Equity", "IS_COMP_NET_INCOME_ADJUST_OLD/1M", "FPT=A", "FPO=4A", "ACT_EST_MAPPING=PRECISE", "FS=MRC", "CURRENCY=USD", "XLFILL=b")</f>
        <v>#NAME?</v>
      </c>
      <c r="G35" s="9">
        <f>_xll.BQL("ALK US Equity", "IS_COMP_NET_INCOME_ADJUST_OLD/1M", "FPT=A", "FPO=2A", "ACT_EST_MAPPING=PRECISE", "FS=MRC", "CURRENCY=USD", "XLFILL=b")</f>
        <v>746.16666666666663</v>
      </c>
      <c r="H35" s="9">
        <f>_xll.BQL("ALK US Equity", "IS_COMP_NET_INCOME_ADJUST_OLD/1M", "FPT=A", "FPO=1A", "ACT_EST_MAPPING=PRECISE", "FS=MRC", "CURRENCY=USD", "XLFILL=b")</f>
        <v>585.66666666666663</v>
      </c>
      <c r="I35" s="9">
        <f>_xll.BQL("ALK US Equity", "IS_COMP_NET_INCOME_ADJUST_OLD/1M", "FPT=A", "FPO=0A", "ACT_EST_MAPPING=PRECISE", "FS=MRC", "CURRENCY=USD", "XLFILL=b")</f>
        <v>583</v>
      </c>
      <c r="J35" s="9">
        <f>_xll.BQL("ALK US Equity", "IS_COMP_NET_INCOME_ADJUST_OLD/1M", "FPT=A", "FPO=-1A", "ACT_EST_MAPPING=PRECISE", "FS=MRC", "CURRENCY=USD", "XLFILL=b")</f>
        <v>556</v>
      </c>
      <c r="K35" s="9">
        <f>_xll.BQL("ALK US Equity", "IS_COMP_NET_INCOME_ADJUST_OLD/1M", "FPT=A", "FPO=-2A", "ACT_EST_MAPPING=PRECISE", "FS=MRC", "CURRENCY=USD", "XLFILL=b")</f>
        <v>-256</v>
      </c>
      <c r="L35" s="9">
        <f>_xll.BQL("ALK US Equity", "IS_COMP_NET_INCOME_ADJUST_OLD/1M", "FPT=A", "FPO=-3A", "ACT_EST_MAPPING=PRECISE", "FS=MRC", "CURRENCY=USD", "XLFILL=b")</f>
        <v>-1256</v>
      </c>
      <c r="M35" s="9">
        <f>_xll.BQL("ALK US Equity", "IS_COMP_NET_INCOME_ADJUST_OLD/1M", "FPT=A", "FPO=-4A", "ACT_EST_MAPPING=PRECISE", "FS=MRC", "CURRENCY=USD", "XLFILL=b")</f>
        <v>798</v>
      </c>
      <c r="N35" s="9">
        <f>_xll.BQL("ALK US Equity", "IS_COMP_NET_INCOME_ADJUST_OLD/1M", "FPT=A", "FPO=-5A", "ACT_EST_MAPPING=PRECISE", "FS=MRC", "CURRENCY=USD", "XLFILL=b")</f>
        <v>554</v>
      </c>
    </row>
    <row r="36" spans="1:14" x14ac:dyDescent="0.2">
      <c r="A36" s="8" t="s">
        <v>12</v>
      </c>
      <c r="B36" s="4" t="s">
        <v>43</v>
      </c>
      <c r="C36" s="4" t="s">
        <v>44</v>
      </c>
      <c r="D36" s="4"/>
      <c r="E36" s="9" t="str">
        <f>_xll.BQL("ALK US Equity", "FA_GROWTH(IS_COMP_NET_INCOME_ADJUST_OLD, YOY)", "FPT=A", "FPO=4A", "ACT_EST_MAPPING=PRECISE", "FS=MRC", "CURRENCY=USD", "XLFILL=b")</f>
        <v/>
      </c>
      <c r="F36" s="9">
        <f>_xll.BQL("ALK US Equity", "FA_GROWTH(IS_COMP_NET_INCOME_ADJUST_OLD, YOY)", "FPT=A", "FPO=3A", "ACT_EST_MAPPING=PRECISE", "FS=MRC", "CURRENCY=USD", "XLFILL=b")</f>
        <v>14.585660040205502</v>
      </c>
      <c r="G36" s="9">
        <f>_xll.BQL("ALK US Equity", "FA_GROWTH(IS_COMP_NET_INCOME_ADJUST_OLD, YOY)", "FPT=A", "FPO=2A", "ACT_EST_MAPPING=PRECISE", "FS=MRC", "CURRENCY=USD", "XLFILL=b")</f>
        <v>27.404667046101309</v>
      </c>
      <c r="H36" s="9">
        <f>_xll.BQL("ALK US Equity", "FA_GROWTH(IS_COMP_NET_INCOME_ADJUST_OLD, YOY)", "FPT=A", "FPO=1A", "ACT_EST_MAPPING=PRECISE", "FS=MRC", "CURRENCY=USD", "XLFILL=b")</f>
        <v>0.45740423098912986</v>
      </c>
      <c r="I36" s="9">
        <f>_xll.BQL("ALK US Equity", "FA_GROWTH(IS_COMP_NET_INCOME_ADJUST_OLD, YOY)", "FPT=A", "FPO=0A", "ACT_EST_MAPPING=PRECISE", "FS=MRC", "CURRENCY=USD", "XLFILL=b")</f>
        <v>4.8561151079136691</v>
      </c>
      <c r="J36" s="9">
        <f>_xll.BQL("ALK US Equity", "FA_GROWTH(IS_COMP_NET_INCOME_ADJUST_OLD, YOY)", "FPT=A", "FPO=-1A", "ACT_EST_MAPPING=PRECISE", "FS=MRC", "CURRENCY=USD", "XLFILL=b")</f>
        <v>317.1875</v>
      </c>
      <c r="K36" s="9">
        <f>_xll.BQL("ALK US Equity", "FA_GROWTH(IS_COMP_NET_INCOME_ADJUST_OLD, YOY)", "FPT=A", "FPO=-2A", "ACT_EST_MAPPING=PRECISE", "FS=MRC", "CURRENCY=USD", "XLFILL=b")</f>
        <v>79.617834394904463</v>
      </c>
      <c r="L36" s="9">
        <f>_xll.BQL("ALK US Equity", "FA_GROWTH(IS_COMP_NET_INCOME_ADJUST_OLD, YOY)", "FPT=A", "FPO=-3A", "ACT_EST_MAPPING=PRECISE", "FS=MRC", "CURRENCY=USD", "XLFILL=b")</f>
        <v>-257.3934837092732</v>
      </c>
      <c r="M36" s="9">
        <f>_xll.BQL("ALK US Equity", "FA_GROWTH(IS_COMP_NET_INCOME_ADJUST_OLD, YOY)", "FPT=A", "FPO=-4A", "ACT_EST_MAPPING=PRECISE", "FS=MRC", "CURRENCY=USD", "XLFILL=b")</f>
        <v>44.04332129963899</v>
      </c>
      <c r="N36" s="9">
        <f>_xll.BQL("ALK US Equity", "FA_GROWTH(IS_COMP_NET_INCOME_ADJUST_OLD, YOY)", "FPT=A", "FPO=-5A", "ACT_EST_MAPPING=PRECISE", "FS=MRC", "CURRENCY=USD", "XLFILL=b")</f>
        <v>-32.685297691373023</v>
      </c>
    </row>
    <row r="37" spans="1:14" x14ac:dyDescent="0.2">
      <c r="A37" s="8" t="s">
        <v>16</v>
      </c>
      <c r="B37" s="4"/>
      <c r="C37" s="4"/>
      <c r="D37" s="4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2">
      <c r="A38" s="8" t="s">
        <v>45</v>
      </c>
      <c r="B38" s="4" t="s">
        <v>46</v>
      </c>
      <c r="C38" s="4"/>
      <c r="D38" s="4"/>
      <c r="E38" s="9" t="str">
        <f>_xll.BQL("ALK US Equity", "CF_CASH_FROM_OPER/1M", "FPT=A", "FPO=4A", "ACT_EST_MAPPING=PRECISE", "FS=MRC", "CURRENCY=USD", "XLFILL=b")</f>
        <v/>
      </c>
      <c r="F38" s="9">
        <f>_xll.BQL("ALK US Equity", "CF_CASH_FROM_OPER/1M", "FPT=A", "FPO=3A", "ACT_EST_MAPPING=PRECISE", "FS=MRC", "CURRENCY=USD", "XLFILL=b")</f>
        <v>1684.8264204600189</v>
      </c>
      <c r="G38" s="9">
        <f>_xll.BQL("ALK US Equity", "CF_CASH_FROM_OPER/1M", "FPT=A", "FPO=2A", "ACT_EST_MAPPING=PRECISE", "FS=MRC", "CURRENCY=USD", "XLFILL=b")</f>
        <v>1640.9080927362543</v>
      </c>
      <c r="H38" s="9">
        <f>_xll.BQL("ALK US Equity", "CF_CASH_FROM_OPER/1M", "FPT=A", "FPO=1A", "ACT_EST_MAPPING=PRECISE", "FS=MRC", "CURRENCY=USD", "XLFILL=b")</f>
        <v>1469.3668325618598</v>
      </c>
      <c r="I38" s="9">
        <f>_xll.BQL("ALK US Equity", "CF_CASH_FROM_OPER/1M", "FPT=A", "FPO=0A", "ACT_EST_MAPPING=PRECISE", "FS=MRC", "CURRENCY=USD", "XLFILL=b")</f>
        <v>1050</v>
      </c>
      <c r="J38" s="9">
        <f>_xll.BQL("ALK US Equity", "CF_CASH_FROM_OPER/1M", "FPT=A", "FPO=-1A", "ACT_EST_MAPPING=PRECISE", "FS=MRC", "CURRENCY=USD", "XLFILL=b")</f>
        <v>1418</v>
      </c>
      <c r="K38" s="9">
        <f>_xll.BQL("ALK US Equity", "CF_CASH_FROM_OPER/1M", "FPT=A", "FPO=-2A", "ACT_EST_MAPPING=PRECISE", "FS=MRC", "CURRENCY=USD", "XLFILL=b")</f>
        <v>1030</v>
      </c>
      <c r="L38" s="9">
        <f>_xll.BQL("ALK US Equity", "CF_CASH_FROM_OPER/1M", "FPT=A", "FPO=-3A", "ACT_EST_MAPPING=PRECISE", "FS=MRC", "CURRENCY=USD", "XLFILL=b")</f>
        <v>-234</v>
      </c>
      <c r="M38" s="9">
        <f>_xll.BQL("ALK US Equity", "CF_CASH_FROM_OPER/1M", "FPT=A", "FPO=-4A", "ACT_EST_MAPPING=PRECISE", "FS=MRC", "CURRENCY=USD", "XLFILL=b")</f>
        <v>1722</v>
      </c>
      <c r="N38" s="9">
        <f>_xll.BQL("ALK US Equity", "CF_CASH_FROM_OPER/1M", "FPT=A", "FPO=-5A", "ACT_EST_MAPPING=PRECISE", "FS=MRC", "CURRENCY=USD", "XLFILL=b")</f>
        <v>1195</v>
      </c>
    </row>
    <row r="39" spans="1:14" x14ac:dyDescent="0.2">
      <c r="A39" s="8" t="s">
        <v>12</v>
      </c>
      <c r="B39" s="4" t="s">
        <v>46</v>
      </c>
      <c r="C39" s="4"/>
      <c r="D39" s="4"/>
      <c r="E39" s="9" t="str">
        <f>_xll.BQL("ALK US Equity", "FA_GROWTH(CF_CASH_FROM_OPER, YOY)", "FPT=A", "FPO=4A", "ACT_EST_MAPPING=PRECISE", "FS=MRC", "CURRENCY=USD", "XLFILL=b")</f>
        <v/>
      </c>
      <c r="F39" s="9">
        <f>_xll.BQL("ALK US Equity", "FA_GROWTH(CF_CASH_FROM_OPER, YOY)", "FPT=A", "FPO=3A", "ACT_EST_MAPPING=PRECISE", "FS=MRC", "CURRENCY=USD", "XLFILL=b")</f>
        <v>2.6764648134881082</v>
      </c>
      <c r="G39" s="9">
        <f>_xll.BQL("ALK US Equity", "FA_GROWTH(CF_CASH_FROM_OPER, YOY)", "FPT=A", "FPO=2A", "ACT_EST_MAPPING=PRECISE", "FS=MRC", "CURRENCY=USD", "XLFILL=b")</f>
        <v>11.674501994529848</v>
      </c>
      <c r="H39" s="9">
        <f>_xll.BQL("ALK US Equity", "FA_GROWTH(CF_CASH_FROM_OPER, YOY)", "FPT=A", "FPO=1A", "ACT_EST_MAPPING=PRECISE", "FS=MRC", "CURRENCY=USD", "XLFILL=b")</f>
        <v>39.939698339224748</v>
      </c>
      <c r="I39" s="9">
        <f>_xll.BQL("ALK US Equity", "FA_GROWTH(CF_CASH_FROM_OPER, YOY)", "FPT=A", "FPO=0A", "ACT_EST_MAPPING=PRECISE", "FS=MRC", "CURRENCY=USD", "XLFILL=b")</f>
        <v>-25.952045133991536</v>
      </c>
      <c r="J39" s="9">
        <f>_xll.BQL("ALK US Equity", "FA_GROWTH(CF_CASH_FROM_OPER, YOY)", "FPT=A", "FPO=-1A", "ACT_EST_MAPPING=PRECISE", "FS=MRC", "CURRENCY=USD", "XLFILL=b")</f>
        <v>37.66990291262136</v>
      </c>
      <c r="K39" s="9">
        <f>_xll.BQL("ALK US Equity", "FA_GROWTH(CF_CASH_FROM_OPER, YOY)", "FPT=A", "FPO=-2A", "ACT_EST_MAPPING=PRECISE", "FS=MRC", "CURRENCY=USD", "XLFILL=b")</f>
        <v>540.17094017094018</v>
      </c>
      <c r="L39" s="9">
        <f>_xll.BQL("ALK US Equity", "FA_GROWTH(CF_CASH_FROM_OPER, YOY)", "FPT=A", "FPO=-3A", "ACT_EST_MAPPING=PRECISE", "FS=MRC", "CURRENCY=USD", "XLFILL=b")</f>
        <v>-113.58885017421603</v>
      </c>
      <c r="M39" s="9">
        <f>_xll.BQL("ALK US Equity", "FA_GROWTH(CF_CASH_FROM_OPER, YOY)", "FPT=A", "FPO=-4A", "ACT_EST_MAPPING=PRECISE", "FS=MRC", "CURRENCY=USD", "XLFILL=b")</f>
        <v>44.10041841004184</v>
      </c>
      <c r="N39" s="9">
        <f>_xll.BQL("ALK US Equity", "FA_GROWTH(CF_CASH_FROM_OPER, YOY)", "FPT=A", "FPO=-5A", "ACT_EST_MAPPING=PRECISE", "FS=MRC", "CURRENCY=USD", "XLFILL=b")</f>
        <v>-24.842767295597483</v>
      </c>
    </row>
    <row r="40" spans="1:14" x14ac:dyDescent="0.2">
      <c r="A40" s="8" t="s">
        <v>16</v>
      </c>
      <c r="B40" s="4"/>
      <c r="C40" s="4"/>
      <c r="D40" s="4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x14ac:dyDescent="0.2">
      <c r="A41" s="8" t="s">
        <v>47</v>
      </c>
      <c r="B41" s="4"/>
      <c r="C41" s="4" t="s">
        <v>48</v>
      </c>
      <c r="D41" s="4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2">
      <c r="A42" s="8" t="s">
        <v>16</v>
      </c>
      <c r="B42" s="4"/>
      <c r="C42" s="4"/>
      <c r="D42" s="4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x14ac:dyDescent="0.2">
      <c r="A43" s="8" t="s">
        <v>49</v>
      </c>
      <c r="B43" s="4"/>
      <c r="C43" s="4" t="s">
        <v>50</v>
      </c>
      <c r="D43" s="4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x14ac:dyDescent="0.2">
      <c r="A44" s="8" t="s">
        <v>25</v>
      </c>
      <c r="B44" s="4" t="s">
        <v>26</v>
      </c>
      <c r="C44" s="4"/>
      <c r="D44" s="4"/>
      <c r="E44" s="9" t="str">
        <f>_xll.BQL("ALK US Equity", "TOTAL_PASSENGER_REVENUE/1M", "FPT=A", "FPO=4A", "ACT_EST_MAPPING=PRECISE", "FS=MRC", "CURRENCY=USD", "XLFILL=b")</f>
        <v/>
      </c>
      <c r="F44" s="9">
        <f>_xll.BQL("ALK US Equity", "TOTAL_PASSENGER_REVENUE/1M", "FPT=A", "FPO=3A", "ACT_EST_MAPPING=PRECISE", "FS=MRC", "CURRENCY=USD", "XLFILL=b")</f>
        <v>12479.558567453614</v>
      </c>
      <c r="G44" s="9">
        <f>_xll.BQL("ALK US Equity", "TOTAL_PASSENGER_REVENUE/1M", "FPT=A", "FPO=2A", "ACT_EST_MAPPING=PRECISE", "FS=MRC", "CURRENCY=USD", "XLFILL=b")</f>
        <v>11104.678879688718</v>
      </c>
      <c r="H44" s="9">
        <f>_xll.BQL("ALK US Equity", "TOTAL_PASSENGER_REVENUE/1M", "FPT=A", "FPO=1A", "ACT_EST_MAPPING=PRECISE", "FS=MRC", "CURRENCY=USD", "XLFILL=b")</f>
        <v>9870.2622259431864</v>
      </c>
      <c r="I44" s="9">
        <f>_xll.BQL("ALK US Equity", "TOTAL_PASSENGER_REVENUE/1M", "FPT=A", "FPO=0A", "ACT_EST_MAPPING=PRECISE", "FS=MRC", "CURRENCY=USD", "XLFILL=b")</f>
        <v>9526</v>
      </c>
      <c r="J44" s="9">
        <f>_xll.BQL("ALK US Equity", "TOTAL_PASSENGER_REVENUE/1M", "FPT=A", "FPO=-1A", "ACT_EST_MAPPING=PRECISE", "FS=MRC", "CURRENCY=USD", "XLFILL=b")</f>
        <v>8808</v>
      </c>
      <c r="K44" s="9">
        <f>_xll.BQL("ALK US Equity", "TOTAL_PASSENGER_REVENUE/1M", "FPT=A", "FPO=-2A", "ACT_EST_MAPPING=PRECISE", "FS=MRC", "CURRENCY=USD", "XLFILL=b")</f>
        <v>5499</v>
      </c>
      <c r="L44" s="9">
        <f>_xll.BQL("ALK US Equity", "TOTAL_PASSENGER_REVENUE/1M", "FPT=A", "FPO=-3A", "ACT_EST_MAPPING=PRECISE", "FS=MRC", "CURRENCY=USD", "XLFILL=b")</f>
        <v>3019</v>
      </c>
      <c r="M44" s="9">
        <f>_xll.BQL("ALK US Equity", "TOTAL_PASSENGER_REVENUE/1M", "FPT=A", "FPO=-4A", "ACT_EST_MAPPING=PRECISE", "FS=MRC", "CURRENCY=USD", "XLFILL=b")</f>
        <v>8095</v>
      </c>
      <c r="N44" s="9">
        <f>_xll.BQL("ALK US Equity", "TOTAL_PASSENGER_REVENUE/1M", "FPT=A", "FPO=-5A", "ACT_EST_MAPPING=PRECISE", "FS=MRC", "CURRENCY=USD", "XLFILL=b")</f>
        <v>7631</v>
      </c>
    </row>
    <row r="45" spans="1:14" x14ac:dyDescent="0.2">
      <c r="A45" s="8" t="s">
        <v>12</v>
      </c>
      <c r="B45" s="4" t="s">
        <v>26</v>
      </c>
      <c r="C45" s="4"/>
      <c r="D45" s="4"/>
      <c r="E45" s="9" t="str">
        <f>_xll.BQL("ALK US Equity", "FA_GROWTH(TOTAL_PASSENGER_REVENUE, YOY)", "FPT=A", "FPO=4A", "ACT_EST_MAPPING=PRECISE", "FS=MRC", "CURRENCY=USD", "XLFILL=b")</f>
        <v/>
      </c>
      <c r="F45" s="9">
        <f>_xll.BQL("ALK US Equity", "FA_GROWTH(TOTAL_PASSENGER_REVENUE, YOY)", "FPT=A", "FPO=3A", "ACT_EST_MAPPING=PRECISE", "FS=MRC", "CURRENCY=USD", "XLFILL=b")</f>
        <v>12.381084610016535</v>
      </c>
      <c r="G45" s="9">
        <f>_xll.BQL("ALK US Equity", "FA_GROWTH(TOTAL_PASSENGER_REVENUE, YOY)", "FPT=A", "FPO=2A", "ACT_EST_MAPPING=PRECISE", "FS=MRC", "CURRENCY=USD", "XLFILL=b")</f>
        <v>12.506422073579429</v>
      </c>
      <c r="H45" s="9">
        <f>_xll.BQL("ALK US Equity", "FA_GROWTH(TOTAL_PASSENGER_REVENUE, YOY)", "FPT=A", "FPO=1A", "ACT_EST_MAPPING=PRECISE", "FS=MRC", "CURRENCY=USD", "XLFILL=b")</f>
        <v>3.613922170304281</v>
      </c>
      <c r="I45" s="9">
        <f>_xll.BQL("ALK US Equity", "FA_GROWTH(TOTAL_PASSENGER_REVENUE, YOY)", "FPT=A", "FPO=0A", "ACT_EST_MAPPING=PRECISE", "FS=MRC", "CURRENCY=USD", "XLFILL=b")</f>
        <v>8.1516802906448689</v>
      </c>
      <c r="J45" s="9">
        <f>_xll.BQL("ALK US Equity", "FA_GROWTH(TOTAL_PASSENGER_REVENUE, YOY)", "FPT=A", "FPO=-1A", "ACT_EST_MAPPING=PRECISE", "FS=MRC", "CURRENCY=USD", "XLFILL=b")</f>
        <v>60.174577195853793</v>
      </c>
      <c r="K45" s="9">
        <f>_xll.BQL("ALK US Equity", "FA_GROWTH(TOTAL_PASSENGER_REVENUE, YOY)", "FPT=A", "FPO=-2A", "ACT_EST_MAPPING=PRECISE", "FS=MRC", "CURRENCY=USD", "XLFILL=b")</f>
        <v>82.146406094733351</v>
      </c>
      <c r="L45" s="9">
        <f>_xll.BQL("ALK US Equity", "FA_GROWTH(TOTAL_PASSENGER_REVENUE, YOY)", "FPT=A", "FPO=-3A", "ACT_EST_MAPPING=PRECISE", "FS=MRC", "CURRENCY=USD", "XLFILL=b")</f>
        <v>-62.705373687461396</v>
      </c>
      <c r="M45" s="9">
        <f>_xll.BQL("ALK US Equity", "FA_GROWTH(TOTAL_PASSENGER_REVENUE, YOY)", "FPT=A", "FPO=-4A", "ACT_EST_MAPPING=PRECISE", "FS=MRC", "CURRENCY=USD", "XLFILL=b")</f>
        <v>6.0804612763726906</v>
      </c>
      <c r="N45" s="9">
        <f>_xll.BQL("ALK US Equity", "FA_GROWTH(TOTAL_PASSENGER_REVENUE, YOY)", "FPT=A", "FPO=-5A", "ACT_EST_MAPPING=PRECISE", "FS=MRC", "CURRENCY=USD", "XLFILL=b")</f>
        <v>4.5199287768798797</v>
      </c>
    </row>
    <row r="46" spans="1:14" x14ac:dyDescent="0.2">
      <c r="A46" s="8" t="s">
        <v>51</v>
      </c>
      <c r="B46" s="4" t="s">
        <v>20</v>
      </c>
      <c r="C46" s="4" t="s">
        <v>21</v>
      </c>
      <c r="D46" s="4"/>
      <c r="E46" s="9" t="str">
        <f>_xll.BQL("ALK US Equity", "AVAIL_SEAT_MILES_KM/1M", "FPT=A", "FPO=4A", "ACT_EST_MAPPING=PRECISE", "FS=MRC", "CURRENCY=USD", "XLFILL=b")</f>
        <v/>
      </c>
      <c r="F46" s="9">
        <f>_xll.BQL("ALK US Equity", "AVAIL_SEAT_MILES_KM/1M", "FPT=A", "FPO=3A", "ACT_EST_MAPPING=PRECISE", "FS=MRC", "CURRENCY=USD", "XLFILL=b")</f>
        <v>87328.343607206654</v>
      </c>
      <c r="G46" s="9">
        <f>_xll.BQL("ALK US Equity", "AVAIL_SEAT_MILES_KM/1M", "FPT=A", "FPO=2A", "ACT_EST_MAPPING=PRECISE", "FS=MRC", "CURRENCY=USD", "XLFILL=b")</f>
        <v>78629.373765227749</v>
      </c>
      <c r="H46" s="9">
        <f>_xll.BQL("ALK US Equity", "AVAIL_SEAT_MILES_KM/1M", "FPT=A", "FPO=1A", "ACT_EST_MAPPING=PRECISE", "FS=MRC", "CURRENCY=USD", "XLFILL=b")</f>
        <v>70000.352358192511</v>
      </c>
      <c r="I46" s="9">
        <f>_xll.BQL("ALK US Equity", "AVAIL_SEAT_MILES_KM/1M", "FPT=A", "FPO=0A", "ACT_EST_MAPPING=PRECISE", "FS=MRC", "CURRENCY=USD", "XLFILL=b")</f>
        <v>68524</v>
      </c>
      <c r="J46" s="9">
        <f>_xll.BQL("ALK US Equity", "AVAIL_SEAT_MILES_KM/1M", "FPT=A", "FPO=-1A", "ACT_EST_MAPPING=PRECISE", "FS=MRC", "CURRENCY=USD", "XLFILL=b")</f>
        <v>60773</v>
      </c>
      <c r="K46" s="9">
        <f>_xll.BQL("ALK US Equity", "AVAIL_SEAT_MILES_KM/1M", "FPT=A", "FPO=-2A", "ACT_EST_MAPPING=PRECISE", "FS=MRC", "CURRENCY=USD", "XLFILL=b")</f>
        <v>52445</v>
      </c>
      <c r="L46" s="9">
        <f>_xll.BQL("ALK US Equity", "AVAIL_SEAT_MILES_KM/1M", "FPT=A", "FPO=-3A", "ACT_EST_MAPPING=PRECISE", "FS=MRC", "CURRENCY=USD", "XLFILL=b")</f>
        <v>37114</v>
      </c>
      <c r="M46" s="9">
        <f>_xll.BQL("ALK US Equity", "AVAIL_SEAT_MILES_KM/1M", "FPT=A", "FPO=-4A", "ACT_EST_MAPPING=PRECISE", "FS=MRC", "CURRENCY=USD", "XLFILL=b")</f>
        <v>66654</v>
      </c>
      <c r="N46" s="9">
        <f>_xll.BQL("ALK US Equity", "AVAIL_SEAT_MILES_KM/1M", "FPT=A", "FPO=-5A", "ACT_EST_MAPPING=PRECISE", "FS=MRC", "CURRENCY=USD", "XLFILL=b")</f>
        <v>65335</v>
      </c>
    </row>
    <row r="47" spans="1:14" x14ac:dyDescent="0.2">
      <c r="A47" s="8" t="s">
        <v>12</v>
      </c>
      <c r="B47" s="4" t="s">
        <v>20</v>
      </c>
      <c r="C47" s="4" t="s">
        <v>21</v>
      </c>
      <c r="D47" s="4"/>
      <c r="E47" s="9" t="str">
        <f>_xll.BQL("ALK US Equity", "FA_GROWTH(AVAIL_SEAT_MILES_KM, YOY)", "FPT=A", "FPO=4A", "ACT_EST_MAPPING=PRECISE", "FS=MRC", "CURRENCY=USD", "XLFILL=b")</f>
        <v/>
      </c>
      <c r="F47" s="9">
        <f>_xll.BQL("ALK US Equity", "FA_GROWTH(AVAIL_SEAT_MILES_KM, YOY)", "FPT=A", "FPO=3A", "ACT_EST_MAPPING=PRECISE", "FS=MRC", "CURRENCY=USD", "XLFILL=b")</f>
        <v>11.063257184207462</v>
      </c>
      <c r="G47" s="9">
        <f>_xll.BQL("ALK US Equity", "FA_GROWTH(AVAIL_SEAT_MILES_KM, YOY)", "FPT=A", "FPO=2A", "ACT_EST_MAPPING=PRECISE", "FS=MRC", "CURRENCY=USD", "XLFILL=b")</f>
        <v>12.327111387783392</v>
      </c>
      <c r="H47" s="9">
        <f>_xll.BQL("ALK US Equity", "FA_GROWTH(AVAIL_SEAT_MILES_KM, YOY)", "FPT=A", "FPO=1A", "ACT_EST_MAPPING=PRECISE", "FS=MRC", "CURRENCY=USD", "XLFILL=b")</f>
        <v>2.1545040543349847</v>
      </c>
      <c r="I47" s="9">
        <f>_xll.BQL("ALK US Equity", "FA_GROWTH(AVAIL_SEAT_MILES_KM, YOY)", "FPT=A", "FPO=0A", "ACT_EST_MAPPING=PRECISE", "FS=MRC", "CURRENCY=USD", "XLFILL=b")</f>
        <v>12.754019054514341</v>
      </c>
      <c r="J47" s="9">
        <f>_xll.BQL("ALK US Equity", "FA_GROWTH(AVAIL_SEAT_MILES_KM, YOY)", "FPT=A", "FPO=-1A", "ACT_EST_MAPPING=PRECISE", "FS=MRC", "CURRENCY=USD", "XLFILL=b")</f>
        <v>15.87949280198303</v>
      </c>
      <c r="K47" s="9">
        <f>_xll.BQL("ALK US Equity", "FA_GROWTH(AVAIL_SEAT_MILES_KM, YOY)", "FPT=A", "FPO=-2A", "ACT_EST_MAPPING=PRECISE", "FS=MRC", "CURRENCY=USD", "XLFILL=b")</f>
        <v>41.307862262219111</v>
      </c>
      <c r="L47" s="9">
        <f>_xll.BQL("ALK US Equity", "FA_GROWTH(AVAIL_SEAT_MILES_KM, YOY)", "FPT=A", "FPO=-3A", "ACT_EST_MAPPING=PRECISE", "FS=MRC", "CURRENCY=USD", "XLFILL=b")</f>
        <v>-44.318420499894977</v>
      </c>
      <c r="M47" s="9">
        <f>_xll.BQL("ALK US Equity", "FA_GROWTH(AVAIL_SEAT_MILES_KM, YOY)", "FPT=A", "FPO=-4A", "ACT_EST_MAPPING=PRECISE", "FS=MRC", "CURRENCY=USD", "XLFILL=b")</f>
        <v>2.0188260503558584</v>
      </c>
      <c r="N47" s="9">
        <f>_xll.BQL("ALK US Equity", "FA_GROWTH(AVAIL_SEAT_MILES_KM, YOY)", "FPT=A", "FPO=-5A", "ACT_EST_MAPPING=PRECISE", "FS=MRC", "CURRENCY=USD", "XLFILL=b")</f>
        <v>5.2567985565150153</v>
      </c>
    </row>
    <row r="48" spans="1:14" x14ac:dyDescent="0.2">
      <c r="A48" s="8" t="s">
        <v>52</v>
      </c>
      <c r="B48" s="4" t="s">
        <v>17</v>
      </c>
      <c r="C48" s="4" t="s">
        <v>18</v>
      </c>
      <c r="D48" s="4"/>
      <c r="E48" s="9" t="str">
        <f>_xll.BQL("ALK US Equity", "REV_PASS_MILES_KM/1M", "FPT=A", "FPO=4A", "ACT_EST_MAPPING=PRECISE", "FS=MRC", "CURRENCY=USD", "XLFILL=b")</f>
        <v/>
      </c>
      <c r="F48" s="9">
        <f>_xll.BQL("ALK US Equity", "REV_PASS_MILES_KM/1M", "FPT=A", "FPO=3A", "ACT_EST_MAPPING=PRECISE", "FS=MRC", "CURRENCY=USD", "XLFILL=b")</f>
        <v>73535.169300462076</v>
      </c>
      <c r="G48" s="9">
        <f>_xll.BQL("ALK US Equity", "REV_PASS_MILES_KM/1M", "FPT=A", "FPO=2A", "ACT_EST_MAPPING=PRECISE", "FS=MRC", "CURRENCY=USD", "XLFILL=b")</f>
        <v>66015.519130115266</v>
      </c>
      <c r="H48" s="9">
        <f>_xll.BQL("ALK US Equity", "REV_PASS_MILES_KM/1M", "FPT=A", "FPO=1A", "ACT_EST_MAPPING=PRECISE", "FS=MRC", "CURRENCY=USD", "XLFILL=b")</f>
        <v>58630.342468586001</v>
      </c>
      <c r="I48" s="9">
        <f>_xll.BQL("ALK US Equity", "REV_PASS_MILES_KM/1M", "FPT=A", "FPO=0A", "ACT_EST_MAPPING=PRECISE", "FS=MRC", "CURRENCY=USD", "XLFILL=b")</f>
        <v>57362</v>
      </c>
      <c r="J48" s="9">
        <f>_xll.BQL("ALK US Equity", "REV_PASS_MILES_KM/1M", "FPT=A", "FPO=-1A", "ACT_EST_MAPPING=PRECISE", "FS=MRC", "CURRENCY=USD", "XLFILL=b")</f>
        <v>51330</v>
      </c>
      <c r="K48" s="9">
        <f>_xll.BQL("ALK US Equity", "REV_PASS_MILES_KM/1M", "FPT=A", "FPO=-2A", "ACT_EST_MAPPING=PRECISE", "FS=MRC", "CURRENCY=USD", "XLFILL=b")</f>
        <v>38598</v>
      </c>
      <c r="L48" s="9">
        <f>_xll.BQL("ALK US Equity", "REV_PASS_MILES_KM/1M", "FPT=A", "FPO=-3A", "ACT_EST_MAPPING=PRECISE", "FS=MRC", "CURRENCY=USD", "XLFILL=b")</f>
        <v>20493</v>
      </c>
      <c r="M48" s="9">
        <f>_xll.BQL("ALK US Equity", "REV_PASS_MILES_KM/1M", "FPT=A", "FPO=-4A", "ACT_EST_MAPPING=PRECISE", "FS=MRC", "CURRENCY=USD", "XLFILL=b")</f>
        <v>56040</v>
      </c>
      <c r="N48" s="9">
        <f>_xll.BQL("ALK US Equity", "REV_PASS_MILES_KM/1M", "FPT=A", "FPO=-5A", "ACT_EST_MAPPING=PRECISE", "FS=MRC", "CURRENCY=USD", "XLFILL=b")</f>
        <v>54673</v>
      </c>
    </row>
    <row r="49" spans="1:14" x14ac:dyDescent="0.2">
      <c r="A49" s="8" t="s">
        <v>12</v>
      </c>
      <c r="B49" s="4" t="s">
        <v>17</v>
      </c>
      <c r="C49" s="4" t="s">
        <v>18</v>
      </c>
      <c r="D49" s="4"/>
      <c r="E49" s="9" t="str">
        <f>_xll.BQL("ALK US Equity", "FA_GROWTH(REV_PASS_MILES_KM, YOY)", "FPT=A", "FPO=4A", "ACT_EST_MAPPING=PRECISE", "FS=MRC", "CURRENCY=USD", "XLFILL=b")</f>
        <v/>
      </c>
      <c r="F49" s="9">
        <f>_xll.BQL("ALK US Equity", "FA_GROWTH(REV_PASS_MILES_KM, YOY)", "FPT=A", "FPO=3A", "ACT_EST_MAPPING=PRECISE", "FS=MRC", "CURRENCY=USD", "XLFILL=b")</f>
        <v>11.390730951499052</v>
      </c>
      <c r="G49" s="9">
        <f>_xll.BQL("ALK US Equity", "FA_GROWTH(REV_PASS_MILES_KM, YOY)", "FPT=A", "FPO=2A", "ACT_EST_MAPPING=PRECISE", "FS=MRC", "CURRENCY=USD", "XLFILL=b")</f>
        <v>12.596168384119924</v>
      </c>
      <c r="H49" s="9">
        <f>_xll.BQL("ALK US Equity", "FA_GROWTH(REV_PASS_MILES_KM, YOY)", "FPT=A", "FPO=1A", "ACT_EST_MAPPING=PRECISE", "FS=MRC", "CURRENCY=USD", "XLFILL=b")</f>
        <v>2.2111196760677774</v>
      </c>
      <c r="I49" s="9">
        <f>_xll.BQL("ALK US Equity", "FA_GROWTH(REV_PASS_MILES_KM, YOY)", "FPT=A", "FPO=0A", "ACT_EST_MAPPING=PRECISE", "FS=MRC", "CURRENCY=USD", "XLFILL=b")</f>
        <v>11.751412429378531</v>
      </c>
      <c r="J49" s="9">
        <f>_xll.BQL("ALK US Equity", "FA_GROWTH(REV_PASS_MILES_KM, YOY)", "FPT=A", "FPO=-1A", "ACT_EST_MAPPING=PRECISE", "FS=MRC", "CURRENCY=USD", "XLFILL=b")</f>
        <v>32.9861650862739</v>
      </c>
      <c r="K49" s="9">
        <f>_xll.BQL("ALK US Equity", "FA_GROWTH(REV_PASS_MILES_KM, YOY)", "FPT=A", "FPO=-2A", "ACT_EST_MAPPING=PRECISE", "FS=MRC", "CURRENCY=USD", "XLFILL=b")</f>
        <v>88.347240521153566</v>
      </c>
      <c r="L49" s="9">
        <f>_xll.BQL("ALK US Equity", "FA_GROWTH(REV_PASS_MILES_KM, YOY)", "FPT=A", "FPO=-3A", "ACT_EST_MAPPING=PRECISE", "FS=MRC", "CURRENCY=USD", "XLFILL=b")</f>
        <v>-63.431477516059957</v>
      </c>
      <c r="M49" s="9">
        <f>_xll.BQL("ALK US Equity", "FA_GROWTH(REV_PASS_MILES_KM, YOY)", "FPT=A", "FPO=-4A", "ACT_EST_MAPPING=PRECISE", "FS=MRC", "CURRENCY=USD", "XLFILL=b")</f>
        <v>2.5003200848682163</v>
      </c>
      <c r="N49" s="9">
        <f>_xll.BQL("ALK US Equity", "FA_GROWTH(REV_PASS_MILES_KM, YOY)", "FPT=A", "FPO=-5A", "ACT_EST_MAPPING=PRECISE", "FS=MRC", "CURRENCY=USD", "XLFILL=b")</f>
        <v>4.4613856089265926</v>
      </c>
    </row>
    <row r="50" spans="1:14" x14ac:dyDescent="0.2">
      <c r="A50" s="8" t="s">
        <v>22</v>
      </c>
      <c r="B50" s="4" t="s">
        <v>23</v>
      </c>
      <c r="C50" s="4" t="s">
        <v>24</v>
      </c>
      <c r="D50" s="4"/>
      <c r="E50" s="9" t="str">
        <f>_xll.BQL("ALK US Equity", "LOAD_FACTOR", "FPT=A", "FPO=4A", "ACT_EST_MAPPING=PRECISE", "FS=MRC", "CURRENCY=USD", "XLFILL=b")</f>
        <v/>
      </c>
      <c r="F50" s="9">
        <f>_xll.BQL("ALK US Equity", "LOAD_FACTOR", "FPT=A", "FPO=3A", "ACT_EST_MAPPING=PRECISE", "FS=MRC", "CURRENCY=USD", "XLFILL=b")</f>
        <v>84.237673012483526</v>
      </c>
      <c r="G50" s="9">
        <f>_xll.BQL("ALK US Equity", "LOAD_FACTOR", "FPT=A", "FPO=2A", "ACT_EST_MAPPING=PRECISE", "FS=MRC", "CURRENCY=USD", "XLFILL=b")</f>
        <v>83.956746673972845</v>
      </c>
      <c r="H50" s="9">
        <f>_xll.BQL("ALK US Equity", "LOAD_FACTOR", "FPT=A", "FPO=1A", "ACT_EST_MAPPING=PRECISE", "FS=MRC", "CURRENCY=USD", "XLFILL=b")</f>
        <v>83.757517792536717</v>
      </c>
      <c r="I50" s="9">
        <f>_xll.BQL("ALK US Equity", "LOAD_FACTOR", "FPT=A", "FPO=0A", "ACT_EST_MAPPING=PRECISE", "FS=MRC", "CURRENCY=USD", "XLFILL=b")</f>
        <v>83.7</v>
      </c>
      <c r="J50" s="9">
        <f>_xll.BQL("ALK US Equity", "LOAD_FACTOR", "FPT=A", "FPO=-1A", "ACT_EST_MAPPING=PRECISE", "FS=MRC", "CURRENCY=USD", "XLFILL=b")</f>
        <v>84.5</v>
      </c>
      <c r="K50" s="9">
        <f>_xll.BQL("ALK US Equity", "LOAD_FACTOR", "FPT=A", "FPO=-2A", "ACT_EST_MAPPING=PRECISE", "FS=MRC", "CURRENCY=USD", "XLFILL=b")</f>
        <v>73.599999999999994</v>
      </c>
      <c r="L50" s="9">
        <f>_xll.BQL("ALK US Equity", "LOAD_FACTOR", "FPT=A", "FPO=-3A", "ACT_EST_MAPPING=PRECISE", "FS=MRC", "CURRENCY=USD", "XLFILL=b")</f>
        <v>55.2</v>
      </c>
      <c r="M50" s="9">
        <f>_xll.BQL("ALK US Equity", "LOAD_FACTOR", "FPT=A", "FPO=-4A", "ACT_EST_MAPPING=PRECISE", "FS=MRC", "CURRENCY=USD", "XLFILL=b")</f>
        <v>84.1</v>
      </c>
      <c r="N50" s="9">
        <f>_xll.BQL("ALK US Equity", "LOAD_FACTOR", "FPT=A", "FPO=-5A", "ACT_EST_MAPPING=PRECISE", "FS=MRC", "CURRENCY=USD", "XLFILL=b")</f>
        <v>83.7</v>
      </c>
    </row>
    <row r="51" spans="1:14" x14ac:dyDescent="0.2">
      <c r="A51" s="8" t="s">
        <v>12</v>
      </c>
      <c r="B51" s="4" t="s">
        <v>23</v>
      </c>
      <c r="C51" s="4" t="s">
        <v>24</v>
      </c>
      <c r="D51" s="4"/>
      <c r="E51" s="9" t="str">
        <f>_xll.BQL("ALK US Equity", "FA_GROWTH(LOAD_FACTOR, YOY)", "FPT=A", "FPO=4A", "ACT_EST_MAPPING=PRECISE", "FS=MRC", "CURRENCY=USD", "XLFILL=b")</f>
        <v/>
      </c>
      <c r="F51" s="9">
        <f>_xll.BQL("ALK US Equity", "FA_GROWTH(LOAD_FACTOR, YOY)", "FPT=A", "FPO=3A", "ACT_EST_MAPPING=PRECISE", "FS=MRC", "CURRENCY=USD", "XLFILL=b")</f>
        <v>0.33460841402251568</v>
      </c>
      <c r="G51" s="9">
        <f>_xll.BQL("ALK US Equity", "FA_GROWTH(LOAD_FACTOR, YOY)", "FPT=A", "FPO=2A", "ACT_EST_MAPPING=PRECISE", "FS=MRC", "CURRENCY=USD", "XLFILL=b")</f>
        <v>0.23786387978880605</v>
      </c>
      <c r="H51" s="9">
        <f>_xll.BQL("ALK US Equity", "FA_GROWTH(LOAD_FACTOR, YOY)", "FPT=A", "FPO=1A", "ACT_EST_MAPPING=PRECISE", "FS=MRC", "CURRENCY=USD", "XLFILL=b")</f>
        <v>6.8718987499061288E-2</v>
      </c>
      <c r="I51" s="9">
        <f>_xll.BQL("ALK US Equity", "FA_GROWTH(LOAD_FACTOR, YOY)", "FPT=A", "FPO=0A", "ACT_EST_MAPPING=PRECISE", "FS=MRC", "CURRENCY=USD", "XLFILL=b")</f>
        <v>-0.94674556213017413</v>
      </c>
      <c r="J51" s="9">
        <f>_xll.BQL("ALK US Equity", "FA_GROWTH(LOAD_FACTOR, YOY)", "FPT=A", "FPO=-1A", "ACT_EST_MAPPING=PRECISE", "FS=MRC", "CURRENCY=USD", "XLFILL=b")</f>
        <v>14.809782608695659</v>
      </c>
      <c r="K51" s="9">
        <f>_xll.BQL("ALK US Equity", "FA_GROWTH(LOAD_FACTOR, YOY)", "FPT=A", "FPO=-2A", "ACT_EST_MAPPING=PRECISE", "FS=MRC", "CURRENCY=USD", "XLFILL=b")</f>
        <v>33.333333333333314</v>
      </c>
      <c r="L51" s="9">
        <f>_xll.BQL("ALK US Equity", "FA_GROWTH(LOAD_FACTOR, YOY)", "FPT=A", "FPO=-3A", "ACT_EST_MAPPING=PRECISE", "FS=MRC", "CURRENCY=USD", "XLFILL=b")</f>
        <v>-34.363852556480374</v>
      </c>
      <c r="M51" s="9">
        <f>_xll.BQL("ALK US Equity", "FA_GROWTH(LOAD_FACTOR, YOY)", "FPT=A", "FPO=-4A", "ACT_EST_MAPPING=PRECISE", "FS=MRC", "CURRENCY=USD", "XLFILL=b")</f>
        <v>0.47789725209079026</v>
      </c>
      <c r="N51" s="9">
        <f>_xll.BQL("ALK US Equity", "FA_GROWTH(LOAD_FACTOR, YOY)", "FPT=A", "FPO=-5A", "ACT_EST_MAPPING=PRECISE", "FS=MRC", "CURRENCY=USD", "XLFILL=b")</f>
        <v>-0.71174377224198615</v>
      </c>
    </row>
    <row r="52" spans="1:14" x14ac:dyDescent="0.2">
      <c r="A52" s="8" t="s">
        <v>29</v>
      </c>
      <c r="B52" s="4" t="s">
        <v>30</v>
      </c>
      <c r="C52" s="4"/>
      <c r="D52" s="4"/>
      <c r="E52" s="9" t="str">
        <f>_xll.BQL("ALK US Equity", "YIELD_PER_PASS_MILES_KM", "FPT=A", "FPO=4A", "ACT_EST_MAPPING=PRECISE", "FS=MRC", "CURRENCY=USD", "XLFILL=b")</f>
        <v/>
      </c>
      <c r="F52" s="9">
        <f>_xll.BQL("ALK US Equity", "YIELD_PER_PASS_MILES_KM", "FPT=A", "FPO=3A", "ACT_EST_MAPPING=PRECISE", "FS=MRC", "CURRENCY=USD", "XLFILL=b")</f>
        <v>17.04930782618332</v>
      </c>
      <c r="G52" s="9">
        <f>_xll.BQL("ALK US Equity", "YIELD_PER_PASS_MILES_KM", "FPT=A", "FPO=2A", "ACT_EST_MAPPING=PRECISE", "FS=MRC", "CURRENCY=USD", "XLFILL=b")</f>
        <v>16.833390368815586</v>
      </c>
      <c r="H52" s="9">
        <f>_xll.BQL("ALK US Equity", "YIELD_PER_PASS_MILES_KM", "FPT=A", "FPO=1A", "ACT_EST_MAPPING=PRECISE", "FS=MRC", "CURRENCY=USD", "XLFILL=b")</f>
        <v>16.851272063074116</v>
      </c>
      <c r="I52" s="9">
        <f>_xll.BQL("ALK US Equity", "YIELD_PER_PASS_MILES_KM", "FPT=A", "FPO=0A", "ACT_EST_MAPPING=PRECISE", "FS=MRC", "CURRENCY=USD", "XLFILL=b")</f>
        <v>16.61</v>
      </c>
      <c r="J52" s="9">
        <f>_xll.BQL("ALK US Equity", "YIELD_PER_PASS_MILES_KM", "FPT=A", "FPO=-1A", "ACT_EST_MAPPING=PRECISE", "FS=MRC", "CURRENCY=USD", "XLFILL=b")</f>
        <v>17.16</v>
      </c>
      <c r="K52" s="9">
        <f>_xll.BQL("ALK US Equity", "YIELD_PER_PASS_MILES_KM", "FPT=A", "FPO=-2A", "ACT_EST_MAPPING=PRECISE", "FS=MRC", "CURRENCY=USD", "XLFILL=b")</f>
        <v>14.25</v>
      </c>
      <c r="L52" s="9">
        <f>_xll.BQL("ALK US Equity", "YIELD_PER_PASS_MILES_KM", "FPT=A", "FPO=-3A", "ACT_EST_MAPPING=PRECISE", "FS=MRC", "CURRENCY=USD", "XLFILL=b")</f>
        <v>14.73</v>
      </c>
      <c r="M52" s="9">
        <f>_xll.BQL("ALK US Equity", "YIELD_PER_PASS_MILES_KM", "FPT=A", "FPO=-4A", "ACT_EST_MAPPING=PRECISE", "FS=MRC", "CURRENCY=USD", "XLFILL=b")</f>
        <v>14.45</v>
      </c>
      <c r="N52" s="9">
        <f>_xll.BQL("ALK US Equity", "YIELD_PER_PASS_MILES_KM", "FPT=A", "FPO=-5A", "ACT_EST_MAPPING=PRECISE", "FS=MRC", "CURRENCY=USD", "XLFILL=b")</f>
        <v>13.96</v>
      </c>
    </row>
    <row r="53" spans="1:14" x14ac:dyDescent="0.2">
      <c r="A53" s="8" t="s">
        <v>12</v>
      </c>
      <c r="B53" s="4" t="s">
        <v>30</v>
      </c>
      <c r="C53" s="4"/>
      <c r="D53" s="4"/>
      <c r="E53" s="9" t="str">
        <f>_xll.BQL("ALK US Equity", "FA_GROWTH(YIELD_PER_PASS_MILES_KM, YOY)", "FPT=A", "FPO=4A", "ACT_EST_MAPPING=PRECISE", "FS=MRC", "CURRENCY=USD", "XLFILL=b")</f>
        <v/>
      </c>
      <c r="F53" s="9">
        <f>_xll.BQL("ALK US Equity", "FA_GROWTH(YIELD_PER_PASS_MILES_KM, YOY)", "FPT=A", "FPO=3A", "ACT_EST_MAPPING=PRECISE", "FS=MRC", "CURRENCY=USD", "XLFILL=b")</f>
        <v>1.2826736185464356</v>
      </c>
      <c r="G53" s="9">
        <f>_xll.BQL("ALK US Equity", "FA_GROWTH(YIELD_PER_PASS_MILES_KM, YOY)", "FPT=A", "FPO=2A", "ACT_EST_MAPPING=PRECISE", "FS=MRC", "CURRENCY=USD", "XLFILL=b")</f>
        <v>-0.10611480362787881</v>
      </c>
      <c r="H53" s="9">
        <f>_xll.BQL("ALK US Equity", "FA_GROWTH(YIELD_PER_PASS_MILES_KM, YOY)", "FPT=A", "FPO=1A", "ACT_EST_MAPPING=PRECISE", "FS=MRC", "CURRENCY=USD", "XLFILL=b")</f>
        <v>1.4525711202535641</v>
      </c>
      <c r="I53" s="9">
        <f>_xll.BQL("ALK US Equity", "FA_GROWTH(YIELD_PER_PASS_MILES_KM, YOY)", "FPT=A", "FPO=0A", "ACT_EST_MAPPING=PRECISE", "FS=MRC", "CURRENCY=USD", "XLFILL=b")</f>
        <v>-3.2051282051282093</v>
      </c>
      <c r="J53" s="9">
        <f>_xll.BQL("ALK US Equity", "FA_GROWTH(YIELD_PER_PASS_MILES_KM, YOY)", "FPT=A", "FPO=-1A", "ACT_EST_MAPPING=PRECISE", "FS=MRC", "CURRENCY=USD", "XLFILL=b")</f>
        <v>20.421052631578949</v>
      </c>
      <c r="K53" s="9">
        <f>_xll.BQL("ALK US Equity", "FA_GROWTH(YIELD_PER_PASS_MILES_KM, YOY)", "FPT=A", "FPO=-2A", "ACT_EST_MAPPING=PRECISE", "FS=MRC", "CURRENCY=USD", "XLFILL=b")</f>
        <v>-3.2586558044806546</v>
      </c>
      <c r="L53" s="9">
        <f>_xll.BQL("ALK US Equity", "FA_GROWTH(YIELD_PER_PASS_MILES_KM, YOY)", "FPT=A", "FPO=-3A", "ACT_EST_MAPPING=PRECISE", "FS=MRC", "CURRENCY=USD", "XLFILL=b")</f>
        <v>1.9377162629757865</v>
      </c>
      <c r="M53" s="9">
        <f>_xll.BQL("ALK US Equity", "FA_GROWTH(YIELD_PER_PASS_MILES_KM, YOY)", "FPT=A", "FPO=-4A", "ACT_EST_MAPPING=PRECISE", "FS=MRC", "CURRENCY=USD", "XLFILL=b")</f>
        <v>3.5100286532951177</v>
      </c>
      <c r="N53" s="9">
        <f>_xll.BQL("ALK US Equity", "FA_GROWTH(YIELD_PER_PASS_MILES_KM, YOY)", "FPT=A", "FPO=-5A", "ACT_EST_MAPPING=PRECISE", "FS=MRC", "CURRENCY=USD", "XLFILL=b")</f>
        <v>7.1684587813631281E-2</v>
      </c>
    </row>
    <row r="54" spans="1:14" x14ac:dyDescent="0.2">
      <c r="A54" s="8" t="s">
        <v>35</v>
      </c>
      <c r="B54" s="4" t="s">
        <v>36</v>
      </c>
      <c r="C54" s="4"/>
      <c r="D54" s="4"/>
      <c r="E54" s="9" t="str">
        <f>_xll.BQL("ALK US Equity", "REV_PASS_CARRIED/1K", "FPT=A", "FPO=4A", "ACT_EST_MAPPING=PRECISE", "FS=MRC", "CURRENCY=USD", "XLFILL=b")</f>
        <v/>
      </c>
      <c r="F54" s="9">
        <f>_xll.BQL("ALK US Equity", "REV_PASS_CARRIED/1K", "FPT=A", "FPO=3A", "ACT_EST_MAPPING=PRECISE", "FS=MRC", "CURRENCY=USD", "XLFILL=b")</f>
        <v>77236.060068148407</v>
      </c>
      <c r="G54" s="9">
        <f>_xll.BQL("ALK US Equity", "REV_PASS_CARRIED/1K", "FPT=A", "FPO=2A", "ACT_EST_MAPPING=PRECISE", "FS=MRC", "CURRENCY=USD", "XLFILL=b")</f>
        <v>74986.466085580963</v>
      </c>
      <c r="H54" s="9">
        <f>_xll.BQL("ALK US Equity", "REV_PASS_CARRIED/1K", "FPT=A", "FPO=1A", "ACT_EST_MAPPING=PRECISE", "FS=MRC", "CURRENCY=USD", "XLFILL=b")</f>
        <v>46290.942279466399</v>
      </c>
      <c r="I54" s="9">
        <f>_xll.BQL("ALK US Equity", "REV_PASS_CARRIED/1K", "FPT=A", "FPO=0A", "ACT_EST_MAPPING=PRECISE", "FS=MRC", "CURRENCY=USD", "XLFILL=b")</f>
        <v>44557</v>
      </c>
      <c r="J54" s="9">
        <f>_xll.BQL("ALK US Equity", "REV_PASS_CARRIED/1K", "FPT=A", "FPO=-1A", "ACT_EST_MAPPING=PRECISE", "FS=MRC", "CURRENCY=USD", "XLFILL=b")</f>
        <v>41468</v>
      </c>
      <c r="K54" s="9">
        <f>_xll.BQL("ALK US Equity", "REV_PASS_CARRIED/1K", "FPT=A", "FPO=-2A", "ACT_EST_MAPPING=PRECISE", "FS=MRC", "CURRENCY=USD", "XLFILL=b")</f>
        <v>32407</v>
      </c>
      <c r="L54" s="9">
        <f>_xll.BQL("ALK US Equity", "REV_PASS_CARRIED/1K", "FPT=A", "FPO=-3A", "ACT_EST_MAPPING=PRECISE", "FS=MRC", "CURRENCY=USD", "XLFILL=b")</f>
        <v>17927</v>
      </c>
      <c r="M54" s="9">
        <f>_xll.BQL("ALK US Equity", "REV_PASS_CARRIED/1K", "FPT=A", "FPO=-4A", "ACT_EST_MAPPING=PRECISE", "FS=MRC", "CURRENCY=USD", "XLFILL=b")</f>
        <v>46733</v>
      </c>
      <c r="N54" s="9">
        <f>_xll.BQL("ALK US Equity", "REV_PASS_CARRIED/1K", "FPT=A", "FPO=-5A", "ACT_EST_MAPPING=PRECISE", "FS=MRC", "CURRENCY=USD", "XLFILL=b")</f>
        <v>45802</v>
      </c>
    </row>
    <row r="55" spans="1:14" x14ac:dyDescent="0.2">
      <c r="A55" s="8" t="s">
        <v>12</v>
      </c>
      <c r="B55" s="4" t="s">
        <v>36</v>
      </c>
      <c r="C55" s="4"/>
      <c r="D55" s="4"/>
      <c r="E55" s="9" t="str">
        <f>_xll.BQL("ALK US Equity", "FA_GROWTH(REV_PASS_CARRIED, YOY)", "FPT=A", "FPO=4A", "ACT_EST_MAPPING=PRECISE", "FS=MRC", "CURRENCY=USD", "XLFILL=b")</f>
        <v/>
      </c>
      <c r="F55" s="9">
        <f>_xll.BQL("ALK US Equity", "FA_GROWTH(REV_PASS_CARRIED, YOY)", "FPT=A", "FPO=3A", "ACT_EST_MAPPING=PRECISE", "FS=MRC", "CURRENCY=USD", "XLFILL=b")</f>
        <v>3.0000000000000209</v>
      </c>
      <c r="G55" s="9">
        <f>_xll.BQL("ALK US Equity", "FA_GROWTH(REV_PASS_CARRIED, YOY)", "FPT=A", "FPO=2A", "ACT_EST_MAPPING=PRECISE", "FS=MRC", "CURRENCY=USD", "XLFILL=b")</f>
        <v>61.989500306290459</v>
      </c>
      <c r="H55" s="9">
        <f>_xll.BQL("ALK US Equity", "FA_GROWTH(REV_PASS_CARRIED, YOY)", "FPT=A", "FPO=1A", "ACT_EST_MAPPING=PRECISE", "FS=MRC", "CURRENCY=USD", "XLFILL=b")</f>
        <v>3.8915148673977109</v>
      </c>
      <c r="I55" s="9">
        <f>_xll.BQL("ALK US Equity", "FA_GROWTH(REV_PASS_CARRIED, YOY)", "FPT=A", "FPO=0A", "ACT_EST_MAPPING=PRECISE", "FS=MRC", "CURRENCY=USD", "XLFILL=b")</f>
        <v>7.449117391723739</v>
      </c>
      <c r="J55" s="9">
        <f>_xll.BQL("ALK US Equity", "FA_GROWTH(REV_PASS_CARRIED, YOY)", "FPT=A", "FPO=-1A", "ACT_EST_MAPPING=PRECISE", "FS=MRC", "CURRENCY=USD", "XLFILL=b")</f>
        <v>27.960008640108619</v>
      </c>
      <c r="K55" s="9">
        <f>_xll.BQL("ALK US Equity", "FA_GROWTH(REV_PASS_CARRIED, YOY)", "FPT=A", "FPO=-2A", "ACT_EST_MAPPING=PRECISE", "FS=MRC", "CURRENCY=USD", "XLFILL=b")</f>
        <v>80.77201985831428</v>
      </c>
      <c r="L55" s="9">
        <f>_xll.BQL("ALK US Equity", "FA_GROWTH(REV_PASS_CARRIED, YOY)", "FPT=A", "FPO=-3A", "ACT_EST_MAPPING=PRECISE", "FS=MRC", "CURRENCY=USD", "XLFILL=b")</f>
        <v>-61.639526672800805</v>
      </c>
      <c r="M55" s="9">
        <f>_xll.BQL("ALK US Equity", "FA_GROWTH(REV_PASS_CARRIED, YOY)", "FPT=A", "FPO=-4A", "ACT_EST_MAPPING=PRECISE", "FS=MRC", "CURRENCY=USD", "XLFILL=b")</f>
        <v>2.032662329155932</v>
      </c>
      <c r="N55" s="9">
        <f>_xll.BQL("ALK US Equity", "FA_GROWTH(REV_PASS_CARRIED, YOY)", "FPT=A", "FPO=-5A", "ACT_EST_MAPPING=PRECISE", "FS=MRC", "CURRENCY=USD", "XLFILL=b")</f>
        <v>4.0836268605840242</v>
      </c>
    </row>
    <row r="56" spans="1:14" x14ac:dyDescent="0.2">
      <c r="A56" s="8" t="s">
        <v>53</v>
      </c>
      <c r="B56" s="4" t="s">
        <v>28</v>
      </c>
      <c r="C56" s="4"/>
      <c r="D56" s="4"/>
      <c r="E56" s="9" t="str">
        <f>_xll.BQL("ALK US Equity", "PASSENGER_REVENUE_PER_ASM", "FPT=A", "FPO=4A", "ACT_EST_MAPPING=PRECISE", "FS=MRC", "CURRENCY=USD", "XLFILL=b")</f>
        <v/>
      </c>
      <c r="F56" s="9">
        <f>_xll.BQL("ALK US Equity", "PASSENGER_REVENUE_PER_ASM", "FPT=A", "FPO=3A", "ACT_EST_MAPPING=PRECISE", "FS=MRC", "CURRENCY=USD", "XLFILL=b")</f>
        <v>15.69624579665258</v>
      </c>
      <c r="G56" s="9">
        <f>_xll.BQL("ALK US Equity", "PASSENGER_REVENUE_PER_ASM", "FPT=A", "FPO=2A", "ACT_EST_MAPPING=PRECISE", "FS=MRC", "CURRENCY=USD", "XLFILL=b")</f>
        <v>15.570033599511071</v>
      </c>
      <c r="H56" s="9">
        <f>_xll.BQL("ALK US Equity", "PASSENGER_REVENUE_PER_ASM", "FPT=A", "FPO=1A", "ACT_EST_MAPPING=PRECISE", "FS=MRC", "CURRENCY=USD", "XLFILL=b")</f>
        <v>15.334563368667192</v>
      </c>
      <c r="I56" s="9">
        <f>_xll.BQL("ALK US Equity", "PASSENGER_REVENUE_PER_ASM", "FPT=A", "FPO=0A", "ACT_EST_MAPPING=PRECISE", "FS=MRC", "CURRENCY=USD", "XLFILL=b")</f>
        <v>15.21</v>
      </c>
      <c r="J56" s="9">
        <f>_xll.BQL("ALK US Equity", "PASSENGER_REVENUE_PER_ASM", "FPT=A", "FPO=-1A", "ACT_EST_MAPPING=PRECISE", "FS=MRC", "CURRENCY=USD", "XLFILL=b")</f>
        <v>15.87</v>
      </c>
      <c r="K56" s="9">
        <f>_xll.BQL("ALK US Equity", "PASSENGER_REVENUE_PER_ASM", "FPT=A", "FPO=-2A", "ACT_EST_MAPPING=PRECISE", "FS=MRC", "CURRENCY=USD", "XLFILL=b")</f>
        <v>11.78</v>
      </c>
      <c r="L56" s="9">
        <f>_xll.BQL("ALK US Equity", "PASSENGER_REVENUE_PER_ASM", "FPT=A", "FPO=-3A", "ACT_EST_MAPPING=PRECISE", "FS=MRC", "CURRENCY=USD", "XLFILL=b")</f>
        <v>9.61</v>
      </c>
      <c r="M56" s="9">
        <f>_xll.BQL("ALK US Equity", "PASSENGER_REVENUE_PER_ASM", "FPT=A", "FPO=-4A", "ACT_EST_MAPPING=PRECISE", "FS=MRC", "CURRENCY=USD", "XLFILL=b")</f>
        <v>13.17</v>
      </c>
      <c r="N56" s="9">
        <f>_xll.BQL("ALK US Equity", "PASSENGER_REVENUE_PER_ASM", "FPT=A", "FPO=-5A", "ACT_EST_MAPPING=PRECISE", "FS=MRC", "CURRENCY=USD", "XLFILL=b")</f>
        <v>12.65</v>
      </c>
    </row>
    <row r="57" spans="1:14" x14ac:dyDescent="0.2">
      <c r="A57" s="8" t="s">
        <v>12</v>
      </c>
      <c r="B57" s="4" t="s">
        <v>28</v>
      </c>
      <c r="C57" s="4"/>
      <c r="D57" s="4"/>
      <c r="E57" s="9" t="str">
        <f>_xll.BQL("ALK US Equity", "FA_GROWTH(PASSENGER_REVENUE_PER_ASM, YOY)", "FPT=A", "FPO=4A", "ACT_EST_MAPPING=PRECISE", "FS=MRC", "CURRENCY=USD", "XLFILL=b")</f>
        <v/>
      </c>
      <c r="F57" s="9">
        <f>_xll.BQL("ALK US Equity", "FA_GROWTH(PASSENGER_REVENUE_PER_ASM, YOY)", "FPT=A", "FPO=3A", "ACT_EST_MAPPING=PRECISE", "FS=MRC", "CURRENCY=USD", "XLFILL=b")</f>
        <v>0.81060966461544703</v>
      </c>
      <c r="G57" s="9">
        <f>_xll.BQL("ALK US Equity", "FA_GROWTH(PASSENGER_REVENUE_PER_ASM, YOY)", "FPT=A", "FPO=2A", "ACT_EST_MAPPING=PRECISE", "FS=MRC", "CURRENCY=USD", "XLFILL=b")</f>
        <v>1.5355522370138699</v>
      </c>
      <c r="H57" s="9">
        <f>_xll.BQL("ALK US Equity", "FA_GROWTH(PASSENGER_REVENUE_PER_ASM, YOY)", "FPT=A", "FPO=1A", "ACT_EST_MAPPING=PRECISE", "FS=MRC", "CURRENCY=USD", "XLFILL=b")</f>
        <v>0.8189570589558921</v>
      </c>
      <c r="I57" s="9">
        <f>_xll.BQL("ALK US Equity", "FA_GROWTH(PASSENGER_REVENUE_PER_ASM, YOY)", "FPT=A", "FPO=0A", "ACT_EST_MAPPING=PRECISE", "FS=MRC", "CURRENCY=USD", "XLFILL=b")</f>
        <v>-4.1587901701323142</v>
      </c>
      <c r="J57" s="9">
        <f>_xll.BQL("ALK US Equity", "FA_GROWTH(PASSENGER_REVENUE_PER_ASM, YOY)", "FPT=A", "FPO=-1A", "ACT_EST_MAPPING=PRECISE", "FS=MRC", "CURRENCY=USD", "XLFILL=b")</f>
        <v>34.719864176570461</v>
      </c>
      <c r="K57" s="9">
        <f>_xll.BQL("ALK US Equity", "FA_GROWTH(PASSENGER_REVENUE_PER_ASM, YOY)", "FPT=A", "FPO=-2A", "ACT_EST_MAPPING=PRECISE", "FS=MRC", "CURRENCY=USD", "XLFILL=b")</f>
        <v>22.580645161290324</v>
      </c>
      <c r="L57" s="9">
        <f>_xll.BQL("ALK US Equity", "FA_GROWTH(PASSENGER_REVENUE_PER_ASM, YOY)", "FPT=A", "FPO=-3A", "ACT_EST_MAPPING=PRECISE", "FS=MRC", "CURRENCY=USD", "XLFILL=b")</f>
        <v>-27.031131359149587</v>
      </c>
      <c r="M57" s="9">
        <f>_xll.BQL("ALK US Equity", "FA_GROWTH(PASSENGER_REVENUE_PER_ASM, YOY)", "FPT=A", "FPO=-4A", "ACT_EST_MAPPING=PRECISE", "FS=MRC", "CURRENCY=USD", "XLFILL=b")</f>
        <v>4.11067193675889</v>
      </c>
      <c r="N57" s="9">
        <f>_xll.BQL("ALK US Equity", "FA_GROWTH(PASSENGER_REVENUE_PER_ASM, YOY)", "FPT=A", "FPO=-5A", "ACT_EST_MAPPING=PRECISE", "FS=MRC", "CURRENCY=USD", "XLFILL=b")</f>
        <v>-0.55031446540880724</v>
      </c>
    </row>
    <row r="58" spans="1:14" x14ac:dyDescent="0.2">
      <c r="A58" s="8" t="s">
        <v>54</v>
      </c>
      <c r="B58" s="4" t="s">
        <v>55</v>
      </c>
      <c r="C58" s="4"/>
      <c r="D58" s="4"/>
      <c r="E58" s="9" t="str">
        <f>_xll.BQL("ALK US Equity", "FUEL_PRICE_PER_GALLON_LITRE", "FPT=A", "FPO=4A", "ACT_EST_MAPPING=PRECISE", "FS=MRC", "CURRENCY=USD", "XLFILL=b")</f>
        <v/>
      </c>
      <c r="F58" s="9">
        <f>_xll.BQL("ALK US Equity", "FUEL_PRICE_PER_GALLON_LITRE", "FPT=A", "FPO=3A", "ACT_EST_MAPPING=PRECISE", "FS=MRC", "CURRENCY=USD", "XLFILL=b")</f>
        <v>2.9559523809523811</v>
      </c>
      <c r="G58" s="9">
        <f>_xll.BQL("ALK US Equity", "FUEL_PRICE_PER_GALLON_LITRE", "FPT=A", "FPO=2A", "ACT_EST_MAPPING=PRECISE", "FS=MRC", "CURRENCY=USD", "XLFILL=b")</f>
        <v>2.9029761904761906</v>
      </c>
      <c r="H58" s="9">
        <f>_xll.BQL("ALK US Equity", "FUEL_PRICE_PER_GALLON_LITRE", "FPT=A", "FPO=1A", "ACT_EST_MAPPING=PRECISE", "FS=MRC", "CURRENCY=USD", "XLFILL=b")</f>
        <v>2.879388210643699</v>
      </c>
      <c r="I58" s="9">
        <f>_xll.BQL("ALK US Equity", "FUEL_PRICE_PER_GALLON_LITRE", "FPT=A", "FPO=0A", "ACT_EST_MAPPING=PRECISE", "FS=MRC", "CURRENCY=USD", "XLFILL=b")</f>
        <v>3.21</v>
      </c>
      <c r="J58" s="9">
        <f>_xll.BQL("ALK US Equity", "FUEL_PRICE_PER_GALLON_LITRE", "FPT=A", "FPO=-1A", "ACT_EST_MAPPING=PRECISE", "FS=MRC", "CURRENCY=USD", "XLFILL=b")</f>
        <v>3.42</v>
      </c>
      <c r="K58" s="9">
        <f>_xll.BQL("ALK US Equity", "FUEL_PRICE_PER_GALLON_LITRE", "FPT=A", "FPO=-2A", "ACT_EST_MAPPING=PRECISE", "FS=MRC", "CURRENCY=USD", "XLFILL=b")</f>
        <v>2.02</v>
      </c>
      <c r="L58" s="9">
        <f>_xll.BQL("ALK US Equity", "FUEL_PRICE_PER_GALLON_LITRE", "FPT=A", "FPO=-3A", "ACT_EST_MAPPING=PRECISE", "FS=MRC", "CURRENCY=USD", "XLFILL=b")</f>
        <v>1.58</v>
      </c>
      <c r="M58" s="9">
        <f>_xll.BQL("ALK US Equity", "FUEL_PRICE_PER_GALLON_LITRE", "FPT=A", "FPO=-4A", "ACT_EST_MAPPING=PRECISE", "FS=MRC", "CURRENCY=USD", "XLFILL=b")</f>
        <v>2.19</v>
      </c>
      <c r="N58" s="9">
        <f>_xll.BQL("ALK US Equity", "FUEL_PRICE_PER_GALLON_LITRE", "FPT=A", "FPO=-5A", "ACT_EST_MAPPING=PRECISE", "FS=MRC", "CURRENCY=USD", "XLFILL=b")</f>
        <v>2.2799999999999998</v>
      </c>
    </row>
    <row r="59" spans="1:14" x14ac:dyDescent="0.2">
      <c r="A59" s="8" t="s">
        <v>12</v>
      </c>
      <c r="B59" s="4" t="s">
        <v>55</v>
      </c>
      <c r="C59" s="4"/>
      <c r="D59" s="4"/>
      <c r="E59" s="9" t="str">
        <f>_xll.BQL("ALK US Equity", "FA_GROWTH(FUEL_PRICE_PER_GALLON_LITRE, YOY)", "FPT=A", "FPO=4A", "ACT_EST_MAPPING=PRECISE", "FS=MRC", "CURRENCY=USD", "XLFILL=b")</f>
        <v/>
      </c>
      <c r="F59" s="9">
        <f>_xll.BQL("ALK US Equity", "FA_GROWTH(FUEL_PRICE_PER_GALLON_LITRE, YOY)", "FPT=A", "FPO=3A", "ACT_EST_MAPPING=PRECISE", "FS=MRC", "CURRENCY=USD", "XLFILL=b")</f>
        <v>1.8248923518556501</v>
      </c>
      <c r="G59" s="9">
        <f>_xll.BQL("ALK US Equity", "FA_GROWTH(FUEL_PRICE_PER_GALLON_LITRE, YOY)", "FPT=A", "FPO=2A", "ACT_EST_MAPPING=PRECISE", "FS=MRC", "CURRENCY=USD", "XLFILL=b")</f>
        <v>0.81920109783384931</v>
      </c>
      <c r="H59" s="9">
        <f>_xll.BQL("ALK US Equity", "FA_GROWTH(FUEL_PRICE_PER_GALLON_LITRE, YOY)", "FPT=A", "FPO=1A", "ACT_EST_MAPPING=PRECISE", "FS=MRC", "CURRENCY=USD", "XLFILL=b")</f>
        <v>-10.299432690227444</v>
      </c>
      <c r="I59" s="9">
        <f>_xll.BQL("ALK US Equity", "FA_GROWTH(FUEL_PRICE_PER_GALLON_LITRE, YOY)", "FPT=A", "FPO=0A", "ACT_EST_MAPPING=PRECISE", "FS=MRC", "CURRENCY=USD", "XLFILL=b")</f>
        <v>-6.1403508771929811</v>
      </c>
      <c r="J59" s="9">
        <f>_xll.BQL("ALK US Equity", "FA_GROWTH(FUEL_PRICE_PER_GALLON_LITRE, YOY)", "FPT=A", "FPO=-1A", "ACT_EST_MAPPING=PRECISE", "FS=MRC", "CURRENCY=USD", "XLFILL=b")</f>
        <v>69.306930693069305</v>
      </c>
      <c r="K59" s="9">
        <f>_xll.BQL("ALK US Equity", "FA_GROWTH(FUEL_PRICE_PER_GALLON_LITRE, YOY)", "FPT=A", "FPO=-2A", "ACT_EST_MAPPING=PRECISE", "FS=MRC", "CURRENCY=USD", "XLFILL=b")</f>
        <v>27.84810126582278</v>
      </c>
      <c r="L59" s="9">
        <f>_xll.BQL("ALK US Equity", "FA_GROWTH(FUEL_PRICE_PER_GALLON_LITRE, YOY)", "FPT=A", "FPO=-3A", "ACT_EST_MAPPING=PRECISE", "FS=MRC", "CURRENCY=USD", "XLFILL=b")</f>
        <v>-27.853881278538807</v>
      </c>
      <c r="M59" s="9">
        <f>_xll.BQL("ALK US Equity", "FA_GROWTH(FUEL_PRICE_PER_GALLON_LITRE, YOY)", "FPT=A", "FPO=-4A", "ACT_EST_MAPPING=PRECISE", "FS=MRC", "CURRENCY=USD", "XLFILL=b")</f>
        <v>-3.9473684210526256</v>
      </c>
      <c r="N59" s="9">
        <f>_xll.BQL("ALK US Equity", "FA_GROWTH(FUEL_PRICE_PER_GALLON_LITRE, YOY)", "FPT=A", "FPO=-5A", "ACT_EST_MAPPING=PRECISE", "FS=MRC", "CURRENCY=USD", "XLFILL=b")</f>
        <v>25.27472527472526</v>
      </c>
    </row>
    <row r="60" spans="1:14" x14ac:dyDescent="0.2">
      <c r="A60" s="8" t="s">
        <v>56</v>
      </c>
      <c r="B60" s="4" t="s">
        <v>57</v>
      </c>
      <c r="C60" s="4"/>
      <c r="D60" s="4"/>
      <c r="E60" s="9" t="str">
        <f>_xll.BQL("ALK US Equity", "MAINLINE_ASM_PER_GAL_LTR", "FPT=A", "FPO=4A", "ACT_EST_MAPPING=PRECISE", "FS=MRC", "CURRENCY=USD", "XLFILL=b")</f>
        <v/>
      </c>
      <c r="F60" s="9">
        <f>_xll.BQL("ALK US Equity", "MAINLINE_ASM_PER_GAL_LTR", "FPT=A", "FPO=3A", "ACT_EST_MAPPING=PRECISE", "FS=MRC", "CURRENCY=USD", "XLFILL=b")</f>
        <v>1964171.6933653576</v>
      </c>
      <c r="G60" s="9">
        <f>_xll.BQL("ALK US Equity", "MAINLINE_ASM_PER_GAL_LTR", "FPT=A", "FPO=2A", "ACT_EST_MAPPING=PRECISE", "FS=MRC", "CURRENCY=USD", "XLFILL=b")</f>
        <v>82.867237072038378</v>
      </c>
      <c r="H60" s="9">
        <f>_xll.BQL("ALK US Equity", "MAINLINE_ASM_PER_GAL_LTR", "FPT=A", "FPO=1A", "ACT_EST_MAPPING=PRECISE", "FS=MRC", "CURRENCY=USD", "XLFILL=b")</f>
        <v>83.033876836809483</v>
      </c>
      <c r="I60" s="9">
        <f>_xll.BQL("ALK US Equity", "MAINLINE_ASM_PER_GAL_LTR", "FPT=A", "FPO=0A", "ACT_EST_MAPPING=PRECISE", "FS=MRC", "CURRENCY=USD", "XLFILL=b")</f>
        <v>88.768583450210372</v>
      </c>
      <c r="J60" s="9">
        <f>_xll.BQL("ALK US Equity", "MAINLINE_ASM_PER_GAL_LTR", "FPT=A", "FPO=-1A", "ACT_EST_MAPPING=PRECISE", "FS=MRC", "CURRENCY=USD", "XLFILL=b")</f>
        <v>85.486068111455111</v>
      </c>
      <c r="K60" s="9">
        <f>_xll.BQL("ALK US Equity", "MAINLINE_ASM_PER_GAL_LTR", "FPT=A", "FPO=-2A", "ACT_EST_MAPPING=PRECISE", "FS=MRC", "CURRENCY=USD", "XLFILL=b")</f>
        <v>86.303773584905656</v>
      </c>
      <c r="L60" s="9">
        <f>_xll.BQL("ALK US Equity", "MAINLINE_ASM_PER_GAL_LTR", "FPT=A", "FPO=-3A", "ACT_EST_MAPPING=PRECISE", "FS=MRC", "CURRENCY=USD", "XLFILL=b")</f>
        <v>87.673184357541899</v>
      </c>
      <c r="M60" s="9">
        <f>_xll.BQL("ALK US Equity", "MAINLINE_ASM_PER_GAL_LTR", "FPT=A", "FPO=-4A", "ACT_EST_MAPPING=PRECISE", "FS=MRC", "CURRENCY=USD", "XLFILL=b")</f>
        <v>81.683994528043769</v>
      </c>
      <c r="N60" s="9">
        <f>_xll.BQL("ALK US Equity", "MAINLINE_ASM_PER_GAL_LTR", "FPT=A", "FPO=-5A", "ACT_EST_MAPPING=PRECISE", "FS=MRC", "CURRENCY=USD", "XLFILL=b")</f>
        <v>81.412654745529579</v>
      </c>
    </row>
    <row r="61" spans="1:14" x14ac:dyDescent="0.2">
      <c r="A61" s="8" t="s">
        <v>12</v>
      </c>
      <c r="B61" s="4" t="s">
        <v>57</v>
      </c>
      <c r="C61" s="4"/>
      <c r="D61" s="4"/>
      <c r="E61" s="9" t="str">
        <f>_xll.BQL("ALK US Equity", "FA_GROWTH(MAINLINE_ASM_PER_GAL_LTR, YOY)", "FPT=A", "FPO=4A", "ACT_EST_MAPPING=PRECISE", "FS=MRC", "CURRENCY=USD", "XLFILL=b")</f>
        <v/>
      </c>
      <c r="F61" s="9">
        <f>_xll.BQL("ALK US Equity", "FA_GROWTH(MAINLINE_ASM_PER_GAL_LTR, YOY)", "FPT=A", "FPO=3A", "ACT_EST_MAPPING=PRECISE", "FS=MRC", "CURRENCY=USD", "XLFILL=b")</f>
        <v>2370163.2822883409</v>
      </c>
      <c r="G61" s="9">
        <f>_xll.BQL("ALK US Equity", "FA_GROWTH(MAINLINE_ASM_PER_GAL_LTR, YOY)", "FPT=A", "FPO=2A", "ACT_EST_MAPPING=PRECISE", "FS=MRC", "CURRENCY=USD", "XLFILL=b")</f>
        <v>-0.20068888882378735</v>
      </c>
      <c r="H61" s="9">
        <f>_xll.BQL("ALK US Equity", "FA_GROWTH(MAINLINE_ASM_PER_GAL_LTR, YOY)", "FPT=A", "FPO=1A", "ACT_EST_MAPPING=PRECISE", "FS=MRC", "CURRENCY=USD", "XLFILL=b")</f>
        <v>-6.4602885283366511</v>
      </c>
      <c r="I61" s="9">
        <f>_xll.BQL("ALK US Equity", "FA_GROWTH(MAINLINE_ASM_PER_GAL_LTR, YOY)", "FPT=A", "FPO=0A", "ACT_EST_MAPPING=PRECISE", "FS=MRC", "CURRENCY=USD", "XLFILL=b")</f>
        <v>3.8398249109733054</v>
      </c>
      <c r="J61" s="9">
        <f>_xll.BQL("ALK US Equity", "FA_GROWTH(MAINLINE_ASM_PER_GAL_LTR, YOY)", "FPT=A", "FPO=-1A", "ACT_EST_MAPPING=PRECISE", "FS=MRC", "CURRENCY=USD", "XLFILL=b")</f>
        <v>-0.94747360339474151</v>
      </c>
      <c r="K61" s="9">
        <f>_xll.BQL("ALK US Equity", "FA_GROWTH(MAINLINE_ASM_PER_GAL_LTR, YOY)", "FPT=A", "FPO=-2A", "ACT_EST_MAPPING=PRECISE", "FS=MRC", "CURRENCY=USD", "XLFILL=b")</f>
        <v>-1.5619493949844683</v>
      </c>
      <c r="L61" s="9">
        <f>_xll.BQL("ALK US Equity", "FA_GROWTH(MAINLINE_ASM_PER_GAL_LTR, YOY)", "FPT=A", "FPO=-3A", "ACT_EST_MAPPING=PRECISE", "FS=MRC", "CURRENCY=USD", "XLFILL=b")</f>
        <v>7.3321461127147982</v>
      </c>
      <c r="M61" s="9">
        <f>_xll.BQL("ALK US Equity", "FA_GROWTH(MAINLINE_ASM_PER_GAL_LTR, YOY)", "FPT=A", "FPO=-4A", "ACT_EST_MAPPING=PRECISE", "FS=MRC", "CURRENCY=USD", "XLFILL=b")</f>
        <v>0.33328944174872166</v>
      </c>
      <c r="N61" s="9">
        <f>_xll.BQL("ALK US Equity", "FA_GROWTH(MAINLINE_ASM_PER_GAL_LTR, YOY)", "FPT=A", "FPO=-5A", "ACT_EST_MAPPING=PRECISE", "FS=MRC", "CURRENCY=USD", "XLFILL=b")</f>
        <v>0.9348217584404015</v>
      </c>
    </row>
    <row r="62" spans="1:14" x14ac:dyDescent="0.2">
      <c r="A62" s="8" t="s">
        <v>58</v>
      </c>
      <c r="B62" s="4" t="s">
        <v>59</v>
      </c>
      <c r="C62" s="4" t="s">
        <v>60</v>
      </c>
      <c r="D62" s="4"/>
      <c r="E62" s="9" t="str">
        <f>_xll.BQL("ALK US Equity", "FUEL_GALLONS_LITRES/1M", "FPT=A", "FPO=4A", "ACT_EST_MAPPING=PRECISE", "FS=MRC", "CURRENCY=USD", "XLFILL=b")</f>
        <v/>
      </c>
      <c r="F62" s="9">
        <f>_xll.BQL("ALK US Equity", "FUEL_GALLONS_LITRES/1M", "FPT=A", "FPO=3A", "ACT_EST_MAPPING=PRECISE", "FS=MRC", "CURRENCY=USD", "XLFILL=b")</f>
        <v>1043.66374992995</v>
      </c>
      <c r="G62" s="9">
        <f>_xll.BQL("ALK US Equity", "FUEL_GALLONS_LITRES/1M", "FPT=A", "FPO=2A", "ACT_EST_MAPPING=PRECISE", "FS=MRC", "CURRENCY=USD", "XLFILL=b")</f>
        <v>943.12546118275839</v>
      </c>
      <c r="H62" s="9">
        <f>_xll.BQL("ALK US Equity", "FUEL_GALLONS_LITRES/1M", "FPT=A", "FPO=1A", "ACT_EST_MAPPING=PRECISE", "FS=MRC", "CURRENCY=USD", "XLFILL=b")</f>
        <v>843.96769110034666</v>
      </c>
      <c r="I62" s="9">
        <f>_xll.BQL("ALK US Equity", "FUEL_GALLONS_LITRES/1M", "FPT=A", "FPO=0A", "ACT_EST_MAPPING=PRECISE", "FS=MRC", "CURRENCY=USD", "XLFILL=b")</f>
        <v>824</v>
      </c>
      <c r="J62" s="9">
        <f>_xll.BQL("ALK US Equity", "FUEL_GALLONS_LITRES/1M", "FPT=A", "FPO=-1A", "ACT_EST_MAPPING=PRECISE", "FS=MRC", "CURRENCY=USD", "XLFILL=b")</f>
        <v>758</v>
      </c>
      <c r="K62" s="9">
        <f>_xll.BQL("ALK US Equity", "FUEL_GALLONS_LITRES/1M", "FPT=A", "FPO=-2A", "ACT_EST_MAPPING=PRECISE", "FS=MRC", "CURRENCY=USD", "XLFILL=b")</f>
        <v>656</v>
      </c>
      <c r="L62" s="9">
        <f>_xll.BQL("ALK US Equity", "FUEL_GALLONS_LITRES/1M", "FPT=A", "FPO=-3A", "ACT_EST_MAPPING=PRECISE", "FS=MRC", "CURRENCY=USD", "XLFILL=b")</f>
        <v>461</v>
      </c>
      <c r="M62" s="9">
        <f>_xll.BQL("ALK US Equity", "FUEL_GALLONS_LITRES/1M", "FPT=A", "FPO=-4A", "ACT_EST_MAPPING=PRECISE", "FS=MRC", "CURRENCY=USD", "XLFILL=b")</f>
        <v>862</v>
      </c>
      <c r="N62" s="9">
        <f>_xll.BQL("ALK US Equity", "FUEL_GALLONS_LITRES/1M", "FPT=A", "FPO=-5A", "ACT_EST_MAPPING=PRECISE", "FS=MRC", "CURRENCY=USD", "XLFILL=b")</f>
        <v>839</v>
      </c>
    </row>
    <row r="63" spans="1:14" x14ac:dyDescent="0.2">
      <c r="A63" s="8" t="s">
        <v>12</v>
      </c>
      <c r="B63" s="4" t="s">
        <v>59</v>
      </c>
      <c r="C63" s="4" t="s">
        <v>60</v>
      </c>
      <c r="D63" s="4"/>
      <c r="E63" s="9" t="str">
        <f>_xll.BQL("ALK US Equity", "FA_GROWTH(FUEL_GALLONS_LITRES, YOY)", "FPT=A", "FPO=4A", "ACT_EST_MAPPING=PRECISE", "FS=MRC", "CURRENCY=USD", "XLFILL=b")</f>
        <v/>
      </c>
      <c r="F63" s="9">
        <f>_xll.BQL("ALK US Equity", "FA_GROWTH(FUEL_GALLONS_LITRES, YOY)", "FPT=A", "FPO=3A", "ACT_EST_MAPPING=PRECISE", "FS=MRC", "CURRENCY=USD", "XLFILL=b")</f>
        <v>10.660118179940568</v>
      </c>
      <c r="G63" s="9">
        <f>_xll.BQL("ALK US Equity", "FA_GROWTH(FUEL_GALLONS_LITRES, YOY)", "FPT=A", "FPO=2A", "ACT_EST_MAPPING=PRECISE", "FS=MRC", "CURRENCY=USD", "XLFILL=b")</f>
        <v>11.749000717448308</v>
      </c>
      <c r="H63" s="9">
        <f>_xll.BQL("ALK US Equity", "FA_GROWTH(FUEL_GALLONS_LITRES, YOY)", "FPT=A", "FPO=1A", "ACT_EST_MAPPING=PRECISE", "FS=MRC", "CURRENCY=USD", "XLFILL=b")</f>
        <v>2.4232634830517821</v>
      </c>
      <c r="I63" s="9">
        <f>_xll.BQL("ALK US Equity", "FA_GROWTH(FUEL_GALLONS_LITRES, YOY)", "FPT=A", "FPO=0A", "ACT_EST_MAPPING=PRECISE", "FS=MRC", "CURRENCY=USD", "XLFILL=b")</f>
        <v>8.7071240105540895</v>
      </c>
      <c r="J63" s="9">
        <f>_xll.BQL("ALK US Equity", "FA_GROWTH(FUEL_GALLONS_LITRES, YOY)", "FPT=A", "FPO=-1A", "ACT_EST_MAPPING=PRECISE", "FS=MRC", "CURRENCY=USD", "XLFILL=b")</f>
        <v>15.548780487804878</v>
      </c>
      <c r="K63" s="9">
        <f>_xll.BQL("ALK US Equity", "FA_GROWTH(FUEL_GALLONS_LITRES, YOY)", "FPT=A", "FPO=-2A", "ACT_EST_MAPPING=PRECISE", "FS=MRC", "CURRENCY=USD", "XLFILL=b")</f>
        <v>42.299349240780913</v>
      </c>
      <c r="L63" s="9">
        <f>_xll.BQL("ALK US Equity", "FA_GROWTH(FUEL_GALLONS_LITRES, YOY)", "FPT=A", "FPO=-3A", "ACT_EST_MAPPING=PRECISE", "FS=MRC", "CURRENCY=USD", "XLFILL=b")</f>
        <v>-46.519721577726216</v>
      </c>
      <c r="M63" s="9">
        <f>_xll.BQL("ALK US Equity", "FA_GROWTH(FUEL_GALLONS_LITRES, YOY)", "FPT=A", "FPO=-4A", "ACT_EST_MAPPING=PRECISE", "FS=MRC", "CURRENCY=USD", "XLFILL=b")</f>
        <v>2.7413587604290823</v>
      </c>
      <c r="N63" s="9">
        <f>_xll.BQL("ALK US Equity", "FA_GROWTH(FUEL_GALLONS_LITRES, YOY)", "FPT=A", "FPO=-5A", "ACT_EST_MAPPING=PRECISE", "FS=MRC", "CURRENCY=USD", "XLFILL=b")</f>
        <v>5.2697616060225849</v>
      </c>
    </row>
    <row r="64" spans="1:14" x14ac:dyDescent="0.2">
      <c r="A64" s="8" t="s">
        <v>16</v>
      </c>
      <c r="B64" s="4"/>
      <c r="C64" s="4"/>
      <c r="D64" s="4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x14ac:dyDescent="0.2">
      <c r="A65" s="8" t="s">
        <v>61</v>
      </c>
      <c r="B65" s="4" t="s">
        <v>38</v>
      </c>
      <c r="C65" s="4"/>
      <c r="D65" s="4"/>
      <c r="E65" s="9" t="str">
        <f>_xll.BQL("ALK US Equity", "SIZE_OF_FLEET", "FPT=A", "FPO=4A", "ACT_EST_MAPPING=PRECISE", "FS=MRC", "CURRENCY=USD", "XLFILL=b")</f>
        <v/>
      </c>
      <c r="F65" s="9">
        <f>_xll.BQL("ALK US Equity", "SIZE_OF_FLEET", "FPT=A", "FPO=3A", "ACT_EST_MAPPING=PRECISE", "FS=MRC", "CURRENCY=USD", "XLFILL=b")</f>
        <v>389</v>
      </c>
      <c r="G65" s="9">
        <f>_xll.BQL("ALK US Equity", "SIZE_OF_FLEET", "FPT=A", "FPO=2A", "ACT_EST_MAPPING=PRECISE", "FS=MRC", "CURRENCY=USD", "XLFILL=b")</f>
        <v>356</v>
      </c>
      <c r="H65" s="9">
        <f>_xll.BQL("ALK US Equity", "SIZE_OF_FLEET", "FPT=A", "FPO=1A", "ACT_EST_MAPPING=PRECISE", "FS=MRC", "CURRENCY=USD", "XLFILL=b")</f>
        <v>340</v>
      </c>
      <c r="I65" s="9">
        <f>_xll.BQL("ALK US Equity", "SIZE_OF_FLEET", "FPT=A", "FPO=0A", "ACT_EST_MAPPING=PRECISE", "FS=MRC", "CURRENCY=USD", "XLFILL=b")</f>
        <v>314</v>
      </c>
      <c r="J65" s="9">
        <f>_xll.BQL("ALK US Equity", "SIZE_OF_FLEET", "FPT=A", "FPO=-1A", "ACT_EST_MAPPING=PRECISE", "FS=MRC", "CURRENCY=USD", "XLFILL=b")</f>
        <v>311</v>
      </c>
      <c r="K65" s="9">
        <f>_xll.BQL("ALK US Equity", "SIZE_OF_FLEET", "FPT=A", "FPO=-2A", "ACT_EST_MAPPING=PRECISE", "FS=MRC", "CURRENCY=USD", "XLFILL=b")</f>
        <v>311</v>
      </c>
      <c r="L65" s="9">
        <f>_xll.BQL("ALK US Equity", "SIZE_OF_FLEET", "FPT=A", "FPO=-3A", "ACT_EST_MAPPING=PRECISE", "FS=MRC", "CURRENCY=USD", "XLFILL=b")</f>
        <v>291</v>
      </c>
      <c r="M65" s="9">
        <f>_xll.BQL("ALK US Equity", "SIZE_OF_FLEET", "FPT=A", "FPO=-4A", "ACT_EST_MAPPING=PRECISE", "FS=MRC", "CURRENCY=USD", "XLFILL=b")</f>
        <v>332</v>
      </c>
      <c r="N65" s="9">
        <f>_xll.BQL("ALK US Equity", "SIZE_OF_FLEET", "FPT=A", "FPO=-5A", "ACT_EST_MAPPING=PRECISE", "FS=MRC", "CURRENCY=USD", "XLFILL=b")</f>
        <v>330</v>
      </c>
    </row>
    <row r="66" spans="1:14" x14ac:dyDescent="0.2">
      <c r="A66" s="8" t="s">
        <v>12</v>
      </c>
      <c r="B66" s="4" t="s">
        <v>38</v>
      </c>
      <c r="C66" s="4"/>
      <c r="D66" s="4"/>
      <c r="E66" s="9" t="str">
        <f>_xll.BQL("ALK US Equity", "FA_GROWTH(SIZE_OF_FLEET, YOY)", "FPT=A", "FPO=4A", "ACT_EST_MAPPING=PRECISE", "FS=MRC", "CURRENCY=USD", "XLFILL=b")</f>
        <v/>
      </c>
      <c r="F66" s="9">
        <f>_xll.BQL("ALK US Equity", "FA_GROWTH(SIZE_OF_FLEET, YOY)", "FPT=A", "FPO=3A", "ACT_EST_MAPPING=PRECISE", "FS=MRC", "CURRENCY=USD", "XLFILL=b")</f>
        <v>9.2696629213483153</v>
      </c>
      <c r="G66" s="9">
        <f>_xll.BQL("ALK US Equity", "FA_GROWTH(SIZE_OF_FLEET, YOY)", "FPT=A", "FPO=2A", "ACT_EST_MAPPING=PRECISE", "FS=MRC", "CURRENCY=USD", "XLFILL=b")</f>
        <v>4.7058823529411766</v>
      </c>
      <c r="H66" s="9">
        <f>_xll.BQL("ALK US Equity", "FA_GROWTH(SIZE_OF_FLEET, YOY)", "FPT=A", "FPO=1A", "ACT_EST_MAPPING=PRECISE", "FS=MRC", "CURRENCY=USD", "XLFILL=b")</f>
        <v>8.2802547770700645</v>
      </c>
      <c r="I66" s="9">
        <f>_xll.BQL("ALK US Equity", "FA_GROWTH(SIZE_OF_FLEET, YOY)", "FPT=A", "FPO=0A", "ACT_EST_MAPPING=PRECISE", "FS=MRC", "CURRENCY=USD", "XLFILL=b")</f>
        <v>0.96463022508038587</v>
      </c>
      <c r="J66" s="9">
        <f>_xll.BQL("ALK US Equity", "FA_GROWTH(SIZE_OF_FLEET, YOY)", "FPT=A", "FPO=-1A", "ACT_EST_MAPPING=PRECISE", "FS=MRC", "CURRENCY=USD", "XLFILL=b")</f>
        <v>0</v>
      </c>
      <c r="K66" s="9">
        <f>_xll.BQL("ALK US Equity", "FA_GROWTH(SIZE_OF_FLEET, YOY)", "FPT=A", "FPO=-2A", "ACT_EST_MAPPING=PRECISE", "FS=MRC", "CURRENCY=USD", "XLFILL=b")</f>
        <v>6.8728522336769755</v>
      </c>
      <c r="L66" s="9">
        <f>_xll.BQL("ALK US Equity", "FA_GROWTH(SIZE_OF_FLEET, YOY)", "FPT=A", "FPO=-3A", "ACT_EST_MAPPING=PRECISE", "FS=MRC", "CURRENCY=USD", "XLFILL=b")</f>
        <v>-12.349397590361447</v>
      </c>
      <c r="M66" s="9">
        <f>_xll.BQL("ALK US Equity", "FA_GROWTH(SIZE_OF_FLEET, YOY)", "FPT=A", "FPO=-4A", "ACT_EST_MAPPING=PRECISE", "FS=MRC", "CURRENCY=USD", "XLFILL=b")</f>
        <v>0.60606060606060608</v>
      </c>
      <c r="N66" s="9">
        <f>_xll.BQL("ALK US Equity", "FA_GROWTH(SIZE_OF_FLEET, YOY)", "FPT=A", "FPO=-5A", "ACT_EST_MAPPING=PRECISE", "FS=MRC", "CURRENCY=USD", "XLFILL=b")</f>
        <v>8.5526315789473681</v>
      </c>
    </row>
    <row r="67" spans="1:14" x14ac:dyDescent="0.2">
      <c r="A67" s="8" t="s">
        <v>62</v>
      </c>
      <c r="B67" s="4" t="s">
        <v>38</v>
      </c>
      <c r="C67" s="4"/>
      <c r="D67" s="4" t="s">
        <v>63</v>
      </c>
      <c r="E67" s="9" t="str">
        <f>_xll.BQL("SEG0000329534 Segment", "SIZE_OF_FLEET", "FPT=A", "FPO=4A", "ACT_EST_MAPPING=PRECISE", "FS=MRC", "CURRENCY=USD", "XLFILL=b")</f>
        <v/>
      </c>
      <c r="F67" s="9">
        <f>_xll.BQL("SEG0000329534 Segment", "SIZE_OF_FLEET", "FPT=A", "FPO=3A", "ACT_EST_MAPPING=PRECISE", "FS=MRC", "CURRENCY=USD", "XLFILL=b")</f>
        <v>296</v>
      </c>
      <c r="G67" s="9">
        <f>_xll.BQL("SEG0000329534 Segment", "SIZE_OF_FLEET", "FPT=A", "FPO=2A", "ACT_EST_MAPPING=PRECISE", "FS=MRC", "CURRENCY=USD", "XLFILL=b")</f>
        <v>266</v>
      </c>
      <c r="H67" s="9">
        <f>_xll.BQL("SEG0000329534 Segment", "SIZE_OF_FLEET", "FPT=A", "FPO=1A", "ACT_EST_MAPPING=PRECISE", "FS=MRC", "CURRENCY=USD", "XLFILL=b")</f>
        <v>254</v>
      </c>
      <c r="I67" s="9">
        <f>_xll.BQL("SEG0000329534 Segment", "SIZE_OF_FLEET", "FPT=A", "FPO=0A", "ACT_EST_MAPPING=PRECISE", "FS=MRC", "CURRENCY=USD", "XLFILL=b")</f>
        <v>231</v>
      </c>
      <c r="J67" s="9">
        <f>_xll.BQL("SEG0000329534 Segment", "SIZE_OF_FLEET", "FPT=A", "FPO=-1A", "ACT_EST_MAPPING=PRECISE", "FS=MRC", "CURRENCY=USD", "XLFILL=b")</f>
        <v>225</v>
      </c>
      <c r="K67" s="9">
        <f>_xll.BQL("SEG0000329534 Segment", "SIZE_OF_FLEET", "FPT=A", "FPO=-2A", "ACT_EST_MAPPING=PRECISE", "FS=MRC", "CURRENCY=USD", "XLFILL=b")</f>
        <v>217</v>
      </c>
      <c r="L67" s="9">
        <f>_xll.BQL("SEG0000329534 Segment", "SIZE_OF_FLEET", "FPT=A", "FPO=-3A", "ACT_EST_MAPPING=PRECISE", "FS=MRC", "CURRENCY=USD", "XLFILL=b")</f>
        <v>197</v>
      </c>
      <c r="M67" s="9">
        <f>_xll.BQL("SEG0000329534 Segment", "SIZE_OF_FLEET", "FPT=A", "FPO=-4A", "ACT_EST_MAPPING=PRECISE", "FS=MRC", "CURRENCY=USD", "XLFILL=b")</f>
        <v>237</v>
      </c>
      <c r="N67" s="9">
        <f>_xll.BQL("SEG0000329534 Segment", "SIZE_OF_FLEET", "FPT=A", "FPO=-5A", "ACT_EST_MAPPING=PRECISE", "FS=MRC", "CURRENCY=USD", "XLFILL=b")</f>
        <v>233</v>
      </c>
    </row>
    <row r="68" spans="1:14" x14ac:dyDescent="0.2">
      <c r="A68" s="8" t="s">
        <v>64</v>
      </c>
      <c r="B68" s="4" t="s">
        <v>38</v>
      </c>
      <c r="C68" s="4"/>
      <c r="D68" s="4" t="s">
        <v>63</v>
      </c>
      <c r="E68" s="9" t="str">
        <f>_xll.BQL("SEG0000329534 Segment", "FA_GROWTH(SIZE_OF_FLEET, YOY)", "FPT=A", "FPO=4A", "ACT_EST_MAPPING=PRECISE", "FS=MRC", "CURRENCY=USD", "XLFILL=b")</f>
        <v/>
      </c>
      <c r="F68" s="9">
        <f>_xll.BQL("SEG0000329534 Segment", "FA_GROWTH(SIZE_OF_FLEET, YOY)", "FPT=A", "FPO=3A", "ACT_EST_MAPPING=PRECISE", "FS=MRC", "CURRENCY=USD", "XLFILL=b")</f>
        <v>11.278195488721805</v>
      </c>
      <c r="G68" s="9">
        <f>_xll.BQL("SEG0000329534 Segment", "FA_GROWTH(SIZE_OF_FLEET, YOY)", "FPT=A", "FPO=2A", "ACT_EST_MAPPING=PRECISE", "FS=MRC", "CURRENCY=USD", "XLFILL=b")</f>
        <v>4.7244094488188972</v>
      </c>
      <c r="H68" s="9">
        <f>_xll.BQL("SEG0000329534 Segment", "FA_GROWTH(SIZE_OF_FLEET, YOY)", "FPT=A", "FPO=1A", "ACT_EST_MAPPING=PRECISE", "FS=MRC", "CURRENCY=USD", "XLFILL=b")</f>
        <v>9.9567099567099575</v>
      </c>
      <c r="I68" s="9">
        <f>_xll.BQL("SEG0000329534 Segment", "FA_GROWTH(SIZE_OF_FLEET, YOY)", "FPT=A", "FPO=0A", "ACT_EST_MAPPING=PRECISE", "FS=MRC", "CURRENCY=USD", "XLFILL=b")</f>
        <v>2.6666666666666665</v>
      </c>
      <c r="J68" s="9">
        <f>_xll.BQL("SEG0000329534 Segment", "FA_GROWTH(SIZE_OF_FLEET, YOY)", "FPT=A", "FPO=-1A", "ACT_EST_MAPPING=PRECISE", "FS=MRC", "CURRENCY=USD", "XLFILL=b")</f>
        <v>3.6866359447004609</v>
      </c>
      <c r="K68" s="9">
        <f>_xll.BQL("SEG0000329534 Segment", "FA_GROWTH(SIZE_OF_FLEET, YOY)", "FPT=A", "FPO=-2A", "ACT_EST_MAPPING=PRECISE", "FS=MRC", "CURRENCY=USD", "XLFILL=b")</f>
        <v>10.152284263959391</v>
      </c>
      <c r="L68" s="9">
        <f>_xll.BQL("SEG0000329534 Segment", "FA_GROWTH(SIZE_OF_FLEET, YOY)", "FPT=A", "FPO=-3A", "ACT_EST_MAPPING=PRECISE", "FS=MRC", "CURRENCY=USD", "XLFILL=b")</f>
        <v>-16.877637130801688</v>
      </c>
      <c r="M68" s="9">
        <f>_xll.BQL("SEG0000329534 Segment", "FA_GROWTH(SIZE_OF_FLEET, YOY)", "FPT=A", "FPO=-4A", "ACT_EST_MAPPING=PRECISE", "FS=MRC", "CURRENCY=USD", "XLFILL=b")</f>
        <v>1.7167381974248928</v>
      </c>
      <c r="N68" s="9">
        <f>_xll.BQL("SEG0000329534 Segment", "FA_GROWTH(SIZE_OF_FLEET, YOY)", "FPT=A", "FPO=-5A", "ACT_EST_MAPPING=PRECISE", "FS=MRC", "CURRENCY=USD", "XLFILL=b")</f>
        <v>5.4298642533936654</v>
      </c>
    </row>
    <row r="69" spans="1:14" x14ac:dyDescent="0.2">
      <c r="A69" s="8" t="s">
        <v>65</v>
      </c>
      <c r="B69" s="4" t="s">
        <v>38</v>
      </c>
      <c r="C69" s="4"/>
      <c r="D69" s="4" t="s">
        <v>66</v>
      </c>
      <c r="E69" s="9" t="str">
        <f>_xll.BQL("SEG5314221063 Segment", "SIZE_OF_FLEET", "FPT=A", "FPO=4A", "ACT_EST_MAPPING=PRECISE", "FS=MRC", "CURRENCY=USD", "XLFILL=b")</f>
        <v/>
      </c>
      <c r="F69" s="9">
        <f>_xll.BQL("SEG5314221063 Segment", "SIZE_OF_FLEET", "FPT=A", "FPO=3A", "ACT_EST_MAPPING=PRECISE", "FS=MRC", "CURRENCY=USD", "XLFILL=b")</f>
        <v>3</v>
      </c>
      <c r="G69" s="9">
        <f>_xll.BQL("SEG5314221063 Segment", "SIZE_OF_FLEET", "FPT=A", "FPO=2A", "ACT_EST_MAPPING=PRECISE", "FS=MRC", "CURRENCY=USD", "XLFILL=b")</f>
        <v>3</v>
      </c>
      <c r="H69" s="9">
        <f>_xll.BQL("SEG5314221063 Segment", "SIZE_OF_FLEET", "FPT=A", "FPO=1A", "ACT_EST_MAPPING=PRECISE", "FS=MRC", "CURRENCY=USD", "XLFILL=b")</f>
        <v>3</v>
      </c>
      <c r="I69" s="9">
        <f>_xll.BQL("SEG5314221063 Segment", "SIZE_OF_FLEET", "FPT=A", "FPO=0A", "ACT_EST_MAPPING=PRECISE", "FS=MRC", "CURRENCY=USD", "XLFILL=b")</f>
        <v>3</v>
      </c>
      <c r="J69" s="9" t="str">
        <f>_xll.BQL("SEG5314221063 Segment", "SIZE_OF_FLEET", "FPT=A", "FPO=-1A", "ACT_EST_MAPPING=PRECISE", "FS=MRC", "CURRENCY=USD", "XLFILL=b")</f>
        <v/>
      </c>
      <c r="K69" s="9" t="str">
        <f>_xll.BQL("SEG5314221063 Segment", "SIZE_OF_FLEET", "FPT=A", "FPO=-2A", "ACT_EST_MAPPING=PRECISE", "FS=MRC", "CURRENCY=USD", "XLFILL=b")</f>
        <v/>
      </c>
      <c r="L69" s="9" t="str">
        <f>_xll.BQL("SEG5314221063 Segment", "SIZE_OF_FLEET", "FPT=A", "FPO=-3A", "ACT_EST_MAPPING=PRECISE", "FS=MRC", "CURRENCY=USD", "XLFILL=b")</f>
        <v/>
      </c>
      <c r="M69" s="9" t="str">
        <f>_xll.BQL("SEG5314221063 Segment", "SIZE_OF_FLEET", "FPT=A", "FPO=-4A", "ACT_EST_MAPPING=PRECISE", "FS=MRC", "CURRENCY=USD", "XLFILL=b")</f>
        <v/>
      </c>
      <c r="N69" s="9" t="str">
        <f>_xll.BQL("SEG5314221063 Segment", "SIZE_OF_FLEET", "FPT=A", "FPO=-5A", "ACT_EST_MAPPING=PRECISE", "FS=MRC", "CURRENCY=USD", "XLFILL=b")</f>
        <v/>
      </c>
    </row>
    <row r="70" spans="1:14" x14ac:dyDescent="0.2">
      <c r="A70" s="8" t="s">
        <v>67</v>
      </c>
      <c r="B70" s="4" t="s">
        <v>38</v>
      </c>
      <c r="C70" s="4"/>
      <c r="D70" s="4" t="s">
        <v>66</v>
      </c>
      <c r="E70" s="9" t="str">
        <f>_xll.BQL("SEG5314221063 Segment", "FA_GROWTH(SIZE_OF_FLEET, YOY)", "FPT=A", "FPO=4A", "ACT_EST_MAPPING=PRECISE", "FS=MRC", "CURRENCY=USD", "XLFILL=b")</f>
        <v/>
      </c>
      <c r="F70" s="9">
        <f>_xll.BQL("SEG5314221063 Segment", "FA_GROWTH(SIZE_OF_FLEET, YOY)", "FPT=A", "FPO=3A", "ACT_EST_MAPPING=PRECISE", "FS=MRC", "CURRENCY=USD", "XLFILL=b")</f>
        <v>0</v>
      </c>
      <c r="G70" s="9">
        <f>_xll.BQL("SEG5314221063 Segment", "FA_GROWTH(SIZE_OF_FLEET, YOY)", "FPT=A", "FPO=2A", "ACT_EST_MAPPING=PRECISE", "FS=MRC", "CURRENCY=USD", "XLFILL=b")</f>
        <v>0</v>
      </c>
      <c r="H70" s="9">
        <f>_xll.BQL("SEG5314221063 Segment", "FA_GROWTH(SIZE_OF_FLEET, YOY)", "FPT=A", "FPO=1A", "ACT_EST_MAPPING=PRECISE", "FS=MRC", "CURRENCY=USD", "XLFILL=b")</f>
        <v>0</v>
      </c>
      <c r="I70" s="9" t="str">
        <f>_xll.BQL("SEG5314221063 Segment", "FA_GROWTH(SIZE_OF_FLEET, YOY)", "FPT=A", "FPO=0A", "ACT_EST_MAPPING=PRECISE", "FS=MRC", "CURRENCY=USD", "XLFILL=b")</f>
        <v/>
      </c>
      <c r="J70" s="9" t="str">
        <f>_xll.BQL("SEG5314221063 Segment", "FA_GROWTH(SIZE_OF_FLEET, YOY)", "FPT=A", "FPO=-1A", "ACT_EST_MAPPING=PRECISE", "FS=MRC", "CURRENCY=USD", "XLFILL=b")</f>
        <v/>
      </c>
      <c r="K70" s="9" t="str">
        <f>_xll.BQL("SEG5314221063 Segment", "FA_GROWTH(SIZE_OF_FLEET, YOY)", "FPT=A", "FPO=-2A", "ACT_EST_MAPPING=PRECISE", "FS=MRC", "CURRENCY=USD", "XLFILL=b")</f>
        <v/>
      </c>
      <c r="L70" s="9" t="str">
        <f>_xll.BQL("SEG5314221063 Segment", "FA_GROWTH(SIZE_OF_FLEET, YOY)", "FPT=A", "FPO=-3A", "ACT_EST_MAPPING=PRECISE", "FS=MRC", "CURRENCY=USD", "XLFILL=b")</f>
        <v/>
      </c>
      <c r="M70" s="9" t="str">
        <f>_xll.BQL("SEG5314221063 Segment", "FA_GROWTH(SIZE_OF_FLEET, YOY)", "FPT=A", "FPO=-4A", "ACT_EST_MAPPING=PRECISE", "FS=MRC", "CURRENCY=USD", "XLFILL=b")</f>
        <v/>
      </c>
      <c r="N70" s="9" t="str">
        <f>_xll.BQL("SEG5314221063 Segment", "FA_GROWTH(SIZE_OF_FLEET, YOY)", "FPT=A", "FPO=-5A", "ACT_EST_MAPPING=PRECISE", "FS=MRC", "CURRENCY=USD", "XLFILL=b")</f>
        <v/>
      </c>
    </row>
    <row r="71" spans="1:14" x14ac:dyDescent="0.2">
      <c r="A71" s="8" t="s">
        <v>68</v>
      </c>
      <c r="B71" s="4" t="s">
        <v>38</v>
      </c>
      <c r="C71" s="4"/>
      <c r="D71" s="4" t="s">
        <v>69</v>
      </c>
      <c r="E71" s="9" t="str">
        <f>_xll.BQL("SEG1425318411 Segment", "SIZE_OF_FLEET", "FPT=A", "FPO=4A", "ACT_EST_MAPPING=PRECISE", "FS=MRC", "CURRENCY=USD", "XLFILL=b")</f>
        <v/>
      </c>
      <c r="F71" s="9">
        <f>_xll.BQL("SEG1425318411 Segment", "SIZE_OF_FLEET", "FPT=A", "FPO=3A", "ACT_EST_MAPPING=PRECISE", "FS=MRC", "CURRENCY=USD", "XLFILL=b")</f>
        <v>2</v>
      </c>
      <c r="G71" s="9">
        <f>_xll.BQL("SEG1425318411 Segment", "SIZE_OF_FLEET", "FPT=A", "FPO=2A", "ACT_EST_MAPPING=PRECISE", "FS=MRC", "CURRENCY=USD", "XLFILL=b")</f>
        <v>2</v>
      </c>
      <c r="H71" s="9">
        <f>_xll.BQL("SEG1425318411 Segment", "SIZE_OF_FLEET", "FPT=A", "FPO=1A", "ACT_EST_MAPPING=PRECISE", "FS=MRC", "CURRENCY=USD", "XLFILL=b")</f>
        <v>2</v>
      </c>
      <c r="I71" s="9">
        <f>_xll.BQL("SEG1425318411 Segment", "SIZE_OF_FLEET", "FPT=A", "FPO=0A", "ACT_EST_MAPPING=PRECISE", "FS=MRC", "CURRENCY=USD", "XLFILL=b")</f>
        <v>1</v>
      </c>
      <c r="J71" s="9" t="str">
        <f>_xll.BQL("SEG1425318411 Segment", "SIZE_OF_FLEET", "FPT=A", "FPO=-1A", "ACT_EST_MAPPING=PRECISE", "FS=MRC", "CURRENCY=USD", "XLFILL=b")</f>
        <v/>
      </c>
      <c r="K71" s="9" t="str">
        <f>_xll.BQL("SEG1425318411 Segment", "SIZE_OF_FLEET", "FPT=A", "FPO=-2A", "ACT_EST_MAPPING=PRECISE", "FS=MRC", "CURRENCY=USD", "XLFILL=b")</f>
        <v/>
      </c>
      <c r="L71" s="9" t="str">
        <f>_xll.BQL("SEG1425318411 Segment", "SIZE_OF_FLEET", "FPT=A", "FPO=-3A", "ACT_EST_MAPPING=PRECISE", "FS=MRC", "CURRENCY=USD", "XLFILL=b")</f>
        <v/>
      </c>
      <c r="M71" s="9" t="str">
        <f>_xll.BQL("SEG1425318411 Segment", "SIZE_OF_FLEET", "FPT=A", "FPO=-4A", "ACT_EST_MAPPING=PRECISE", "FS=MRC", "CURRENCY=USD", "XLFILL=b")</f>
        <v/>
      </c>
      <c r="N71" s="9" t="str">
        <f>_xll.BQL("SEG1425318411 Segment", "SIZE_OF_FLEET", "FPT=A", "FPO=-5A", "ACT_EST_MAPPING=PRECISE", "FS=MRC", "CURRENCY=USD", "XLFILL=b")</f>
        <v/>
      </c>
    </row>
    <row r="72" spans="1:14" x14ac:dyDescent="0.2">
      <c r="A72" s="8" t="s">
        <v>67</v>
      </c>
      <c r="B72" s="4" t="s">
        <v>38</v>
      </c>
      <c r="C72" s="4"/>
      <c r="D72" s="4" t="s">
        <v>69</v>
      </c>
      <c r="E72" s="9" t="str">
        <f>_xll.BQL("SEG1425318411 Segment", "FA_GROWTH(SIZE_OF_FLEET, YOY)", "FPT=A", "FPO=4A", "ACT_EST_MAPPING=PRECISE", "FS=MRC", "CURRENCY=USD", "XLFILL=b")</f>
        <v/>
      </c>
      <c r="F72" s="9">
        <f>_xll.BQL("SEG1425318411 Segment", "FA_GROWTH(SIZE_OF_FLEET, YOY)", "FPT=A", "FPO=3A", "ACT_EST_MAPPING=PRECISE", "FS=MRC", "CURRENCY=USD", "XLFILL=b")</f>
        <v>0</v>
      </c>
      <c r="G72" s="9">
        <f>_xll.BQL("SEG1425318411 Segment", "FA_GROWTH(SIZE_OF_FLEET, YOY)", "FPT=A", "FPO=2A", "ACT_EST_MAPPING=PRECISE", "FS=MRC", "CURRENCY=USD", "XLFILL=b")</f>
        <v>0</v>
      </c>
      <c r="H72" s="9">
        <f>_xll.BQL("SEG1425318411 Segment", "FA_GROWTH(SIZE_OF_FLEET, YOY)", "FPT=A", "FPO=1A", "ACT_EST_MAPPING=PRECISE", "FS=MRC", "CURRENCY=USD", "XLFILL=b")</f>
        <v>100</v>
      </c>
      <c r="I72" s="9" t="str">
        <f>_xll.BQL("SEG1425318411 Segment", "FA_GROWTH(SIZE_OF_FLEET, YOY)", "FPT=A", "FPO=0A", "ACT_EST_MAPPING=PRECISE", "FS=MRC", "CURRENCY=USD", "XLFILL=b")</f>
        <v/>
      </c>
      <c r="J72" s="9" t="str">
        <f>_xll.BQL("SEG1425318411 Segment", "FA_GROWTH(SIZE_OF_FLEET, YOY)", "FPT=A", "FPO=-1A", "ACT_EST_MAPPING=PRECISE", "FS=MRC", "CURRENCY=USD", "XLFILL=b")</f>
        <v/>
      </c>
      <c r="K72" s="9" t="str">
        <f>_xll.BQL("SEG1425318411 Segment", "FA_GROWTH(SIZE_OF_FLEET, YOY)", "FPT=A", "FPO=-2A", "ACT_EST_MAPPING=PRECISE", "FS=MRC", "CURRENCY=USD", "XLFILL=b")</f>
        <v/>
      </c>
      <c r="L72" s="9" t="str">
        <f>_xll.BQL("SEG1425318411 Segment", "FA_GROWTH(SIZE_OF_FLEET, YOY)", "FPT=A", "FPO=-3A", "ACT_EST_MAPPING=PRECISE", "FS=MRC", "CURRENCY=USD", "XLFILL=b")</f>
        <v/>
      </c>
      <c r="M72" s="9" t="str">
        <f>_xll.BQL("SEG1425318411 Segment", "FA_GROWTH(SIZE_OF_FLEET, YOY)", "FPT=A", "FPO=-4A", "ACT_EST_MAPPING=PRECISE", "FS=MRC", "CURRENCY=USD", "XLFILL=b")</f>
        <v/>
      </c>
      <c r="N72" s="9" t="str">
        <f>_xll.BQL("SEG1425318411 Segment", "FA_GROWTH(SIZE_OF_FLEET, YOY)", "FPT=A", "FPO=-5A", "ACT_EST_MAPPING=PRECISE", "FS=MRC", "CURRENCY=USD", "XLFILL=b")</f>
        <v/>
      </c>
    </row>
    <row r="73" spans="1:14" x14ac:dyDescent="0.2">
      <c r="A73" s="8" t="s">
        <v>70</v>
      </c>
      <c r="B73" s="4" t="s">
        <v>38</v>
      </c>
      <c r="C73" s="4"/>
      <c r="D73" s="4" t="s">
        <v>71</v>
      </c>
      <c r="E73" s="9" t="str">
        <f>_xll.BQL("SEG6536415752 Segment", "SIZE_OF_FLEET", "FPT=A", "FPO=4A", "ACT_EST_MAPPING=PRECISE", "FS=MRC", "CURRENCY=USD", "XLFILL=b")</f>
        <v/>
      </c>
      <c r="F73" s="9">
        <f>_xll.BQL("SEG6536415752 Segment", "SIZE_OF_FLEET", "FPT=A", "FPO=3A", "ACT_EST_MAPPING=PRECISE", "FS=MRC", "CURRENCY=USD", "XLFILL=b")</f>
        <v>79</v>
      </c>
      <c r="G73" s="9">
        <f>_xll.BQL("SEG6536415752 Segment", "SIZE_OF_FLEET", "FPT=A", "FPO=2A", "ACT_EST_MAPPING=PRECISE", "FS=MRC", "CURRENCY=USD", "XLFILL=b")</f>
        <v>79</v>
      </c>
      <c r="H73" s="9">
        <f>_xll.BQL("SEG6536415752 Segment", "SIZE_OF_FLEET", "FPT=A", "FPO=1A", "ACT_EST_MAPPING=PRECISE", "FS=MRC", "CURRENCY=USD", "XLFILL=b")</f>
        <v>79</v>
      </c>
      <c r="I73" s="9">
        <f>_xll.BQL("SEG6536415752 Segment", "SIZE_OF_FLEET", "FPT=A", "FPO=0A", "ACT_EST_MAPPING=PRECISE", "FS=MRC", "CURRENCY=USD", "XLFILL=b")</f>
        <v>79</v>
      </c>
      <c r="J73" s="9" t="str">
        <f>_xll.BQL("SEG6536415752 Segment", "SIZE_OF_FLEET", "FPT=A", "FPO=-1A", "ACT_EST_MAPPING=PRECISE", "FS=MRC", "CURRENCY=USD", "XLFILL=b")</f>
        <v/>
      </c>
      <c r="K73" s="9" t="str">
        <f>_xll.BQL("SEG6536415752 Segment", "SIZE_OF_FLEET", "FPT=A", "FPO=-2A", "ACT_EST_MAPPING=PRECISE", "FS=MRC", "CURRENCY=USD", "XLFILL=b")</f>
        <v/>
      </c>
      <c r="L73" s="9" t="str">
        <f>_xll.BQL("SEG6536415752 Segment", "SIZE_OF_FLEET", "FPT=A", "FPO=-3A", "ACT_EST_MAPPING=PRECISE", "FS=MRC", "CURRENCY=USD", "XLFILL=b")</f>
        <v/>
      </c>
      <c r="M73" s="9" t="str">
        <f>_xll.BQL("SEG6536415752 Segment", "SIZE_OF_FLEET", "FPT=A", "FPO=-4A", "ACT_EST_MAPPING=PRECISE", "FS=MRC", "CURRENCY=USD", "XLFILL=b")</f>
        <v/>
      </c>
      <c r="N73" s="9" t="str">
        <f>_xll.BQL("SEG6536415752 Segment", "SIZE_OF_FLEET", "FPT=A", "FPO=-5A", "ACT_EST_MAPPING=PRECISE", "FS=MRC", "CURRENCY=USD", "XLFILL=b")</f>
        <v/>
      </c>
    </row>
    <row r="74" spans="1:14" x14ac:dyDescent="0.2">
      <c r="A74" s="8" t="s">
        <v>67</v>
      </c>
      <c r="B74" s="4" t="s">
        <v>38</v>
      </c>
      <c r="C74" s="4"/>
      <c r="D74" s="4" t="s">
        <v>71</v>
      </c>
      <c r="E74" s="9" t="str">
        <f>_xll.BQL("SEG6536415752 Segment", "FA_GROWTH(SIZE_OF_FLEET, YOY)", "FPT=A", "FPO=4A", "ACT_EST_MAPPING=PRECISE", "FS=MRC", "CURRENCY=USD", "XLFILL=b")</f>
        <v/>
      </c>
      <c r="F74" s="9">
        <f>_xll.BQL("SEG6536415752 Segment", "FA_GROWTH(SIZE_OF_FLEET, YOY)", "FPT=A", "FPO=3A", "ACT_EST_MAPPING=PRECISE", "FS=MRC", "CURRENCY=USD", "XLFILL=b")</f>
        <v>0</v>
      </c>
      <c r="G74" s="9">
        <f>_xll.BQL("SEG6536415752 Segment", "FA_GROWTH(SIZE_OF_FLEET, YOY)", "FPT=A", "FPO=2A", "ACT_EST_MAPPING=PRECISE", "FS=MRC", "CURRENCY=USD", "XLFILL=b")</f>
        <v>0</v>
      </c>
      <c r="H74" s="9">
        <f>_xll.BQL("SEG6536415752 Segment", "FA_GROWTH(SIZE_OF_FLEET, YOY)", "FPT=A", "FPO=1A", "ACT_EST_MAPPING=PRECISE", "FS=MRC", "CURRENCY=USD", "XLFILL=b")</f>
        <v>0</v>
      </c>
      <c r="I74" s="9" t="str">
        <f>_xll.BQL("SEG6536415752 Segment", "FA_GROWTH(SIZE_OF_FLEET, YOY)", "FPT=A", "FPO=0A", "ACT_EST_MAPPING=PRECISE", "FS=MRC", "CURRENCY=USD", "XLFILL=b")</f>
        <v/>
      </c>
      <c r="J74" s="9" t="str">
        <f>_xll.BQL("SEG6536415752 Segment", "FA_GROWTH(SIZE_OF_FLEET, YOY)", "FPT=A", "FPO=-1A", "ACT_EST_MAPPING=PRECISE", "FS=MRC", "CURRENCY=USD", "XLFILL=b")</f>
        <v/>
      </c>
      <c r="K74" s="9" t="str">
        <f>_xll.BQL("SEG6536415752 Segment", "FA_GROWTH(SIZE_OF_FLEET, YOY)", "FPT=A", "FPO=-2A", "ACT_EST_MAPPING=PRECISE", "FS=MRC", "CURRENCY=USD", "XLFILL=b")</f>
        <v/>
      </c>
      <c r="L74" s="9" t="str">
        <f>_xll.BQL("SEG6536415752 Segment", "FA_GROWTH(SIZE_OF_FLEET, YOY)", "FPT=A", "FPO=-3A", "ACT_EST_MAPPING=PRECISE", "FS=MRC", "CURRENCY=USD", "XLFILL=b")</f>
        <v/>
      </c>
      <c r="M74" s="9" t="str">
        <f>_xll.BQL("SEG6536415752 Segment", "FA_GROWTH(SIZE_OF_FLEET, YOY)", "FPT=A", "FPO=-4A", "ACT_EST_MAPPING=PRECISE", "FS=MRC", "CURRENCY=USD", "XLFILL=b")</f>
        <v/>
      </c>
      <c r="N74" s="9" t="str">
        <f>_xll.BQL("SEG6536415752 Segment", "FA_GROWTH(SIZE_OF_FLEET, YOY)", "FPT=A", "FPO=-5A", "ACT_EST_MAPPING=PRECISE", "FS=MRC", "CURRENCY=USD", "XLFILL=b")</f>
        <v/>
      </c>
    </row>
    <row r="75" spans="1:14" x14ac:dyDescent="0.2">
      <c r="A75" s="8" t="s">
        <v>72</v>
      </c>
      <c r="B75" s="4" t="s">
        <v>38</v>
      </c>
      <c r="C75" s="4"/>
      <c r="D75" s="4" t="s">
        <v>73</v>
      </c>
      <c r="E75" s="9" t="str">
        <f>_xll.BQL("SEG7758610441 Segment", "SIZE_OF_FLEET", "FPT=A", "FPO=4A", "ACT_EST_MAPPING=PRECISE", "FS=MRC", "CURRENCY=USD", "XLFILL=b")</f>
        <v/>
      </c>
      <c r="F75" s="9">
        <f>_xll.BQL("SEG7758610441 Segment", "SIZE_OF_FLEET", "FPT=A", "FPO=3A", "ACT_EST_MAPPING=PRECISE", "FS=MRC", "CURRENCY=USD", "XLFILL=b")</f>
        <v>20</v>
      </c>
      <c r="G75" s="9">
        <f>_xll.BQL("SEG7758610441 Segment", "SIZE_OF_FLEET", "FPT=A", "FPO=2A", "ACT_EST_MAPPING=PRECISE", "FS=MRC", "CURRENCY=USD", "XLFILL=b")</f>
        <v>20</v>
      </c>
      <c r="H75" s="9">
        <f>_xll.BQL("SEG7758610441 Segment", "SIZE_OF_FLEET", "FPT=A", "FPO=1A", "ACT_EST_MAPPING=PRECISE", "FS=MRC", "CURRENCY=USD", "XLFILL=b")</f>
        <v>8</v>
      </c>
      <c r="I75" s="9">
        <f>_xll.BQL("SEG7758610441 Segment", "SIZE_OF_FLEET", "FPT=A", "FPO=0A", "ACT_EST_MAPPING=PRECISE", "FS=MRC", "CURRENCY=USD", "XLFILL=b")</f>
        <v>1</v>
      </c>
      <c r="J75" s="9" t="str">
        <f>_xll.BQL("SEG7758610441 Segment", "SIZE_OF_FLEET", "FPT=A", "FPO=-1A", "ACT_EST_MAPPING=PRECISE", "FS=MRC", "CURRENCY=USD", "XLFILL=b")</f>
        <v/>
      </c>
      <c r="K75" s="9" t="str">
        <f>_xll.BQL("SEG7758610441 Segment", "SIZE_OF_FLEET", "FPT=A", "FPO=-2A", "ACT_EST_MAPPING=PRECISE", "FS=MRC", "CURRENCY=USD", "XLFILL=b")</f>
        <v/>
      </c>
      <c r="L75" s="9" t="str">
        <f>_xll.BQL("SEG7758610441 Segment", "SIZE_OF_FLEET", "FPT=A", "FPO=-3A", "ACT_EST_MAPPING=PRECISE", "FS=MRC", "CURRENCY=USD", "XLFILL=b")</f>
        <v/>
      </c>
      <c r="M75" s="9" t="str">
        <f>_xll.BQL("SEG7758610441 Segment", "SIZE_OF_FLEET", "FPT=A", "FPO=-4A", "ACT_EST_MAPPING=PRECISE", "FS=MRC", "CURRENCY=USD", "XLFILL=b")</f>
        <v/>
      </c>
      <c r="N75" s="9" t="str">
        <f>_xll.BQL("SEG7758610441 Segment", "SIZE_OF_FLEET", "FPT=A", "FPO=-5A", "ACT_EST_MAPPING=PRECISE", "FS=MRC", "CURRENCY=USD", "XLFILL=b")</f>
        <v/>
      </c>
    </row>
    <row r="76" spans="1:14" x14ac:dyDescent="0.2">
      <c r="A76" s="8" t="s">
        <v>67</v>
      </c>
      <c r="B76" s="4" t="s">
        <v>38</v>
      </c>
      <c r="C76" s="4"/>
      <c r="D76" s="4" t="s">
        <v>73</v>
      </c>
      <c r="E76" s="9" t="str">
        <f>_xll.BQL("SEG7758610441 Segment", "FA_GROWTH(SIZE_OF_FLEET, YOY)", "FPT=A", "FPO=4A", "ACT_EST_MAPPING=PRECISE", "FS=MRC", "CURRENCY=USD", "XLFILL=b")</f>
        <v/>
      </c>
      <c r="F76" s="9">
        <f>_xll.BQL("SEG7758610441 Segment", "FA_GROWTH(SIZE_OF_FLEET, YOY)", "FPT=A", "FPO=3A", "ACT_EST_MAPPING=PRECISE", "FS=MRC", "CURRENCY=USD", "XLFILL=b")</f>
        <v>0</v>
      </c>
      <c r="G76" s="9">
        <f>_xll.BQL("SEG7758610441 Segment", "FA_GROWTH(SIZE_OF_FLEET, YOY)", "FPT=A", "FPO=2A", "ACT_EST_MAPPING=PRECISE", "FS=MRC", "CURRENCY=USD", "XLFILL=b")</f>
        <v>150</v>
      </c>
      <c r="H76" s="9">
        <f>_xll.BQL("SEG7758610441 Segment", "FA_GROWTH(SIZE_OF_FLEET, YOY)", "FPT=A", "FPO=1A", "ACT_EST_MAPPING=PRECISE", "FS=MRC", "CURRENCY=USD", "XLFILL=b")</f>
        <v>700</v>
      </c>
      <c r="I76" s="9" t="str">
        <f>_xll.BQL("SEG7758610441 Segment", "FA_GROWTH(SIZE_OF_FLEET, YOY)", "FPT=A", "FPO=0A", "ACT_EST_MAPPING=PRECISE", "FS=MRC", "CURRENCY=USD", "XLFILL=b")</f>
        <v/>
      </c>
      <c r="J76" s="9" t="str">
        <f>_xll.BQL("SEG7758610441 Segment", "FA_GROWTH(SIZE_OF_FLEET, YOY)", "FPT=A", "FPO=-1A", "ACT_EST_MAPPING=PRECISE", "FS=MRC", "CURRENCY=USD", "XLFILL=b")</f>
        <v/>
      </c>
      <c r="K76" s="9" t="str">
        <f>_xll.BQL("SEG7758610441 Segment", "FA_GROWTH(SIZE_OF_FLEET, YOY)", "FPT=A", "FPO=-2A", "ACT_EST_MAPPING=PRECISE", "FS=MRC", "CURRENCY=USD", "XLFILL=b")</f>
        <v/>
      </c>
      <c r="L76" s="9" t="str">
        <f>_xll.BQL("SEG7758610441 Segment", "FA_GROWTH(SIZE_OF_FLEET, YOY)", "FPT=A", "FPO=-3A", "ACT_EST_MAPPING=PRECISE", "FS=MRC", "CURRENCY=USD", "XLFILL=b")</f>
        <v/>
      </c>
      <c r="M76" s="9" t="str">
        <f>_xll.BQL("SEG7758610441 Segment", "FA_GROWTH(SIZE_OF_FLEET, YOY)", "FPT=A", "FPO=-4A", "ACT_EST_MAPPING=PRECISE", "FS=MRC", "CURRENCY=USD", "XLFILL=b")</f>
        <v/>
      </c>
      <c r="N76" s="9" t="str">
        <f>_xll.BQL("SEG7758610441 Segment", "FA_GROWTH(SIZE_OF_FLEET, YOY)", "FPT=A", "FPO=-5A", "ACT_EST_MAPPING=PRECISE", "FS=MRC", "CURRENCY=USD", "XLFILL=b")</f>
        <v/>
      </c>
    </row>
    <row r="77" spans="1:14" x14ac:dyDescent="0.2">
      <c r="A77" s="8" t="s">
        <v>74</v>
      </c>
      <c r="B77" s="4" t="s">
        <v>38</v>
      </c>
      <c r="C77" s="4"/>
      <c r="D77" s="4" t="s">
        <v>75</v>
      </c>
      <c r="E77" s="9" t="str">
        <f>_xll.BQL("SEG3869707789 Segment", "SIZE_OF_FLEET", "FPT=A", "FPO=4A", "ACT_EST_MAPPING=PRECISE", "FS=MRC", "CURRENCY=USD", "XLFILL=b")</f>
        <v/>
      </c>
      <c r="F77" s="9">
        <f>_xll.BQL("SEG3869707789 Segment", "SIZE_OF_FLEET", "FPT=A", "FPO=3A", "ACT_EST_MAPPING=PRECISE", "FS=MRC", "CURRENCY=USD", "XLFILL=b")</f>
        <v>80</v>
      </c>
      <c r="G77" s="9">
        <f>_xll.BQL("SEG3869707789 Segment", "SIZE_OF_FLEET", "FPT=A", "FPO=2A", "ACT_EST_MAPPING=PRECISE", "FS=MRC", "CURRENCY=USD", "XLFILL=b")</f>
        <v>80</v>
      </c>
      <c r="H77" s="9">
        <f>_xll.BQL("SEG3869707789 Segment", "SIZE_OF_FLEET", "FPT=A", "FPO=1A", "ACT_EST_MAPPING=PRECISE", "FS=MRC", "CURRENCY=USD", "XLFILL=b")</f>
        <v>80</v>
      </c>
      <c r="I77" s="9">
        <f>_xll.BQL("SEG3869707789 Segment", "SIZE_OF_FLEET", "FPT=A", "FPO=0A", "ACT_EST_MAPPING=PRECISE", "FS=MRC", "CURRENCY=USD", "XLFILL=b")</f>
        <v>65</v>
      </c>
      <c r="J77" s="9" t="str">
        <f>_xll.BQL("SEG3869707789 Segment", "SIZE_OF_FLEET", "FPT=A", "FPO=-1A", "ACT_EST_MAPPING=PRECISE", "FS=MRC", "CURRENCY=USD", "XLFILL=b")</f>
        <v/>
      </c>
      <c r="K77" s="9" t="str">
        <f>_xll.BQL("SEG3869707789 Segment", "SIZE_OF_FLEET", "FPT=A", "FPO=-2A", "ACT_EST_MAPPING=PRECISE", "FS=MRC", "CURRENCY=USD", "XLFILL=b")</f>
        <v/>
      </c>
      <c r="L77" s="9" t="str">
        <f>_xll.BQL("SEG3869707789 Segment", "SIZE_OF_FLEET", "FPT=A", "FPO=-3A", "ACT_EST_MAPPING=PRECISE", "FS=MRC", "CURRENCY=USD", "XLFILL=b")</f>
        <v/>
      </c>
      <c r="M77" s="9" t="str">
        <f>_xll.BQL("SEG3869707789 Segment", "SIZE_OF_FLEET", "FPT=A", "FPO=-4A", "ACT_EST_MAPPING=PRECISE", "FS=MRC", "CURRENCY=USD", "XLFILL=b")</f>
        <v/>
      </c>
      <c r="N77" s="9" t="str">
        <f>_xll.BQL("SEG3869707789 Segment", "SIZE_OF_FLEET", "FPT=A", "FPO=-5A", "ACT_EST_MAPPING=PRECISE", "FS=MRC", "CURRENCY=USD", "XLFILL=b")</f>
        <v/>
      </c>
    </row>
    <row r="78" spans="1:14" x14ac:dyDescent="0.2">
      <c r="A78" s="8" t="s">
        <v>67</v>
      </c>
      <c r="B78" s="4" t="s">
        <v>38</v>
      </c>
      <c r="C78" s="4"/>
      <c r="D78" s="4" t="s">
        <v>75</v>
      </c>
      <c r="E78" s="9" t="str">
        <f>_xll.BQL("SEG3869707789 Segment", "FA_GROWTH(SIZE_OF_FLEET, YOY)", "FPT=A", "FPO=4A", "ACT_EST_MAPPING=PRECISE", "FS=MRC", "CURRENCY=USD", "XLFILL=b")</f>
        <v/>
      </c>
      <c r="F78" s="9">
        <f>_xll.BQL("SEG3869707789 Segment", "FA_GROWTH(SIZE_OF_FLEET, YOY)", "FPT=A", "FPO=3A", "ACT_EST_MAPPING=PRECISE", "FS=MRC", "CURRENCY=USD", "XLFILL=b")</f>
        <v>0</v>
      </c>
      <c r="G78" s="9">
        <f>_xll.BQL("SEG3869707789 Segment", "FA_GROWTH(SIZE_OF_FLEET, YOY)", "FPT=A", "FPO=2A", "ACT_EST_MAPPING=PRECISE", "FS=MRC", "CURRENCY=USD", "XLFILL=b")</f>
        <v>0</v>
      </c>
      <c r="H78" s="9">
        <f>_xll.BQL("SEG3869707789 Segment", "FA_GROWTH(SIZE_OF_FLEET, YOY)", "FPT=A", "FPO=1A", "ACT_EST_MAPPING=PRECISE", "FS=MRC", "CURRENCY=USD", "XLFILL=b")</f>
        <v>23.076923076923077</v>
      </c>
      <c r="I78" s="9" t="str">
        <f>_xll.BQL("SEG3869707789 Segment", "FA_GROWTH(SIZE_OF_FLEET, YOY)", "FPT=A", "FPO=0A", "ACT_EST_MAPPING=PRECISE", "FS=MRC", "CURRENCY=USD", "XLFILL=b")</f>
        <v/>
      </c>
      <c r="J78" s="9" t="str">
        <f>_xll.BQL("SEG3869707789 Segment", "FA_GROWTH(SIZE_OF_FLEET, YOY)", "FPT=A", "FPO=-1A", "ACT_EST_MAPPING=PRECISE", "FS=MRC", "CURRENCY=USD", "XLFILL=b")</f>
        <v/>
      </c>
      <c r="K78" s="9" t="str">
        <f>_xll.BQL("SEG3869707789 Segment", "FA_GROWTH(SIZE_OF_FLEET, YOY)", "FPT=A", "FPO=-2A", "ACT_EST_MAPPING=PRECISE", "FS=MRC", "CURRENCY=USD", "XLFILL=b")</f>
        <v/>
      </c>
      <c r="L78" s="9" t="str">
        <f>_xll.BQL("SEG3869707789 Segment", "FA_GROWTH(SIZE_OF_FLEET, YOY)", "FPT=A", "FPO=-3A", "ACT_EST_MAPPING=PRECISE", "FS=MRC", "CURRENCY=USD", "XLFILL=b")</f>
        <v/>
      </c>
      <c r="M78" s="9" t="str">
        <f>_xll.BQL("SEG3869707789 Segment", "FA_GROWTH(SIZE_OF_FLEET, YOY)", "FPT=A", "FPO=-4A", "ACT_EST_MAPPING=PRECISE", "FS=MRC", "CURRENCY=USD", "XLFILL=b")</f>
        <v/>
      </c>
      <c r="N78" s="9" t="str">
        <f>_xll.BQL("SEG3869707789 Segment", "FA_GROWTH(SIZE_OF_FLEET, YOY)", "FPT=A", "FPO=-5A", "ACT_EST_MAPPING=PRECISE", "FS=MRC", "CURRENCY=USD", "XLFILL=b")</f>
        <v/>
      </c>
    </row>
    <row r="79" spans="1:14" x14ac:dyDescent="0.2">
      <c r="A79" s="8" t="s">
        <v>76</v>
      </c>
      <c r="B79" s="4" t="s">
        <v>38</v>
      </c>
      <c r="C79" s="4"/>
      <c r="D79" s="4" t="s">
        <v>77</v>
      </c>
      <c r="E79" s="9" t="str">
        <f>_xll.BQL("SEG0000329631 Segment", "SIZE_OF_FLEET", "FPT=A", "FPO=4A", "ACT_EST_MAPPING=PRECISE", "FS=MRC", "CURRENCY=USD", "XLFILL=b")</f>
        <v/>
      </c>
      <c r="F79" s="9">
        <f>_xll.BQL("SEG0000329631 Segment", "SIZE_OF_FLEET", "FPT=A", "FPO=3A", "ACT_EST_MAPPING=PRECISE", "FS=MRC", "CURRENCY=USD", "XLFILL=b")</f>
        <v>59</v>
      </c>
      <c r="G79" s="9">
        <f>_xll.BQL("SEG0000329631 Segment", "SIZE_OF_FLEET", "FPT=A", "FPO=2A", "ACT_EST_MAPPING=PRECISE", "FS=MRC", "CURRENCY=USD", "XLFILL=b")</f>
        <v>59</v>
      </c>
      <c r="H79" s="9">
        <f>_xll.BQL("SEG0000329631 Segment", "SIZE_OF_FLEET", "FPT=A", "FPO=1A", "ACT_EST_MAPPING=PRECISE", "FS=MRC", "CURRENCY=USD", "XLFILL=b")</f>
        <v>59</v>
      </c>
      <c r="I79" s="9">
        <f>_xll.BQL("SEG0000329631 Segment", "SIZE_OF_FLEET", "FPT=A", "FPO=0A", "ACT_EST_MAPPING=PRECISE", "FS=MRC", "CURRENCY=USD", "XLFILL=b")</f>
        <v>59</v>
      </c>
      <c r="J79" s="9" t="str">
        <f>_xll.BQL("SEG0000329631 Segment", "SIZE_OF_FLEET", "FPT=A", "FPO=-1A", "ACT_EST_MAPPING=PRECISE", "FS=MRC", "CURRENCY=USD", "XLFILL=b")</f>
        <v/>
      </c>
      <c r="K79" s="9" t="str">
        <f>_xll.BQL("SEG0000329631 Segment", "SIZE_OF_FLEET", "FPT=A", "FPO=-2A", "ACT_EST_MAPPING=PRECISE", "FS=MRC", "CURRENCY=USD", "XLFILL=b")</f>
        <v/>
      </c>
      <c r="L79" s="9" t="str">
        <f>_xll.BQL("SEG0000329631 Segment", "SIZE_OF_FLEET", "FPT=A", "FPO=-3A", "ACT_EST_MAPPING=PRECISE", "FS=MRC", "CURRENCY=USD", "XLFILL=b")</f>
        <v/>
      </c>
      <c r="M79" s="9" t="str">
        <f>_xll.BQL("SEG0000329631 Segment", "SIZE_OF_FLEET", "FPT=A", "FPO=-4A", "ACT_EST_MAPPING=PRECISE", "FS=MRC", "CURRENCY=USD", "XLFILL=b")</f>
        <v/>
      </c>
      <c r="N79" s="9" t="str">
        <f>_xll.BQL("SEG0000329631 Segment", "SIZE_OF_FLEET", "FPT=A", "FPO=-5A", "ACT_EST_MAPPING=PRECISE", "FS=MRC", "CURRENCY=USD", "XLFILL=b")</f>
        <v/>
      </c>
    </row>
    <row r="80" spans="1:14" x14ac:dyDescent="0.2">
      <c r="A80" s="8" t="s">
        <v>67</v>
      </c>
      <c r="B80" s="4" t="s">
        <v>38</v>
      </c>
      <c r="C80" s="4"/>
      <c r="D80" s="4" t="s">
        <v>77</v>
      </c>
      <c r="E80" s="9" t="str">
        <f>_xll.BQL("SEG0000329631 Segment", "FA_GROWTH(SIZE_OF_FLEET, YOY)", "FPT=A", "FPO=4A", "ACT_EST_MAPPING=PRECISE", "FS=MRC", "CURRENCY=USD", "XLFILL=b")</f>
        <v/>
      </c>
      <c r="F80" s="9">
        <f>_xll.BQL("SEG0000329631 Segment", "FA_GROWTH(SIZE_OF_FLEET, YOY)", "FPT=A", "FPO=3A", "ACT_EST_MAPPING=PRECISE", "FS=MRC", "CURRENCY=USD", "XLFILL=b")</f>
        <v>0</v>
      </c>
      <c r="G80" s="9">
        <f>_xll.BQL("SEG0000329631 Segment", "FA_GROWTH(SIZE_OF_FLEET, YOY)", "FPT=A", "FPO=2A", "ACT_EST_MAPPING=PRECISE", "FS=MRC", "CURRENCY=USD", "XLFILL=b")</f>
        <v>0</v>
      </c>
      <c r="H80" s="9">
        <f>_xll.BQL("SEG0000329631 Segment", "FA_GROWTH(SIZE_OF_FLEET, YOY)", "FPT=A", "FPO=1A", "ACT_EST_MAPPING=PRECISE", "FS=MRC", "CURRENCY=USD", "XLFILL=b")</f>
        <v>0</v>
      </c>
      <c r="I80" s="9" t="str">
        <f>_xll.BQL("SEG0000329631 Segment", "FA_GROWTH(SIZE_OF_FLEET, YOY)", "FPT=A", "FPO=0A", "ACT_EST_MAPPING=PRECISE", "FS=MRC", "CURRENCY=USD", "XLFILL=b")</f>
        <v/>
      </c>
      <c r="J80" s="9" t="str">
        <f>_xll.BQL("SEG0000329631 Segment", "FA_GROWTH(SIZE_OF_FLEET, YOY)", "FPT=A", "FPO=-1A", "ACT_EST_MAPPING=PRECISE", "FS=MRC", "CURRENCY=USD", "XLFILL=b")</f>
        <v/>
      </c>
      <c r="K80" s="9" t="str">
        <f>_xll.BQL("SEG0000329631 Segment", "FA_GROWTH(SIZE_OF_FLEET, YOY)", "FPT=A", "FPO=-2A", "ACT_EST_MAPPING=PRECISE", "FS=MRC", "CURRENCY=USD", "XLFILL=b")</f>
        <v/>
      </c>
      <c r="L80" s="9" t="str">
        <f>_xll.BQL("SEG0000329631 Segment", "FA_GROWTH(SIZE_OF_FLEET, YOY)", "FPT=A", "FPO=-3A", "ACT_EST_MAPPING=PRECISE", "FS=MRC", "CURRENCY=USD", "XLFILL=b")</f>
        <v/>
      </c>
      <c r="M80" s="9" t="str">
        <f>_xll.BQL("SEG0000329631 Segment", "FA_GROWTH(SIZE_OF_FLEET, YOY)", "FPT=A", "FPO=-4A", "ACT_EST_MAPPING=PRECISE", "FS=MRC", "CURRENCY=USD", "XLFILL=b")</f>
        <v/>
      </c>
      <c r="N80" s="9" t="str">
        <f>_xll.BQL("SEG0000329631 Segment", "FA_GROWTH(SIZE_OF_FLEET, YOY)", "FPT=A", "FPO=-5A", "ACT_EST_MAPPING=PRECISE", "FS=MRC", "CURRENCY=USD", "XLFILL=b")</f>
        <v/>
      </c>
    </row>
    <row r="81" spans="1:14" x14ac:dyDescent="0.2">
      <c r="A81" s="8" t="s">
        <v>78</v>
      </c>
      <c r="B81" s="4" t="s">
        <v>38</v>
      </c>
      <c r="C81" s="4"/>
      <c r="D81" s="4" t="s">
        <v>79</v>
      </c>
      <c r="E81" s="9" t="str">
        <f>_xll.BQL("SEG0000331377 Segment", "SIZE_OF_FLEET", "FPT=A", "FPO=4A", "ACT_EST_MAPPING=PRECISE", "FS=MRC", "CURRENCY=USD", "XLFILL=b")</f>
        <v/>
      </c>
      <c r="F81" s="9">
        <f>_xll.BQL("SEG0000331377 Segment", "SIZE_OF_FLEET", "FPT=A", "FPO=3A", "ACT_EST_MAPPING=PRECISE", "FS=MRC", "CURRENCY=USD", "XLFILL=b")</f>
        <v>93</v>
      </c>
      <c r="G81" s="9">
        <f>_xll.BQL("SEG0000331377 Segment", "SIZE_OF_FLEET", "FPT=A", "FPO=2A", "ACT_EST_MAPPING=PRECISE", "FS=MRC", "CURRENCY=USD", "XLFILL=b")</f>
        <v>90</v>
      </c>
      <c r="H81" s="9">
        <f>_xll.BQL("SEG0000331377 Segment", "SIZE_OF_FLEET", "FPT=A", "FPO=1A", "ACT_EST_MAPPING=PRECISE", "FS=MRC", "CURRENCY=USD", "XLFILL=b")</f>
        <v>86</v>
      </c>
      <c r="I81" s="9">
        <f>_xll.BQL("SEG0000331377 Segment", "SIZE_OF_FLEET", "FPT=A", "FPO=0A", "ACT_EST_MAPPING=PRECISE", "FS=MRC", "CURRENCY=USD", "XLFILL=b")</f>
        <v>83</v>
      </c>
      <c r="J81" s="9">
        <f>_xll.BQL("SEG0000331377 Segment", "SIZE_OF_FLEET", "FPT=A", "FPO=-1A", "ACT_EST_MAPPING=PRECISE", "FS=MRC", "CURRENCY=USD", "XLFILL=b")</f>
        <v>86</v>
      </c>
      <c r="K81" s="9">
        <f>_xll.BQL("SEG0000331377 Segment", "SIZE_OF_FLEET", "FPT=A", "FPO=-2A", "ACT_EST_MAPPING=PRECISE", "FS=MRC", "CURRENCY=USD", "XLFILL=b")</f>
        <v>94</v>
      </c>
      <c r="L81" s="9">
        <f>_xll.BQL("SEG0000331377 Segment", "SIZE_OF_FLEET", "FPT=A", "FPO=-3A", "ACT_EST_MAPPING=PRECISE", "FS=MRC", "CURRENCY=USD", "XLFILL=b")</f>
        <v>94</v>
      </c>
      <c r="M81" s="9">
        <f>_xll.BQL("SEG0000331377 Segment", "SIZE_OF_FLEET", "FPT=A", "FPO=-4A", "ACT_EST_MAPPING=PRECISE", "FS=MRC", "CURRENCY=USD", "XLFILL=b")</f>
        <v>95</v>
      </c>
      <c r="N81" s="9">
        <f>_xll.BQL("SEG0000331377 Segment", "SIZE_OF_FLEET", "FPT=A", "FPO=-5A", "ACT_EST_MAPPING=PRECISE", "FS=MRC", "CURRENCY=USD", "XLFILL=b")</f>
        <v>97</v>
      </c>
    </row>
    <row r="82" spans="1:14" x14ac:dyDescent="0.2">
      <c r="A82" s="8" t="s">
        <v>64</v>
      </c>
      <c r="B82" s="4" t="s">
        <v>38</v>
      </c>
      <c r="C82" s="4"/>
      <c r="D82" s="4" t="s">
        <v>79</v>
      </c>
      <c r="E82" s="9" t="str">
        <f>_xll.BQL("SEG0000331377 Segment", "FA_GROWTH(SIZE_OF_FLEET, YOY)", "FPT=A", "FPO=4A", "ACT_EST_MAPPING=PRECISE", "FS=MRC", "CURRENCY=USD", "XLFILL=b")</f>
        <v/>
      </c>
      <c r="F82" s="9">
        <f>_xll.BQL("SEG0000331377 Segment", "FA_GROWTH(SIZE_OF_FLEET, YOY)", "FPT=A", "FPO=3A", "ACT_EST_MAPPING=PRECISE", "FS=MRC", "CURRENCY=USD", "XLFILL=b")</f>
        <v>3.3333333333333335</v>
      </c>
      <c r="G82" s="9">
        <f>_xll.BQL("SEG0000331377 Segment", "FA_GROWTH(SIZE_OF_FLEET, YOY)", "FPT=A", "FPO=2A", "ACT_EST_MAPPING=PRECISE", "FS=MRC", "CURRENCY=USD", "XLFILL=b")</f>
        <v>4.6511627906976747</v>
      </c>
      <c r="H82" s="9">
        <f>_xll.BQL("SEG0000331377 Segment", "FA_GROWTH(SIZE_OF_FLEET, YOY)", "FPT=A", "FPO=1A", "ACT_EST_MAPPING=PRECISE", "FS=MRC", "CURRENCY=USD", "XLFILL=b")</f>
        <v>3.6144578313253013</v>
      </c>
      <c r="I82" s="9">
        <f>_xll.BQL("SEG0000331377 Segment", "FA_GROWTH(SIZE_OF_FLEET, YOY)", "FPT=A", "FPO=0A", "ACT_EST_MAPPING=PRECISE", "FS=MRC", "CURRENCY=USD", "XLFILL=b")</f>
        <v>-3.4883720930232558</v>
      </c>
      <c r="J82" s="9">
        <f>_xll.BQL("SEG0000331377 Segment", "FA_GROWTH(SIZE_OF_FLEET, YOY)", "FPT=A", "FPO=-1A", "ACT_EST_MAPPING=PRECISE", "FS=MRC", "CURRENCY=USD", "XLFILL=b")</f>
        <v>-8.5106382978723403</v>
      </c>
      <c r="K82" s="9">
        <f>_xll.BQL("SEG0000331377 Segment", "FA_GROWTH(SIZE_OF_FLEET, YOY)", "FPT=A", "FPO=-2A", "ACT_EST_MAPPING=PRECISE", "FS=MRC", "CURRENCY=USD", "XLFILL=b")</f>
        <v>0</v>
      </c>
      <c r="L82" s="9">
        <f>_xll.BQL("SEG0000331377 Segment", "FA_GROWTH(SIZE_OF_FLEET, YOY)", "FPT=A", "FPO=-3A", "ACT_EST_MAPPING=PRECISE", "FS=MRC", "CURRENCY=USD", "XLFILL=b")</f>
        <v>-1.0526315789473684</v>
      </c>
      <c r="M82" s="9">
        <f>_xll.BQL("SEG0000331377 Segment", "FA_GROWTH(SIZE_OF_FLEET, YOY)", "FPT=A", "FPO=-4A", "ACT_EST_MAPPING=PRECISE", "FS=MRC", "CURRENCY=USD", "XLFILL=b")</f>
        <v>-2.0618556701030926</v>
      </c>
      <c r="N82" s="9">
        <f>_xll.BQL("SEG0000331377 Segment", "FA_GROWTH(SIZE_OF_FLEET, YOY)", "FPT=A", "FPO=-5A", "ACT_EST_MAPPING=PRECISE", "FS=MRC", "CURRENCY=USD", "XLFILL=b")</f>
        <v>16.867469879518072</v>
      </c>
    </row>
    <row r="83" spans="1:14" x14ac:dyDescent="0.2">
      <c r="A83" s="8" t="s">
        <v>80</v>
      </c>
      <c r="B83" s="4" t="s">
        <v>38</v>
      </c>
      <c r="C83" s="4"/>
      <c r="D83" s="4" t="s">
        <v>81</v>
      </c>
      <c r="E83" s="9" t="str">
        <f>_xll.BQL("SEG0000329611 Segment", "SIZE_OF_FLEET", "FPT=A", "FPO=4A", "ACT_EST_MAPPING=PRECISE", "FS=MRC", "CURRENCY=USD", "XLFILL=b")</f>
        <v/>
      </c>
      <c r="F83" s="9" t="str">
        <f>_xll.BQL("SEG0000329611 Segment", "SIZE_OF_FLEET", "FPT=A", "FPO=3A", "ACT_EST_MAPPING=PRECISE", "FS=MRC", "CURRENCY=USD", "XLFILL=b")</f>
        <v/>
      </c>
      <c r="G83" s="9" t="str">
        <f>_xll.BQL("SEG0000329611 Segment", "SIZE_OF_FLEET", "FPT=A", "FPO=2A", "ACT_EST_MAPPING=PRECISE", "FS=MRC", "CURRENCY=USD", "XLFILL=b")</f>
        <v/>
      </c>
      <c r="H83" s="9" t="str">
        <f>_xll.BQL("SEG0000329611 Segment", "SIZE_OF_FLEET", "FPT=A", "FPO=1A", "ACT_EST_MAPPING=PRECISE", "FS=MRC", "CURRENCY=USD", "XLFILL=b")</f>
        <v/>
      </c>
      <c r="I83" s="9">
        <f>_xll.BQL("SEG0000329611 Segment", "SIZE_OF_FLEET", "FPT=A", "FPO=0A", "ACT_EST_MAPPING=PRECISE", "FS=MRC", "CURRENCY=USD", "XLFILL=b")</f>
        <v>83</v>
      </c>
      <c r="J83" s="9">
        <f>_xll.BQL("SEG0000329611 Segment", "SIZE_OF_FLEET", "FPT=A", "FPO=-1A", "ACT_EST_MAPPING=PRECISE", "FS=MRC", "CURRENCY=USD", "XLFILL=b")</f>
        <v>75</v>
      </c>
      <c r="K83" s="9">
        <f>_xll.BQL("SEG0000329611 Segment", "SIZE_OF_FLEET", "FPT=A", "FPO=-2A", "ACT_EST_MAPPING=PRECISE", "FS=MRC", "CURRENCY=USD", "XLFILL=b")</f>
        <v>62</v>
      </c>
      <c r="L83" s="9">
        <f>_xll.BQL("SEG0000329611 Segment", "SIZE_OF_FLEET", "FPT=A", "FPO=-3A", "ACT_EST_MAPPING=PRECISE", "FS=MRC", "CURRENCY=USD", "XLFILL=b")</f>
        <v>62</v>
      </c>
      <c r="M83" s="9">
        <f>_xll.BQL("SEG0000329611 Segment", "SIZE_OF_FLEET", "FPT=A", "FPO=-4A", "ACT_EST_MAPPING=PRECISE", "FS=MRC", "CURRENCY=USD", "XLFILL=b")</f>
        <v>62</v>
      </c>
      <c r="N83" s="9">
        <f>_xll.BQL("SEG0000329611 Segment", "SIZE_OF_FLEET", "FPT=A", "FPO=-5A", "ACT_EST_MAPPING=PRECISE", "FS=MRC", "CURRENCY=USD", "XLFILL=b")</f>
        <v>58</v>
      </c>
    </row>
    <row r="84" spans="1:14" x14ac:dyDescent="0.2">
      <c r="A84" s="8" t="s">
        <v>67</v>
      </c>
      <c r="B84" s="4" t="s">
        <v>38</v>
      </c>
      <c r="C84" s="4"/>
      <c r="D84" s="4" t="s">
        <v>81</v>
      </c>
      <c r="E84" s="9" t="str">
        <f>_xll.BQL("SEG0000329611 Segment", "FA_GROWTH(SIZE_OF_FLEET, YOY)", "FPT=A", "FPO=4A", "ACT_EST_MAPPING=PRECISE", "FS=MRC", "CURRENCY=USD", "XLFILL=b")</f>
        <v/>
      </c>
      <c r="F84" s="9" t="str">
        <f>_xll.BQL("SEG0000329611 Segment", "FA_GROWTH(SIZE_OF_FLEET, YOY)", "FPT=A", "FPO=3A", "ACT_EST_MAPPING=PRECISE", "FS=MRC", "CURRENCY=USD", "XLFILL=b")</f>
        <v/>
      </c>
      <c r="G84" s="9" t="str">
        <f>_xll.BQL("SEG0000329611 Segment", "FA_GROWTH(SIZE_OF_FLEET, YOY)", "FPT=A", "FPO=2A", "ACT_EST_MAPPING=PRECISE", "FS=MRC", "CURRENCY=USD", "XLFILL=b")</f>
        <v/>
      </c>
      <c r="H84" s="9" t="str">
        <f>_xll.BQL("SEG0000329611 Segment", "FA_GROWTH(SIZE_OF_FLEET, YOY)", "FPT=A", "FPO=1A", "ACT_EST_MAPPING=PRECISE", "FS=MRC", "CURRENCY=USD", "XLFILL=b")</f>
        <v/>
      </c>
      <c r="I84" s="9">
        <f>_xll.BQL("SEG0000329611 Segment", "FA_GROWTH(SIZE_OF_FLEET, YOY)", "FPT=A", "FPO=0A", "ACT_EST_MAPPING=PRECISE", "FS=MRC", "CURRENCY=USD", "XLFILL=b")</f>
        <v>10.666666666666666</v>
      </c>
      <c r="J84" s="9">
        <f>_xll.BQL("SEG0000329611 Segment", "FA_GROWTH(SIZE_OF_FLEET, YOY)", "FPT=A", "FPO=-1A", "ACT_EST_MAPPING=PRECISE", "FS=MRC", "CURRENCY=USD", "XLFILL=b")</f>
        <v>20.967741935483872</v>
      </c>
      <c r="K84" s="9">
        <f>_xll.BQL("SEG0000329611 Segment", "FA_GROWTH(SIZE_OF_FLEET, YOY)", "FPT=A", "FPO=-2A", "ACT_EST_MAPPING=PRECISE", "FS=MRC", "CURRENCY=USD", "XLFILL=b")</f>
        <v>0</v>
      </c>
      <c r="L84" s="9">
        <f>_xll.BQL("SEG0000329611 Segment", "FA_GROWTH(SIZE_OF_FLEET, YOY)", "FPT=A", "FPO=-3A", "ACT_EST_MAPPING=PRECISE", "FS=MRC", "CURRENCY=USD", "XLFILL=b")</f>
        <v>0</v>
      </c>
      <c r="M84" s="9">
        <f>_xll.BQL("SEG0000329611 Segment", "FA_GROWTH(SIZE_OF_FLEET, YOY)", "FPT=A", "FPO=-4A", "ACT_EST_MAPPING=PRECISE", "FS=MRC", "CURRENCY=USD", "XLFILL=b")</f>
        <v>6.8965517241379306</v>
      </c>
      <c r="N84" s="9">
        <f>_xll.BQL("SEG0000329611 Segment", "FA_GROWTH(SIZE_OF_FLEET, YOY)", "FPT=A", "FPO=-5A", "ACT_EST_MAPPING=PRECISE", "FS=MRC", "CURRENCY=USD", "XLFILL=b")</f>
        <v>75.757575757575751</v>
      </c>
    </row>
    <row r="85" spans="1:14" x14ac:dyDescent="0.2">
      <c r="A85" s="8" t="s">
        <v>82</v>
      </c>
      <c r="B85" s="4" t="s">
        <v>83</v>
      </c>
      <c r="C85" s="4"/>
      <c r="D85" s="4"/>
      <c r="E85" s="9" t="str">
        <f>_xll.BQL("ALK US Equity", "AVG_AIRCRAFT_UTIL", "FPT=A", "FPO=4A", "ACT_EST_MAPPING=PRECISE", "FS=MRC", "CURRENCY=USD", "XLFILL=b")</f>
        <v/>
      </c>
      <c r="F85" s="9" t="str">
        <f>_xll.BQL("ALK US Equity", "AVG_AIRCRAFT_UTIL", "FPT=A", "FPO=3A", "ACT_EST_MAPPING=PRECISE", "FS=MRC", "CURRENCY=USD", "XLFILL=b")</f>
        <v/>
      </c>
      <c r="G85" s="9" t="str">
        <f>_xll.BQL("ALK US Equity", "AVG_AIRCRAFT_UTIL", "FPT=A", "FPO=2A", "ACT_EST_MAPPING=PRECISE", "FS=MRC", "CURRENCY=USD", "XLFILL=b")</f>
        <v/>
      </c>
      <c r="H85" s="9" t="str">
        <f>_xll.BQL("ALK US Equity", "AVG_AIRCRAFT_UTIL", "FPT=A", "FPO=1A", "ACT_EST_MAPPING=PRECISE", "FS=MRC", "CURRENCY=USD", "XLFILL=b")</f>
        <v/>
      </c>
      <c r="I85" s="9">
        <f>_xll.BQL("ALK US Equity", "AVG_AIRCRAFT_UTIL", "FPT=A", "FPO=0A", "ACT_EST_MAPPING=PRECISE", "FS=MRC", "CURRENCY=USD", "XLFILL=b")</f>
        <v>11.4</v>
      </c>
      <c r="J85" s="9">
        <f>_xll.BQL("ALK US Equity", "AVG_AIRCRAFT_UTIL", "FPT=A", "FPO=-1A", "ACT_EST_MAPPING=PRECISE", "FS=MRC", "CURRENCY=USD", "XLFILL=b")</f>
        <v>9.9</v>
      </c>
      <c r="K85" s="9">
        <f>_xll.BQL("ALK US Equity", "AVG_AIRCRAFT_UTIL", "FPT=A", "FPO=-2A", "ACT_EST_MAPPING=PRECISE", "FS=MRC", "CURRENCY=USD", "XLFILL=b")</f>
        <v>9.6999999999999993</v>
      </c>
      <c r="L85" s="9">
        <f>_xll.BQL("ALK US Equity", "AVG_AIRCRAFT_UTIL", "FPT=A", "FPO=-3A", "ACT_EST_MAPPING=PRECISE", "FS=MRC", "CURRENCY=USD", "XLFILL=b")</f>
        <v>8.3000000000000007</v>
      </c>
      <c r="M85" s="9">
        <f>_xll.BQL("ALK US Equity", "AVG_AIRCRAFT_UTIL", "FPT=A", "FPO=-4A", "ACT_EST_MAPPING=PRECISE", "FS=MRC", "CURRENCY=USD", "XLFILL=b")</f>
        <v>10.9</v>
      </c>
      <c r="N85" s="9">
        <f>_xll.BQL("ALK US Equity", "AVG_AIRCRAFT_UTIL", "FPT=A", "FPO=-5A", "ACT_EST_MAPPING=PRECISE", "FS=MRC", "CURRENCY=USD", "XLFILL=b")</f>
        <v>11.2</v>
      </c>
    </row>
    <row r="86" spans="1:14" x14ac:dyDescent="0.2">
      <c r="A86" s="8" t="s">
        <v>12</v>
      </c>
      <c r="B86" s="4" t="s">
        <v>83</v>
      </c>
      <c r="C86" s="4"/>
      <c r="D86" s="4"/>
      <c r="E86" s="9" t="str">
        <f>_xll.BQL("ALK US Equity", "FA_GROWTH(AVG_AIRCRAFT_UTIL, YOY)", "FPT=A", "FPO=4A", "ACT_EST_MAPPING=PRECISE", "FS=MRC", "CURRENCY=USD", "XLFILL=b")</f>
        <v/>
      </c>
      <c r="F86" s="9" t="str">
        <f>_xll.BQL("ALK US Equity", "FA_GROWTH(AVG_AIRCRAFT_UTIL, YOY)", "FPT=A", "FPO=3A", "ACT_EST_MAPPING=PRECISE", "FS=MRC", "CURRENCY=USD", "XLFILL=b")</f>
        <v/>
      </c>
      <c r="G86" s="9" t="str">
        <f>_xll.BQL("ALK US Equity", "FA_GROWTH(AVG_AIRCRAFT_UTIL, YOY)", "FPT=A", "FPO=2A", "ACT_EST_MAPPING=PRECISE", "FS=MRC", "CURRENCY=USD", "XLFILL=b")</f>
        <v/>
      </c>
      <c r="H86" s="9" t="str">
        <f>_xll.BQL("ALK US Equity", "FA_GROWTH(AVG_AIRCRAFT_UTIL, YOY)", "FPT=A", "FPO=1A", "ACT_EST_MAPPING=PRECISE", "FS=MRC", "CURRENCY=USD", "XLFILL=b")</f>
        <v/>
      </c>
      <c r="I86" s="9">
        <f>_xll.BQL("ALK US Equity", "FA_GROWTH(AVG_AIRCRAFT_UTIL, YOY)", "FPT=A", "FPO=0A", "ACT_EST_MAPPING=PRECISE", "FS=MRC", "CURRENCY=USD", "XLFILL=b")</f>
        <v>15.15151515151515</v>
      </c>
      <c r="J86" s="9">
        <f>_xll.BQL("ALK US Equity", "FA_GROWTH(AVG_AIRCRAFT_UTIL, YOY)", "FPT=A", "FPO=-1A", "ACT_EST_MAPPING=PRECISE", "FS=MRC", "CURRENCY=USD", "XLFILL=b")</f>
        <v>2.0618556701031041</v>
      </c>
      <c r="K86" s="9">
        <f>_xll.BQL("ALK US Equity", "FA_GROWTH(AVG_AIRCRAFT_UTIL, YOY)", "FPT=A", "FPO=-2A", "ACT_EST_MAPPING=PRECISE", "FS=MRC", "CURRENCY=USD", "XLFILL=b")</f>
        <v>16.867469879518055</v>
      </c>
      <c r="L86" s="9">
        <f>_xll.BQL("ALK US Equity", "FA_GROWTH(AVG_AIRCRAFT_UTIL, YOY)", "FPT=A", "FPO=-3A", "ACT_EST_MAPPING=PRECISE", "FS=MRC", "CURRENCY=USD", "XLFILL=b")</f>
        <v>-23.853211009174306</v>
      </c>
      <c r="M86" s="9">
        <f>_xll.BQL("ALK US Equity", "FA_GROWTH(AVG_AIRCRAFT_UTIL, YOY)", "FPT=A", "FPO=-4A", "ACT_EST_MAPPING=PRECISE", "FS=MRC", "CURRENCY=USD", "XLFILL=b")</f>
        <v>-2.6785714285714191</v>
      </c>
      <c r="N86" s="9">
        <f>_xll.BQL("ALK US Equity", "FA_GROWTH(AVG_AIRCRAFT_UTIL, YOY)", "FPT=A", "FPO=-5A", "ACT_EST_MAPPING=PRECISE", "FS=MRC", "CURRENCY=USD", "XLFILL=b")</f>
        <v>0</v>
      </c>
    </row>
    <row r="87" spans="1:14" x14ac:dyDescent="0.2">
      <c r="A87" s="8" t="s">
        <v>84</v>
      </c>
      <c r="B87" s="4" t="s">
        <v>85</v>
      </c>
      <c r="C87" s="4"/>
      <c r="D87" s="4"/>
      <c r="E87" s="9" t="str">
        <f>_xll.BQL("ALK US Equity", "AIRLINE_MAINTENANCE_PCT_SALES", "FPT=A", "FPO=4A", "ACT_EST_MAPPING=PRECISE", "FS=MRC", "CURRENCY=USD", "XLFILL=b")</f>
        <v/>
      </c>
      <c r="F87" s="9" t="str">
        <f>_xll.BQL("ALK US Equity", "AIRLINE_MAINTENANCE_PCT_SALES", "FPT=A", "FPO=3A", "ACT_EST_MAPPING=PRECISE", "FS=MRC", "CURRENCY=USD", "XLFILL=b")</f>
        <v/>
      </c>
      <c r="G87" s="9" t="str">
        <f>_xll.BQL("ALK US Equity", "AIRLINE_MAINTENANCE_PCT_SALES", "FPT=A", "FPO=2A", "ACT_EST_MAPPING=PRECISE", "FS=MRC", "CURRENCY=USD", "XLFILL=b")</f>
        <v/>
      </c>
      <c r="H87" s="9" t="str">
        <f>_xll.BQL("ALK US Equity", "AIRLINE_MAINTENANCE_PCT_SALES", "FPT=A", "FPO=1A", "ACT_EST_MAPPING=PRECISE", "FS=MRC", "CURRENCY=USD", "XLFILL=b")</f>
        <v/>
      </c>
      <c r="I87" s="9">
        <f>_xll.BQL("ALK US Equity", "AIRLINE_MAINTENANCE_PCT_SALES", "FPT=A", "FPO=0A", "ACT_EST_MAPPING=PRECISE", "FS=MRC", "CURRENCY=USD", "XLFILL=b")</f>
        <v>4.6806061768655285</v>
      </c>
      <c r="J87" s="9">
        <f>_xll.BQL("ALK US Equity", "AIRLINE_MAINTENANCE_PCT_SALES", "FPT=A", "FPO=-1A", "ACT_EST_MAPPING=PRECISE", "FS=MRC", "CURRENCY=USD", "XLFILL=b")</f>
        <v>4.395604395604396</v>
      </c>
      <c r="K87" s="9">
        <f>_xll.BQL("ALK US Equity", "AIRLINE_MAINTENANCE_PCT_SALES", "FPT=A", "FPO=-2A", "ACT_EST_MAPPING=PRECISE", "FS=MRC", "CURRENCY=USD", "XLFILL=b")</f>
        <v>5.8937823834196896</v>
      </c>
      <c r="L87" s="9">
        <f>_xll.BQL("ALK US Equity", "AIRLINE_MAINTENANCE_PCT_SALES", "FPT=A", "FPO=-3A", "ACT_EST_MAPPING=PRECISE", "FS=MRC", "CURRENCY=USD", "XLFILL=b")</f>
        <v>9.0016825574873813</v>
      </c>
      <c r="M87" s="9">
        <f>_xll.BQL("ALK US Equity", "AIRLINE_MAINTENANCE_PCT_SALES", "FPT=A", "FPO=-4A", "ACT_EST_MAPPING=PRECISE", "FS=MRC", "CURRENCY=USD", "XLFILL=b")</f>
        <v>4.9766541396196331</v>
      </c>
      <c r="N87" s="9">
        <f>_xll.BQL("ALK US Equity", "AIRLINE_MAINTENANCE_PCT_SALES", "FPT=A", "FPO=-5A", "ACT_EST_MAPPING=PRECISE", "FS=MRC", "CURRENCY=USD", "XLFILL=b")</f>
        <v>5.2637947725072607</v>
      </c>
    </row>
    <row r="88" spans="1:14" x14ac:dyDescent="0.2">
      <c r="A88" s="8" t="s">
        <v>12</v>
      </c>
      <c r="B88" s="4" t="s">
        <v>85</v>
      </c>
      <c r="C88" s="4"/>
      <c r="D88" s="4"/>
      <c r="E88" s="9" t="str">
        <f>_xll.BQL("ALK US Equity", "FA_GROWTH(AIRLINE_MAINTENANCE_PCT_SALES, YOY)", "FPT=A", "FPO=4A", "ACT_EST_MAPPING=PRECISE", "FS=MRC", "CURRENCY=USD", "XLFILL=b")</f>
        <v/>
      </c>
      <c r="F88" s="9" t="str">
        <f>_xll.BQL("ALK US Equity", "FA_GROWTH(AIRLINE_MAINTENANCE_PCT_SALES, YOY)", "FPT=A", "FPO=3A", "ACT_EST_MAPPING=PRECISE", "FS=MRC", "CURRENCY=USD", "XLFILL=b")</f>
        <v/>
      </c>
      <c r="G88" s="9" t="str">
        <f>_xll.BQL("ALK US Equity", "FA_GROWTH(AIRLINE_MAINTENANCE_PCT_SALES, YOY)", "FPT=A", "FPO=2A", "ACT_EST_MAPPING=PRECISE", "FS=MRC", "CURRENCY=USD", "XLFILL=b")</f>
        <v/>
      </c>
      <c r="H88" s="9" t="str">
        <f>_xll.BQL("ALK US Equity", "FA_GROWTH(AIRLINE_MAINTENANCE_PCT_SALES, YOY)", "FPT=A", "FPO=1A", "ACT_EST_MAPPING=PRECISE", "FS=MRC", "CURRENCY=USD", "XLFILL=b")</f>
        <v/>
      </c>
      <c r="I88" s="9">
        <f>_xll.BQL("ALK US Equity", "FA_GROWTH(AIRLINE_MAINTENANCE_PCT_SALES, YOY)", "FPT=A", "FPO=0A", "ACT_EST_MAPPING=PRECISE", "FS=MRC", "CURRENCY=USD", "XLFILL=b")</f>
        <v>6.4837905236907645</v>
      </c>
      <c r="J88" s="9">
        <f>_xll.BQL("ALK US Equity", "FA_GROWTH(AIRLINE_MAINTENANCE_PCT_SALES, YOY)", "FPT=A", "FPO=-1A", "ACT_EST_MAPPING=PRECISE", "FS=MRC", "CURRENCY=USD", "XLFILL=b")</f>
        <v>-25.419635309745203</v>
      </c>
      <c r="K88" s="9">
        <f>_xll.BQL("ALK US Equity", "FA_GROWTH(AIRLINE_MAINTENANCE_PCT_SALES, YOY)", "FPT=A", "FPO=-2A", "ACT_EST_MAPPING=PRECISE", "FS=MRC", "CURRENCY=USD", "XLFILL=b")</f>
        <v>-34.525769534970053</v>
      </c>
      <c r="L88" s="9">
        <f>_xll.BQL("ALK US Equity", "FA_GROWTH(AIRLINE_MAINTENANCE_PCT_SALES, YOY)", "FPT=A", "FPO=-3A", "ACT_EST_MAPPING=PRECISE", "FS=MRC", "CURRENCY=USD", "XLFILL=b")</f>
        <v>80.878202602509603</v>
      </c>
      <c r="M88" s="9">
        <f>_xll.BQL("ALK US Equity", "FA_GROWTH(AIRLINE_MAINTENANCE_PCT_SALES, YOY)", "FPT=A", "FPO=-4A", "ACT_EST_MAPPING=PRECISE", "FS=MRC", "CURRENCY=USD", "XLFILL=b")</f>
        <v>-5.4550119314559868</v>
      </c>
      <c r="N88" s="9">
        <f>_xll.BQL("ALK US Equity", "FA_GROWTH(AIRLINE_MAINTENANCE_PCT_SALES, YOY)", "FPT=A", "FPO=-5A", "ACT_EST_MAPPING=PRECISE", "FS=MRC", "CURRENCY=USD", "XLFILL=b")</f>
        <v>6.272112363612071</v>
      </c>
    </row>
    <row r="89" spans="1:14" x14ac:dyDescent="0.2">
      <c r="A89" s="8" t="s">
        <v>86</v>
      </c>
      <c r="B89" s="4" t="s">
        <v>87</v>
      </c>
      <c r="C89" s="4"/>
      <c r="D89" s="4"/>
      <c r="E89" s="9" t="str">
        <f>_xll.BQL("ALK US Equity", "AIRCRAFT_RENTALS_PCT_SALES", "FPT=A", "FPO=4A", "ACT_EST_MAPPING=PRECISE", "FS=MRC", "CURRENCY=USD", "XLFILL=b")</f>
        <v/>
      </c>
      <c r="F89" s="9" t="str">
        <f>_xll.BQL("ALK US Equity", "AIRCRAFT_RENTALS_PCT_SALES", "FPT=A", "FPO=3A", "ACT_EST_MAPPING=PRECISE", "FS=MRC", "CURRENCY=USD", "XLFILL=b")</f>
        <v/>
      </c>
      <c r="G89" s="9" t="str">
        <f>_xll.BQL("ALK US Equity", "AIRCRAFT_RENTALS_PCT_SALES", "FPT=A", "FPO=2A", "ACT_EST_MAPPING=PRECISE", "FS=MRC", "CURRENCY=USD", "XLFILL=b")</f>
        <v/>
      </c>
      <c r="H89" s="9" t="str">
        <f>_xll.BQL("ALK US Equity", "AIRCRAFT_RENTALS_PCT_SALES", "FPT=A", "FPO=1A", "ACT_EST_MAPPING=PRECISE", "FS=MRC", "CURRENCY=USD", "XLFILL=b")</f>
        <v/>
      </c>
      <c r="I89" s="9">
        <f>_xll.BQL("ALK US Equity", "AIRCRAFT_RENTALS_PCT_SALES", "FPT=A", "FPO=0A", "ACT_EST_MAPPING=PRECISE", "FS=MRC", "CURRENCY=USD", "XLFILL=b")</f>
        <v>1.99501246882793</v>
      </c>
      <c r="J89" s="9">
        <f>_xll.BQL("ALK US Equity", "AIRCRAFT_RENTALS_PCT_SALES", "FPT=A", "FPO=-1A", "ACT_EST_MAPPING=PRECISE", "FS=MRC", "CURRENCY=USD", "XLFILL=b")</f>
        <v>3.0167945262284888</v>
      </c>
      <c r="K89" s="9">
        <f>_xll.BQL("ALK US Equity", "AIRCRAFT_RENTALS_PCT_SALES", "FPT=A", "FPO=-2A", "ACT_EST_MAPPING=PRECISE", "FS=MRC", "CURRENCY=USD", "XLFILL=b")</f>
        <v>4.1126943005181351</v>
      </c>
      <c r="L89" s="9">
        <f>_xll.BQL("ALK US Equity", "AIRCRAFT_RENTALS_PCT_SALES", "FPT=A", "FPO=-3A", "ACT_EST_MAPPING=PRECISE", "FS=MRC", "CURRENCY=USD", "XLFILL=b")</f>
        <v>8.3847448121144144</v>
      </c>
      <c r="M89" s="9">
        <f>_xll.BQL("ALK US Equity", "AIRCRAFT_RENTALS_PCT_SALES", "FPT=A", "FPO=-4A", "ACT_EST_MAPPING=PRECISE", "FS=MRC", "CURRENCY=USD", "XLFILL=b")</f>
        <v>3.7695023345860381</v>
      </c>
      <c r="N89" s="9">
        <f>_xll.BQL("ALK US Equity", "AIRCRAFT_RENTALS_PCT_SALES", "FPT=A", "FPO=-5A", "ACT_EST_MAPPING=PRECISE", "FS=MRC", "CURRENCY=USD", "XLFILL=b")</f>
        <v>3.8117134559535333</v>
      </c>
    </row>
    <row r="90" spans="1:14" x14ac:dyDescent="0.2">
      <c r="A90" s="8" t="s">
        <v>12</v>
      </c>
      <c r="B90" s="4" t="s">
        <v>87</v>
      </c>
      <c r="C90" s="4"/>
      <c r="D90" s="4"/>
      <c r="E90" s="9" t="str">
        <f>_xll.BQL("ALK US Equity", "FA_GROWTH(AIRCRAFT_RENTALS_PCT_SALES, YOY)", "FPT=A", "FPO=4A", "ACT_EST_MAPPING=PRECISE", "FS=MRC", "CURRENCY=USD", "XLFILL=b")</f>
        <v/>
      </c>
      <c r="F90" s="9" t="str">
        <f>_xll.BQL("ALK US Equity", "FA_GROWTH(AIRCRAFT_RENTALS_PCT_SALES, YOY)", "FPT=A", "FPO=3A", "ACT_EST_MAPPING=PRECISE", "FS=MRC", "CURRENCY=USD", "XLFILL=b")</f>
        <v/>
      </c>
      <c r="G90" s="9" t="str">
        <f>_xll.BQL("ALK US Equity", "FA_GROWTH(AIRCRAFT_RENTALS_PCT_SALES, YOY)", "FPT=A", "FPO=2A", "ACT_EST_MAPPING=PRECISE", "FS=MRC", "CURRENCY=USD", "XLFILL=b")</f>
        <v/>
      </c>
      <c r="H90" s="9" t="str">
        <f>_xll.BQL("ALK US Equity", "FA_GROWTH(AIRCRAFT_RENTALS_PCT_SALES, YOY)", "FPT=A", "FPO=1A", "ACT_EST_MAPPING=PRECISE", "FS=MRC", "CURRENCY=USD", "XLFILL=b")</f>
        <v/>
      </c>
      <c r="I90" s="9">
        <f>_xll.BQL("ALK US Equity", "FA_GROWTH(AIRCRAFT_RENTALS_PCT_SALES, YOY)", "FPT=A", "FPO=0A", "ACT_EST_MAPPING=PRECISE", "FS=MRC", "CURRENCY=USD", "XLFILL=b")</f>
        <v>-33.869792871772468</v>
      </c>
      <c r="J90" s="9">
        <f>_xll.BQL("ALK US Equity", "FA_GROWTH(AIRCRAFT_RENTALS_PCT_SALES, YOY)", "FPT=A", "FPO=-1A", "ACT_EST_MAPPING=PRECISE", "FS=MRC", "CURRENCY=USD", "XLFILL=b")</f>
        <v>-26.64675986619234</v>
      </c>
      <c r="K90" s="9">
        <f>_xll.BQL("ALK US Equity", "FA_GROWTH(AIRCRAFT_RENTALS_PCT_SALES, YOY)", "FPT=A", "FPO=-2A", "ACT_EST_MAPPING=PRECISE", "FS=MRC", "CURRENCY=USD", "XLFILL=b")</f>
        <v>-50.950274663385727</v>
      </c>
      <c r="L90" s="9">
        <f>_xll.BQL("ALK US Equity", "FA_GROWTH(AIRCRAFT_RENTALS_PCT_SALES, YOY)", "FPT=A", "FPO=-3A", "ACT_EST_MAPPING=PRECISE", "FS=MRC", "CURRENCY=USD", "XLFILL=b")</f>
        <v>122.43638729660626</v>
      </c>
      <c r="M90" s="9">
        <f>_xll.BQL("ALK US Equity", "FA_GROWTH(AIRCRAFT_RENTALS_PCT_SALES, YOY)", "FPT=A", "FPO=-4A", "ACT_EST_MAPPING=PRECISE", "FS=MRC", "CURRENCY=USD", "XLFILL=b")</f>
        <v>-1.1074054189872382</v>
      </c>
      <c r="N90" s="9">
        <f>_xll.BQL("ALK US Equity", "FA_GROWTH(AIRCRAFT_RENTALS_PCT_SALES, YOY)", "FPT=A", "FPO=-5A", "ACT_EST_MAPPING=PRECISE", "FS=MRC", "CURRENCY=USD", "XLFILL=b")</f>
        <v>9.8162993477999674</v>
      </c>
    </row>
    <row r="91" spans="1:14" x14ac:dyDescent="0.2">
      <c r="A91" s="8" t="s">
        <v>88</v>
      </c>
      <c r="B91" s="4" t="s">
        <v>89</v>
      </c>
      <c r="C91" s="4"/>
      <c r="D91" s="4"/>
      <c r="E91" s="9" t="str">
        <f>_xll.BQL("ALK US Equity", "AIRLINE_LANDING_FEES_PCT_SALES", "FPT=A", "FPO=4A", "ACT_EST_MAPPING=PRECISE", "FS=MRC", "CURRENCY=USD", "XLFILL=b")</f>
        <v/>
      </c>
      <c r="F91" s="9" t="str">
        <f>_xll.BQL("ALK US Equity", "AIRLINE_LANDING_FEES_PCT_SALES", "FPT=A", "FPO=3A", "ACT_EST_MAPPING=PRECISE", "FS=MRC", "CURRENCY=USD", "XLFILL=b")</f>
        <v/>
      </c>
      <c r="G91" s="9" t="str">
        <f>_xll.BQL("ALK US Equity", "AIRLINE_LANDING_FEES_PCT_SALES", "FPT=A", "FPO=2A", "ACT_EST_MAPPING=PRECISE", "FS=MRC", "CURRENCY=USD", "XLFILL=b")</f>
        <v/>
      </c>
      <c r="H91" s="9" t="str">
        <f>_xll.BQL("ALK US Equity", "AIRLINE_LANDING_FEES_PCT_SALES", "FPT=A", "FPO=1A", "ACT_EST_MAPPING=PRECISE", "FS=MRC", "CURRENCY=USD", "XLFILL=b")</f>
        <v/>
      </c>
      <c r="I91" s="9">
        <f>_xll.BQL("ALK US Equity", "AIRLINE_LANDING_FEES_PCT_SALES", "FPT=A", "FPO=0A", "ACT_EST_MAPPING=PRECISE", "FS=MRC", "CURRENCY=USD", "XLFILL=b")</f>
        <v>6.5221561480913097</v>
      </c>
      <c r="J91" s="9">
        <f>_xll.BQL("ALK US Equity", "AIRLINE_LANDING_FEES_PCT_SALES", "FPT=A", "FPO=-1A", "ACT_EST_MAPPING=PRECISE", "FS=MRC", "CURRENCY=USD", "XLFILL=b")</f>
        <v>6.0232220609579095</v>
      </c>
      <c r="K91" s="9">
        <f>_xll.BQL("ALK US Equity", "AIRLINE_LANDING_FEES_PCT_SALES", "FPT=A", "FPO=-2A", "ACT_EST_MAPPING=PRECISE", "FS=MRC", "CURRENCY=USD", "XLFILL=b")</f>
        <v>8.9863989637305703</v>
      </c>
      <c r="L91" s="9">
        <f>_xll.BQL("ALK US Equity", "AIRLINE_LANDING_FEES_PCT_SALES", "FPT=A", "FPO=-3A", "ACT_EST_MAPPING=PRECISE", "FS=MRC", "CURRENCY=USD", "XLFILL=b")</f>
        <v>11.69377453729669</v>
      </c>
      <c r="M91" s="9">
        <f>_xll.BQL("ALK US Equity", "AIRLINE_LANDING_FEES_PCT_SALES", "FPT=A", "FPO=-4A", "ACT_EST_MAPPING=PRECISE", "FS=MRC", "CURRENCY=USD", "XLFILL=b")</f>
        <v>6.0471472497437651</v>
      </c>
      <c r="N91" s="9">
        <f>_xll.BQL("ALK US Equity", "AIRLINE_LANDING_FEES_PCT_SALES", "FPT=A", "FPO=-5A", "ACT_EST_MAPPING=PRECISE", "FS=MRC", "CURRENCY=USD", "XLFILL=b")</f>
        <v>6.0382381413359152</v>
      </c>
    </row>
    <row r="92" spans="1:14" x14ac:dyDescent="0.2">
      <c r="A92" s="8" t="s">
        <v>12</v>
      </c>
      <c r="B92" s="4" t="s">
        <v>89</v>
      </c>
      <c r="C92" s="4"/>
      <c r="D92" s="4"/>
      <c r="E92" s="9" t="str">
        <f>_xll.BQL("ALK US Equity", "FA_GROWTH(AIRLINE_LANDING_FEES_PCT_SALES, YOY)", "FPT=A", "FPO=4A", "ACT_EST_MAPPING=PRECISE", "FS=MRC", "CURRENCY=USD", "XLFILL=b")</f>
        <v/>
      </c>
      <c r="F92" s="9" t="str">
        <f>_xll.BQL("ALK US Equity", "FA_GROWTH(AIRLINE_LANDING_FEES_PCT_SALES, YOY)", "FPT=A", "FPO=3A", "ACT_EST_MAPPING=PRECISE", "FS=MRC", "CURRENCY=USD", "XLFILL=b")</f>
        <v/>
      </c>
      <c r="G92" s="9" t="str">
        <f>_xll.BQL("ALK US Equity", "FA_GROWTH(AIRLINE_LANDING_FEES_PCT_SALES, YOY)", "FPT=A", "FPO=2A", "ACT_EST_MAPPING=PRECISE", "FS=MRC", "CURRENCY=USD", "XLFILL=b")</f>
        <v/>
      </c>
      <c r="H92" s="9" t="str">
        <f>_xll.BQL("ALK US Equity", "FA_GROWTH(AIRLINE_LANDING_FEES_PCT_SALES, YOY)", "FPT=A", "FPO=1A", "ACT_EST_MAPPING=PRECISE", "FS=MRC", "CURRENCY=USD", "XLFILL=b")</f>
        <v/>
      </c>
      <c r="I92" s="9">
        <f>_xll.BQL("ALK US Equity", "FA_GROWTH(AIRLINE_LANDING_FEES_PCT_SALES, YOY)", "FPT=A", "FPO=0A", "ACT_EST_MAPPING=PRECISE", "FS=MRC", "CURRENCY=USD", "XLFILL=b")</f>
        <v>8.2835080972268145</v>
      </c>
      <c r="J92" s="9">
        <f>_xll.BQL("ALK US Equity", "FA_GROWTH(AIRLINE_LANDING_FEES_PCT_SALES, YOY)", "FPT=A", "FPO=-1A", "ACT_EST_MAPPING=PRECISE", "FS=MRC", "CURRENCY=USD", "XLFILL=b")</f>
        <v>-32.974019011754869</v>
      </c>
      <c r="K92" s="9">
        <f>_xll.BQL("ALK US Equity", "FA_GROWTH(AIRLINE_LANDING_FEES_PCT_SALES, YOY)", "FPT=A", "FPO=-2A", "ACT_EST_MAPPING=PRECISE", "FS=MRC", "CURRENCY=USD", "XLFILL=b")</f>
        <v>-23.152281283781257</v>
      </c>
      <c r="L92" s="9">
        <f>_xll.BQL("ALK US Equity", "FA_GROWTH(AIRLINE_LANDING_FEES_PCT_SALES, YOY)", "FPT=A", "FPO=-3A", "ACT_EST_MAPPING=PRECISE", "FS=MRC", "CURRENCY=USD", "XLFILL=b")</f>
        <v>93.376712263657694</v>
      </c>
      <c r="M92" s="9">
        <f>_xll.BQL("ALK US Equity", "FA_GROWTH(AIRLINE_LANDING_FEES_PCT_SALES, YOY)", "FPT=A", "FPO=-4A", "ACT_EST_MAPPING=PRECISE", "FS=MRC", "CURRENCY=USD", "XLFILL=b")</f>
        <v>0.14754483343180616</v>
      </c>
      <c r="N92" s="9">
        <f>_xll.BQL("ALK US Equity", "FA_GROWTH(AIRLINE_LANDING_FEES_PCT_SALES, YOY)", "FPT=A", "FPO=-5A", "ACT_EST_MAPPING=PRECISE", "FS=MRC", "CURRENCY=USD", "XLFILL=b")</f>
        <v>3.6214171471863414</v>
      </c>
    </row>
    <row r="93" spans="1:14" x14ac:dyDescent="0.2">
      <c r="A93" s="8" t="s">
        <v>16</v>
      </c>
      <c r="B93" s="4"/>
      <c r="C93" s="4"/>
      <c r="D93" s="4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x14ac:dyDescent="0.2">
      <c r="A94" s="8" t="s">
        <v>90</v>
      </c>
      <c r="B94" s="4" t="s">
        <v>91</v>
      </c>
      <c r="C94" s="4"/>
      <c r="D94" s="4"/>
      <c r="E94" s="9" t="str">
        <f>_xll.BQL("ALK US Equity", "FUEL_COST_PER_AVAIL_SEAT_MILE", "FPT=A", "FPO=4A", "ACT_EST_MAPPING=PRECISE", "FS=MRC", "CURRENCY=USD", "XLFILL=b")</f>
        <v/>
      </c>
      <c r="F94" s="9">
        <f>_xll.BQL("ALK US Equity", "FUEL_COST_PER_AVAIL_SEAT_MILE", "FPT=A", "FPO=3A", "ACT_EST_MAPPING=PRECISE", "FS=MRC", "CURRENCY=USD", "XLFILL=b")</f>
        <v>3.190709544689101</v>
      </c>
      <c r="G94" s="9">
        <f>_xll.BQL("ALK US Equity", "FUEL_COST_PER_AVAIL_SEAT_MILE", "FPT=A", "FPO=2A", "ACT_EST_MAPPING=PRECISE", "FS=MRC", "CURRENCY=USD", "XLFILL=b")</f>
        <v>3.2445841330111094</v>
      </c>
      <c r="H94" s="9">
        <f>_xll.BQL("ALK US Equity", "FUEL_COST_PER_AVAIL_SEAT_MILE", "FPT=A", "FPO=1A", "ACT_EST_MAPPING=PRECISE", "FS=MRC", "CURRENCY=USD", "XLFILL=b")</f>
        <v>3.394820931636747</v>
      </c>
      <c r="I94" s="9">
        <f>_xll.BQL("ALK US Equity", "FUEL_COST_PER_AVAIL_SEAT_MILE", "FPT=A", "FPO=0A", "ACT_EST_MAPPING=PRECISE", "FS=MRC", "CURRENCY=USD", "XLFILL=b")</f>
        <v>3.8541241025042319</v>
      </c>
      <c r="J94" s="9">
        <f>_xll.BQL("ALK US Equity", "FUEL_COST_PER_AVAIL_SEAT_MILE", "FPT=A", "FPO=-1A", "ACT_EST_MAPPING=PRECISE", "FS=MRC", "CURRENCY=USD", "XLFILL=b")</f>
        <v>4.3901074490316425</v>
      </c>
      <c r="K94" s="9">
        <f>_xll.BQL("ALK US Equity", "FUEL_COST_PER_AVAIL_SEAT_MILE", "FPT=A", "FPO=-2A", "ACT_EST_MAPPING=PRECISE", "FS=MRC", "CURRENCY=USD", "XLFILL=b")</f>
        <v>2.4387453522738105</v>
      </c>
      <c r="L94" s="9">
        <f>_xll.BQL("ALK US Equity", "FUEL_COST_PER_AVAIL_SEAT_MILE", "FPT=A", "FPO=-3A", "ACT_EST_MAPPING=PRECISE", "FS=MRC", "CURRENCY=USD", "XLFILL=b")</f>
        <v>1.948051948051948</v>
      </c>
      <c r="M94" s="9">
        <f>_xll.BQL("ALK US Equity", "FUEL_COST_PER_AVAIL_SEAT_MILE", "FPT=A", "FPO=-4A", "ACT_EST_MAPPING=PRECISE", "FS=MRC", "CURRENCY=USD", "XLFILL=b")</f>
        <v>2.8175353317130258</v>
      </c>
      <c r="N94" s="9">
        <f>_xll.BQL("ALK US Equity", "FUEL_COST_PER_AVAIL_SEAT_MILE", "FPT=A", "FPO=-5A", "ACT_EST_MAPPING=PRECISE", "FS=MRC", "CURRENCY=USD", "XLFILL=b")</f>
        <v>2.9631897145480983</v>
      </c>
    </row>
    <row r="95" spans="1:14" x14ac:dyDescent="0.2">
      <c r="A95" s="8" t="s">
        <v>12</v>
      </c>
      <c r="B95" s="4" t="s">
        <v>91</v>
      </c>
      <c r="C95" s="4"/>
      <c r="D95" s="4"/>
      <c r="E95" s="9" t="str">
        <f>_xll.BQL("ALK US Equity", "FA_GROWTH(FUEL_COST_PER_AVAIL_SEAT_MILE, YOY)", "FPT=A", "FPO=4A", "ACT_EST_MAPPING=PRECISE", "FS=MRC", "CURRENCY=USD", "XLFILL=b")</f>
        <v/>
      </c>
      <c r="F95" s="9">
        <f>_xll.BQL("ALK US Equity", "FA_GROWTH(FUEL_COST_PER_AVAIL_SEAT_MILE, YOY)", "FPT=A", "FPO=3A", "ACT_EST_MAPPING=PRECISE", "FS=MRC", "CURRENCY=USD", "XLFILL=b")</f>
        <v>-1.6604466431884617</v>
      </c>
      <c r="G95" s="9">
        <f>_xll.BQL("ALK US Equity", "FA_GROWTH(FUEL_COST_PER_AVAIL_SEAT_MILE, YOY)", "FPT=A", "FPO=2A", "ACT_EST_MAPPING=PRECISE", "FS=MRC", "CURRENCY=USD", "XLFILL=b")</f>
        <v>-4.4254704931727842</v>
      </c>
      <c r="H95" s="9">
        <f>_xll.BQL("ALK US Equity", "FA_GROWTH(FUEL_COST_PER_AVAIL_SEAT_MILE, YOY)", "FPT=A", "FPO=1A", "ACT_EST_MAPPING=PRECISE", "FS=MRC", "CURRENCY=USD", "XLFILL=b")</f>
        <v>-11.91718685366283</v>
      </c>
      <c r="I95" s="9">
        <f>_xll.BQL("ALK US Equity", "FA_GROWTH(FUEL_COST_PER_AVAIL_SEAT_MILE, YOY)", "FPT=A", "FPO=0A", "ACT_EST_MAPPING=PRECISE", "FS=MRC", "CURRENCY=USD", "XLFILL=b")</f>
        <v>-12.208889024928908</v>
      </c>
      <c r="J95" s="9">
        <f>_xll.BQL("ALK US Equity", "FA_GROWTH(FUEL_COST_PER_AVAIL_SEAT_MILE, YOY)", "FPT=A", "FPO=-1A", "ACT_EST_MAPPING=PRECISE", "FS=MRC", "CURRENCY=USD", "XLFILL=b")</f>
        <v>80.015000128588355</v>
      </c>
      <c r="K95" s="9">
        <f>_xll.BQL("ALK US Equity", "FA_GROWTH(FUEL_COST_PER_AVAIL_SEAT_MILE, YOY)", "FPT=A", "FPO=-2A", "ACT_EST_MAPPING=PRECISE", "FS=MRC", "CURRENCY=USD", "XLFILL=b")</f>
        <v>25.188928083388937</v>
      </c>
      <c r="L95" s="9">
        <f>_xll.BQL("ALK US Equity", "FA_GROWTH(FUEL_COST_PER_AVAIL_SEAT_MILE, YOY)", "FPT=A", "FPO=-3A", "ACT_EST_MAPPING=PRECISE", "FS=MRC", "CURRENCY=USD", "XLFILL=b")</f>
        <v>-30.859715364507704</v>
      </c>
      <c r="M95" s="9">
        <f>_xll.BQL("ALK US Equity", "FA_GROWTH(FUEL_COST_PER_AVAIL_SEAT_MILE, YOY)", "FPT=A", "FPO=-4A", "ACT_EST_MAPPING=PRECISE", "FS=MRC", "CURRENCY=USD", "XLFILL=b")</f>
        <v>-4.9154592471743079</v>
      </c>
      <c r="N95" s="9">
        <f>_xll.BQL("ALK US Equity", "FA_GROWTH(FUEL_COST_PER_AVAIL_SEAT_MILE, YOY)", "FPT=A", "FPO=-5A", "ACT_EST_MAPPING=PRECISE", "FS=MRC", "CURRENCY=USD", "XLFILL=b")</f>
        <v>27.112033145424714</v>
      </c>
    </row>
    <row r="96" spans="1:14" x14ac:dyDescent="0.2">
      <c r="A96" s="8" t="s">
        <v>92</v>
      </c>
      <c r="B96" s="4" t="s">
        <v>93</v>
      </c>
      <c r="C96" s="4"/>
      <c r="D96" s="4"/>
      <c r="E96" s="9" t="str">
        <f>_xll.BQL("ALK US Equity", "ASM_PER_GALLON_LITER", "FPT=A", "FPO=4A", "ACT_EST_MAPPING=PRECISE", "FS=MRC", "CURRENCY=USD", "XLFILL=b")</f>
        <v/>
      </c>
      <c r="F96" s="9">
        <f>_xll.BQL("ALK US Equity", "ASM_PER_GALLON_LITER", "FPT=A", "FPO=3A", "ACT_EST_MAPPING=PRECISE", "FS=MRC", "CURRENCY=USD", "XLFILL=b")</f>
        <v>83.185185451298935</v>
      </c>
      <c r="G96" s="9">
        <f>_xll.BQL("ALK US Equity", "ASM_PER_GALLON_LITER", "FPT=A", "FPO=2A", "ACT_EST_MAPPING=PRECISE", "FS=MRC", "CURRENCY=USD", "XLFILL=b")</f>
        <v>83.530795098905585</v>
      </c>
      <c r="H96" s="9">
        <f>_xll.BQL("ALK US Equity", "ASM_PER_GALLON_LITER", "FPT=A", "FPO=1A", "ACT_EST_MAPPING=PRECISE", "FS=MRC", "CURRENCY=USD", "XLFILL=b")</f>
        <v>82.889007300032276</v>
      </c>
      <c r="I96" s="9">
        <f>_xll.BQL("ALK US Equity", "ASM_PER_GALLON_LITER", "FPT=A", "FPO=0A", "ACT_EST_MAPPING=PRECISE", "FS=MRC", "CURRENCY=USD", "XLFILL=b")</f>
        <v>83.160194174757279</v>
      </c>
      <c r="J96" s="9">
        <f>_xll.BQL("ALK US Equity", "ASM_PER_GALLON_LITER", "FPT=A", "FPO=-1A", "ACT_EST_MAPPING=PRECISE", "FS=MRC", "CURRENCY=USD", "XLFILL=b")</f>
        <v>80.175461741424797</v>
      </c>
      <c r="K96" s="9">
        <f>_xll.BQL("ALK US Equity", "ASM_PER_GALLON_LITER", "FPT=A", "FPO=-2A", "ACT_EST_MAPPING=PRECISE", "FS=MRC", "CURRENCY=USD", "XLFILL=b")</f>
        <v>79.946646341463421</v>
      </c>
      <c r="L96" s="9">
        <f>_xll.BQL("ALK US Equity", "ASM_PER_GALLON_LITER", "FPT=A", "FPO=-3A", "ACT_EST_MAPPING=PRECISE", "FS=MRC", "CURRENCY=USD", "XLFILL=b")</f>
        <v>80.507592190889369</v>
      </c>
      <c r="M96" s="9">
        <f>_xll.BQL("ALK US Equity", "ASM_PER_GALLON_LITER", "FPT=A", "FPO=-4A", "ACT_EST_MAPPING=PRECISE", "FS=MRC", "CURRENCY=USD", "XLFILL=b")</f>
        <v>77.324825986078892</v>
      </c>
      <c r="N96" s="9">
        <f>_xll.BQL("ALK US Equity", "ASM_PER_GALLON_LITER", "FPT=A", "FPO=-5A", "ACT_EST_MAPPING=PRECISE", "FS=MRC", "CURRENCY=USD", "XLFILL=b")</f>
        <v>77.872467222884381</v>
      </c>
    </row>
    <row r="97" spans="1:14" x14ac:dyDescent="0.2">
      <c r="A97" s="8" t="s">
        <v>12</v>
      </c>
      <c r="B97" s="4" t="s">
        <v>93</v>
      </c>
      <c r="C97" s="4"/>
      <c r="D97" s="4"/>
      <c r="E97" s="9" t="str">
        <f>_xll.BQL("ALK US Equity", "FA_GROWTH(ASM_PER_GALLON_LITER, YOY)", "FPT=A", "FPO=4A", "ACT_EST_MAPPING=PRECISE", "FS=MRC", "CURRENCY=USD", "XLFILL=b")</f>
        <v/>
      </c>
      <c r="F97" s="9">
        <f>_xll.BQL("ALK US Equity", "FA_GROWTH(ASM_PER_GALLON_LITER, YOY)", "FPT=A", "FPO=3A", "ACT_EST_MAPPING=PRECISE", "FS=MRC", "CURRENCY=USD", "XLFILL=b")</f>
        <v>-0.41375117667373756</v>
      </c>
      <c r="G97" s="9">
        <f>_xll.BQL("ALK US Equity", "FA_GROWTH(ASM_PER_GALLON_LITER, YOY)", "FPT=A", "FPO=2A", "ACT_EST_MAPPING=PRECISE", "FS=MRC", "CURRENCY=USD", "XLFILL=b")</f>
        <v>0.77427371828720126</v>
      </c>
      <c r="H97" s="9">
        <f>_xll.BQL("ALK US Equity", "FA_GROWTH(ASM_PER_GALLON_LITER, YOY)", "FPT=A", "FPO=1A", "ACT_EST_MAPPING=PRECISE", "FS=MRC", "CURRENCY=USD", "XLFILL=b")</f>
        <v>-0.32610178152676877</v>
      </c>
      <c r="I97" s="9">
        <f>_xll.BQL("ALK US Equity", "FA_GROWTH(ASM_PER_GALLON_LITER, YOY)", "FPT=A", "FPO=0A", "ACT_EST_MAPPING=PRECISE", "FS=MRC", "CURRENCY=USD", "XLFILL=b")</f>
        <v>3.7227505380119816</v>
      </c>
      <c r="J97" s="9">
        <f>_xll.BQL("ALK US Equity", "FA_GROWTH(ASM_PER_GALLON_LITER, YOY)", "FPT=A", "FPO=-1A", "ACT_EST_MAPPING=PRECISE", "FS=MRC", "CURRENCY=USD", "XLFILL=b")</f>
        <v>0.28621012942065638</v>
      </c>
      <c r="K97" s="9">
        <f>_xll.BQL("ALK US Equity", "FA_GROWTH(ASM_PER_GALLON_LITER, YOY)", "FPT=A", "FPO=-2A", "ACT_EST_MAPPING=PRECISE", "FS=MRC", "CURRENCY=USD", "XLFILL=b")</f>
        <v>-0.69676142853198864</v>
      </c>
      <c r="L97" s="9">
        <f>_xll.BQL("ALK US Equity", "FA_GROWTH(ASM_PER_GALLON_LITER, YOY)", "FPT=A", "FPO=-3A", "ACT_EST_MAPPING=PRECISE", "FS=MRC", "CURRENCY=USD", "XLFILL=b")</f>
        <v>4.1160987615846478</v>
      </c>
      <c r="M97" s="9">
        <f>_xll.BQL("ALK US Equity", "FA_GROWTH(ASM_PER_GALLON_LITER, YOY)", "FPT=A", "FPO=-4A", "ACT_EST_MAPPING=PRECISE", "FS=MRC", "CURRENCY=USD", "XLFILL=b")</f>
        <v>-0.70325399507125697</v>
      </c>
      <c r="N97" s="9">
        <f>_xll.BQL("ALK US Equity", "FA_GROWTH(ASM_PER_GALLON_LITER, YOY)", "FPT=A", "FPO=-5A", "ACT_EST_MAPPING=PRECISE", "FS=MRC", "CURRENCY=USD", "XLFILL=b")</f>
        <v>-1.2314124502425137E-2</v>
      </c>
    </row>
    <row r="98" spans="1:14" x14ac:dyDescent="0.2">
      <c r="A98" s="8" t="s">
        <v>94</v>
      </c>
      <c r="B98" s="4" t="s">
        <v>32</v>
      </c>
      <c r="C98" s="4"/>
      <c r="D98" s="4"/>
      <c r="E98" s="9" t="str">
        <f>_xll.BQL("ALK US Equity", "OP_EXP_PER_ASM_ASK", "FPT=A", "FPO=4A", "ACT_EST_MAPPING=PRECISE", "FS=MRC", "CURRENCY=USD", "XLFILL=b")</f>
        <v/>
      </c>
      <c r="F98" s="9">
        <f>_xll.BQL("ALK US Equity", "OP_EXP_PER_ASM_ASK", "FPT=A", "FPO=3A", "ACT_EST_MAPPING=PRECISE", "FS=MRC", "CURRENCY=USD", "XLFILL=b")</f>
        <v>14.286552318859183</v>
      </c>
      <c r="G98" s="9">
        <f>_xll.BQL("ALK US Equity", "OP_EXP_PER_ASM_ASK", "FPT=A", "FPO=2A", "ACT_EST_MAPPING=PRECISE", "FS=MRC", "CURRENCY=USD", "XLFILL=b")</f>
        <v>14.211050666657584</v>
      </c>
      <c r="H98" s="9">
        <f>_xll.BQL("ALK US Equity", "OP_EXP_PER_ASM_ASK", "FPT=A", "FPO=1A", "ACT_EST_MAPPING=PRECISE", "FS=MRC", "CURRENCY=USD", "XLFILL=b")</f>
        <v>14.202002296505595</v>
      </c>
      <c r="I98" s="9">
        <f>_xll.BQL("ALK US Equity", "OP_EXP_PER_ASM_ASK", "FPT=A", "FPO=0A", "ACT_EST_MAPPING=PRECISE", "FS=MRC", "CURRENCY=USD", "XLFILL=b")</f>
        <v>14.64</v>
      </c>
      <c r="J98" s="9">
        <f>_xll.BQL("ALK US Equity", "OP_EXP_PER_ASM_ASK", "FPT=A", "FPO=-1A", "ACT_EST_MAPPING=PRECISE", "FS=MRC", "CURRENCY=USD", "XLFILL=b")</f>
        <v>15.76</v>
      </c>
      <c r="K98" s="9">
        <f>_xll.BQL("ALK US Equity", "OP_EXP_PER_ASM_ASK", "FPT=A", "FPO=-2A", "ACT_EST_MAPPING=PRECISE", "FS=MRC", "CURRENCY=USD", "XLFILL=b")</f>
        <v>10.47</v>
      </c>
      <c r="L98" s="9">
        <f>_xll.BQL("ALK US Equity", "OP_EXP_PER_ASM_ASK", "FPT=A", "FPO=-3A", "ACT_EST_MAPPING=PRECISE", "FS=MRC", "CURRENCY=USD", "XLFILL=b")</f>
        <v>14.39</v>
      </c>
      <c r="M98" s="9">
        <f>_xll.BQL("ALK US Equity", "OP_EXP_PER_ASM_ASK", "FPT=A", "FPO=-4A", "ACT_EST_MAPPING=PRECISE", "FS=MRC", "CURRENCY=USD", "XLFILL=b")</f>
        <v>11.58</v>
      </c>
      <c r="N98" s="9">
        <f>_xll.BQL("ALK US Equity", "OP_EXP_PER_ASM_ASK", "FPT=A", "FPO=-5A", "ACT_EST_MAPPING=PRECISE", "FS=MRC", "CURRENCY=USD", "XLFILL=b")</f>
        <v>11.66</v>
      </c>
    </row>
    <row r="99" spans="1:14" x14ac:dyDescent="0.2">
      <c r="A99" s="8" t="s">
        <v>12</v>
      </c>
      <c r="B99" s="4" t="s">
        <v>32</v>
      </c>
      <c r="C99" s="4"/>
      <c r="D99" s="4"/>
      <c r="E99" s="9" t="str">
        <f>_xll.BQL("ALK US Equity", "FA_GROWTH(OP_EXP_PER_ASM_ASK, YOY)", "FPT=A", "FPO=4A", "ACT_EST_MAPPING=PRECISE", "FS=MRC", "CURRENCY=USD", "XLFILL=b")</f>
        <v/>
      </c>
      <c r="F99" s="9">
        <f>_xll.BQL("ALK US Equity", "FA_GROWTH(OP_EXP_PER_ASM_ASK, YOY)", "FPT=A", "FPO=3A", "ACT_EST_MAPPING=PRECISE", "FS=MRC", "CURRENCY=USD", "XLFILL=b")</f>
        <v>0.53128831901741724</v>
      </c>
      <c r="G99" s="9">
        <f>_xll.BQL("ALK US Equity", "FA_GROWTH(OP_EXP_PER_ASM_ASK, YOY)", "FPT=A", "FPO=2A", "ACT_EST_MAPPING=PRECISE", "FS=MRC", "CURRENCY=USD", "XLFILL=b")</f>
        <v>6.3711932747788372E-2</v>
      </c>
      <c r="H99" s="9">
        <f>_xll.BQL("ALK US Equity", "FA_GROWTH(OP_EXP_PER_ASM_ASK, YOY)", "FPT=A", "FPO=1A", "ACT_EST_MAPPING=PRECISE", "FS=MRC", "CURRENCY=USD", "XLFILL=b")</f>
        <v>-2.9917875921748984</v>
      </c>
      <c r="I99" s="9">
        <f>_xll.BQL("ALK US Equity", "FA_GROWTH(OP_EXP_PER_ASM_ASK, YOY)", "FPT=A", "FPO=0A", "ACT_EST_MAPPING=PRECISE", "FS=MRC", "CURRENCY=USD", "XLFILL=b")</f>
        <v>-7.1065989847715683</v>
      </c>
      <c r="J99" s="9">
        <f>_xll.BQL("ALK US Equity", "FA_GROWTH(OP_EXP_PER_ASM_ASK, YOY)", "FPT=A", "FPO=-1A", "ACT_EST_MAPPING=PRECISE", "FS=MRC", "CURRENCY=USD", "XLFILL=b")</f>
        <v>50.525310410697216</v>
      </c>
      <c r="K99" s="9">
        <f>_xll.BQL("ALK US Equity", "FA_GROWTH(OP_EXP_PER_ASM_ASK, YOY)", "FPT=A", "FPO=-2A", "ACT_EST_MAPPING=PRECISE", "FS=MRC", "CURRENCY=USD", "XLFILL=b")</f>
        <v>-27.241139680333564</v>
      </c>
      <c r="L99" s="9">
        <f>_xll.BQL("ALK US Equity", "FA_GROWTH(OP_EXP_PER_ASM_ASK, YOY)", "FPT=A", "FPO=-3A", "ACT_EST_MAPPING=PRECISE", "FS=MRC", "CURRENCY=USD", "XLFILL=b")</f>
        <v>24.265975820379971</v>
      </c>
      <c r="M99" s="9">
        <f>_xll.BQL("ALK US Equity", "FA_GROWTH(OP_EXP_PER_ASM_ASK, YOY)", "FPT=A", "FPO=-4A", "ACT_EST_MAPPING=PRECISE", "FS=MRC", "CURRENCY=USD", "XLFILL=b")</f>
        <v>-0.68610634648370561</v>
      </c>
      <c r="N99" s="9">
        <f>_xll.BQL("ALK US Equity", "FA_GROWTH(OP_EXP_PER_ASM_ASK, YOY)", "FPT=A", "FPO=-5A", "ACT_EST_MAPPING=PRECISE", "FS=MRC", "CURRENCY=USD", "XLFILL=b")</f>
        <v>8.2636954503249829</v>
      </c>
    </row>
    <row r="100" spans="1:14" x14ac:dyDescent="0.2">
      <c r="A100" s="8" t="s">
        <v>95</v>
      </c>
      <c r="B100" s="4" t="s">
        <v>34</v>
      </c>
      <c r="C100" s="4"/>
      <c r="D100" s="4"/>
      <c r="E100" s="9" t="str">
        <f>_xll.BQL("ALK US Equity", "CONS_COST_PER_ASM_EX_FUEL", "FPT=A", "FPO=4A", "ACT_EST_MAPPING=PRECISE", "FS=MRC", "CURRENCY=USD", "XLFILL=b")</f>
        <v/>
      </c>
      <c r="F100" s="9">
        <f>_xll.BQL("ALK US Equity", "CONS_COST_PER_ASM_EX_FUEL", "FPT=A", "FPO=3A", "ACT_EST_MAPPING=PRECISE", "FS=MRC", "CURRENCY=USD", "XLFILL=b")</f>
        <v>10.973640606929495</v>
      </c>
      <c r="G100" s="9">
        <f>_xll.BQL("ALK US Equity", "CONS_COST_PER_ASM_EX_FUEL", "FPT=A", "FPO=2A", "ACT_EST_MAPPING=PRECISE", "FS=MRC", "CURRENCY=USD", "XLFILL=b")</f>
        <v>10.795193876602132</v>
      </c>
      <c r="H100" s="9">
        <f>_xll.BQL("ALK US Equity", "CONS_COST_PER_ASM_EX_FUEL", "FPT=A", "FPO=1A", "ACT_EST_MAPPING=PRECISE", "FS=MRC", "CURRENCY=USD", "XLFILL=b")</f>
        <v>10.69147888523327</v>
      </c>
      <c r="I100" s="9">
        <f>_xll.BQL("ALK US Equity", "CONS_COST_PER_ASM_EX_FUEL", "FPT=A", "FPO=0A", "ACT_EST_MAPPING=PRECISE", "FS=MRC", "CURRENCY=USD", "XLFILL=b")</f>
        <v>10.79</v>
      </c>
      <c r="J100" s="9">
        <f>_xll.BQL("ALK US Equity", "CONS_COST_PER_ASM_EX_FUEL", "FPT=A", "FPO=-1A", "ACT_EST_MAPPING=PRECISE", "FS=MRC", "CURRENCY=USD", "XLFILL=b")</f>
        <v>11.37</v>
      </c>
      <c r="K100" s="9">
        <f>_xll.BQL("ALK US Equity", "CONS_COST_PER_ASM_EX_FUEL", "FPT=A", "FPO=-2A", "ACT_EST_MAPPING=PRECISE", "FS=MRC", "CURRENCY=USD", "XLFILL=b")</f>
        <v>9.7740489999999998</v>
      </c>
      <c r="L100" s="9">
        <f>_xll.BQL("ALK US Equity", "CONS_COST_PER_ASM_EX_FUEL", "FPT=A", "FPO=-3A", "ACT_EST_MAPPING=PRECISE", "FS=MRC", "CURRENCY=USD", "XLFILL=b")</f>
        <v>12.44</v>
      </c>
      <c r="M100" s="9">
        <f>_xll.BQL("ALK US Equity", "CONS_COST_PER_ASM_EX_FUEL", "FPT=A", "FPO=-4A", "ACT_EST_MAPPING=PRECISE", "FS=MRC", "CURRENCY=USD", "XLFILL=b")</f>
        <v>8.76</v>
      </c>
      <c r="N100" s="9">
        <f>_xll.BQL("ALK US Equity", "CONS_COST_PER_ASM_EX_FUEL", "FPT=A", "FPO=-5A", "ACT_EST_MAPPING=PRECISE", "FS=MRC", "CURRENCY=USD", "XLFILL=b")</f>
        <v>8.6999999999999993</v>
      </c>
    </row>
    <row r="101" spans="1:14" x14ac:dyDescent="0.2">
      <c r="A101" s="8" t="s">
        <v>12</v>
      </c>
      <c r="B101" s="4" t="s">
        <v>34</v>
      </c>
      <c r="C101" s="4"/>
      <c r="D101" s="4"/>
      <c r="E101" s="9" t="str">
        <f>_xll.BQL("ALK US Equity", "FA_GROWTH(CONS_COST_PER_ASM_EX_FUEL, YOY)", "FPT=A", "FPO=4A", "ACT_EST_MAPPING=PRECISE", "FS=MRC", "CURRENCY=USD", "XLFILL=b")</f>
        <v/>
      </c>
      <c r="F101" s="9">
        <f>_xll.BQL("ALK US Equity", "FA_GROWTH(CONS_COST_PER_ASM_EX_FUEL, YOY)", "FPT=A", "FPO=3A", "ACT_EST_MAPPING=PRECISE", "FS=MRC", "CURRENCY=USD", "XLFILL=b")</f>
        <v>1.6530201529231792</v>
      </c>
      <c r="G101" s="9">
        <f>_xll.BQL("ALK US Equity", "FA_GROWTH(CONS_COST_PER_ASM_EX_FUEL, YOY)", "FPT=A", "FPO=2A", "ACT_EST_MAPPING=PRECISE", "FS=MRC", "CURRENCY=USD", "XLFILL=b")</f>
        <v>0.97007151659917212</v>
      </c>
      <c r="H101" s="9">
        <f>_xll.BQL("ALK US Equity", "FA_GROWTH(CONS_COST_PER_ASM_EX_FUEL, YOY)", "FPT=A", "FPO=1A", "ACT_EST_MAPPING=PRECISE", "FS=MRC", "CURRENCY=USD", "XLFILL=b")</f>
        <v>-0.91307798671667584</v>
      </c>
      <c r="I101" s="9">
        <f>_xll.BQL("ALK US Equity", "FA_GROWTH(CONS_COST_PER_ASM_EX_FUEL, YOY)", "FPT=A", "FPO=0A", "ACT_EST_MAPPING=PRECISE", "FS=MRC", "CURRENCY=USD", "XLFILL=b")</f>
        <v>-5.1011433597185585</v>
      </c>
      <c r="J101" s="9">
        <f>_xll.BQL("ALK US Equity", "FA_GROWTH(CONS_COST_PER_ASM_EX_FUEL, YOY)", "FPT=A", "FPO=-1A", "ACT_EST_MAPPING=PRECISE", "FS=MRC", "CURRENCY=USD", "XLFILL=b")</f>
        <v>16.328453029036375</v>
      </c>
      <c r="K101" s="9">
        <f>_xll.BQL("ALK US Equity", "FA_GROWTH(CONS_COST_PER_ASM_EX_FUEL, YOY)", "FPT=A", "FPO=-2A", "ACT_EST_MAPPING=PRECISE", "FS=MRC", "CURRENCY=USD", "XLFILL=b")</f>
        <v>-21.430474276527331</v>
      </c>
      <c r="L101" s="9">
        <f>_xll.BQL("ALK US Equity", "FA_GROWTH(CONS_COST_PER_ASM_EX_FUEL, YOY)", "FPT=A", "FPO=-3A", "ACT_EST_MAPPING=PRECISE", "FS=MRC", "CURRENCY=USD", "XLFILL=b")</f>
        <v>42.009132420091326</v>
      </c>
      <c r="M101" s="9">
        <f>_xll.BQL("ALK US Equity", "FA_GROWTH(CONS_COST_PER_ASM_EX_FUEL, YOY)", "FPT=A", "FPO=-4A", "ACT_EST_MAPPING=PRECISE", "FS=MRC", "CURRENCY=USD", "XLFILL=b")</f>
        <v>0.68965517241379892</v>
      </c>
      <c r="N101" s="9">
        <f>_xll.BQL("ALK US Equity", "FA_GROWTH(CONS_COST_PER_ASM_EX_FUEL, YOY)", "FPT=A", "FPO=-5A", "ACT_EST_MAPPING=PRECISE", "FS=MRC", "CURRENCY=USD", "XLFILL=b")</f>
        <v>3.0805687203791448</v>
      </c>
    </row>
    <row r="102" spans="1:14" x14ac:dyDescent="0.2">
      <c r="A102" s="8" t="s">
        <v>96</v>
      </c>
      <c r="B102" s="4" t="s">
        <v>97</v>
      </c>
      <c r="C102" s="4"/>
      <c r="D102" s="4"/>
      <c r="E102" s="9" t="str">
        <f>_xll.BQL("ALK US Equity", "COST_PER_SEAT_EXCL_ABN_ITMS", "FPT=A", "FPO=4A", "ACT_EST_MAPPING=PRECISE", "FS=MRC", "CURRENCY=USD", "XLFILL=b")</f>
        <v/>
      </c>
      <c r="F102" s="9">
        <f>_xll.BQL("ALK US Equity", "COST_PER_SEAT_EXCL_ABN_ITMS", "FPT=A", "FPO=3A", "ACT_EST_MAPPING=PRECISE", "FS=MRC", "CURRENCY=USD", "XLFILL=b")</f>
        <v>10.898446829304756</v>
      </c>
      <c r="G102" s="9">
        <f>_xll.BQL("ALK US Equity", "COST_PER_SEAT_EXCL_ABN_ITMS", "FPT=A", "FPO=2A", "ACT_EST_MAPPING=PRECISE", "FS=MRC", "CURRENCY=USD", "XLFILL=b")</f>
        <v>10.851347227395141</v>
      </c>
      <c r="H102" s="9">
        <f>_xll.BQL("ALK US Equity", "COST_PER_SEAT_EXCL_ABN_ITMS", "FPT=A", "FPO=1A", "ACT_EST_MAPPING=PRECISE", "FS=MRC", "CURRENCY=USD", "XLFILL=b")</f>
        <v>10.691791714489211</v>
      </c>
      <c r="I102" s="9">
        <f>_xll.BQL("ALK US Equity", "COST_PER_SEAT_EXCL_ABN_ITMS", "FPT=A", "FPO=0A", "ACT_EST_MAPPING=PRECISE", "FS=MRC", "CURRENCY=USD", "XLFILL=b")</f>
        <v>10.14</v>
      </c>
      <c r="J102" s="9">
        <f>_xll.BQL("ALK US Equity", "COST_PER_SEAT_EXCL_ABN_ITMS", "FPT=A", "FPO=-1A", "ACT_EST_MAPPING=PRECISE", "FS=MRC", "CURRENCY=USD", "XLFILL=b")</f>
        <v>10.41</v>
      </c>
      <c r="K102" s="9">
        <f>_xll.BQL("ALK US Equity", "COST_PER_SEAT_EXCL_ABN_ITMS", "FPT=A", "FPO=-2A", "ACT_EST_MAPPING=PRECISE", "FS=MRC", "CURRENCY=USD", "XLFILL=b")</f>
        <v>9.8000000000000007</v>
      </c>
      <c r="L102" s="9">
        <f>_xll.BQL("ALK US Equity", "COST_PER_SEAT_EXCL_ABN_ITMS", "FPT=A", "FPO=-3A", "ACT_EST_MAPPING=PRECISE", "FS=MRC", "CURRENCY=USD", "XLFILL=b")</f>
        <v>12.25</v>
      </c>
      <c r="M102" s="9">
        <f>_xll.BQL("ALK US Equity", "COST_PER_SEAT_EXCL_ABN_ITMS", "FPT=A", "FPO=-4A", "ACT_EST_MAPPING=PRECISE", "FS=MRC", "CURRENCY=USD", "XLFILL=b")</f>
        <v>8.6999999999999993</v>
      </c>
      <c r="N102" s="9">
        <f>_xll.BQL("ALK US Equity", "COST_PER_SEAT_EXCL_ABN_ITMS", "FPT=A", "FPO=-5A", "ACT_EST_MAPPING=PRECISE", "FS=MRC", "CURRENCY=USD", "XLFILL=b")</f>
        <v>8.5</v>
      </c>
    </row>
    <row r="103" spans="1:14" x14ac:dyDescent="0.2">
      <c r="A103" s="8" t="s">
        <v>12</v>
      </c>
      <c r="B103" s="4" t="s">
        <v>97</v>
      </c>
      <c r="C103" s="4"/>
      <c r="D103" s="4"/>
      <c r="E103" s="9" t="str">
        <f>_xll.BQL("ALK US Equity", "FA_GROWTH(COST_PER_SEAT_EXCL_ABN_ITMS, YOY)", "FPT=A", "FPO=4A", "ACT_EST_MAPPING=PRECISE", "FS=MRC", "CURRENCY=USD", "XLFILL=b")</f>
        <v/>
      </c>
      <c r="F103" s="9">
        <f>_xll.BQL("ALK US Equity", "FA_GROWTH(COST_PER_SEAT_EXCL_ABN_ITMS, YOY)", "FPT=A", "FPO=3A", "ACT_EST_MAPPING=PRECISE", "FS=MRC", "CURRENCY=USD", "XLFILL=b")</f>
        <v>0.43404381891593979</v>
      </c>
      <c r="G103" s="9">
        <f>_xll.BQL("ALK US Equity", "FA_GROWTH(COST_PER_SEAT_EXCL_ABN_ITMS, YOY)", "FPT=A", "FPO=2A", "ACT_EST_MAPPING=PRECISE", "FS=MRC", "CURRENCY=USD", "XLFILL=b")</f>
        <v>1.4923178188152058</v>
      </c>
      <c r="H103" s="9">
        <f>_xll.BQL("ALK US Equity", "FA_GROWTH(COST_PER_SEAT_EXCL_ABN_ITMS, YOY)", "FPT=A", "FPO=1A", "ACT_EST_MAPPING=PRECISE", "FS=MRC", "CURRENCY=USD", "XLFILL=b")</f>
        <v>5.4417328845089799</v>
      </c>
      <c r="I103" s="9">
        <f>_xll.BQL("ALK US Equity", "FA_GROWTH(COST_PER_SEAT_EXCL_ABN_ITMS, YOY)", "FPT=A", "FPO=0A", "ACT_EST_MAPPING=PRECISE", "FS=MRC", "CURRENCY=USD", "XLFILL=b")</f>
        <v>-2.5936599423631082</v>
      </c>
      <c r="J103" s="9">
        <f>_xll.BQL("ALK US Equity", "FA_GROWTH(COST_PER_SEAT_EXCL_ABN_ITMS, YOY)", "FPT=A", "FPO=-1A", "ACT_EST_MAPPING=PRECISE", "FS=MRC", "CURRENCY=USD", "XLFILL=b")</f>
        <v>6.2244897959183607</v>
      </c>
      <c r="K103" s="9">
        <f>_xll.BQL("ALK US Equity", "FA_GROWTH(COST_PER_SEAT_EXCL_ABN_ITMS, YOY)", "FPT=A", "FPO=-2A", "ACT_EST_MAPPING=PRECISE", "FS=MRC", "CURRENCY=USD", "XLFILL=b")</f>
        <v>-19.999999999999996</v>
      </c>
      <c r="L103" s="9">
        <f>_xll.BQL("ALK US Equity", "FA_GROWTH(COST_PER_SEAT_EXCL_ABN_ITMS, YOY)", "FPT=A", "FPO=-3A", "ACT_EST_MAPPING=PRECISE", "FS=MRC", "CURRENCY=USD", "XLFILL=b")</f>
        <v>40.804597701149433</v>
      </c>
      <c r="M103" s="9">
        <f>_xll.BQL("ALK US Equity", "FA_GROWTH(COST_PER_SEAT_EXCL_ABN_ITMS, YOY)", "FPT=A", "FPO=-4A", "ACT_EST_MAPPING=PRECISE", "FS=MRC", "CURRENCY=USD", "XLFILL=b")</f>
        <v>2.3529411764705799</v>
      </c>
      <c r="N103" s="9">
        <f>_xll.BQL("ALK US Equity", "FA_GROWTH(COST_PER_SEAT_EXCL_ABN_ITMS, YOY)", "FPT=A", "FPO=-5A", "ACT_EST_MAPPING=PRECISE", "FS=MRC", "CURRENCY=USD", "XLFILL=b")</f>
        <v>3.0303030303030303</v>
      </c>
    </row>
    <row r="104" spans="1:14" x14ac:dyDescent="0.2">
      <c r="A104" s="8" t="s">
        <v>98</v>
      </c>
      <c r="B104" s="4" t="s">
        <v>99</v>
      </c>
      <c r="C104" s="4"/>
      <c r="D104" s="4"/>
      <c r="E104" s="9" t="str">
        <f>_xll.BQL("ALK US Equity", "AVERAGE_PASSENGER_FARE", "FPT=A", "FPO=4A", "ACT_EST_MAPPING=PRECISE", "FS=MRC", "CURRENCY=USD", "XLFILL=b")</f>
        <v/>
      </c>
      <c r="F104" s="9">
        <f>_xll.BQL("ALK US Equity", "AVERAGE_PASSENGER_FARE", "FPT=A", "FPO=3A", "ACT_EST_MAPPING=PRECISE", "FS=MRC", "CURRENCY=USD", "XLFILL=b")</f>
        <v>182.67375348733219</v>
      </c>
      <c r="G104" s="9">
        <f>_xll.BQL("ALK US Equity", "AVERAGE_PASSENGER_FARE", "FPT=A", "FPO=2A", "ACT_EST_MAPPING=PRECISE", "FS=MRC", "CURRENCY=USD", "XLFILL=b")</f>
        <v>182.51864667883612</v>
      </c>
      <c r="H104" s="9">
        <f>_xll.BQL("ALK US Equity", "AVERAGE_PASSENGER_FARE", "FPT=A", "FPO=1A", "ACT_EST_MAPPING=PRECISE", "FS=MRC", "CURRENCY=USD", "XLFILL=b")</f>
        <v>226.61011426392315</v>
      </c>
      <c r="I104" s="9">
        <f>_xll.BQL("ALK US Equity", "AVERAGE_PASSENGER_FARE", "FPT=A", "FPO=0A", "ACT_EST_MAPPING=PRECISE", "FS=MRC", "CURRENCY=USD", "XLFILL=b")</f>
        <v>213.79356799999999</v>
      </c>
      <c r="J104" s="9">
        <f>_xll.BQL("ALK US Equity", "AVERAGE_PASSENGER_FARE", "FPT=A", "FPO=-1A", "ACT_EST_MAPPING=PRECISE", "FS=MRC", "CURRENCY=USD", "XLFILL=b")</f>
        <v>212.40474599999999</v>
      </c>
      <c r="K104" s="9">
        <f>_xll.BQL("ALK US Equity", "AVERAGE_PASSENGER_FARE", "FPT=A", "FPO=-2A", "ACT_EST_MAPPING=PRECISE", "FS=MRC", "CURRENCY=USD", "XLFILL=b")</f>
        <v>169.685562</v>
      </c>
      <c r="L104" s="9">
        <f>_xll.BQL("ALK US Equity", "AVERAGE_PASSENGER_FARE", "FPT=A", "FPO=-3A", "ACT_EST_MAPPING=PRECISE", "FS=MRC", "CURRENCY=USD", "XLFILL=b")</f>
        <v>168.40519900000001</v>
      </c>
      <c r="M104" s="9">
        <f>_xll.BQL("ALK US Equity", "AVERAGE_PASSENGER_FARE", "FPT=A", "FPO=-4A", "ACT_EST_MAPPING=PRECISE", "FS=MRC", "CURRENCY=USD", "XLFILL=b")</f>
        <v>173.21806900000001</v>
      </c>
      <c r="N104" s="9">
        <f>_xll.BQL("ALK US Equity", "AVERAGE_PASSENGER_FARE", "FPT=A", "FPO=-5A", "ACT_EST_MAPPING=PRECISE", "FS=MRC", "CURRENCY=USD", "XLFILL=b")</f>
        <v>166.60844499999999</v>
      </c>
    </row>
    <row r="105" spans="1:14" x14ac:dyDescent="0.2">
      <c r="A105" s="8" t="s">
        <v>12</v>
      </c>
      <c r="B105" s="4" t="s">
        <v>99</v>
      </c>
      <c r="C105" s="4"/>
      <c r="D105" s="4"/>
      <c r="E105" s="9" t="str">
        <f>_xll.BQL("ALK US Equity", "FA_GROWTH(AVERAGE_PASSENGER_FARE, YOY)", "FPT=A", "FPO=4A", "ACT_EST_MAPPING=PRECISE", "FS=MRC", "CURRENCY=USD", "XLFILL=b")</f>
        <v/>
      </c>
      <c r="F105" s="9">
        <f>_xll.BQL("ALK US Equity", "FA_GROWTH(AVERAGE_PASSENGER_FARE, YOY)", "FPT=A", "FPO=3A", "ACT_EST_MAPPING=PRECISE", "FS=MRC", "CURRENCY=USD", "XLFILL=b")</f>
        <v>8.498134920373436E-2</v>
      </c>
      <c r="G105" s="9">
        <f>_xll.BQL("ALK US Equity", "FA_GROWTH(AVERAGE_PASSENGER_FARE, YOY)", "FPT=A", "FPO=2A", "ACT_EST_MAPPING=PRECISE", "FS=MRC", "CURRENCY=USD", "XLFILL=b")</f>
        <v>-19.456972486998339</v>
      </c>
      <c r="H105" s="9">
        <f>_xll.BQL("ALK US Equity", "FA_GROWTH(AVERAGE_PASSENGER_FARE, YOY)", "FPT=A", "FPO=1A", "ACT_EST_MAPPING=PRECISE", "FS=MRC", "CURRENCY=USD", "XLFILL=b")</f>
        <v>5.9948231295354768</v>
      </c>
      <c r="I105" s="9">
        <f>_xll.BQL("ALK US Equity", "FA_GROWTH(AVERAGE_PASSENGER_FARE, YOY)", "FPT=A", "FPO=0A", "ACT_EST_MAPPING=PRECISE", "FS=MRC", "CURRENCY=USD", "XLFILL=b")</f>
        <v>0.6538563879358914</v>
      </c>
      <c r="J105" s="9">
        <f>_xll.BQL("ALK US Equity", "FA_GROWTH(AVERAGE_PASSENGER_FARE, YOY)", "FPT=A", "FPO=-1A", "ACT_EST_MAPPING=PRECISE", "FS=MRC", "CURRENCY=USD", "XLFILL=b")</f>
        <v>25.175497252971933</v>
      </c>
      <c r="K105" s="9">
        <f>_xll.BQL("ALK US Equity", "FA_GROWTH(AVERAGE_PASSENGER_FARE, YOY)", "FPT=A", "FPO=-2A", "ACT_EST_MAPPING=PRECISE", "FS=MRC", "CURRENCY=USD", "XLFILL=b")</f>
        <v>0.76028709778728032</v>
      </c>
      <c r="L105" s="9">
        <f>_xll.BQL("ALK US Equity", "FA_GROWTH(AVERAGE_PASSENGER_FARE, YOY)", "FPT=A", "FPO=-3A", "ACT_EST_MAPPING=PRECISE", "FS=MRC", "CURRENCY=USD", "XLFILL=b")</f>
        <v>-2.778503436613188</v>
      </c>
      <c r="M105" s="9">
        <f>_xll.BQL("ALK US Equity", "FA_GROWTH(AVERAGE_PASSENGER_FARE, YOY)", "FPT=A", "FPO=-4A", "ACT_EST_MAPPING=PRECISE", "FS=MRC", "CURRENCY=USD", "XLFILL=b")</f>
        <v>3.9671602480894803</v>
      </c>
      <c r="N105" s="9">
        <f>_xll.BQL("ALK US Equity", "FA_GROWTH(AVERAGE_PASSENGER_FARE, YOY)", "FPT=A", "FPO=-5A", "ACT_EST_MAPPING=PRECISE", "FS=MRC", "CURRENCY=USD", "XLFILL=b")</f>
        <v>0.41918424168469498</v>
      </c>
    </row>
    <row r="106" spans="1:14" x14ac:dyDescent="0.2">
      <c r="A106" s="8" t="s">
        <v>100</v>
      </c>
      <c r="B106" s="4" t="s">
        <v>101</v>
      </c>
      <c r="C106" s="4"/>
      <c r="D106" s="4"/>
      <c r="E106" s="9" t="str">
        <f>_xll.BQL("ALK US Equity", "AVG_NUM_EMPLOYEES", "FPT=A", "FPO=4A", "ACT_EST_MAPPING=PRECISE", "FS=MRC", "CURRENCY=USD", "XLFILL=b")</f>
        <v/>
      </c>
      <c r="F106" s="9">
        <f>_xll.BQL("ALK US Equity", "AVG_NUM_EMPLOYEES", "FPT=A", "FPO=3A", "ACT_EST_MAPPING=PRECISE", "FS=MRC", "CURRENCY=USD", "XLFILL=b")</f>
        <v>24867.61479</v>
      </c>
      <c r="G106" s="9">
        <f>_xll.BQL("ALK US Equity", "AVG_NUM_EMPLOYEES", "FPT=A", "FPO=2A", "ACT_EST_MAPPING=PRECISE", "FS=MRC", "CURRENCY=USD", "XLFILL=b")</f>
        <v>24380.014499999997</v>
      </c>
      <c r="H106" s="9">
        <f>_xll.BQL("ALK US Equity", "AVG_NUM_EMPLOYEES", "FPT=A", "FPO=1A", "ACT_EST_MAPPING=PRECISE", "FS=MRC", "CURRENCY=USD", "XLFILL=b")</f>
        <v>23546.237499999999</v>
      </c>
      <c r="I106" s="9">
        <f>_xll.BQL("ALK US Equity", "AVG_NUM_EMPLOYEES", "FPT=A", "FPO=0A", "ACT_EST_MAPPING=PRECISE", "FS=MRC", "CURRENCY=USD", "XLFILL=b")</f>
        <v>23319</v>
      </c>
      <c r="J106" s="9">
        <f>_xll.BQL("ALK US Equity", "AVG_NUM_EMPLOYEES", "FPT=A", "FPO=-1A", "ACT_EST_MAPPING=PRECISE", "FS=MRC", "CURRENCY=USD", "XLFILL=b")</f>
        <v>22564</v>
      </c>
      <c r="K106" s="9">
        <f>_xll.BQL("ALK US Equity", "AVG_NUM_EMPLOYEES", "FPT=A", "FPO=-2A", "ACT_EST_MAPPING=PRECISE", "FS=MRC", "CURRENCY=USD", "XLFILL=b")</f>
        <v>19375</v>
      </c>
      <c r="L106" s="9">
        <f>_xll.BQL("ALK US Equity", "AVG_NUM_EMPLOYEES", "FPT=A", "FPO=-3A", "ACT_EST_MAPPING=PRECISE", "FS=MRC", "CURRENCY=USD", "XLFILL=b")</f>
        <v>17596</v>
      </c>
      <c r="M106" s="9">
        <f>_xll.BQL("ALK US Equity", "AVG_NUM_EMPLOYEES", "FPT=A", "FPO=-4A", "ACT_EST_MAPPING=PRECISE", "FS=MRC", "CURRENCY=USD", "XLFILL=b")</f>
        <v>22126</v>
      </c>
      <c r="N106" s="9">
        <f>_xll.BQL("ALK US Equity", "AVG_NUM_EMPLOYEES", "FPT=A", "FPO=-5A", "ACT_EST_MAPPING=PRECISE", "FS=MRC", "CURRENCY=USD", "XLFILL=b")</f>
        <v>21641</v>
      </c>
    </row>
    <row r="107" spans="1:14" x14ac:dyDescent="0.2">
      <c r="A107" s="8" t="s">
        <v>12</v>
      </c>
      <c r="B107" s="4" t="s">
        <v>101</v>
      </c>
      <c r="C107" s="4"/>
      <c r="D107" s="4"/>
      <c r="E107" s="9" t="str">
        <f>_xll.BQL("ALK US Equity", "FA_GROWTH(AVG_NUM_EMPLOYEES, YOY)", "FPT=A", "FPO=4A", "ACT_EST_MAPPING=PRECISE", "FS=MRC", "CURRENCY=USD", "XLFILL=b")</f>
        <v/>
      </c>
      <c r="F107" s="9">
        <f>_xll.BQL("ALK US Equity", "FA_GROWTH(AVG_NUM_EMPLOYEES, YOY)", "FPT=A", "FPO=3A", "ACT_EST_MAPPING=PRECISE", "FS=MRC", "CURRENCY=USD", "XLFILL=b")</f>
        <v>2.0000000000000089</v>
      </c>
      <c r="G107" s="9">
        <f>_xll.BQL("ALK US Equity", "FA_GROWTH(AVG_NUM_EMPLOYEES, YOY)", "FPT=A", "FPO=2A", "ACT_EST_MAPPING=PRECISE", "FS=MRC", "CURRENCY=USD", "XLFILL=b")</f>
        <v>3.5410200886659631</v>
      </c>
      <c r="H107" s="9">
        <f>_xll.BQL("ALK US Equity", "FA_GROWTH(AVG_NUM_EMPLOYEES, YOY)", "FPT=A", "FPO=1A", "ACT_EST_MAPPING=PRECISE", "FS=MRC", "CURRENCY=USD", "XLFILL=b")</f>
        <v>0.97447360521462878</v>
      </c>
      <c r="I107" s="9">
        <f>_xll.BQL("ALK US Equity", "FA_GROWTH(AVG_NUM_EMPLOYEES, YOY)", "FPT=A", "FPO=0A", "ACT_EST_MAPPING=PRECISE", "FS=MRC", "CURRENCY=USD", "XLFILL=b")</f>
        <v>3.3460379365360753</v>
      </c>
      <c r="J107" s="9">
        <f>_xll.BQL("ALK US Equity", "FA_GROWTH(AVG_NUM_EMPLOYEES, YOY)", "FPT=A", "FPO=-1A", "ACT_EST_MAPPING=PRECISE", "FS=MRC", "CURRENCY=USD", "XLFILL=b")</f>
        <v>16.459354838709679</v>
      </c>
      <c r="K107" s="9">
        <f>_xll.BQL("ALK US Equity", "FA_GROWTH(AVG_NUM_EMPLOYEES, YOY)", "FPT=A", "FPO=-2A", "ACT_EST_MAPPING=PRECISE", "FS=MRC", "CURRENCY=USD", "XLFILL=b")</f>
        <v>10.110252330075017</v>
      </c>
      <c r="L107" s="9">
        <f>_xll.BQL("ALK US Equity", "FA_GROWTH(AVG_NUM_EMPLOYEES, YOY)", "FPT=A", "FPO=-3A", "ACT_EST_MAPPING=PRECISE", "FS=MRC", "CURRENCY=USD", "XLFILL=b")</f>
        <v>-20.473650908433516</v>
      </c>
      <c r="M107" s="9">
        <f>_xll.BQL("ALK US Equity", "FA_GROWTH(AVG_NUM_EMPLOYEES, YOY)", "FPT=A", "FPO=-4A", "ACT_EST_MAPPING=PRECISE", "FS=MRC", "CURRENCY=USD", "XLFILL=b")</f>
        <v>2.2411163994270136</v>
      </c>
      <c r="N107" s="9">
        <f>_xll.BQL("ALK US Equity", "FA_GROWTH(AVG_NUM_EMPLOYEES, YOY)", "FPT=A", "FPO=-5A", "ACT_EST_MAPPING=PRECISE", "FS=MRC", "CURRENCY=USD", "XLFILL=b")</f>
        <v>7.2239013030768469</v>
      </c>
    </row>
    <row r="108" spans="1:14" x14ac:dyDescent="0.2">
      <c r="A108" s="8" t="s">
        <v>102</v>
      </c>
      <c r="B108" s="4" t="s">
        <v>103</v>
      </c>
      <c r="C108" s="4"/>
      <c r="D108" s="4"/>
      <c r="E108" s="9" t="str">
        <f>_xll.BQL("ALK US Equity", "FUEL_COST_EXCLUDING_HEDGE/1M", "FPT=A", "FPO=4A", "ACT_EST_MAPPING=PRECISE", "FS=MRC", "CURRENCY=USD", "XLFILL=b")</f>
        <v/>
      </c>
      <c r="F108" s="9">
        <f>_xll.BQL("ALK US Equity", "FUEL_COST_EXCLUDING_HEDGE/1M", "FPT=A", "FPO=3A", "ACT_EST_MAPPING=PRECISE", "FS=MRC", "CURRENCY=USD", "XLFILL=b")</f>
        <v>2421.4830049358629</v>
      </c>
      <c r="G108" s="9">
        <f>_xll.BQL("ALK US Equity", "FUEL_COST_EXCLUDING_HEDGE/1M", "FPT=A", "FPO=2A", "ACT_EST_MAPPING=PRECISE", "FS=MRC", "CURRENCY=USD", "XLFILL=b")</f>
        <v>2361.0807140198244</v>
      </c>
      <c r="H108" s="9">
        <f>_xll.BQL("ALK US Equity", "FUEL_COST_EXCLUDING_HEDGE/1M", "FPT=A", "FPO=1A", "ACT_EST_MAPPING=PRECISE", "FS=MRC", "CURRENCY=USD", "XLFILL=b")</f>
        <v>2401.3210708770443</v>
      </c>
      <c r="I108" s="9">
        <f>_xll.BQL("ALK US Equity", "FUEL_COST_EXCLUDING_HEDGE/1M", "FPT=A", "FPO=0A", "ACT_EST_MAPPING=PRECISE", "FS=MRC", "CURRENCY=USD", "XLFILL=b")</f>
        <v>2579</v>
      </c>
      <c r="J108" s="9">
        <f>_xll.BQL("ALK US Equity", "FUEL_COST_EXCLUDING_HEDGE/1M", "FPT=A", "FPO=-1A", "ACT_EST_MAPPING=PRECISE", "FS=MRC", "CURRENCY=USD", "XLFILL=b")</f>
        <v>2761</v>
      </c>
      <c r="K108" s="9">
        <f>_xll.BQL("ALK US Equity", "FUEL_COST_EXCLUDING_HEDGE/1M", "FPT=A", "FPO=-2A", "ACT_EST_MAPPING=PRECISE", "FS=MRC", "CURRENCY=USD", "XLFILL=b")</f>
        <v>1383</v>
      </c>
      <c r="L108" s="9">
        <f>_xll.BQL("ALK US Equity", "FUEL_COST_EXCLUDING_HEDGE/1M", "FPT=A", "FPO=-3A", "ACT_EST_MAPPING=PRECISE", "FS=MRC", "CURRENCY=USD", "XLFILL=b")</f>
        <v>713</v>
      </c>
      <c r="M108" s="9">
        <f>_xll.BQL("ALK US Equity", "FUEL_COST_EXCLUDING_HEDGE/1M", "FPT=A", "FPO=-4A", "ACT_EST_MAPPING=PRECISE", "FS=MRC", "CURRENCY=USD", "XLFILL=b")</f>
        <v>1868</v>
      </c>
      <c r="N108" s="9">
        <f>_xll.BQL("ALK US Equity", "FUEL_COST_EXCLUDING_HEDGE/1M", "FPT=A", "FPO=-5A", "ACT_EST_MAPPING=PRECISE", "FS=MRC", "CURRENCY=USD", "XLFILL=b")</f>
        <v>1938</v>
      </c>
    </row>
    <row r="109" spans="1:14" x14ac:dyDescent="0.2">
      <c r="A109" s="8" t="s">
        <v>12</v>
      </c>
      <c r="B109" s="4" t="s">
        <v>103</v>
      </c>
      <c r="C109" s="4"/>
      <c r="D109" s="4"/>
      <c r="E109" s="9" t="str">
        <f>_xll.BQL("ALK US Equity", "FA_GROWTH(FUEL_COST_EXCLUDING_HEDGE, YOY)", "FPT=A", "FPO=4A", "ACT_EST_MAPPING=PRECISE", "FS=MRC", "CURRENCY=USD", "XLFILL=b")</f>
        <v/>
      </c>
      <c r="F109" s="9">
        <f>_xll.BQL("ALK US Equity", "FA_GROWTH(FUEL_COST_EXCLUDING_HEDGE, YOY)", "FPT=A", "FPO=3A", "ACT_EST_MAPPING=PRECISE", "FS=MRC", "CURRENCY=USD", "XLFILL=b")</f>
        <v>2.5582476091298654</v>
      </c>
      <c r="G109" s="9">
        <f>_xll.BQL("ALK US Equity", "FA_GROWTH(FUEL_COST_EXCLUDING_HEDGE, YOY)", "FPT=A", "FPO=2A", "ACT_EST_MAPPING=PRECISE", "FS=MRC", "CURRENCY=USD", "XLFILL=b")</f>
        <v>-1.6757591204795679</v>
      </c>
      <c r="H109" s="9">
        <f>_xll.BQL("ALK US Equity", "FA_GROWTH(FUEL_COST_EXCLUDING_HEDGE, YOY)", "FPT=A", "FPO=1A", "ACT_EST_MAPPING=PRECISE", "FS=MRC", "CURRENCY=USD", "XLFILL=b")</f>
        <v>-6.8894505282262806</v>
      </c>
      <c r="I109" s="9">
        <f>_xll.BQL("ALK US Equity", "FA_GROWTH(FUEL_COST_EXCLUDING_HEDGE, YOY)", "FPT=A", "FPO=0A", "ACT_EST_MAPPING=PRECISE", "FS=MRC", "CURRENCY=USD", "XLFILL=b")</f>
        <v>-6.5918145599420503</v>
      </c>
      <c r="J109" s="9">
        <f>_xll.BQL("ALK US Equity", "FA_GROWTH(FUEL_COST_EXCLUDING_HEDGE, YOY)", "FPT=A", "FPO=-1A", "ACT_EST_MAPPING=PRECISE", "FS=MRC", "CURRENCY=USD", "XLFILL=b")</f>
        <v>99.638467100506148</v>
      </c>
      <c r="K109" s="9">
        <f>_xll.BQL("ALK US Equity", "FA_GROWTH(FUEL_COST_EXCLUDING_HEDGE, YOY)", "FPT=A", "FPO=-2A", "ACT_EST_MAPPING=PRECISE", "FS=MRC", "CURRENCY=USD", "XLFILL=b")</f>
        <v>93.969144460028048</v>
      </c>
      <c r="L109" s="9">
        <f>_xll.BQL("ALK US Equity", "FA_GROWTH(FUEL_COST_EXCLUDING_HEDGE, YOY)", "FPT=A", "FPO=-3A", "ACT_EST_MAPPING=PRECISE", "FS=MRC", "CURRENCY=USD", "XLFILL=b")</f>
        <v>-61.83083511777302</v>
      </c>
      <c r="M109" s="9">
        <f>_xll.BQL("ALK US Equity", "FA_GROWTH(FUEL_COST_EXCLUDING_HEDGE, YOY)", "FPT=A", "FPO=-4A", "ACT_EST_MAPPING=PRECISE", "FS=MRC", "CURRENCY=USD", "XLFILL=b")</f>
        <v>-3.611971104231166</v>
      </c>
      <c r="N109" s="9">
        <f>_xll.BQL("ALK US Equity", "FA_GROWTH(FUEL_COST_EXCLUDING_HEDGE, YOY)", "FPT=A", "FPO=-5A", "ACT_EST_MAPPING=PRECISE", "FS=MRC", "CURRENCY=USD", "XLFILL=b")</f>
        <v>34.864300626304804</v>
      </c>
    </row>
    <row r="110" spans="1:14" x14ac:dyDescent="0.2">
      <c r="A110" s="8" t="s">
        <v>16</v>
      </c>
      <c r="B110" s="4"/>
      <c r="C110" s="4"/>
      <c r="D110" s="4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x14ac:dyDescent="0.2">
      <c r="A111" s="8" t="s">
        <v>104</v>
      </c>
      <c r="B111" s="4"/>
      <c r="C111" s="4" t="s">
        <v>105</v>
      </c>
      <c r="D111" s="4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 x14ac:dyDescent="0.2">
      <c r="A112" s="8" t="s">
        <v>13</v>
      </c>
      <c r="B112" s="4" t="s">
        <v>14</v>
      </c>
      <c r="C112" s="4" t="s">
        <v>15</v>
      </c>
      <c r="D112" s="4"/>
      <c r="E112" s="9" t="str">
        <f>_xll.BQL("ALK US Equity", "IS_COMP_SALES/1M", "FPT=A", "FPO=4A", "ACT_EST_MAPPING=PRECISE", "FS=MRC", "CURRENCY=USD", "XLFILL=b")</f>
        <v/>
      </c>
      <c r="F112" s="9">
        <f>_xll.BQL("ALK US Equity", "IS_COMP_SALES/1M", "FPT=A", "FPO=3A", "ACT_EST_MAPPING=PRECISE", "FS=MRC", "CURRENCY=USD", "XLFILL=b")</f>
        <v>12884.625</v>
      </c>
      <c r="G112" s="9">
        <f>_xll.BQL("ALK US Equity", "IS_COMP_SALES/1M", "FPT=A", "FPO=2A", "ACT_EST_MAPPING=PRECISE", "FS=MRC", "CURRENCY=USD", "XLFILL=b")</f>
        <v>11690.916666666666</v>
      </c>
      <c r="H112" s="9">
        <f>_xll.BQL("ALK US Equity", "IS_COMP_SALES/1M", "FPT=A", "FPO=1A", "ACT_EST_MAPPING=PRECISE", "FS=MRC", "CURRENCY=USD", "XLFILL=b")</f>
        <v>10791.833333333334</v>
      </c>
      <c r="I112" s="9">
        <f>_xll.BQL("ALK US Equity", "IS_COMP_SALES/1M", "FPT=A", "FPO=0A", "ACT_EST_MAPPING=PRECISE", "FS=MRC", "CURRENCY=USD", "XLFILL=b")</f>
        <v>10426</v>
      </c>
      <c r="J112" s="9">
        <f>_xll.BQL("ALK US Equity", "IS_COMP_SALES/1M", "FPT=A", "FPO=-1A", "ACT_EST_MAPPING=PRECISE", "FS=MRC", "CURRENCY=USD", "XLFILL=b")</f>
        <v>9646</v>
      </c>
      <c r="K112" s="9">
        <f>_xll.BQL("ALK US Equity", "IS_COMP_SALES/1M", "FPT=A", "FPO=-2A", "ACT_EST_MAPPING=PRECISE", "FS=MRC", "CURRENCY=USD", "XLFILL=b")</f>
        <v>6176</v>
      </c>
      <c r="L112" s="9">
        <f>_xll.BQL("ALK US Equity", "IS_COMP_SALES/1M", "FPT=A", "FPO=-3A", "ACT_EST_MAPPING=PRECISE", "FS=MRC", "CURRENCY=USD", "XLFILL=b")</f>
        <v>3566</v>
      </c>
      <c r="M112" s="9">
        <f>_xll.BQL("ALK US Equity", "IS_COMP_SALES/1M", "FPT=A", "FPO=-4A", "ACT_EST_MAPPING=PRECISE", "FS=MRC", "CURRENCY=USD", "XLFILL=b")</f>
        <v>8781</v>
      </c>
      <c r="N112" s="9">
        <f>_xll.BQL("ALK US Equity", "IS_COMP_SALES/1M", "FPT=A", "FPO=-5A", "ACT_EST_MAPPING=PRECISE", "FS=MRC", "CURRENCY=USD", "XLFILL=b")</f>
        <v>8264</v>
      </c>
    </row>
    <row r="113" spans="1:14" x14ac:dyDescent="0.2">
      <c r="A113" s="8" t="s">
        <v>12</v>
      </c>
      <c r="B113" s="4" t="s">
        <v>14</v>
      </c>
      <c r="C113" s="4" t="s">
        <v>15</v>
      </c>
      <c r="D113" s="4"/>
      <c r="E113" s="9" t="str">
        <f>_xll.BQL("ALK US Equity", "FA_GROWTH(IS_COMP_SALES, YOY)", "FPT=A", "FPO=4A", "ACT_EST_MAPPING=PRECISE", "FS=MRC", "CURRENCY=USD", "XLFILL=b")</f>
        <v/>
      </c>
      <c r="F113" s="9">
        <f>_xll.BQL("ALK US Equity", "FA_GROWTH(IS_COMP_SALES, YOY)", "FPT=A", "FPO=3A", "ACT_EST_MAPPING=PRECISE", "FS=MRC", "CURRENCY=USD", "XLFILL=b")</f>
        <v>10.210562331154536</v>
      </c>
      <c r="G113" s="9">
        <f>_xll.BQL("ALK US Equity", "FA_GROWTH(IS_COMP_SALES, YOY)", "FPT=A", "FPO=2A", "ACT_EST_MAPPING=PRECISE", "FS=MRC", "CURRENCY=USD", "XLFILL=b")</f>
        <v>8.3311454649348917</v>
      </c>
      <c r="H113" s="9">
        <f>_xll.BQL("ALK US Equity", "FA_GROWTH(IS_COMP_SALES, YOY)", "FPT=A", "FPO=1A", "ACT_EST_MAPPING=PRECISE", "FS=MRC", "CURRENCY=USD", "XLFILL=b")</f>
        <v>3.5088560649657969</v>
      </c>
      <c r="I113" s="9">
        <f>_xll.BQL("ALK US Equity", "FA_GROWTH(IS_COMP_SALES, YOY)", "FPT=A", "FPO=0A", "ACT_EST_MAPPING=PRECISE", "FS=MRC", "CURRENCY=USD", "XLFILL=b")</f>
        <v>8.0862533692722369</v>
      </c>
      <c r="J113" s="9">
        <f>_xll.BQL("ALK US Equity", "FA_GROWTH(IS_COMP_SALES, YOY)", "FPT=A", "FPO=-1A", "ACT_EST_MAPPING=PRECISE", "FS=MRC", "CURRENCY=USD", "XLFILL=b")</f>
        <v>56.185233160621763</v>
      </c>
      <c r="K113" s="9">
        <f>_xll.BQL("ALK US Equity", "FA_GROWTH(IS_COMP_SALES, YOY)", "FPT=A", "FPO=-2A", "ACT_EST_MAPPING=PRECISE", "FS=MRC", "CURRENCY=USD", "XLFILL=b")</f>
        <v>73.191250701065613</v>
      </c>
      <c r="L113" s="9">
        <f>_xll.BQL("ALK US Equity", "FA_GROWTH(IS_COMP_SALES, YOY)", "FPT=A", "FPO=-3A", "ACT_EST_MAPPING=PRECISE", "FS=MRC", "CURRENCY=USD", "XLFILL=b")</f>
        <v>-59.38959116273773</v>
      </c>
      <c r="M113" s="9">
        <f>_xll.BQL("ALK US Equity", "FA_GROWTH(IS_COMP_SALES, YOY)", "FPT=A", "FPO=-4A", "ACT_EST_MAPPING=PRECISE", "FS=MRC", "CURRENCY=USD", "XLFILL=b")</f>
        <v>6.2560503388189739</v>
      </c>
      <c r="N113" s="9">
        <f>_xll.BQL("ALK US Equity", "FA_GROWTH(IS_COMP_SALES, YOY)", "FPT=A", "FPO=-5A", "ACT_EST_MAPPING=PRECISE", "FS=MRC", "CURRENCY=USD", "XLFILL=b")</f>
        <v>4.1724442203453931</v>
      </c>
    </row>
    <row r="114" spans="1:14" x14ac:dyDescent="0.2">
      <c r="A114" s="8" t="s">
        <v>106</v>
      </c>
      <c r="B114" s="4" t="s">
        <v>26</v>
      </c>
      <c r="C114" s="4"/>
      <c r="D114" s="4"/>
      <c r="E114" s="9" t="str">
        <f>_xll.BQL("ALK US Equity", "TOTAL_PASSENGER_REVENUE/1M", "FPT=A", "FPO=4A", "ACT_EST_MAPPING=PRECISE", "FS=MRC", "CURRENCY=USD", "XLFILL=b")</f>
        <v/>
      </c>
      <c r="F114" s="9">
        <f>_xll.BQL("ALK US Equity", "TOTAL_PASSENGER_REVENUE/1M", "FPT=A", "FPO=3A", "ACT_EST_MAPPING=PRECISE", "FS=MRC", "CURRENCY=USD", "XLFILL=b")</f>
        <v>12479.558567453614</v>
      </c>
      <c r="G114" s="9">
        <f>_xll.BQL("ALK US Equity", "TOTAL_PASSENGER_REVENUE/1M", "FPT=A", "FPO=2A", "ACT_EST_MAPPING=PRECISE", "FS=MRC", "CURRENCY=USD", "XLFILL=b")</f>
        <v>11104.678879688718</v>
      </c>
      <c r="H114" s="9">
        <f>_xll.BQL("ALK US Equity", "TOTAL_PASSENGER_REVENUE/1M", "FPT=A", "FPO=1A", "ACT_EST_MAPPING=PRECISE", "FS=MRC", "CURRENCY=USD", "XLFILL=b")</f>
        <v>9870.2622259431864</v>
      </c>
      <c r="I114" s="9">
        <f>_xll.BQL("ALK US Equity", "TOTAL_PASSENGER_REVENUE/1M", "FPT=A", "FPO=0A", "ACT_EST_MAPPING=PRECISE", "FS=MRC", "CURRENCY=USD", "XLFILL=b")</f>
        <v>9526</v>
      </c>
      <c r="J114" s="9">
        <f>_xll.BQL("ALK US Equity", "TOTAL_PASSENGER_REVENUE/1M", "FPT=A", "FPO=-1A", "ACT_EST_MAPPING=PRECISE", "FS=MRC", "CURRENCY=USD", "XLFILL=b")</f>
        <v>8808</v>
      </c>
      <c r="K114" s="9">
        <f>_xll.BQL("ALK US Equity", "TOTAL_PASSENGER_REVENUE/1M", "FPT=A", "FPO=-2A", "ACT_EST_MAPPING=PRECISE", "FS=MRC", "CURRENCY=USD", "XLFILL=b")</f>
        <v>5499</v>
      </c>
      <c r="L114" s="9">
        <f>_xll.BQL("ALK US Equity", "TOTAL_PASSENGER_REVENUE/1M", "FPT=A", "FPO=-3A", "ACT_EST_MAPPING=PRECISE", "FS=MRC", "CURRENCY=USD", "XLFILL=b")</f>
        <v>3019</v>
      </c>
      <c r="M114" s="9">
        <f>_xll.BQL("ALK US Equity", "TOTAL_PASSENGER_REVENUE/1M", "FPT=A", "FPO=-4A", "ACT_EST_MAPPING=PRECISE", "FS=MRC", "CURRENCY=USD", "XLFILL=b")</f>
        <v>8095</v>
      </c>
      <c r="N114" s="9">
        <f>_xll.BQL("ALK US Equity", "TOTAL_PASSENGER_REVENUE/1M", "FPT=A", "FPO=-5A", "ACT_EST_MAPPING=PRECISE", "FS=MRC", "CURRENCY=USD", "XLFILL=b")</f>
        <v>7631</v>
      </c>
    </row>
    <row r="115" spans="1:14" x14ac:dyDescent="0.2">
      <c r="A115" s="8" t="s">
        <v>64</v>
      </c>
      <c r="B115" s="4" t="s">
        <v>26</v>
      </c>
      <c r="C115" s="4"/>
      <c r="D115" s="4"/>
      <c r="E115" s="9" t="str">
        <f>_xll.BQL("ALK US Equity", "FA_GROWTH(TOTAL_PASSENGER_REVENUE, YOY)", "FPT=A", "FPO=4A", "ACT_EST_MAPPING=PRECISE", "FS=MRC", "CURRENCY=USD", "XLFILL=b")</f>
        <v/>
      </c>
      <c r="F115" s="9">
        <f>_xll.BQL("ALK US Equity", "FA_GROWTH(TOTAL_PASSENGER_REVENUE, YOY)", "FPT=A", "FPO=3A", "ACT_EST_MAPPING=PRECISE", "FS=MRC", "CURRENCY=USD", "XLFILL=b")</f>
        <v>12.381084610016535</v>
      </c>
      <c r="G115" s="9">
        <f>_xll.BQL("ALK US Equity", "FA_GROWTH(TOTAL_PASSENGER_REVENUE, YOY)", "FPT=A", "FPO=2A", "ACT_EST_MAPPING=PRECISE", "FS=MRC", "CURRENCY=USD", "XLFILL=b")</f>
        <v>12.506422073579429</v>
      </c>
      <c r="H115" s="9">
        <f>_xll.BQL("ALK US Equity", "FA_GROWTH(TOTAL_PASSENGER_REVENUE, YOY)", "FPT=A", "FPO=1A", "ACT_EST_MAPPING=PRECISE", "FS=MRC", "CURRENCY=USD", "XLFILL=b")</f>
        <v>3.613922170304281</v>
      </c>
      <c r="I115" s="9">
        <f>_xll.BQL("ALK US Equity", "FA_GROWTH(TOTAL_PASSENGER_REVENUE, YOY)", "FPT=A", "FPO=0A", "ACT_EST_MAPPING=PRECISE", "FS=MRC", "CURRENCY=USD", "XLFILL=b")</f>
        <v>8.1516802906448689</v>
      </c>
      <c r="J115" s="9">
        <f>_xll.BQL("ALK US Equity", "FA_GROWTH(TOTAL_PASSENGER_REVENUE, YOY)", "FPT=A", "FPO=-1A", "ACT_EST_MAPPING=PRECISE", "FS=MRC", "CURRENCY=USD", "XLFILL=b")</f>
        <v>60.174577195853793</v>
      </c>
      <c r="K115" s="9">
        <f>_xll.BQL("ALK US Equity", "FA_GROWTH(TOTAL_PASSENGER_REVENUE, YOY)", "FPT=A", "FPO=-2A", "ACT_EST_MAPPING=PRECISE", "FS=MRC", "CURRENCY=USD", "XLFILL=b")</f>
        <v>82.146406094733351</v>
      </c>
      <c r="L115" s="9">
        <f>_xll.BQL("ALK US Equity", "FA_GROWTH(TOTAL_PASSENGER_REVENUE, YOY)", "FPT=A", "FPO=-3A", "ACT_EST_MAPPING=PRECISE", "FS=MRC", "CURRENCY=USD", "XLFILL=b")</f>
        <v>-62.705373687461396</v>
      </c>
      <c r="M115" s="9">
        <f>_xll.BQL("ALK US Equity", "FA_GROWTH(TOTAL_PASSENGER_REVENUE, YOY)", "FPT=A", "FPO=-4A", "ACT_EST_MAPPING=PRECISE", "FS=MRC", "CURRENCY=USD", "XLFILL=b")</f>
        <v>6.0804612763726906</v>
      </c>
      <c r="N115" s="9">
        <f>_xll.BQL("ALK US Equity", "FA_GROWTH(TOTAL_PASSENGER_REVENUE, YOY)", "FPT=A", "FPO=-5A", "ACT_EST_MAPPING=PRECISE", "FS=MRC", "CURRENCY=USD", "XLFILL=b")</f>
        <v>4.5199287768798797</v>
      </c>
    </row>
    <row r="116" spans="1:14" x14ac:dyDescent="0.2">
      <c r="A116" s="8" t="s">
        <v>107</v>
      </c>
      <c r="B116" s="4" t="s">
        <v>108</v>
      </c>
      <c r="C116" s="4" t="s">
        <v>109</v>
      </c>
      <c r="D116" s="4" t="s">
        <v>110</v>
      </c>
      <c r="E116" s="9" t="str">
        <f>_xll.BQL("SEG0000331418 Segment", "SALES_REV_TURN/1M", "FPT=A", "FPO=4A", "ACT_EST_MAPPING=PRECISE", "FS=MRC", "CURRENCY=USD", "XLFILL=b")</f>
        <v/>
      </c>
      <c r="F116" s="9">
        <f>_xll.BQL("SEG0000331418 Segment", "SALES_REV_TURN/1M", "FPT=A", "FPO=3A", "ACT_EST_MAPPING=PRECISE", "FS=MRC", "CURRENCY=USD", "XLFILL=b")</f>
        <v>12384.13692306964</v>
      </c>
      <c r="G116" s="9">
        <f>_xll.BQL("SEG0000331418 Segment", "SALES_REV_TURN/1M", "FPT=A", "FPO=2A", "ACT_EST_MAPPING=PRECISE", "FS=MRC", "CURRENCY=USD", "XLFILL=b")</f>
        <v>12060.578489061147</v>
      </c>
      <c r="H116" s="9">
        <f>_xll.BQL("SEG0000331418 Segment", "SALES_REV_TURN/1M", "FPT=A", "FPO=1A", "ACT_EST_MAPPING=PRECISE", "FS=MRC", "CURRENCY=USD", "XLFILL=b")</f>
        <v>8847.092787003412</v>
      </c>
      <c r="I116" s="9">
        <f>_xll.BQL("SEG0000331418 Segment", "SALES_REV_TURN/1M", "FPT=A", "FPO=0A", "ACT_EST_MAPPING=PRECISE", "FS=MRC", "CURRENCY=USD", "XLFILL=b")</f>
        <v>8097</v>
      </c>
      <c r="J116" s="9">
        <f>_xll.BQL("SEG0000331418 Segment", "SALES_REV_TURN/1M", "FPT=A", "FPO=-1A", "ACT_EST_MAPPING=PRECISE", "FS=MRC", "CURRENCY=USD", "XLFILL=b")</f>
        <v>7454</v>
      </c>
      <c r="K116" s="9">
        <f>_xll.BQL("SEG0000331418 Segment", "SALES_REV_TURN/1M", "FPT=A", "FPO=-2A", "ACT_EST_MAPPING=PRECISE", "FS=MRC", "CURRENCY=USD", "XLFILL=b")</f>
        <v>4411</v>
      </c>
      <c r="L116" s="9">
        <f>_xll.BQL("SEG0000331418 Segment", "SALES_REV_TURN/1M", "FPT=A", "FPO=-3A", "ACT_EST_MAPPING=PRECISE", "FS=MRC", "CURRENCY=USD", "XLFILL=b")</f>
        <v>2350</v>
      </c>
      <c r="M116" s="9">
        <f>_xll.BQL("SEG0000331418 Segment", "SALES_REV_TURN/1M", "FPT=A", "FPO=-4A", "ACT_EST_MAPPING=PRECISE", "FS=MRC", "CURRENCY=USD", "XLFILL=b")</f>
        <v>6750</v>
      </c>
      <c r="N116" s="9">
        <f>_xll.BQL("SEG0000331418 Segment", "SALES_REV_TURN/1M", "FPT=A", "FPO=-5A", "ACT_EST_MAPPING=PRECISE", "FS=MRC", "CURRENCY=USD", "XLFILL=b")</f>
        <v>6474</v>
      </c>
    </row>
    <row r="117" spans="1:14" x14ac:dyDescent="0.2">
      <c r="A117" s="8" t="s">
        <v>67</v>
      </c>
      <c r="B117" s="4" t="s">
        <v>108</v>
      </c>
      <c r="C117" s="4" t="s">
        <v>109</v>
      </c>
      <c r="D117" s="4" t="s">
        <v>110</v>
      </c>
      <c r="E117" s="9" t="str">
        <f>_xll.BQL("SEG0000331418 Segment", "FA_GROWTH(SALES_REV_TURN, YOY)", "FPT=A", "FPO=4A", "ACT_EST_MAPPING=PRECISE", "FS=MRC", "CURRENCY=USD", "XLFILL=b")</f>
        <v/>
      </c>
      <c r="F117" s="9">
        <f>_xll.BQL("SEG0000331418 Segment", "FA_GROWTH(SALES_REV_TURN, YOY)", "FPT=A", "FPO=3A", "ACT_EST_MAPPING=PRECISE", "FS=MRC", "CURRENCY=USD", "XLFILL=b")</f>
        <v>2.6827770682970016</v>
      </c>
      <c r="G117" s="9">
        <f>_xll.BQL("SEG0000331418 Segment", "FA_GROWTH(SALES_REV_TURN, YOY)", "FPT=A", "FPO=2A", "ACT_EST_MAPPING=PRECISE", "FS=MRC", "CURRENCY=USD", "XLFILL=b")</f>
        <v>36.322504798168502</v>
      </c>
      <c r="H117" s="9">
        <f>_xll.BQL("SEG0000331418 Segment", "FA_GROWTH(SALES_REV_TURN, YOY)", "FPT=A", "FPO=1A", "ACT_EST_MAPPING=PRECISE", "FS=MRC", "CURRENCY=USD", "XLFILL=b")</f>
        <v>9.2638358281266164</v>
      </c>
      <c r="I117" s="9">
        <f>_xll.BQL("SEG0000331418 Segment", "FA_GROWTH(SALES_REV_TURN, YOY)", "FPT=A", "FPO=0A", "ACT_EST_MAPPING=PRECISE", "FS=MRC", "CURRENCY=USD", "XLFILL=b")</f>
        <v>8.6262409444593509</v>
      </c>
      <c r="J117" s="9">
        <f>_xll.BQL("SEG0000331418 Segment", "FA_GROWTH(SALES_REV_TURN, YOY)", "FPT=A", "FPO=-1A", "ACT_EST_MAPPING=PRECISE", "FS=MRC", "CURRENCY=USD", "XLFILL=b")</f>
        <v>68.98662434822036</v>
      </c>
      <c r="K117" s="9">
        <f>_xll.BQL("SEG0000331418 Segment", "FA_GROWTH(SALES_REV_TURN, YOY)", "FPT=A", "FPO=-2A", "ACT_EST_MAPPING=PRECISE", "FS=MRC", "CURRENCY=USD", "XLFILL=b")</f>
        <v>87.702127659574472</v>
      </c>
      <c r="L117" s="9">
        <f>_xll.BQL("SEG0000331418 Segment", "FA_GROWTH(SALES_REV_TURN, YOY)", "FPT=A", "FPO=-3A", "ACT_EST_MAPPING=PRECISE", "FS=MRC", "CURRENCY=USD", "XLFILL=b")</f>
        <v>-65.18518518518519</v>
      </c>
      <c r="M117" s="9">
        <f>_xll.BQL("SEG0000331418 Segment", "FA_GROWTH(SALES_REV_TURN, YOY)", "FPT=A", "FPO=-4A", "ACT_EST_MAPPING=PRECISE", "FS=MRC", "CURRENCY=USD", "XLFILL=b")</f>
        <v>4.2632066728452269</v>
      </c>
      <c r="N117" s="9">
        <f>_xll.BQL("SEG0000331418 Segment", "FA_GROWTH(SALES_REV_TURN, YOY)", "FPT=A", "FPO=-5A", "ACT_EST_MAPPING=PRECISE", "FS=MRC", "CURRENCY=USD", "XLFILL=b")</f>
        <v>3.1220133800573433</v>
      </c>
    </row>
    <row r="118" spans="1:14" x14ac:dyDescent="0.2">
      <c r="A118" s="8" t="s">
        <v>111</v>
      </c>
      <c r="B118" s="4" t="s">
        <v>112</v>
      </c>
      <c r="C118" s="4" t="s">
        <v>113</v>
      </c>
      <c r="D118" s="4" t="s">
        <v>114</v>
      </c>
      <c r="E118" s="9" t="str">
        <f>_xll.BQL("SEG0000329608 Segment", "IS_REV_INCLUDING_INTERSEG_REV/1M", "FPT=A", "FPO=4A", "ACT_EST_MAPPING=PRECISE", "FS=MRC", "CURRENCY=USD", "XLFILL=b")</f>
        <v/>
      </c>
      <c r="F118" s="9">
        <f>_xll.BQL("SEG0000329608 Segment", "IS_REV_INCLUDING_INTERSEG_REV/1M", "FPT=A", "FPO=3A", "ACT_EST_MAPPING=PRECISE", "FS=MRC", "CURRENCY=USD", "XLFILL=b")</f>
        <v>1724.8640741520835</v>
      </c>
      <c r="G118" s="9">
        <f>_xll.BQL("SEG0000329608 Segment", "IS_REV_INCLUDING_INTERSEG_REV/1M", "FPT=A", "FPO=2A", "ACT_EST_MAPPING=PRECISE", "FS=MRC", "CURRENCY=USD", "XLFILL=b")</f>
        <v>1625.8498201075347</v>
      </c>
      <c r="H118" s="9">
        <f>_xll.BQL("SEG0000329608 Segment", "IS_REV_INCLUDING_INTERSEG_REV/1M", "FPT=A", "FPO=1A", "ACT_EST_MAPPING=PRECISE", "FS=MRC", "CURRENCY=USD", "XLFILL=b")</f>
        <v>1600.5607467308637</v>
      </c>
      <c r="I118" s="9">
        <f>_xll.BQL("SEG0000329608 Segment", "IS_REV_INCLUDING_INTERSEG_REV/1M", "FPT=A", "FPO=0A", "ACT_EST_MAPPING=PRECISE", "FS=MRC", "CURRENCY=USD", "XLFILL=b")</f>
        <v>1429</v>
      </c>
      <c r="J118" s="9">
        <f>_xll.BQL("SEG0000329608 Segment", "IS_REV_INCLUDING_INTERSEG_REV/1M", "FPT=A", "FPO=-1A", "ACT_EST_MAPPING=PRECISE", "FS=MRC", "CURRENCY=USD", "XLFILL=b")</f>
        <v>1354</v>
      </c>
      <c r="K118" s="9">
        <f>_xll.BQL("SEG0000329608 Segment", "IS_REV_INCLUDING_INTERSEG_REV/1M", "FPT=A", "FPO=-2A", "ACT_EST_MAPPING=PRECISE", "FS=MRC", "CURRENCY=USD", "XLFILL=b")</f>
        <v>1088</v>
      </c>
      <c r="L118" s="9">
        <f>_xll.BQL("SEG0000329608 Segment", "IS_REV_INCLUDING_INTERSEG_REV/1M", "FPT=A", "FPO=-3A", "ACT_EST_MAPPING=PRECISE", "FS=MRC", "CURRENCY=USD", "XLFILL=b")</f>
        <v>669</v>
      </c>
      <c r="M118" s="9">
        <f>_xll.BQL("SEG0000329608 Segment", "IS_REV_INCLUDING_INTERSEG_REV/1M", "FPT=A", "FPO=-4A", "ACT_EST_MAPPING=PRECISE", "FS=MRC", "CURRENCY=USD", "XLFILL=b")</f>
        <v>1345</v>
      </c>
      <c r="N118" s="9" t="str">
        <f>_xll.BQL("SEG0000329608 Segment", "IS_REV_INCLUDING_INTERSEG_REV/1M", "FPT=A", "FPO=-5A", "ACT_EST_MAPPING=PRECISE", "FS=MRC", "CURRENCY=USD", "XLFILL=b")</f>
        <v/>
      </c>
    </row>
    <row r="119" spans="1:14" x14ac:dyDescent="0.2">
      <c r="A119" s="8" t="s">
        <v>67</v>
      </c>
      <c r="B119" s="4" t="s">
        <v>112</v>
      </c>
      <c r="C119" s="4" t="s">
        <v>113</v>
      </c>
      <c r="D119" s="4" t="s">
        <v>114</v>
      </c>
      <c r="E119" s="9" t="str">
        <f>_xll.BQL("SEG0000329608 Segment", "FA_GROWTH(IS_REV_INCLUDING_INTERSEG_REV, YOY)", "FPT=A", "FPO=4A", "ACT_EST_MAPPING=PRECISE", "FS=MRC", "CURRENCY=USD", "XLFILL=b")</f>
        <v/>
      </c>
      <c r="F119" s="9">
        <f>_xll.BQL("SEG0000329608 Segment", "FA_GROWTH(IS_REV_INCLUDING_INTERSEG_REV, YOY)", "FPT=A", "FPO=3A", "ACT_EST_MAPPING=PRECISE", "FS=MRC", "CURRENCY=USD", "XLFILL=b")</f>
        <v>6.0899999999999936</v>
      </c>
      <c r="G119" s="9">
        <f>_xll.BQL("SEG0000329608 Segment", "FA_GROWTH(IS_REV_INCLUDING_INTERSEG_REV, YOY)", "FPT=A", "FPO=2A", "ACT_EST_MAPPING=PRECISE", "FS=MRC", "CURRENCY=USD", "XLFILL=b")</f>
        <v>1.5800133439685977</v>
      </c>
      <c r="H119" s="9">
        <f>_xll.BQL("SEG0000329608 Segment", "FA_GROWTH(IS_REV_INCLUDING_INTERSEG_REV, YOY)", "FPT=A", "FPO=1A", "ACT_EST_MAPPING=PRECISE", "FS=MRC", "CURRENCY=USD", "XLFILL=b")</f>
        <v>12.005650575987653</v>
      </c>
      <c r="I119" s="9">
        <f>_xll.BQL("SEG0000329608 Segment", "FA_GROWTH(IS_REV_INCLUDING_INTERSEG_REV, YOY)", "FPT=A", "FPO=0A", "ACT_EST_MAPPING=PRECISE", "FS=MRC", "CURRENCY=USD", "XLFILL=b")</f>
        <v>5.539143279172821</v>
      </c>
      <c r="J119" s="9">
        <f>_xll.BQL("SEG0000329608 Segment", "FA_GROWTH(IS_REV_INCLUDING_INTERSEG_REV, YOY)", "FPT=A", "FPO=-1A", "ACT_EST_MAPPING=PRECISE", "FS=MRC", "CURRENCY=USD", "XLFILL=b")</f>
        <v>24.448529411764707</v>
      </c>
      <c r="K119" s="9">
        <f>_xll.BQL("SEG0000329608 Segment", "FA_GROWTH(IS_REV_INCLUDING_INTERSEG_REV, YOY)", "FPT=A", "FPO=-2A", "ACT_EST_MAPPING=PRECISE", "FS=MRC", "CURRENCY=USD", "XLFILL=b")</f>
        <v>62.630792227204786</v>
      </c>
      <c r="L119" s="9">
        <f>_xll.BQL("SEG0000329608 Segment", "FA_GROWTH(IS_REV_INCLUDING_INTERSEG_REV, YOY)", "FPT=A", "FPO=-3A", "ACT_EST_MAPPING=PRECISE", "FS=MRC", "CURRENCY=USD", "XLFILL=b")</f>
        <v>-50.260223048327134</v>
      </c>
      <c r="M119" s="9" t="str">
        <f>_xll.BQL("SEG0000329608 Segment", "FA_GROWTH(IS_REV_INCLUDING_INTERSEG_REV, YOY)", "FPT=A", "FPO=-4A", "ACT_EST_MAPPING=PRECISE", "FS=MRC", "CURRENCY=USD", "XLFILL=b")</f>
        <v/>
      </c>
      <c r="N119" s="9" t="str">
        <f>_xll.BQL("SEG0000329608 Segment", "FA_GROWTH(IS_REV_INCLUDING_INTERSEG_REV, YOY)", "FPT=A", "FPO=-5A", "ACT_EST_MAPPING=PRECISE", "FS=MRC", "CURRENCY=USD", "XLFILL=b")</f>
        <v/>
      </c>
    </row>
    <row r="120" spans="1:14" x14ac:dyDescent="0.2">
      <c r="A120" s="8" t="s">
        <v>115</v>
      </c>
      <c r="B120" s="4" t="s">
        <v>108</v>
      </c>
      <c r="C120" s="4" t="s">
        <v>116</v>
      </c>
      <c r="D120" s="4" t="s">
        <v>117</v>
      </c>
      <c r="E120" s="9" t="str">
        <f>_xll.BQL("SEG0000329647 Segment", "SALES_REV_TURN/1M", "FPT=A", "FPO=4A", "ACT_EST_MAPPING=PRECISE", "FS=MRC", "CURRENCY=USD", "XLFILL=b")</f>
        <v/>
      </c>
      <c r="F120" s="9">
        <f>_xll.BQL("SEG0000329647 Segment", "SALES_REV_TURN/1M", "FPT=A", "FPO=3A", "ACT_EST_MAPPING=PRECISE", "FS=MRC", "CURRENCY=USD", "XLFILL=b")</f>
        <v>831.57960727787656</v>
      </c>
      <c r="G120" s="9">
        <f>_xll.BQL("SEG0000329647 Segment", "SALES_REV_TURN/1M", "FPT=A", "FPO=2A", "ACT_EST_MAPPING=PRECISE", "FS=MRC", "CURRENCY=USD", "XLFILL=b")</f>
        <v>746.59738427793957</v>
      </c>
      <c r="H120" s="9">
        <f>_xll.BQL("SEG0000329647 Segment", "SALES_REV_TURN/1M", "FPT=A", "FPO=1A", "ACT_EST_MAPPING=PRECISE", "FS=MRC", "CURRENCY=USD", "XLFILL=b")</f>
        <v>679.46317731433464</v>
      </c>
      <c r="I120" s="9">
        <f>_xll.BQL("SEG0000329647 Segment", "SALES_REV_TURN/1M", "FPT=A", "FPO=0A", "ACT_EST_MAPPING=PRECISE", "FS=MRC", "CURRENCY=USD", "XLFILL=b")</f>
        <v>648</v>
      </c>
      <c r="J120" s="9">
        <f>_xll.BQL("SEG0000329647 Segment", "SALES_REV_TURN/1M", "FPT=A", "FPO=-1A", "ACT_EST_MAPPING=PRECISE", "FS=MRC", "CURRENCY=USD", "XLFILL=b")</f>
        <v>590</v>
      </c>
      <c r="K120" s="9">
        <f>_xll.BQL("SEG0000329647 Segment", "SALES_REV_TURN/1M", "FPT=A", "FPO=-2A", "ACT_EST_MAPPING=PRECISE", "FS=MRC", "CURRENCY=USD", "XLFILL=b")</f>
        <v>461</v>
      </c>
      <c r="L120" s="9">
        <f>_xll.BQL("SEG0000329647 Segment", "SALES_REV_TURN/1M", "FPT=A", "FPO=-3A", "ACT_EST_MAPPING=PRECISE", "FS=MRC", "CURRENCY=USD", "XLFILL=b")</f>
        <v>374</v>
      </c>
      <c r="M120" s="9">
        <f>_xll.BQL("SEG0000329647 Segment", "SALES_REV_TURN/1M", "FPT=A", "FPO=-4A", "ACT_EST_MAPPING=PRECISE", "FS=MRC", "CURRENCY=USD", "XLFILL=b")</f>
        <v>465</v>
      </c>
      <c r="N120" s="9">
        <f>_xll.BQL("SEG0000329647 Segment", "SALES_REV_TURN/1M", "FPT=A", "FPO=-5A", "ACT_EST_MAPPING=PRECISE", "FS=MRC", "CURRENCY=USD", "XLFILL=b")</f>
        <v>434</v>
      </c>
    </row>
    <row r="121" spans="1:14" x14ac:dyDescent="0.2">
      <c r="A121" s="8" t="s">
        <v>64</v>
      </c>
      <c r="B121" s="4" t="s">
        <v>108</v>
      </c>
      <c r="C121" s="4" t="s">
        <v>116</v>
      </c>
      <c r="D121" s="4" t="s">
        <v>117</v>
      </c>
      <c r="E121" s="9" t="str">
        <f>_xll.BQL("SEG0000329647 Segment", "FA_GROWTH(SALES_REV_TURN, YOY)", "FPT=A", "FPO=4A", "ACT_EST_MAPPING=PRECISE", "FS=MRC", "CURRENCY=USD", "XLFILL=b")</f>
        <v/>
      </c>
      <c r="F121" s="9">
        <f>_xll.BQL("SEG0000329647 Segment", "FA_GROWTH(SALES_REV_TURN, YOY)", "FPT=A", "FPO=3A", "ACT_EST_MAPPING=PRECISE", "FS=MRC", "CURRENCY=USD", "XLFILL=b")</f>
        <v>11.382603902654486</v>
      </c>
      <c r="G121" s="9">
        <f>_xll.BQL("SEG0000329647 Segment", "FA_GROWTH(SALES_REV_TURN, YOY)", "FPT=A", "FPO=2A", "ACT_EST_MAPPING=PRECISE", "FS=MRC", "CURRENCY=USD", "XLFILL=b")</f>
        <v>9.8804775895231725</v>
      </c>
      <c r="H121" s="9">
        <f>_xll.BQL("SEG0000329647 Segment", "FA_GROWTH(SALES_REV_TURN, YOY)", "FPT=A", "FPO=1A", "ACT_EST_MAPPING=PRECISE", "FS=MRC", "CURRENCY=USD", "XLFILL=b")</f>
        <v>4.8554285978911471</v>
      </c>
      <c r="I121" s="9">
        <f>_xll.BQL("SEG0000329647 Segment", "FA_GROWTH(SALES_REV_TURN, YOY)", "FPT=A", "FPO=0A", "ACT_EST_MAPPING=PRECISE", "FS=MRC", "CURRENCY=USD", "XLFILL=b")</f>
        <v>9.8305084745762716</v>
      </c>
      <c r="J121" s="9">
        <f>_xll.BQL("SEG0000329647 Segment", "FA_GROWTH(SALES_REV_TURN, YOY)", "FPT=A", "FPO=-1A", "ACT_EST_MAPPING=PRECISE", "FS=MRC", "CURRENCY=USD", "XLFILL=b")</f>
        <v>27.982646420824295</v>
      </c>
      <c r="K121" s="9">
        <f>_xll.BQL("SEG0000329647 Segment", "FA_GROWTH(SALES_REV_TURN, YOY)", "FPT=A", "FPO=-2A", "ACT_EST_MAPPING=PRECISE", "FS=MRC", "CURRENCY=USD", "XLFILL=b")</f>
        <v>23.262032085561497</v>
      </c>
      <c r="L121" s="9">
        <f>_xll.BQL("SEG0000329647 Segment", "FA_GROWTH(SALES_REV_TURN, YOY)", "FPT=A", "FPO=-3A", "ACT_EST_MAPPING=PRECISE", "FS=MRC", "CURRENCY=USD", "XLFILL=b")</f>
        <v>-19.56989247311828</v>
      </c>
      <c r="M121" s="9">
        <f>_xll.BQL("SEG0000329647 Segment", "FA_GROWTH(SALES_REV_TURN, YOY)", "FPT=A", "FPO=-4A", "ACT_EST_MAPPING=PRECISE", "FS=MRC", "CURRENCY=USD", "XLFILL=b")</f>
        <v>7.1428571428571432</v>
      </c>
      <c r="N121" s="9">
        <f>_xll.BQL("SEG0000329647 Segment", "FA_GROWTH(SALES_REV_TURN, YOY)", "FPT=A", "FPO=-5A", "ACT_EST_MAPPING=PRECISE", "FS=MRC", "CURRENCY=USD", "XLFILL=b")</f>
        <v>3.8277511961722488</v>
      </c>
    </row>
    <row r="122" spans="1:14" x14ac:dyDescent="0.2">
      <c r="A122" s="8" t="s">
        <v>118</v>
      </c>
      <c r="B122" s="4" t="s">
        <v>108</v>
      </c>
      <c r="C122" s="4" t="s">
        <v>119</v>
      </c>
      <c r="D122" s="4" t="s">
        <v>120</v>
      </c>
      <c r="E122" s="9" t="str">
        <f>_xll.BQL("SEG0000329641 Segment", "SALES_REV_TURN/1M", "FPT=A", "FPO=4A", "ACT_EST_MAPPING=PRECISE", "FS=MRC", "CURRENCY=USD", "XLFILL=b")</f>
        <v/>
      </c>
      <c r="F122" s="9">
        <f>_xll.BQL("SEG0000329641 Segment", "SALES_REV_TURN/1M", "FPT=A", "FPO=3A", "ACT_EST_MAPPING=PRECISE", "FS=MRC", "CURRENCY=USD", "XLFILL=b")</f>
        <v>562.78713131532822</v>
      </c>
      <c r="G122" s="9">
        <f>_xll.BQL("SEG0000329641 Segment", "SALES_REV_TURN/1M", "FPT=A", "FPO=2A", "ACT_EST_MAPPING=PRECISE", "FS=MRC", "CURRENCY=USD", "XLFILL=b")</f>
        <v>358.50128502903561</v>
      </c>
      <c r="H122" s="9">
        <f>_xll.BQL("SEG0000329641 Segment", "SALES_REV_TURN/1M", "FPT=A", "FPO=1A", "ACT_EST_MAPPING=PRECISE", "FS=MRC", "CURRENCY=USD", "XLFILL=b")</f>
        <v>275.70686900481377</v>
      </c>
      <c r="I122" s="9">
        <f>_xll.BQL("SEG0000329641 Segment", "SALES_REV_TURN/1M", "FPT=A", "FPO=0A", "ACT_EST_MAPPING=PRECISE", "FS=MRC", "CURRENCY=USD", "XLFILL=b")</f>
        <v>252</v>
      </c>
      <c r="J122" s="9">
        <f>_xll.BQL("SEG0000329641 Segment", "SALES_REV_TURN/1M", "FPT=A", "FPO=-1A", "ACT_EST_MAPPING=PRECISE", "FS=MRC", "CURRENCY=USD", "XLFILL=b")</f>
        <v>248</v>
      </c>
      <c r="K122" s="9">
        <f>_xll.BQL("SEG0000329641 Segment", "SALES_REV_TURN/1M", "FPT=A", "FPO=-2A", "ACT_EST_MAPPING=PRECISE", "FS=MRC", "CURRENCY=USD", "XLFILL=b")</f>
        <v>216</v>
      </c>
      <c r="L122" s="9">
        <f>_xll.BQL("SEG0000329641 Segment", "SALES_REV_TURN/1M", "FPT=A", "FPO=-3A", "ACT_EST_MAPPING=PRECISE", "FS=MRC", "CURRENCY=USD", "XLFILL=b")</f>
        <v>173</v>
      </c>
      <c r="M122" s="9">
        <f>_xll.BQL("SEG0000329641 Segment", "SALES_REV_TURN/1M", "FPT=A", "FPO=-4A", "ACT_EST_MAPPING=PRECISE", "FS=MRC", "CURRENCY=USD", "XLFILL=b")</f>
        <v>221</v>
      </c>
      <c r="N122" s="9">
        <f>_xll.BQL("SEG0000329641 Segment", "SALES_REV_TURN/1M", "FPT=A", "FPO=-5A", "ACT_EST_MAPPING=PRECISE", "FS=MRC", "CURRENCY=USD", "XLFILL=b")</f>
        <v>199</v>
      </c>
    </row>
    <row r="123" spans="1:14" x14ac:dyDescent="0.2">
      <c r="A123" s="8" t="s">
        <v>64</v>
      </c>
      <c r="B123" s="4" t="s">
        <v>108</v>
      </c>
      <c r="C123" s="4" t="s">
        <v>119</v>
      </c>
      <c r="D123" s="4" t="s">
        <v>120</v>
      </c>
      <c r="E123" s="9" t="str">
        <f>_xll.BQL("SEG0000329641 Segment", "FA_GROWTH(SALES_REV_TURN, YOY)", "FPT=A", "FPO=4A", "ACT_EST_MAPPING=PRECISE", "FS=MRC", "CURRENCY=USD", "XLFILL=b")</f>
        <v/>
      </c>
      <c r="F123" s="9">
        <f>_xll.BQL("SEG0000329641 Segment", "FA_GROWTH(SALES_REV_TURN, YOY)", "FPT=A", "FPO=3A", "ACT_EST_MAPPING=PRECISE", "FS=MRC", "CURRENCY=USD", "XLFILL=b")</f>
        <v>56.9832954070854</v>
      </c>
      <c r="G123" s="9">
        <f>_xll.BQL("SEG0000329641 Segment", "FA_GROWTH(SALES_REV_TURN, YOY)", "FPT=A", "FPO=2A", "ACT_EST_MAPPING=PRECISE", "FS=MRC", "CURRENCY=USD", "XLFILL=b")</f>
        <v>30.029870609707682</v>
      </c>
      <c r="H123" s="9">
        <f>_xll.BQL("SEG0000329641 Segment", "FA_GROWTH(SALES_REV_TURN, YOY)", "FPT=A", "FPO=1A", "ACT_EST_MAPPING=PRECISE", "FS=MRC", "CURRENCY=USD", "XLFILL=b")</f>
        <v>9.4074877003229318</v>
      </c>
      <c r="I123" s="9">
        <f>_xll.BQL("SEG0000329641 Segment", "FA_GROWTH(SALES_REV_TURN, YOY)", "FPT=A", "FPO=0A", "ACT_EST_MAPPING=PRECISE", "FS=MRC", "CURRENCY=USD", "XLFILL=b")</f>
        <v>1.6129032258064515</v>
      </c>
      <c r="J123" s="9">
        <f>_xll.BQL("SEG0000329641 Segment", "FA_GROWTH(SALES_REV_TURN, YOY)", "FPT=A", "FPO=-1A", "ACT_EST_MAPPING=PRECISE", "FS=MRC", "CURRENCY=USD", "XLFILL=b")</f>
        <v>14.814814814814815</v>
      </c>
      <c r="K123" s="9">
        <f>_xll.BQL("SEG0000329641 Segment", "FA_GROWTH(SALES_REV_TURN, YOY)", "FPT=A", "FPO=-2A", "ACT_EST_MAPPING=PRECISE", "FS=MRC", "CURRENCY=USD", "XLFILL=b")</f>
        <v>24.855491329479769</v>
      </c>
      <c r="L123" s="9">
        <f>_xll.BQL("SEG0000329641 Segment", "FA_GROWTH(SALES_REV_TURN, YOY)", "FPT=A", "FPO=-3A", "ACT_EST_MAPPING=PRECISE", "FS=MRC", "CURRENCY=USD", "XLFILL=b")</f>
        <v>-21.719457013574662</v>
      </c>
      <c r="M123" s="9">
        <f>_xll.BQL("SEG0000329641 Segment", "FA_GROWTH(SALES_REV_TURN, YOY)", "FPT=A", "FPO=-4A", "ACT_EST_MAPPING=PRECISE", "FS=MRC", "CURRENCY=USD", "XLFILL=b")</f>
        <v>11.055276381909549</v>
      </c>
      <c r="N123" s="9">
        <f>_xll.BQL("SEG0000329641 Segment", "FA_GROWTH(SALES_REV_TURN, YOY)", "FPT=A", "FPO=-5A", "ACT_EST_MAPPING=PRECISE", "FS=MRC", "CURRENCY=USD", "XLFILL=b")</f>
        <v>13.714285714285714</v>
      </c>
    </row>
    <row r="124" spans="1:14" x14ac:dyDescent="0.2">
      <c r="A124" s="8" t="s">
        <v>16</v>
      </c>
      <c r="B124" s="4"/>
      <c r="C124" s="4"/>
      <c r="D124" s="4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 x14ac:dyDescent="0.2">
      <c r="A125" s="8" t="s">
        <v>121</v>
      </c>
      <c r="B125" s="4"/>
      <c r="C125" s="4"/>
      <c r="D125" s="4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 x14ac:dyDescent="0.2">
      <c r="A126" s="8" t="s">
        <v>78</v>
      </c>
      <c r="B126" s="4" t="s">
        <v>122</v>
      </c>
      <c r="C126" s="4"/>
      <c r="D126" s="4" t="s">
        <v>79</v>
      </c>
      <c r="E126" s="9" t="str">
        <f>_xll.BQL("SEG0000331377 Segment", "TOTAL_REVENUE_PER_ASM", "FPT=A", "FPO=4A", "ACT_EST_MAPPING=PRECISE", "FS=MRC", "CURRENCY=USD", "XLFILL=b")</f>
        <v/>
      </c>
      <c r="F126" s="9">
        <f>_xll.BQL("SEG0000331377 Segment", "TOTAL_REVENUE_PER_ASM", "FPT=A", "FPO=3A", "ACT_EST_MAPPING=PRECISE", "FS=MRC", "CURRENCY=USD", "XLFILL=b")</f>
        <v>0.34718782319040936</v>
      </c>
      <c r="G126" s="9">
        <f>_xll.BQL("SEG0000331377 Segment", "TOTAL_REVENUE_PER_ASM", "FPT=A", "FPO=2A", "ACT_EST_MAPPING=PRECISE", "FS=MRC", "CURRENCY=USD", "XLFILL=b")</f>
        <v>0.3370755564955431</v>
      </c>
      <c r="H126" s="9">
        <f>_xll.BQL("SEG0000331377 Segment", "TOTAL_REVENUE_PER_ASM", "FPT=A", "FPO=1A", "ACT_EST_MAPPING=PRECISE", "FS=MRC", "CURRENCY=USD", "XLFILL=b")</f>
        <v>0.33046623185837559</v>
      </c>
      <c r="I126" s="9">
        <f>_xll.BQL("SEG0000331377 Segment", "TOTAL_REVENUE_PER_ASM", "FPT=A", "FPO=0A", "ACT_EST_MAPPING=PRECISE", "FS=MRC", "CURRENCY=USD", "XLFILL=b")</f>
        <v>0.28260000000000002</v>
      </c>
      <c r="J126" s="9">
        <f>_xll.BQL("SEG0000331377 Segment", "TOTAL_REVENUE_PER_ASM", "FPT=A", "FPO=-1A", "ACT_EST_MAPPING=PRECISE", "FS=MRC", "CURRENCY=USD", "XLFILL=b")</f>
        <v>0.25340000000000001</v>
      </c>
      <c r="K126" s="9">
        <f>_xll.BQL("SEG0000331377 Segment", "TOTAL_REVENUE_PER_ASM", "FPT=A", "FPO=-2A", "ACT_EST_MAPPING=PRECISE", "FS=MRC", "CURRENCY=USD", "XLFILL=b")</f>
        <v>0.17120000000000002</v>
      </c>
      <c r="L126" s="9">
        <f>_xll.BQL("SEG0000331377 Segment", "TOTAL_REVENUE_PER_ASM", "FPT=A", "FPO=-3A", "ACT_EST_MAPPING=PRECISE", "FS=MRC", "CURRENCY=USD", "XLFILL=b")</f>
        <v>0.12820000000000001</v>
      </c>
      <c r="M126" s="9" t="str">
        <f>_xll.BQL("SEG0000331377 Segment", "TOTAL_REVENUE_PER_ASM", "FPT=A", "FPO=-4A", "ACT_EST_MAPPING=PRECISE", "FS=MRC", "CURRENCY=USD", "XLFILL=b")</f>
        <v/>
      </c>
      <c r="N126" s="9" t="str">
        <f>_xll.BQL("SEG0000331377 Segment", "TOTAL_REVENUE_PER_ASM", "FPT=A", "FPO=-5A", "ACT_EST_MAPPING=PRECISE", "FS=MRC", "CURRENCY=USD", "XLFILL=b")</f>
        <v/>
      </c>
    </row>
    <row r="127" spans="1:14" x14ac:dyDescent="0.2">
      <c r="A127" s="8" t="s">
        <v>64</v>
      </c>
      <c r="B127" s="4" t="s">
        <v>122</v>
      </c>
      <c r="C127" s="4"/>
      <c r="D127" s="4" t="s">
        <v>79</v>
      </c>
      <c r="E127" s="9" t="str">
        <f>_xll.BQL("SEG0000331377 Segment", "FA_GROWTH(TOTAL_REVENUE_PER_ASM, YOY)", "FPT=A", "FPO=4A", "ACT_EST_MAPPING=PRECISE", "FS=MRC", "CURRENCY=USD", "XLFILL=b")</f>
        <v/>
      </c>
      <c r="F127" s="9">
        <f>_xll.BQL("SEG0000331377 Segment", "FA_GROWTH(TOTAL_REVENUE_PER_ASM, YOY)", "FPT=A", "FPO=3A", "ACT_EST_MAPPING=PRECISE", "FS=MRC", "CURRENCY=USD", "XLFILL=b")</f>
        <v>2.9999999999999893</v>
      </c>
      <c r="G127" s="9">
        <f>_xll.BQL("SEG0000331377 Segment", "FA_GROWTH(TOTAL_REVENUE_PER_ASM, YOY)", "FPT=A", "FPO=2A", "ACT_EST_MAPPING=PRECISE", "FS=MRC", "CURRENCY=USD", "XLFILL=b")</f>
        <v>2.0000000000000004</v>
      </c>
      <c r="H127" s="9">
        <f>_xll.BQL("SEG0000331377 Segment", "FA_GROWTH(TOTAL_REVENUE_PER_ASM, YOY)", "FPT=A", "FPO=1A", "ACT_EST_MAPPING=PRECISE", "FS=MRC", "CURRENCY=USD", "XLFILL=b")</f>
        <v>16.937803205369981</v>
      </c>
      <c r="I127" s="9">
        <f>_xll.BQL("SEG0000331377 Segment", "FA_GROWTH(TOTAL_REVENUE_PER_ASM, YOY)", "FPT=A", "FPO=0A", "ACT_EST_MAPPING=PRECISE", "FS=MRC", "CURRENCY=USD", "XLFILL=b")</f>
        <v>11.523283346487768</v>
      </c>
      <c r="J127" s="9">
        <f>_xll.BQL("SEG0000331377 Segment", "FA_GROWTH(TOTAL_REVENUE_PER_ASM, YOY)", "FPT=A", "FPO=-1A", "ACT_EST_MAPPING=PRECISE", "FS=MRC", "CURRENCY=USD", "XLFILL=b")</f>
        <v>48.014018691588774</v>
      </c>
      <c r="K127" s="9">
        <f>_xll.BQL("SEG0000331377 Segment", "FA_GROWTH(TOTAL_REVENUE_PER_ASM, YOY)", "FPT=A", "FPO=-2A", "ACT_EST_MAPPING=PRECISE", "FS=MRC", "CURRENCY=USD", "XLFILL=b")</f>
        <v>33.541341653666152</v>
      </c>
      <c r="L127" s="9" t="str">
        <f>_xll.BQL("SEG0000331377 Segment", "FA_GROWTH(TOTAL_REVENUE_PER_ASM, YOY)", "FPT=A", "FPO=-3A", "ACT_EST_MAPPING=PRECISE", "FS=MRC", "CURRENCY=USD", "XLFILL=b")</f>
        <v/>
      </c>
      <c r="M127" s="9" t="str">
        <f>_xll.BQL("SEG0000331377 Segment", "FA_GROWTH(TOTAL_REVENUE_PER_ASM, YOY)", "FPT=A", "FPO=-4A", "ACT_EST_MAPPING=PRECISE", "FS=MRC", "CURRENCY=USD", "XLFILL=b")</f>
        <v/>
      </c>
      <c r="N127" s="9" t="str">
        <f>_xll.BQL("SEG0000331377 Segment", "FA_GROWTH(TOTAL_REVENUE_PER_ASM, YOY)", "FPT=A", "FPO=-5A", "ACT_EST_MAPPING=PRECISE", "FS=MRC", "CURRENCY=USD", "XLFILL=b")</f>
        <v/>
      </c>
    </row>
    <row r="128" spans="1:14" x14ac:dyDescent="0.2">
      <c r="A128" s="8" t="s">
        <v>62</v>
      </c>
      <c r="B128" s="4" t="s">
        <v>122</v>
      </c>
      <c r="C128" s="4"/>
      <c r="D128" s="4" t="s">
        <v>63</v>
      </c>
      <c r="E128" s="9" t="str">
        <f>_xll.BQL("SEG0000329534 Segment", "TOTAL_REVENUE_PER_ASM", "FPT=A", "FPO=4A", "ACT_EST_MAPPING=PRECISE", "FS=MRC", "CURRENCY=USD", "XLFILL=b")</f>
        <v/>
      </c>
      <c r="F128" s="9">
        <f>_xll.BQL("SEG0000329534 Segment", "TOTAL_REVENUE_PER_ASM", "FPT=A", "FPO=3A", "ACT_EST_MAPPING=PRECISE", "FS=MRC", "CURRENCY=USD", "XLFILL=b")</f>
        <v>0.1575</v>
      </c>
      <c r="G128" s="9">
        <f>_xll.BQL("SEG0000329534 Segment", "TOTAL_REVENUE_PER_ASM", "FPT=A", "FPO=2A", "ACT_EST_MAPPING=PRECISE", "FS=MRC", "CURRENCY=USD", "XLFILL=b")</f>
        <v>0.1575</v>
      </c>
      <c r="H128" s="9">
        <f>_xll.BQL("SEG0000329534 Segment", "TOTAL_REVENUE_PER_ASM", "FPT=A", "FPO=1A", "ACT_EST_MAPPING=PRECISE", "FS=MRC", "CURRENCY=USD", "XLFILL=b")</f>
        <v>0.18021655029607034</v>
      </c>
      <c r="I128" s="9">
        <f>_xll.BQL("SEG0000329534 Segment", "TOTAL_REVENUE_PER_ASM", "FPT=A", "FPO=0A", "ACT_EST_MAPPING=PRECISE", "FS=MRC", "CURRENCY=USD", "XLFILL=b")</f>
        <v>0.14119999999999999</v>
      </c>
      <c r="J128" s="9">
        <f>_xll.BQL("SEG0000329534 Segment", "TOTAL_REVENUE_PER_ASM", "FPT=A", "FPO=-1A", "ACT_EST_MAPPING=PRECISE", "FS=MRC", "CURRENCY=USD", "XLFILL=b")</f>
        <v>0.14910000000000001</v>
      </c>
      <c r="K128" s="9">
        <f>_xll.BQL("SEG0000329534 Segment", "TOTAL_REVENUE_PER_ASM", "FPT=A", "FPO=-2A", "ACT_EST_MAPPING=PRECISE", "FS=MRC", "CURRENCY=USD", "XLFILL=b")</f>
        <v>0.1099</v>
      </c>
      <c r="L128" s="9">
        <f>_xll.BQL("SEG0000329534 Segment", "TOTAL_REVENUE_PER_ASM", "FPT=A", "FPO=-3A", "ACT_EST_MAPPING=PRECISE", "FS=MRC", "CURRENCY=USD", "XLFILL=b")</f>
        <v>9.01E-2</v>
      </c>
      <c r="M128" s="9">
        <f>_xll.BQL("SEG0000329534 Segment", "TOTAL_REVENUE_PER_ASM", "FPT=A", "FPO=-4A", "ACT_EST_MAPPING=PRECISE", "FS=MRC", "CURRENCY=USD", "XLFILL=b")</f>
        <v>0.1236</v>
      </c>
      <c r="N128" s="9">
        <f>_xll.BQL("SEG0000329534 Segment", "TOTAL_REVENUE_PER_ASM", "FPT=A", "FPO=-5A", "ACT_EST_MAPPING=PRECISE", "FS=MRC", "CURRENCY=USD", "XLFILL=b")</f>
        <v>0.1193</v>
      </c>
    </row>
    <row r="129" spans="1:14" x14ac:dyDescent="0.2">
      <c r="A129" s="8" t="s">
        <v>64</v>
      </c>
      <c r="B129" s="4" t="s">
        <v>122</v>
      </c>
      <c r="C129" s="4"/>
      <c r="D129" s="4" t="s">
        <v>63</v>
      </c>
      <c r="E129" s="9" t="str">
        <f>_xll.BQL("SEG0000329534 Segment", "FA_GROWTH(TOTAL_REVENUE_PER_ASM, YOY)", "FPT=A", "FPO=4A", "ACT_EST_MAPPING=PRECISE", "FS=MRC", "CURRENCY=USD", "XLFILL=b")</f>
        <v/>
      </c>
      <c r="F129" s="9">
        <f>_xll.BQL("SEG0000329534 Segment", "FA_GROWTH(TOTAL_REVENUE_PER_ASM, YOY)", "FPT=A", "FPO=3A", "ACT_EST_MAPPING=PRECISE", "FS=MRC", "CURRENCY=USD", "XLFILL=b")</f>
        <v>0</v>
      </c>
      <c r="G129" s="9">
        <f>_xll.BQL("SEG0000329534 Segment", "FA_GROWTH(TOTAL_REVENUE_PER_ASM, YOY)", "FPT=A", "FPO=2A", "ACT_EST_MAPPING=PRECISE", "FS=MRC", "CURRENCY=USD", "XLFILL=b")</f>
        <v>-12.605141014379786</v>
      </c>
      <c r="H129" s="9">
        <f>_xll.BQL("SEG0000329534 Segment", "FA_GROWTH(TOTAL_REVENUE_PER_ASM, YOY)", "FPT=A", "FPO=1A", "ACT_EST_MAPPING=PRECISE", "FS=MRC", "CURRENCY=USD", "XLFILL=b")</f>
        <v>27.632117773420926</v>
      </c>
      <c r="I129" s="9">
        <f>_xll.BQL("SEG0000329534 Segment", "FA_GROWTH(TOTAL_REVENUE_PER_ASM, YOY)", "FPT=A", "FPO=0A", "ACT_EST_MAPPING=PRECISE", "FS=MRC", "CURRENCY=USD", "XLFILL=b")</f>
        <v>-5.2984574111334792</v>
      </c>
      <c r="J129" s="9">
        <f>_xll.BQL("SEG0000329534 Segment", "FA_GROWTH(TOTAL_REVENUE_PER_ASM, YOY)", "FPT=A", "FPO=-1A", "ACT_EST_MAPPING=PRECISE", "FS=MRC", "CURRENCY=USD", "XLFILL=b")</f>
        <v>35.668789808917211</v>
      </c>
      <c r="K129" s="9">
        <f>_xll.BQL("SEG0000329534 Segment", "FA_GROWTH(TOTAL_REVENUE_PER_ASM, YOY)", "FPT=A", "FPO=-2A", "ACT_EST_MAPPING=PRECISE", "FS=MRC", "CURRENCY=USD", "XLFILL=b")</f>
        <v>21.975582685904548</v>
      </c>
      <c r="L129" s="9">
        <f>_xll.BQL("SEG0000329534 Segment", "FA_GROWTH(TOTAL_REVENUE_PER_ASM, YOY)", "FPT=A", "FPO=-3A", "ACT_EST_MAPPING=PRECISE", "FS=MRC", "CURRENCY=USD", "XLFILL=b")</f>
        <v>-27.103559870550161</v>
      </c>
      <c r="M129" s="9">
        <f>_xll.BQL("SEG0000329534 Segment", "FA_GROWTH(TOTAL_REVENUE_PER_ASM, YOY)", "FPT=A", "FPO=-4A", "ACT_EST_MAPPING=PRECISE", "FS=MRC", "CURRENCY=USD", "XLFILL=b")</f>
        <v>3.6043587594300068</v>
      </c>
      <c r="N129" s="9">
        <f>_xll.BQL("SEG0000329534 Segment", "FA_GROWTH(TOTAL_REVENUE_PER_ASM, YOY)", "FPT=A", "FPO=-5A", "ACT_EST_MAPPING=PRECISE", "FS=MRC", "CURRENCY=USD", "XLFILL=b")</f>
        <v>-0.58333333333332693</v>
      </c>
    </row>
    <row r="130" spans="1:14" x14ac:dyDescent="0.2">
      <c r="A130" s="8" t="s">
        <v>16</v>
      </c>
      <c r="B130" s="4"/>
      <c r="C130" s="4"/>
      <c r="D130" s="4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x14ac:dyDescent="0.2">
      <c r="A131" s="8" t="s">
        <v>123</v>
      </c>
      <c r="B131" s="4"/>
      <c r="C131" s="4" t="s">
        <v>124</v>
      </c>
      <c r="D131" s="4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 x14ac:dyDescent="0.2">
      <c r="A132" s="8" t="s">
        <v>125</v>
      </c>
      <c r="B132" s="4" t="s">
        <v>14</v>
      </c>
      <c r="C132" s="4" t="s">
        <v>126</v>
      </c>
      <c r="D132" s="4"/>
      <c r="E132" s="9" t="str">
        <f>_xll.BQL("ALK US Equity", "IS_COMP_SALES/1M", "FPT=A", "FPO=4A", "ACT_EST_MAPPING=PRECISE", "FS=MRC", "CURRENCY=USD", "XLFILL=b")</f>
        <v/>
      </c>
      <c r="F132" s="9">
        <f>_xll.BQL("ALK US Equity", "IS_COMP_SALES/1M", "FPT=A", "FPO=3A", "ACT_EST_MAPPING=PRECISE", "FS=MRC", "CURRENCY=USD", "XLFILL=b")</f>
        <v>12884.625</v>
      </c>
      <c r="G132" s="9">
        <f>_xll.BQL("ALK US Equity", "IS_COMP_SALES/1M", "FPT=A", "FPO=2A", "ACT_EST_MAPPING=PRECISE", "FS=MRC", "CURRENCY=USD", "XLFILL=b")</f>
        <v>11690.916666666666</v>
      </c>
      <c r="H132" s="9">
        <f>_xll.BQL("ALK US Equity", "IS_COMP_SALES/1M", "FPT=A", "FPO=1A", "ACT_EST_MAPPING=PRECISE", "FS=MRC", "CURRENCY=USD", "XLFILL=b")</f>
        <v>10791.833333333334</v>
      </c>
      <c r="I132" s="9">
        <f>_xll.BQL("ALK US Equity", "IS_COMP_SALES/1M", "FPT=A", "FPO=0A", "ACT_EST_MAPPING=PRECISE", "FS=MRC", "CURRENCY=USD", "XLFILL=b")</f>
        <v>10426</v>
      </c>
      <c r="J132" s="9">
        <f>_xll.BQL("ALK US Equity", "IS_COMP_SALES/1M", "FPT=A", "FPO=-1A", "ACT_EST_MAPPING=PRECISE", "FS=MRC", "CURRENCY=USD", "XLFILL=b")</f>
        <v>9646</v>
      </c>
      <c r="K132" s="9">
        <f>_xll.BQL("ALK US Equity", "IS_COMP_SALES/1M", "FPT=A", "FPO=-2A", "ACT_EST_MAPPING=PRECISE", "FS=MRC", "CURRENCY=USD", "XLFILL=b")</f>
        <v>6176</v>
      </c>
      <c r="L132" s="9">
        <f>_xll.BQL("ALK US Equity", "IS_COMP_SALES/1M", "FPT=A", "FPO=-3A", "ACT_EST_MAPPING=PRECISE", "FS=MRC", "CURRENCY=USD", "XLFILL=b")</f>
        <v>3566</v>
      </c>
      <c r="M132" s="9">
        <f>_xll.BQL("ALK US Equity", "IS_COMP_SALES/1M", "FPT=A", "FPO=-4A", "ACT_EST_MAPPING=PRECISE", "FS=MRC", "CURRENCY=USD", "XLFILL=b")</f>
        <v>8781</v>
      </c>
      <c r="N132" s="9">
        <f>_xll.BQL("ALK US Equity", "IS_COMP_SALES/1M", "FPT=A", "FPO=-5A", "ACT_EST_MAPPING=PRECISE", "FS=MRC", "CURRENCY=USD", "XLFILL=b")</f>
        <v>8264</v>
      </c>
    </row>
    <row r="133" spans="1:14" x14ac:dyDescent="0.2">
      <c r="A133" s="8" t="s">
        <v>12</v>
      </c>
      <c r="B133" s="4" t="s">
        <v>14</v>
      </c>
      <c r="C133" s="4" t="s">
        <v>126</v>
      </c>
      <c r="D133" s="4"/>
      <c r="E133" s="9" t="str">
        <f>_xll.BQL("ALK US Equity", "FA_GROWTH(IS_COMP_SALES, YOY)", "FPT=A", "FPO=4A", "ACT_EST_MAPPING=PRECISE", "FS=MRC", "CURRENCY=USD", "XLFILL=b")</f>
        <v/>
      </c>
      <c r="F133" s="9">
        <f>_xll.BQL("ALK US Equity", "FA_GROWTH(IS_COMP_SALES, YOY)", "FPT=A", "FPO=3A", "ACT_EST_MAPPING=PRECISE", "FS=MRC", "CURRENCY=USD", "XLFILL=b")</f>
        <v>10.210562331154536</v>
      </c>
      <c r="G133" s="9">
        <f>_xll.BQL("ALK US Equity", "FA_GROWTH(IS_COMP_SALES, YOY)", "FPT=A", "FPO=2A", "ACT_EST_MAPPING=PRECISE", "FS=MRC", "CURRENCY=USD", "XLFILL=b")</f>
        <v>8.3311454649348917</v>
      </c>
      <c r="H133" s="9">
        <f>_xll.BQL("ALK US Equity", "FA_GROWTH(IS_COMP_SALES, YOY)", "FPT=A", "FPO=1A", "ACT_EST_MAPPING=PRECISE", "FS=MRC", "CURRENCY=USD", "XLFILL=b")</f>
        <v>3.5088560649657969</v>
      </c>
      <c r="I133" s="9">
        <f>_xll.BQL("ALK US Equity", "FA_GROWTH(IS_COMP_SALES, YOY)", "FPT=A", "FPO=0A", "ACT_EST_MAPPING=PRECISE", "FS=MRC", "CURRENCY=USD", "XLFILL=b")</f>
        <v>8.0862533692722369</v>
      </c>
      <c r="J133" s="9">
        <f>_xll.BQL("ALK US Equity", "FA_GROWTH(IS_COMP_SALES, YOY)", "FPT=A", "FPO=-1A", "ACT_EST_MAPPING=PRECISE", "FS=MRC", "CURRENCY=USD", "XLFILL=b")</f>
        <v>56.185233160621763</v>
      </c>
      <c r="K133" s="9">
        <f>_xll.BQL("ALK US Equity", "FA_GROWTH(IS_COMP_SALES, YOY)", "FPT=A", "FPO=-2A", "ACT_EST_MAPPING=PRECISE", "FS=MRC", "CURRENCY=USD", "XLFILL=b")</f>
        <v>73.191250701065613</v>
      </c>
      <c r="L133" s="9">
        <f>_xll.BQL("ALK US Equity", "FA_GROWTH(IS_COMP_SALES, YOY)", "FPT=A", "FPO=-3A", "ACT_EST_MAPPING=PRECISE", "FS=MRC", "CURRENCY=USD", "XLFILL=b")</f>
        <v>-59.38959116273773</v>
      </c>
      <c r="M133" s="9">
        <f>_xll.BQL("ALK US Equity", "FA_GROWTH(IS_COMP_SALES, YOY)", "FPT=A", "FPO=-4A", "ACT_EST_MAPPING=PRECISE", "FS=MRC", "CURRENCY=USD", "XLFILL=b")</f>
        <v>6.2560503388189739</v>
      </c>
      <c r="N133" s="9">
        <f>_xll.BQL("ALK US Equity", "FA_GROWTH(IS_COMP_SALES, YOY)", "FPT=A", "FPO=-5A", "ACT_EST_MAPPING=PRECISE", "FS=MRC", "CURRENCY=USD", "XLFILL=b")</f>
        <v>4.1724442203453931</v>
      </c>
    </row>
    <row r="134" spans="1:14" x14ac:dyDescent="0.2">
      <c r="A134" s="8" t="s">
        <v>16</v>
      </c>
      <c r="B134" s="4"/>
      <c r="C134" s="4"/>
      <c r="D134" s="4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 x14ac:dyDescent="0.2">
      <c r="A135" s="8" t="s">
        <v>127</v>
      </c>
      <c r="B135" s="4" t="s">
        <v>128</v>
      </c>
      <c r="C135" s="4"/>
      <c r="D135" s="4"/>
      <c r="E135" s="9" t="str">
        <f>_xll.BQL("ALK US Equity", "IS_TOT_OPER_EXP/1M", "FPT=A", "FPO=4A", "ACT_EST_MAPPING=PRECISE", "FS=MRC", "CURRENCY=USD", "XLFILL=b")</f>
        <v/>
      </c>
      <c r="F135" s="9">
        <f>_xll.BQL("ALK US Equity", "IS_TOT_OPER_EXP/1M", "FPT=A", "FPO=3A", "ACT_EST_MAPPING=PRECISE", "FS=MRC", "CURRENCY=USD", "XLFILL=b")</f>
        <v>10917.350528875444</v>
      </c>
      <c r="G135" s="9">
        <f>_xll.BQL("ALK US Equity", "IS_TOT_OPER_EXP/1M", "FPT=A", "FPO=2A", "ACT_EST_MAPPING=PRECISE", "FS=MRC", "CURRENCY=USD", "XLFILL=b")</f>
        <v>10383.491784898926</v>
      </c>
      <c r="H135" s="9">
        <f>_xll.BQL("ALK US Equity", "IS_TOT_OPER_EXP/1M", "FPT=A", "FPO=1A", "ACT_EST_MAPPING=PRECISE", "FS=MRC", "CURRENCY=USD", "XLFILL=b")</f>
        <v>10065.090341959989</v>
      </c>
      <c r="I135" s="9">
        <f>_xll.BQL("ALK US Equity", "IS_TOT_OPER_EXP/1M", "FPT=A", "FPO=0A", "ACT_EST_MAPPING=PRECISE", "FS=MRC", "CURRENCY=USD", "XLFILL=b")</f>
        <v>10032</v>
      </c>
      <c r="J135" s="9">
        <f>_xll.BQL("ALK US Equity", "IS_TOT_OPER_EXP/1M", "FPT=A", "FPO=-1A", "ACT_EST_MAPPING=PRECISE", "FS=MRC", "CURRENCY=USD", "XLFILL=b")</f>
        <v>9576</v>
      </c>
      <c r="K135" s="9">
        <f>_xll.BQL("ALK US Equity", "IS_TOT_OPER_EXP/1M", "FPT=A", "FPO=-2A", "ACT_EST_MAPPING=PRECISE", "FS=MRC", "CURRENCY=USD", "XLFILL=b")</f>
        <v>5491</v>
      </c>
      <c r="L135" s="9">
        <f>_xll.BQL("ALK US Equity", "IS_TOT_OPER_EXP/1M", "FPT=A", "FPO=-3A", "ACT_EST_MAPPING=PRECISE", "FS=MRC", "CURRENCY=USD", "XLFILL=b")</f>
        <v>5341</v>
      </c>
      <c r="M135" s="9">
        <f>_xll.BQL("ALK US Equity", "IS_TOT_OPER_EXP/1M", "FPT=A", "FPO=-4A", "ACT_EST_MAPPING=PRECISE", "FS=MRC", "CURRENCY=USD", "XLFILL=b")</f>
        <v>7718</v>
      </c>
      <c r="N135" s="9">
        <f>_xll.BQL("ALK US Equity", "IS_TOT_OPER_EXP/1M", "FPT=A", "FPO=-5A", "ACT_EST_MAPPING=PRECISE", "FS=MRC", "CURRENCY=USD", "XLFILL=b")</f>
        <v>7621</v>
      </c>
    </row>
    <row r="136" spans="1:14" x14ac:dyDescent="0.2">
      <c r="A136" s="8" t="s">
        <v>12</v>
      </c>
      <c r="B136" s="4" t="s">
        <v>128</v>
      </c>
      <c r="C136" s="4"/>
      <c r="D136" s="4"/>
      <c r="E136" s="9" t="str">
        <f>_xll.BQL("ALK US Equity", "FA_GROWTH(IS_TOT_OPER_EXP, YOY)", "FPT=A", "FPO=4A", "ACT_EST_MAPPING=PRECISE", "FS=MRC", "CURRENCY=USD", "XLFILL=b")</f>
        <v/>
      </c>
      <c r="F136" s="9">
        <f>_xll.BQL("ALK US Equity", "FA_GROWTH(IS_TOT_OPER_EXP, YOY)", "FPT=A", "FPO=3A", "ACT_EST_MAPPING=PRECISE", "FS=MRC", "CURRENCY=USD", "XLFILL=b")</f>
        <v>5.1414182727329552</v>
      </c>
      <c r="G136" s="9">
        <f>_xll.BQL("ALK US Equity", "FA_GROWTH(IS_TOT_OPER_EXP, YOY)", "FPT=A", "FPO=2A", "ACT_EST_MAPPING=PRECISE", "FS=MRC", "CURRENCY=USD", "XLFILL=b")</f>
        <v>3.1634235970199298</v>
      </c>
      <c r="H136" s="9">
        <f>_xll.BQL("ALK US Equity", "FA_GROWTH(IS_TOT_OPER_EXP, YOY)", "FPT=A", "FPO=1A", "ACT_EST_MAPPING=PRECISE", "FS=MRC", "CURRENCY=USD", "XLFILL=b")</f>
        <v>0.32984790629973632</v>
      </c>
      <c r="I136" s="9">
        <f>_xll.BQL("ALK US Equity", "FA_GROWTH(IS_TOT_OPER_EXP, YOY)", "FPT=A", "FPO=0A", "ACT_EST_MAPPING=PRECISE", "FS=MRC", "CURRENCY=USD", "XLFILL=b")</f>
        <v>4.7619047619047619</v>
      </c>
      <c r="J136" s="9">
        <f>_xll.BQL("ALK US Equity", "FA_GROWTH(IS_TOT_OPER_EXP, YOY)", "FPT=A", "FPO=-1A", "ACT_EST_MAPPING=PRECISE", "FS=MRC", "CURRENCY=USD", "XLFILL=b")</f>
        <v>74.394463667820062</v>
      </c>
      <c r="K136" s="9">
        <f>_xll.BQL("ALK US Equity", "FA_GROWTH(IS_TOT_OPER_EXP, YOY)", "FPT=A", "FPO=-2A", "ACT_EST_MAPPING=PRECISE", "FS=MRC", "CURRENCY=USD", "XLFILL=b")</f>
        <v>2.8084628346751543</v>
      </c>
      <c r="L136" s="9">
        <f>_xll.BQL("ALK US Equity", "FA_GROWTH(IS_TOT_OPER_EXP, YOY)", "FPT=A", "FPO=-3A", "ACT_EST_MAPPING=PRECISE", "FS=MRC", "CURRENCY=USD", "XLFILL=b")</f>
        <v>-30.798134231666236</v>
      </c>
      <c r="M136" s="9">
        <f>_xll.BQL("ALK US Equity", "FA_GROWTH(IS_TOT_OPER_EXP, YOY)", "FPT=A", "FPO=-4A", "ACT_EST_MAPPING=PRECISE", "FS=MRC", "CURRENCY=USD", "XLFILL=b")</f>
        <v>1.2727988452958929</v>
      </c>
      <c r="N136" s="9">
        <f>_xll.BQL("ALK US Equity", "FA_GROWTH(IS_TOT_OPER_EXP, YOY)", "FPT=A", "FPO=-5A", "ACT_EST_MAPPING=PRECISE", "FS=MRC", "CURRENCY=USD", "XLFILL=b")</f>
        <v>13.984445109183369</v>
      </c>
    </row>
    <row r="137" spans="1:14" x14ac:dyDescent="0.2">
      <c r="A137" s="8" t="s">
        <v>129</v>
      </c>
      <c r="B137" s="4" t="s">
        <v>130</v>
      </c>
      <c r="C137" s="4" t="s">
        <v>131</v>
      </c>
      <c r="D137" s="4"/>
      <c r="E137" s="9" t="str">
        <f>_xll.BQL("ALK US Equity", "IS_PERSONNEL_EXP/1M", "FPT=A", "FPO=4A", "ACT_EST_MAPPING=PRECISE", "FS=MRC", "CURRENCY=USD", "XLFILL=b")</f>
        <v/>
      </c>
      <c r="F137" s="9">
        <f>_xll.BQL("ALK US Equity", "IS_PERSONNEL_EXP/1M", "FPT=A", "FPO=3A", "ACT_EST_MAPPING=PRECISE", "FS=MRC", "CURRENCY=USD", "XLFILL=b")</f>
        <v>4196.5649970822997</v>
      </c>
      <c r="G137" s="9">
        <f>_xll.BQL("ALK US Equity", "IS_PERSONNEL_EXP/1M", "FPT=A", "FPO=2A", "ACT_EST_MAPPING=PRECISE", "FS=MRC", "CURRENCY=USD", "XLFILL=b")</f>
        <v>3789.449398539205</v>
      </c>
      <c r="H137" s="9">
        <f>_xll.BQL("ALK US Equity", "IS_PERSONNEL_EXP/1M", "FPT=A", "FPO=1A", "ACT_EST_MAPPING=PRECISE", "FS=MRC", "CURRENCY=USD", "XLFILL=b")</f>
        <v>3387.1964275309952</v>
      </c>
      <c r="I137" s="9">
        <f>_xll.BQL("ALK US Equity", "IS_PERSONNEL_EXP/1M", "FPT=A", "FPO=0A", "ACT_EST_MAPPING=PRECISE", "FS=MRC", "CURRENCY=USD", "XLFILL=b")</f>
        <v>3041</v>
      </c>
      <c r="J137" s="9">
        <f>_xll.BQL("ALK US Equity", "IS_PERSONNEL_EXP/1M", "FPT=A", "FPO=-1A", "ACT_EST_MAPPING=PRECISE", "FS=MRC", "CURRENCY=USD", "XLFILL=b")</f>
        <v>2640</v>
      </c>
      <c r="K137" s="9">
        <f>_xll.BQL("ALK US Equity", "IS_PERSONNEL_EXP/1M", "FPT=A", "FPO=-2A", "ACT_EST_MAPPING=PRECISE", "FS=MRC", "CURRENCY=USD", "XLFILL=b")</f>
        <v>2218</v>
      </c>
      <c r="L137" s="9">
        <f>_xll.BQL("ALK US Equity", "IS_PERSONNEL_EXP/1M", "FPT=A", "FPO=-3A", "ACT_EST_MAPPING=PRECISE", "FS=MRC", "CURRENCY=USD", "XLFILL=b")</f>
        <v>2053</v>
      </c>
      <c r="M137" s="9">
        <f>_xll.BQL("ALK US Equity", "IS_PERSONNEL_EXP/1M", "FPT=A", "FPO=-4A", "ACT_EST_MAPPING=PRECISE", "FS=MRC", "CURRENCY=USD", "XLFILL=b")</f>
        <v>2370</v>
      </c>
      <c r="N137" s="9">
        <f>_xll.BQL("ALK US Equity", "IS_PERSONNEL_EXP/1M", "FPT=A", "FPO=-5A", "ACT_EST_MAPPING=PRECISE", "FS=MRC", "CURRENCY=USD", "XLFILL=b")</f>
        <v>2190</v>
      </c>
    </row>
    <row r="138" spans="1:14" x14ac:dyDescent="0.2">
      <c r="A138" s="8" t="s">
        <v>64</v>
      </c>
      <c r="B138" s="4" t="s">
        <v>130</v>
      </c>
      <c r="C138" s="4" t="s">
        <v>131</v>
      </c>
      <c r="D138" s="4"/>
      <c r="E138" s="9" t="str">
        <f>_xll.BQL("ALK US Equity", "FA_GROWTH(IS_PERSONNEL_EXP, YOY)", "FPT=A", "FPO=4A", "ACT_EST_MAPPING=PRECISE", "FS=MRC", "CURRENCY=USD", "XLFILL=b")</f>
        <v/>
      </c>
      <c r="F138" s="9">
        <f>_xll.BQL("ALK US Equity", "FA_GROWTH(IS_PERSONNEL_EXP, YOY)", "FPT=A", "FPO=3A", "ACT_EST_MAPPING=PRECISE", "FS=MRC", "CURRENCY=USD", "XLFILL=b")</f>
        <v>10.743397146298699</v>
      </c>
      <c r="G138" s="9">
        <f>_xll.BQL("ALK US Equity", "FA_GROWTH(IS_PERSONNEL_EXP, YOY)", "FPT=A", "FPO=2A", "ACT_EST_MAPPING=PRECISE", "FS=MRC", "CURRENCY=USD", "XLFILL=b")</f>
        <v>11.875690696255871</v>
      </c>
      <c r="H138" s="9">
        <f>_xll.BQL("ALK US Equity", "FA_GROWTH(IS_PERSONNEL_EXP, YOY)", "FPT=A", "FPO=1A", "ACT_EST_MAPPING=PRECISE", "FS=MRC", "CURRENCY=USD", "XLFILL=b")</f>
        <v>11.38429554524812</v>
      </c>
      <c r="I138" s="9">
        <f>_xll.BQL("ALK US Equity", "FA_GROWTH(IS_PERSONNEL_EXP, YOY)", "FPT=A", "FPO=0A", "ACT_EST_MAPPING=PRECISE", "FS=MRC", "CURRENCY=USD", "XLFILL=b")</f>
        <v>15.189393939393939</v>
      </c>
      <c r="J138" s="9">
        <f>_xll.BQL("ALK US Equity", "FA_GROWTH(IS_PERSONNEL_EXP, YOY)", "FPT=A", "FPO=-1A", "ACT_EST_MAPPING=PRECISE", "FS=MRC", "CURRENCY=USD", "XLFILL=b")</f>
        <v>19.026149684400362</v>
      </c>
      <c r="K138" s="9">
        <f>_xll.BQL("ALK US Equity", "FA_GROWTH(IS_PERSONNEL_EXP, YOY)", "FPT=A", "FPO=-2A", "ACT_EST_MAPPING=PRECISE", "FS=MRC", "CURRENCY=USD", "XLFILL=b")</f>
        <v>8.0370189965903549</v>
      </c>
      <c r="L138" s="9">
        <f>_xll.BQL("ALK US Equity", "FA_GROWTH(IS_PERSONNEL_EXP, YOY)", "FPT=A", "FPO=-3A", "ACT_EST_MAPPING=PRECISE", "FS=MRC", "CURRENCY=USD", "XLFILL=b")</f>
        <v>-13.375527426160337</v>
      </c>
      <c r="M138" s="9">
        <f>_xll.BQL("ALK US Equity", "FA_GROWTH(IS_PERSONNEL_EXP, YOY)", "FPT=A", "FPO=-4A", "ACT_EST_MAPPING=PRECISE", "FS=MRC", "CURRENCY=USD", "XLFILL=b")</f>
        <v>8.2191780821917817</v>
      </c>
      <c r="N138" s="9">
        <f>_xll.BQL("ALK US Equity", "FA_GROWTH(IS_PERSONNEL_EXP, YOY)", "FPT=A", "FPO=-5A", "ACT_EST_MAPPING=PRECISE", "FS=MRC", "CURRENCY=USD", "XLFILL=b")</f>
        <v>13.412739513205594</v>
      </c>
    </row>
    <row r="139" spans="1:14" x14ac:dyDescent="0.2">
      <c r="A139" s="8" t="s">
        <v>132</v>
      </c>
      <c r="B139" s="4" t="s">
        <v>133</v>
      </c>
      <c r="C139" s="4" t="s">
        <v>134</v>
      </c>
      <c r="D139" s="4"/>
      <c r="E139" s="9" t="str">
        <f>_xll.BQL("ALK US Equity", "FUEL_COST_INCLUDING_HEDGE/1M", "FPT=A", "FPO=4A", "ACT_EST_MAPPING=PRECISE", "FS=MRC", "CURRENCY=USD", "XLFILL=b")</f>
        <v/>
      </c>
      <c r="F139" s="9">
        <f>_xll.BQL("ALK US Equity", "FUEL_COST_INCLUDING_HEDGE/1M", "FPT=A", "FPO=3A", "ACT_EST_MAPPING=PRECISE", "FS=MRC", "CURRENCY=USD", "XLFILL=b")</f>
        <v>2975.1954081008007</v>
      </c>
      <c r="G139" s="9">
        <f>_xll.BQL("ALK US Equity", "FUEL_COST_INCLUDING_HEDGE/1M", "FPT=A", "FPO=2A", "ACT_EST_MAPPING=PRECISE", "FS=MRC", "CURRENCY=USD", "XLFILL=b")</f>
        <v>2678.5517530070574</v>
      </c>
      <c r="H139" s="9">
        <f>_xll.BQL("ALK US Equity", "FUEL_COST_INCLUDING_HEDGE/1M", "FPT=A", "FPO=1A", "ACT_EST_MAPPING=PRECISE", "FS=MRC", "CURRENCY=USD", "XLFILL=b")</f>
        <v>2414.6176119550396</v>
      </c>
      <c r="I139" s="9">
        <f>_xll.BQL("ALK US Equity", "FUEL_COST_INCLUDING_HEDGE/1M", "FPT=A", "FPO=0A", "ACT_EST_MAPPING=PRECISE", "FS=MRC", "CURRENCY=USD", "XLFILL=b")</f>
        <v>2643</v>
      </c>
      <c r="J139" s="9">
        <f>_xll.BQL("ALK US Equity", "FUEL_COST_INCLUDING_HEDGE/1M", "FPT=A", "FPO=-1A", "ACT_EST_MAPPING=PRECISE", "FS=MRC", "CURRENCY=USD", "XLFILL=b")</f>
        <v>2592</v>
      </c>
      <c r="K139" s="9">
        <f>_xll.BQL("ALK US Equity", "FUEL_COST_INCLUDING_HEDGE/1M", "FPT=A", "FPO=-2A", "ACT_EST_MAPPING=PRECISE", "FS=MRC", "CURRENCY=USD", "XLFILL=b")</f>
        <v>1326</v>
      </c>
      <c r="L139" s="9">
        <f>_xll.BQL("ALK US Equity", "FUEL_COST_INCLUDING_HEDGE/1M", "FPT=A", "FPO=-3A", "ACT_EST_MAPPING=PRECISE", "FS=MRC", "CURRENCY=USD", "XLFILL=b")</f>
        <v>731</v>
      </c>
      <c r="M139" s="9">
        <f>_xll.BQL("ALK US Equity", "FUEL_COST_INCLUDING_HEDGE/1M", "FPT=A", "FPO=-4A", "ACT_EST_MAPPING=PRECISE", "FS=MRC", "CURRENCY=USD", "XLFILL=b")</f>
        <v>1884</v>
      </c>
      <c r="N139" s="9">
        <f>_xll.BQL("ALK US Equity", "FUEL_COST_INCLUDING_HEDGE/1M", "FPT=A", "FPO=-5A", "ACT_EST_MAPPING=PRECISE", "FS=MRC", "CURRENCY=USD", "XLFILL=b")</f>
        <v>1914</v>
      </c>
    </row>
    <row r="140" spans="1:14" x14ac:dyDescent="0.2">
      <c r="A140" s="8" t="s">
        <v>64</v>
      </c>
      <c r="B140" s="4" t="s">
        <v>133</v>
      </c>
      <c r="C140" s="4" t="s">
        <v>134</v>
      </c>
      <c r="D140" s="4"/>
      <c r="E140" s="9" t="str">
        <f>_xll.BQL("ALK US Equity", "FA_GROWTH(FUEL_COST_INCLUDING_HEDGE, YOY)", "FPT=A", "FPO=4A", "ACT_EST_MAPPING=PRECISE", "FS=MRC", "CURRENCY=USD", "XLFILL=b")</f>
        <v/>
      </c>
      <c r="F140" s="9">
        <f>_xll.BQL("ALK US Equity", "FA_GROWTH(FUEL_COST_INCLUDING_HEDGE, YOY)", "FPT=A", "FPO=3A", "ACT_EST_MAPPING=PRECISE", "FS=MRC", "CURRENCY=USD", "XLFILL=b")</f>
        <v>11.07477780710111</v>
      </c>
      <c r="G140" s="9">
        <f>_xll.BQL("ALK US Equity", "FA_GROWTH(FUEL_COST_INCLUDING_HEDGE, YOY)", "FPT=A", "FPO=2A", "ACT_EST_MAPPING=PRECISE", "FS=MRC", "CURRENCY=USD", "XLFILL=b")</f>
        <v>10.930680690195022</v>
      </c>
      <c r="H140" s="9">
        <f>_xll.BQL("ALK US Equity", "FA_GROWTH(FUEL_COST_INCLUDING_HEDGE, YOY)", "FPT=A", "FPO=1A", "ACT_EST_MAPPING=PRECISE", "FS=MRC", "CURRENCY=USD", "XLFILL=b")</f>
        <v>-8.6410286812319512</v>
      </c>
      <c r="I140" s="9">
        <f>_xll.BQL("ALK US Equity", "FA_GROWTH(FUEL_COST_INCLUDING_HEDGE, YOY)", "FPT=A", "FPO=0A", "ACT_EST_MAPPING=PRECISE", "FS=MRC", "CURRENCY=USD", "XLFILL=b")</f>
        <v>1.9675925925925926</v>
      </c>
      <c r="J140" s="9">
        <f>_xll.BQL("ALK US Equity", "FA_GROWTH(FUEL_COST_INCLUDING_HEDGE, YOY)", "FPT=A", "FPO=-1A", "ACT_EST_MAPPING=PRECISE", "FS=MRC", "CURRENCY=USD", "XLFILL=b")</f>
        <v>95.475113122171948</v>
      </c>
      <c r="K140" s="9">
        <f>_xll.BQL("ALK US Equity", "FA_GROWTH(FUEL_COST_INCLUDING_HEDGE, YOY)", "FPT=A", "FPO=-2A", "ACT_EST_MAPPING=PRECISE", "FS=MRC", "CURRENCY=USD", "XLFILL=b")</f>
        <v>81.395348837209298</v>
      </c>
      <c r="L140" s="9">
        <f>_xll.BQL("ALK US Equity", "FA_GROWTH(FUEL_COST_INCLUDING_HEDGE, YOY)", "FPT=A", "FPO=-3A", "ACT_EST_MAPPING=PRECISE", "FS=MRC", "CURRENCY=USD", "XLFILL=b")</f>
        <v>-61.199575371549891</v>
      </c>
      <c r="M140" s="9">
        <f>_xll.BQL("ALK US Equity", "FA_GROWTH(FUEL_COST_INCLUDING_HEDGE, YOY)", "FPT=A", "FPO=-4A", "ACT_EST_MAPPING=PRECISE", "FS=MRC", "CURRENCY=USD", "XLFILL=b")</f>
        <v>-1.567398119122257</v>
      </c>
      <c r="N140" s="9">
        <f>_xll.BQL("ALK US Equity", "FA_GROWTH(FUEL_COST_INCLUDING_HEDGE, YOY)", "FPT=A", "FPO=-5A", "ACT_EST_MAPPING=PRECISE", "FS=MRC", "CURRENCY=USD", "XLFILL=b")</f>
        <v>31.636863823933975</v>
      </c>
    </row>
    <row r="141" spans="1:14" x14ac:dyDescent="0.2">
      <c r="A141" s="8" t="s">
        <v>135</v>
      </c>
      <c r="B141" s="4" t="s">
        <v>136</v>
      </c>
      <c r="C141" s="4"/>
      <c r="D141" s="4"/>
      <c r="E141" s="9" t="str">
        <f>_xll.BQL("ALK US Equity", "IS_FUEL_COST/1M", "FPT=A", "FPO=4A", "ACT_EST_MAPPING=PRECISE", "FS=MRC", "CURRENCY=USD", "XLFILL=b")</f>
        <v/>
      </c>
      <c r="F141" s="9">
        <f>_xll.BQL("ALK US Equity", "IS_FUEL_COST/1M", "FPT=A", "FPO=3A", "ACT_EST_MAPPING=PRECISE", "FS=MRC", "CURRENCY=USD", "XLFILL=b")</f>
        <v>2486.8877882470319</v>
      </c>
      <c r="G141" s="9">
        <f>_xll.BQL("ALK US Equity", "IS_FUEL_COST/1M", "FPT=A", "FPO=2A", "ACT_EST_MAPPING=PRECISE", "FS=MRC", "CURRENCY=USD", "XLFILL=b")</f>
        <v>2376.7086771853205</v>
      </c>
      <c r="H141" s="9">
        <f>_xll.BQL("ALK US Equity", "IS_FUEL_COST/1M", "FPT=A", "FPO=1A", "ACT_EST_MAPPING=PRECISE", "FS=MRC", "CURRENCY=USD", "XLFILL=b")</f>
        <v>2370.8967014265058</v>
      </c>
      <c r="I141" s="9">
        <f>_xll.BQL("ALK US Equity", "IS_FUEL_COST/1M", "FPT=A", "FPO=0A", "ACT_EST_MAPPING=PRECISE", "FS=MRC", "CURRENCY=USD", "XLFILL=b")</f>
        <v>2641</v>
      </c>
      <c r="J141" s="9">
        <f>_xll.BQL("ALK US Equity", "IS_FUEL_COST/1M", "FPT=A", "FPO=-1A", "ACT_EST_MAPPING=PRECISE", "FS=MRC", "CURRENCY=USD", "XLFILL=b")</f>
        <v>2668</v>
      </c>
      <c r="K141" s="9">
        <f>_xll.BQL("ALK US Equity", "IS_FUEL_COST/1M", "FPT=A", "FPO=-2A", "ACT_EST_MAPPING=PRECISE", "FS=MRC", "CURRENCY=USD", "XLFILL=b")</f>
        <v>1279</v>
      </c>
      <c r="L141" s="9">
        <f>_xll.BQL("ALK US Equity", "IS_FUEL_COST/1M", "FPT=A", "FPO=-3A", "ACT_EST_MAPPING=PRECISE", "FS=MRC", "CURRENCY=USD", "XLFILL=b")</f>
        <v>723</v>
      </c>
      <c r="M141" s="9">
        <f>_xll.BQL("ALK US Equity", "IS_FUEL_COST/1M", "FPT=A", "FPO=-4A", "ACT_EST_MAPPING=PRECISE", "FS=MRC", "CURRENCY=USD", "XLFILL=b")</f>
        <v>1878</v>
      </c>
      <c r="N141" s="9">
        <f>_xll.BQL("ALK US Equity", "IS_FUEL_COST/1M", "FPT=A", "FPO=-5A", "ACT_EST_MAPPING=PRECISE", "FS=MRC", "CURRENCY=USD", "XLFILL=b")</f>
        <v>1936</v>
      </c>
    </row>
    <row r="142" spans="1:14" x14ac:dyDescent="0.2">
      <c r="A142" s="8" t="s">
        <v>64</v>
      </c>
      <c r="B142" s="4" t="s">
        <v>136</v>
      </c>
      <c r="C142" s="4"/>
      <c r="D142" s="4"/>
      <c r="E142" s="9" t="str">
        <f>_xll.BQL("ALK US Equity", "FA_GROWTH(IS_FUEL_COST, YOY)", "FPT=A", "FPO=4A", "ACT_EST_MAPPING=PRECISE", "FS=MRC", "CURRENCY=USD", "XLFILL=b")</f>
        <v/>
      </c>
      <c r="F142" s="9">
        <f>_xll.BQL("ALK US Equity", "FA_GROWTH(IS_FUEL_COST, YOY)", "FPT=A", "FPO=3A", "ACT_EST_MAPPING=PRECISE", "FS=MRC", "CURRENCY=USD", "XLFILL=b")</f>
        <v>4.6357852823676433</v>
      </c>
      <c r="G142" s="9">
        <f>_xll.BQL("ALK US Equity", "FA_GROWTH(IS_FUEL_COST, YOY)", "FPT=A", "FPO=2A", "ACT_EST_MAPPING=PRECISE", "FS=MRC", "CURRENCY=USD", "XLFILL=b")</f>
        <v>0.24513829536805304</v>
      </c>
      <c r="H142" s="9">
        <f>_xll.BQL("ALK US Equity", "FA_GROWTH(IS_FUEL_COST, YOY)", "FPT=A", "FPO=1A", "ACT_EST_MAPPING=PRECISE", "FS=MRC", "CURRENCY=USD", "XLFILL=b")</f>
        <v>-10.227311570370842</v>
      </c>
      <c r="I142" s="9">
        <f>_xll.BQL("ALK US Equity", "FA_GROWTH(IS_FUEL_COST, YOY)", "FPT=A", "FPO=0A", "ACT_EST_MAPPING=PRECISE", "FS=MRC", "CURRENCY=USD", "XLFILL=b")</f>
        <v>-1.0119940029985008</v>
      </c>
      <c r="J142" s="9">
        <f>_xll.BQL("ALK US Equity", "FA_GROWTH(IS_FUEL_COST, YOY)", "FPT=A", "FPO=-1A", "ACT_EST_MAPPING=PRECISE", "FS=MRC", "CURRENCY=USD", "XLFILL=b")</f>
        <v>108.60046911649727</v>
      </c>
      <c r="K142" s="9">
        <f>_xll.BQL("ALK US Equity", "FA_GROWTH(IS_FUEL_COST, YOY)", "FPT=A", "FPO=-2A", "ACT_EST_MAPPING=PRECISE", "FS=MRC", "CURRENCY=USD", "XLFILL=b")</f>
        <v>76.901798063623787</v>
      </c>
      <c r="L142" s="9">
        <f>_xll.BQL("ALK US Equity", "FA_GROWTH(IS_FUEL_COST, YOY)", "FPT=A", "FPO=-3A", "ACT_EST_MAPPING=PRECISE", "FS=MRC", "CURRENCY=USD", "XLFILL=b")</f>
        <v>-61.501597444089455</v>
      </c>
      <c r="M142" s="9">
        <f>_xll.BQL("ALK US Equity", "FA_GROWTH(IS_FUEL_COST, YOY)", "FPT=A", "FPO=-4A", "ACT_EST_MAPPING=PRECISE", "FS=MRC", "CURRENCY=USD", "XLFILL=b")</f>
        <v>-2.9958677685950414</v>
      </c>
      <c r="N142" s="9">
        <f>_xll.BQL("ALK US Equity", "FA_GROWTH(IS_FUEL_COST, YOY)", "FPT=A", "FPO=-5A", "ACT_EST_MAPPING=PRECISE", "FS=MRC", "CURRENCY=USD", "XLFILL=b")</f>
        <v>33.794056668970285</v>
      </c>
    </row>
    <row r="143" spans="1:14" x14ac:dyDescent="0.2">
      <c r="A143" s="8" t="s">
        <v>137</v>
      </c>
      <c r="B143" s="4" t="s">
        <v>138</v>
      </c>
      <c r="C143" s="4" t="s">
        <v>139</v>
      </c>
      <c r="D143" s="4"/>
      <c r="E143" s="9" t="str">
        <f>_xll.BQL("ALK US Equity", "CB_IS_PEN_AND_POST_RETIRE_EXP/1M", "FPT=A", "FPO=4A", "ACT_EST_MAPPING=PRECISE", "FS=MRC", "CURRENCY=USD", "XLFILL=b")</f>
        <v/>
      </c>
      <c r="F143" s="9">
        <f>_xll.BQL("ALK US Equity", "CB_IS_PEN_AND_POST_RETIRE_EXP/1M", "FPT=A", "FPO=3A", "ACT_EST_MAPPING=PRECISE", "FS=MRC", "CURRENCY=USD", "XLFILL=b")</f>
        <v>273.36770641514357</v>
      </c>
      <c r="G143" s="9">
        <f>_xll.BQL("ALK US Equity", "CB_IS_PEN_AND_POST_RETIRE_EXP/1M", "FPT=A", "FPO=2A", "ACT_EST_MAPPING=PRECISE", "FS=MRC", "CURRENCY=USD", "XLFILL=b")</f>
        <v>260.5234006569886</v>
      </c>
      <c r="H143" s="9">
        <f>_xll.BQL("ALK US Equity", "CB_IS_PEN_AND_POST_RETIRE_EXP/1M", "FPT=A", "FPO=1A", "ACT_EST_MAPPING=PRECISE", "FS=MRC", "CURRENCY=USD", "XLFILL=b")</f>
        <v>200.75308235999998</v>
      </c>
      <c r="I143" s="9">
        <f>_xll.BQL("ALK US Equity", "CB_IS_PEN_AND_POST_RETIRE_EXP/1M", "FPT=A", "FPO=0A", "ACT_EST_MAPPING=PRECISE", "FS=MRC", "CURRENCY=USD", "XLFILL=b")</f>
        <v>200</v>
      </c>
      <c r="J143" s="9">
        <f>_xll.BQL("ALK US Equity", "CB_IS_PEN_AND_POST_RETIRE_EXP/1M", "FPT=A", "FPO=-1A", "ACT_EST_MAPPING=PRECISE", "FS=MRC", "CURRENCY=USD", "XLFILL=b")</f>
        <v>257</v>
      </c>
      <c r="K143" s="9">
        <f>_xll.BQL("ALK US Equity", "CB_IS_PEN_AND_POST_RETIRE_EXP/1M", "FPT=A", "FPO=-2A", "ACT_EST_MAPPING=PRECISE", "FS=MRC", "CURRENCY=USD", "XLFILL=b")</f>
        <v>151</v>
      </c>
      <c r="L143" s="9">
        <f>_xll.BQL("ALK US Equity", "CB_IS_PEN_AND_POST_RETIRE_EXP/1M", "FPT=A", "FPO=-3A", "ACT_EST_MAPPING=PRECISE", "FS=MRC", "CURRENCY=USD", "XLFILL=b")</f>
        <v>130</v>
      </c>
      <c r="M143" s="9">
        <f>_xll.BQL("ALK US Equity", "CB_IS_PEN_AND_POST_RETIRE_EXP/1M", "FPT=A", "FPO=-4A", "ACT_EST_MAPPING=PRECISE", "FS=MRC", "CURRENCY=USD", "XLFILL=b")</f>
        <v>163</v>
      </c>
      <c r="N143" s="9">
        <f>_xll.BQL("ALK US Equity", "CB_IS_PEN_AND_POST_RETIRE_EXP/1M", "FPT=A", "FPO=-5A", "ACT_EST_MAPPING=PRECISE", "FS=MRC", "CURRENCY=USD", "XLFILL=b")</f>
        <v>147</v>
      </c>
    </row>
    <row r="144" spans="1:14" x14ac:dyDescent="0.2">
      <c r="A144" s="8" t="s">
        <v>64</v>
      </c>
      <c r="B144" s="4" t="s">
        <v>138</v>
      </c>
      <c r="C144" s="4" t="s">
        <v>139</v>
      </c>
      <c r="D144" s="4"/>
      <c r="E144" s="9" t="str">
        <f>_xll.BQL("ALK US Equity", "FA_GROWTH(CB_IS_PEN_AND_POST_RETIRE_EXP, YOY)", "FPT=A", "FPO=4A", "ACT_EST_MAPPING=PRECISE", "FS=MRC", "CURRENCY=USD", "XLFILL=b")</f>
        <v/>
      </c>
      <c r="F144" s="9">
        <f>_xll.BQL("ALK US Equity", "FA_GROWTH(CB_IS_PEN_AND_POST_RETIRE_EXP, YOY)", "FPT=A", "FPO=3A", "ACT_EST_MAPPING=PRECISE", "FS=MRC", "CURRENCY=USD", "XLFILL=b")</f>
        <v>4.9301927296220311</v>
      </c>
      <c r="G144" s="9">
        <f>_xll.BQL("ALK US Equity", "FA_GROWTH(CB_IS_PEN_AND_POST_RETIRE_EXP, YOY)", "FPT=A", "FPO=2A", "ACT_EST_MAPPING=PRECISE", "FS=MRC", "CURRENCY=USD", "XLFILL=b")</f>
        <v>29.773051349620456</v>
      </c>
      <c r="H144" s="9">
        <f>_xll.BQL("ALK US Equity", "FA_GROWTH(CB_IS_PEN_AND_POST_RETIRE_EXP, YOY)", "FPT=A", "FPO=1A", "ACT_EST_MAPPING=PRECISE", "FS=MRC", "CURRENCY=USD", "XLFILL=b")</f>
        <v>0.37654117999999226</v>
      </c>
      <c r="I144" s="9">
        <f>_xll.BQL("ALK US Equity", "FA_GROWTH(CB_IS_PEN_AND_POST_RETIRE_EXP, YOY)", "FPT=A", "FPO=0A", "ACT_EST_MAPPING=PRECISE", "FS=MRC", "CURRENCY=USD", "XLFILL=b")</f>
        <v>-22.178988326848248</v>
      </c>
      <c r="J144" s="9">
        <f>_xll.BQL("ALK US Equity", "FA_GROWTH(CB_IS_PEN_AND_POST_RETIRE_EXP, YOY)", "FPT=A", "FPO=-1A", "ACT_EST_MAPPING=PRECISE", "FS=MRC", "CURRENCY=USD", "XLFILL=b")</f>
        <v>70.198675496688736</v>
      </c>
      <c r="K144" s="9">
        <f>_xll.BQL("ALK US Equity", "FA_GROWTH(CB_IS_PEN_AND_POST_RETIRE_EXP, YOY)", "FPT=A", "FPO=-2A", "ACT_EST_MAPPING=PRECISE", "FS=MRC", "CURRENCY=USD", "XLFILL=b")</f>
        <v>16.153846153846153</v>
      </c>
      <c r="L144" s="9">
        <f>_xll.BQL("ALK US Equity", "FA_GROWTH(CB_IS_PEN_AND_POST_RETIRE_EXP, YOY)", "FPT=A", "FPO=-3A", "ACT_EST_MAPPING=PRECISE", "FS=MRC", "CURRENCY=USD", "XLFILL=b")</f>
        <v>-20.245398773006134</v>
      </c>
      <c r="M144" s="9">
        <f>_xll.BQL("ALK US Equity", "FA_GROWTH(CB_IS_PEN_AND_POST_RETIRE_EXP, YOY)", "FPT=A", "FPO=-4A", "ACT_EST_MAPPING=PRECISE", "FS=MRC", "CURRENCY=USD", "XLFILL=b")</f>
        <v>10.884353741496598</v>
      </c>
      <c r="N144" s="9">
        <f>_xll.BQL("ALK US Equity", "FA_GROWTH(CB_IS_PEN_AND_POST_RETIRE_EXP, YOY)", "FPT=A", "FPO=-5A", "ACT_EST_MAPPING=PRECISE", "FS=MRC", "CURRENCY=USD", "XLFILL=b")</f>
        <v>8.8888888888888893</v>
      </c>
    </row>
    <row r="145" spans="1:14" x14ac:dyDescent="0.2">
      <c r="A145" s="8" t="s">
        <v>140</v>
      </c>
      <c r="B145" s="4" t="s">
        <v>141</v>
      </c>
      <c r="C145" s="4" t="s">
        <v>142</v>
      </c>
      <c r="D145" s="4"/>
      <c r="E145" s="9" t="str">
        <f>_xll.BQL("ALK US Equity", "MAINTENANCE_MATERIALS_REPAIRS/1M", "FPT=A", "FPO=4A", "ACT_EST_MAPPING=PRECISE", "FS=MRC", "CURRENCY=USD", "XLFILL=b")</f>
        <v/>
      </c>
      <c r="F145" s="9">
        <f>_xll.BQL("ALK US Equity", "MAINTENANCE_MATERIALS_REPAIRS/1M", "FPT=A", "FPO=3A", "ACT_EST_MAPPING=PRECISE", "FS=MRC", "CURRENCY=USD", "XLFILL=b")</f>
        <v>627.92567081704226</v>
      </c>
      <c r="G145" s="9">
        <f>_xll.BQL("ALK US Equity", "MAINTENANCE_MATERIALS_REPAIRS/1M", "FPT=A", "FPO=2A", "ACT_EST_MAPPING=PRECISE", "FS=MRC", "CURRENCY=USD", "XLFILL=b")</f>
        <v>596.92784935919201</v>
      </c>
      <c r="H145" s="9">
        <f>_xll.BQL("ALK US Equity", "MAINTENANCE_MATERIALS_REPAIRS/1M", "FPT=A", "FPO=1A", "ACT_EST_MAPPING=PRECISE", "FS=MRC", "CURRENCY=USD", "XLFILL=b")</f>
        <v>531.06556371636088</v>
      </c>
      <c r="I145" s="9">
        <f>_xll.BQL("ALK US Equity", "MAINTENANCE_MATERIALS_REPAIRS/1M", "FPT=A", "FPO=0A", "ACT_EST_MAPPING=PRECISE", "FS=MRC", "CURRENCY=USD", "XLFILL=b")</f>
        <v>488</v>
      </c>
      <c r="J145" s="9">
        <f>_xll.BQL("ALK US Equity", "MAINTENANCE_MATERIALS_REPAIRS/1M", "FPT=A", "FPO=-1A", "ACT_EST_MAPPING=PRECISE", "FS=MRC", "CURRENCY=USD", "XLFILL=b")</f>
        <v>424</v>
      </c>
      <c r="K145" s="9">
        <f>_xll.BQL("ALK US Equity", "MAINTENANCE_MATERIALS_REPAIRS/1M", "FPT=A", "FPO=-2A", "ACT_EST_MAPPING=PRECISE", "FS=MRC", "CURRENCY=USD", "XLFILL=b")</f>
        <v>364</v>
      </c>
      <c r="L145" s="9">
        <f>_xll.BQL("ALK US Equity", "MAINTENANCE_MATERIALS_REPAIRS/1M", "FPT=A", "FPO=-3A", "ACT_EST_MAPPING=PRECISE", "FS=MRC", "CURRENCY=USD", "XLFILL=b")</f>
        <v>321</v>
      </c>
      <c r="M145" s="9">
        <f>_xll.BQL("ALK US Equity", "MAINTENANCE_MATERIALS_REPAIRS/1M", "FPT=A", "FPO=-4A", "ACT_EST_MAPPING=PRECISE", "FS=MRC", "CURRENCY=USD", "XLFILL=b")</f>
        <v>437</v>
      </c>
      <c r="N145" s="9">
        <f>_xll.BQL("ALK US Equity", "MAINTENANCE_MATERIALS_REPAIRS/1M", "FPT=A", "FPO=-5A", "ACT_EST_MAPPING=PRECISE", "FS=MRC", "CURRENCY=USD", "XLFILL=b")</f>
        <v>435</v>
      </c>
    </row>
    <row r="146" spans="1:14" x14ac:dyDescent="0.2">
      <c r="A146" s="8" t="s">
        <v>64</v>
      </c>
      <c r="B146" s="4" t="s">
        <v>141</v>
      </c>
      <c r="C146" s="4" t="s">
        <v>142</v>
      </c>
      <c r="D146" s="4"/>
      <c r="E146" s="9" t="str">
        <f>_xll.BQL("ALK US Equity", "FA_GROWTH(MAINTENANCE_MATERIALS_REPAIRS, YOY)", "FPT=A", "FPO=4A", "ACT_EST_MAPPING=PRECISE", "FS=MRC", "CURRENCY=USD", "XLFILL=b")</f>
        <v/>
      </c>
      <c r="F146" s="9">
        <f>_xll.BQL("ALK US Equity", "FA_GROWTH(MAINTENANCE_MATERIALS_REPAIRS, YOY)", "FPT=A", "FPO=3A", "ACT_EST_MAPPING=PRECISE", "FS=MRC", "CURRENCY=USD", "XLFILL=b")</f>
        <v>5.1928924896244473</v>
      </c>
      <c r="G146" s="9">
        <f>_xll.BQL("ALK US Equity", "FA_GROWTH(MAINTENANCE_MATERIALS_REPAIRS, YOY)", "FPT=A", "FPO=2A", "ACT_EST_MAPPING=PRECISE", "FS=MRC", "CURRENCY=USD", "XLFILL=b")</f>
        <v>12.401912332995446</v>
      </c>
      <c r="H146" s="9">
        <f>_xll.BQL("ALK US Equity", "FA_GROWTH(MAINTENANCE_MATERIALS_REPAIRS, YOY)", "FPT=A", "FPO=1A", "ACT_EST_MAPPING=PRECISE", "FS=MRC", "CURRENCY=USD", "XLFILL=b")</f>
        <v>8.8249105976149309</v>
      </c>
      <c r="I146" s="9">
        <f>_xll.BQL("ALK US Equity", "FA_GROWTH(MAINTENANCE_MATERIALS_REPAIRS, YOY)", "FPT=A", "FPO=0A", "ACT_EST_MAPPING=PRECISE", "FS=MRC", "CURRENCY=USD", "XLFILL=b")</f>
        <v>15.09433962264151</v>
      </c>
      <c r="J146" s="9">
        <f>_xll.BQL("ALK US Equity", "FA_GROWTH(MAINTENANCE_MATERIALS_REPAIRS, YOY)", "FPT=A", "FPO=-1A", "ACT_EST_MAPPING=PRECISE", "FS=MRC", "CURRENCY=USD", "XLFILL=b")</f>
        <v>16.483516483516482</v>
      </c>
      <c r="K146" s="9">
        <f>_xll.BQL("ALK US Equity", "FA_GROWTH(MAINTENANCE_MATERIALS_REPAIRS, YOY)", "FPT=A", "FPO=-2A", "ACT_EST_MAPPING=PRECISE", "FS=MRC", "CURRENCY=USD", "XLFILL=b")</f>
        <v>13.395638629283489</v>
      </c>
      <c r="L146" s="9">
        <f>_xll.BQL("ALK US Equity", "FA_GROWTH(MAINTENANCE_MATERIALS_REPAIRS, YOY)", "FPT=A", "FPO=-3A", "ACT_EST_MAPPING=PRECISE", "FS=MRC", "CURRENCY=USD", "XLFILL=b")</f>
        <v>-26.544622425629292</v>
      </c>
      <c r="M146" s="9">
        <f>_xll.BQL("ALK US Equity", "FA_GROWTH(MAINTENANCE_MATERIALS_REPAIRS, YOY)", "FPT=A", "FPO=-4A", "ACT_EST_MAPPING=PRECISE", "FS=MRC", "CURRENCY=USD", "XLFILL=b")</f>
        <v>0.45977011494252873</v>
      </c>
      <c r="N146" s="9">
        <f>_xll.BQL("ALK US Equity", "FA_GROWTH(MAINTENANCE_MATERIALS_REPAIRS, YOY)", "FPT=A", "FPO=-5A", "ACT_EST_MAPPING=PRECISE", "FS=MRC", "CURRENCY=USD", "XLFILL=b")</f>
        <v>11.253196930946292</v>
      </c>
    </row>
    <row r="147" spans="1:14" x14ac:dyDescent="0.2">
      <c r="A147" s="8" t="s">
        <v>143</v>
      </c>
      <c r="B147" s="4" t="s">
        <v>144</v>
      </c>
      <c r="C147" s="4" t="s">
        <v>145</v>
      </c>
      <c r="D147" s="4"/>
      <c r="E147" s="9" t="str">
        <f>_xll.BQL("ALK US Equity", "AIRCRAFT_RENTALS/1M", "FPT=A", "FPO=4A", "ACT_EST_MAPPING=PRECISE", "FS=MRC", "CURRENCY=USD", "XLFILL=b")</f>
        <v/>
      </c>
      <c r="F147" s="9">
        <f>_xll.BQL("ALK US Equity", "AIRCRAFT_RENTALS/1M", "FPT=A", "FPO=3A", "ACT_EST_MAPPING=PRECISE", "FS=MRC", "CURRENCY=USD", "XLFILL=b")</f>
        <v>254.53324366571903</v>
      </c>
      <c r="G147" s="9">
        <f>_xll.BQL("ALK US Equity", "AIRCRAFT_RENTALS/1M", "FPT=A", "FPO=2A", "ACT_EST_MAPPING=PRECISE", "FS=MRC", "CURRENCY=USD", "XLFILL=b")</f>
        <v>233.19852384203963</v>
      </c>
      <c r="H147" s="9">
        <f>_xll.BQL("ALK US Equity", "AIRCRAFT_RENTALS/1M", "FPT=A", "FPO=1A", "ACT_EST_MAPPING=PRECISE", "FS=MRC", "CURRENCY=USD", "XLFILL=b")</f>
        <v>198.39201795</v>
      </c>
      <c r="I147" s="9">
        <f>_xll.BQL("ALK US Equity", "AIRCRAFT_RENTALS/1M", "FPT=A", "FPO=0A", "ACT_EST_MAPPING=PRECISE", "FS=MRC", "CURRENCY=USD", "XLFILL=b")</f>
        <v>208</v>
      </c>
      <c r="J147" s="9">
        <f>_xll.BQL("ALK US Equity", "AIRCRAFT_RENTALS/1M", "FPT=A", "FPO=-1A", "ACT_EST_MAPPING=PRECISE", "FS=MRC", "CURRENCY=USD", "XLFILL=b")</f>
        <v>291</v>
      </c>
      <c r="K147" s="9">
        <f>_xll.BQL("ALK US Equity", "AIRCRAFT_RENTALS/1M", "FPT=A", "FPO=-2A", "ACT_EST_MAPPING=PRECISE", "FS=MRC", "CURRENCY=USD", "XLFILL=b")</f>
        <v>254</v>
      </c>
      <c r="L147" s="9">
        <f>_xll.BQL("ALK US Equity", "AIRCRAFT_RENTALS/1M", "FPT=A", "FPO=-3A", "ACT_EST_MAPPING=PRECISE", "FS=MRC", "CURRENCY=USD", "XLFILL=b")</f>
        <v>299</v>
      </c>
      <c r="M147" s="9">
        <f>_xll.BQL("ALK US Equity", "AIRCRAFT_RENTALS/1M", "FPT=A", "FPO=-4A", "ACT_EST_MAPPING=PRECISE", "FS=MRC", "CURRENCY=USD", "XLFILL=b")</f>
        <v>331</v>
      </c>
      <c r="N147" s="9">
        <f>_xll.BQL("ALK US Equity", "AIRCRAFT_RENTALS/1M", "FPT=A", "FPO=-5A", "ACT_EST_MAPPING=PRECISE", "FS=MRC", "CURRENCY=USD", "XLFILL=b")</f>
        <v>315</v>
      </c>
    </row>
    <row r="148" spans="1:14" x14ac:dyDescent="0.2">
      <c r="A148" s="8" t="s">
        <v>64</v>
      </c>
      <c r="B148" s="4" t="s">
        <v>144</v>
      </c>
      <c r="C148" s="4" t="s">
        <v>145</v>
      </c>
      <c r="D148" s="4"/>
      <c r="E148" s="9" t="str">
        <f>_xll.BQL("ALK US Equity", "FA_GROWTH(AIRCRAFT_RENTALS, YOY)", "FPT=A", "FPO=4A", "ACT_EST_MAPPING=PRECISE", "FS=MRC", "CURRENCY=USD", "XLFILL=b")</f>
        <v/>
      </c>
      <c r="F148" s="9">
        <f>_xll.BQL("ALK US Equity", "FA_GROWTH(AIRCRAFT_RENTALS, YOY)", "FPT=A", "FPO=3A", "ACT_EST_MAPPING=PRECISE", "FS=MRC", "CURRENCY=USD", "XLFILL=b")</f>
        <v>9.1487370812564688</v>
      </c>
      <c r="G148" s="9">
        <f>_xll.BQL("ALK US Equity", "FA_GROWTH(AIRCRAFT_RENTALS, YOY)", "FPT=A", "FPO=2A", "ACT_EST_MAPPING=PRECISE", "FS=MRC", "CURRENCY=USD", "XLFILL=b")</f>
        <v>17.544307604558874</v>
      </c>
      <c r="H148" s="9">
        <f>_xll.BQL("ALK US Equity", "FA_GROWTH(AIRCRAFT_RENTALS, YOY)", "FPT=A", "FPO=1A", "ACT_EST_MAPPING=PRECISE", "FS=MRC", "CURRENCY=USD", "XLFILL=b")</f>
        <v>-4.6192221394230826</v>
      </c>
      <c r="I148" s="9">
        <f>_xll.BQL("ALK US Equity", "FA_GROWTH(AIRCRAFT_RENTALS, YOY)", "FPT=A", "FPO=0A", "ACT_EST_MAPPING=PRECISE", "FS=MRC", "CURRENCY=USD", "XLFILL=b")</f>
        <v>-28.522336769759452</v>
      </c>
      <c r="J148" s="9">
        <f>_xll.BQL("ALK US Equity", "FA_GROWTH(AIRCRAFT_RENTALS, YOY)", "FPT=A", "FPO=-1A", "ACT_EST_MAPPING=PRECISE", "FS=MRC", "CURRENCY=USD", "XLFILL=b")</f>
        <v>14.566929133858268</v>
      </c>
      <c r="K148" s="9">
        <f>_xll.BQL("ALK US Equity", "FA_GROWTH(AIRCRAFT_RENTALS, YOY)", "FPT=A", "FPO=-2A", "ACT_EST_MAPPING=PRECISE", "FS=MRC", "CURRENCY=USD", "XLFILL=b")</f>
        <v>-15.050167224080267</v>
      </c>
      <c r="L148" s="9">
        <f>_xll.BQL("ALK US Equity", "FA_GROWTH(AIRCRAFT_RENTALS, YOY)", "FPT=A", "FPO=-3A", "ACT_EST_MAPPING=PRECISE", "FS=MRC", "CURRENCY=USD", "XLFILL=b")</f>
        <v>-9.667673716012084</v>
      </c>
      <c r="M148" s="9">
        <f>_xll.BQL("ALK US Equity", "FA_GROWTH(AIRCRAFT_RENTALS, YOY)", "FPT=A", "FPO=-4A", "ACT_EST_MAPPING=PRECISE", "FS=MRC", "CURRENCY=USD", "XLFILL=b")</f>
        <v>5.0793650793650791</v>
      </c>
      <c r="N148" s="9">
        <f>_xll.BQL("ALK US Equity", "FA_GROWTH(AIRCRAFT_RENTALS, YOY)", "FPT=A", "FPO=-5A", "ACT_EST_MAPPING=PRECISE", "FS=MRC", "CURRENCY=USD", "XLFILL=b")</f>
        <v>14.963503649635037</v>
      </c>
    </row>
    <row r="149" spans="1:14" x14ac:dyDescent="0.2">
      <c r="A149" s="8" t="s">
        <v>146</v>
      </c>
      <c r="B149" s="4" t="s">
        <v>147</v>
      </c>
      <c r="C149" s="4" t="s">
        <v>148</v>
      </c>
      <c r="D149" s="4"/>
      <c r="E149" s="9" t="str">
        <f>_xll.BQL("ALK US Equity", "OTHER_RENTALS_LANDING_FEES/1M", "FPT=A", "FPO=4A", "ACT_EST_MAPPING=PRECISE", "FS=MRC", "CURRENCY=USD", "XLFILL=b")</f>
        <v/>
      </c>
      <c r="F149" s="9">
        <f>_xll.BQL("ALK US Equity", "OTHER_RENTALS_LANDING_FEES/1M", "FPT=A", "FPO=3A", "ACT_EST_MAPPING=PRECISE", "FS=MRC", "CURRENCY=USD", "XLFILL=b")</f>
        <v>869.2260165758255</v>
      </c>
      <c r="G149" s="9">
        <f>_xll.BQL("ALK US Equity", "OTHER_RENTALS_LANDING_FEES/1M", "FPT=A", "FPO=2A", "ACT_EST_MAPPING=PRECISE", "FS=MRC", "CURRENCY=USD", "XLFILL=b")</f>
        <v>804.11582001487704</v>
      </c>
      <c r="H149" s="9">
        <f>_xll.BQL("ALK US Equity", "OTHER_RENTALS_LANDING_FEES/1M", "FPT=A", "FPO=1A", "ACT_EST_MAPPING=PRECISE", "FS=MRC", "CURRENCY=USD", "XLFILL=b")</f>
        <v>726.97738753804867</v>
      </c>
      <c r="I149" s="9">
        <f>_xll.BQL("ALK US Equity", "OTHER_RENTALS_LANDING_FEES/1M", "FPT=A", "FPO=0A", "ACT_EST_MAPPING=PRECISE", "FS=MRC", "CURRENCY=USD", "XLFILL=b")</f>
        <v>680</v>
      </c>
      <c r="J149" s="9">
        <f>_xll.BQL("ALK US Equity", "OTHER_RENTALS_LANDING_FEES/1M", "FPT=A", "FPO=-1A", "ACT_EST_MAPPING=PRECISE", "FS=MRC", "CURRENCY=USD", "XLFILL=b")</f>
        <v>581</v>
      </c>
      <c r="K149" s="9">
        <f>_xll.BQL("ALK US Equity", "OTHER_RENTALS_LANDING_FEES/1M", "FPT=A", "FPO=-2A", "ACT_EST_MAPPING=PRECISE", "FS=MRC", "CURRENCY=USD", "XLFILL=b")</f>
        <v>555</v>
      </c>
      <c r="L149" s="9">
        <f>_xll.BQL("ALK US Equity", "OTHER_RENTALS_LANDING_FEES/1M", "FPT=A", "FPO=-3A", "ACT_EST_MAPPING=PRECISE", "FS=MRC", "CURRENCY=USD", "XLFILL=b")</f>
        <v>417</v>
      </c>
      <c r="M149" s="9">
        <f>_xll.BQL("ALK US Equity", "OTHER_RENTALS_LANDING_FEES/1M", "FPT=A", "FPO=-4A", "ACT_EST_MAPPING=PRECISE", "FS=MRC", "CURRENCY=USD", "XLFILL=b")</f>
        <v>531</v>
      </c>
      <c r="N149" s="9">
        <f>_xll.BQL("ALK US Equity", "OTHER_RENTALS_LANDING_FEES/1M", "FPT=A", "FPO=-5A", "ACT_EST_MAPPING=PRECISE", "FS=MRC", "CURRENCY=USD", "XLFILL=b")</f>
        <v>499</v>
      </c>
    </row>
    <row r="150" spans="1:14" x14ac:dyDescent="0.2">
      <c r="A150" s="8" t="s">
        <v>64</v>
      </c>
      <c r="B150" s="4" t="s">
        <v>147</v>
      </c>
      <c r="C150" s="4" t="s">
        <v>148</v>
      </c>
      <c r="D150" s="4"/>
      <c r="E150" s="9" t="str">
        <f>_xll.BQL("ALK US Equity", "FA_GROWTH(OTHER_RENTALS_LANDING_FEES, YOY)", "FPT=A", "FPO=4A", "ACT_EST_MAPPING=PRECISE", "FS=MRC", "CURRENCY=USD", "XLFILL=b")</f>
        <v/>
      </c>
      <c r="F150" s="9">
        <f>_xll.BQL("ALK US Equity", "FA_GROWTH(OTHER_RENTALS_LANDING_FEES, YOY)", "FPT=A", "FPO=3A", "ACT_EST_MAPPING=PRECISE", "FS=MRC", "CURRENCY=USD", "XLFILL=b")</f>
        <v>8.0971167262626125</v>
      </c>
      <c r="G150" s="9">
        <f>_xll.BQL("ALK US Equity", "FA_GROWTH(OTHER_RENTALS_LANDING_FEES, YOY)", "FPT=A", "FPO=2A", "ACT_EST_MAPPING=PRECISE", "FS=MRC", "CURRENCY=USD", "XLFILL=b")</f>
        <v>10.610843445634845</v>
      </c>
      <c r="H150" s="9">
        <f>_xll.BQL("ALK US Equity", "FA_GROWTH(OTHER_RENTALS_LANDING_FEES, YOY)", "FPT=A", "FPO=1A", "ACT_EST_MAPPING=PRECISE", "FS=MRC", "CURRENCY=USD", "XLFILL=b")</f>
        <v>6.9084393438306808</v>
      </c>
      <c r="I150" s="9">
        <f>_xll.BQL("ALK US Equity", "FA_GROWTH(OTHER_RENTALS_LANDING_FEES, YOY)", "FPT=A", "FPO=0A", "ACT_EST_MAPPING=PRECISE", "FS=MRC", "CURRENCY=USD", "XLFILL=b")</f>
        <v>17.039586919104991</v>
      </c>
      <c r="J150" s="9">
        <f>_xll.BQL("ALK US Equity", "FA_GROWTH(OTHER_RENTALS_LANDING_FEES, YOY)", "FPT=A", "FPO=-1A", "ACT_EST_MAPPING=PRECISE", "FS=MRC", "CURRENCY=USD", "XLFILL=b")</f>
        <v>4.6846846846846848</v>
      </c>
      <c r="K150" s="9">
        <f>_xll.BQL("ALK US Equity", "FA_GROWTH(OTHER_RENTALS_LANDING_FEES, YOY)", "FPT=A", "FPO=-2A", "ACT_EST_MAPPING=PRECISE", "FS=MRC", "CURRENCY=USD", "XLFILL=b")</f>
        <v>33.093525179856115</v>
      </c>
      <c r="L150" s="9">
        <f>_xll.BQL("ALK US Equity", "FA_GROWTH(OTHER_RENTALS_LANDING_FEES, YOY)", "FPT=A", "FPO=-3A", "ACT_EST_MAPPING=PRECISE", "FS=MRC", "CURRENCY=USD", "XLFILL=b")</f>
        <v>-21.468926553672315</v>
      </c>
      <c r="M150" s="9">
        <f>_xll.BQL("ALK US Equity", "FA_GROWTH(OTHER_RENTALS_LANDING_FEES, YOY)", "FPT=A", "FPO=-4A", "ACT_EST_MAPPING=PRECISE", "FS=MRC", "CURRENCY=USD", "XLFILL=b")</f>
        <v>6.4128256513026054</v>
      </c>
      <c r="N150" s="9">
        <f>_xll.BQL("ALK US Equity", "FA_GROWTH(OTHER_RENTALS_LANDING_FEES, YOY)", "FPT=A", "FPO=-5A", "ACT_EST_MAPPING=PRECISE", "FS=MRC", "CURRENCY=USD", "XLFILL=b")</f>
        <v>8.4782608695652169</v>
      </c>
    </row>
    <row r="151" spans="1:14" x14ac:dyDescent="0.2">
      <c r="A151" s="8" t="s">
        <v>149</v>
      </c>
      <c r="B151" s="4" t="s">
        <v>150</v>
      </c>
      <c r="C151" s="4" t="s">
        <v>151</v>
      </c>
      <c r="D151" s="4"/>
      <c r="E151" s="9" t="str">
        <f>_xll.BQL("ALK US Equity", "IS_PROFESSIONAL_EXPENSES/1M", "FPT=A", "FPO=4A", "ACT_EST_MAPPING=PRECISE", "FS=MRC", "CURRENCY=USD", "XLFILL=b")</f>
        <v/>
      </c>
      <c r="F151" s="9">
        <f>_xll.BQL("ALK US Equity", "IS_PROFESSIONAL_EXPENSES/1M", "FPT=A", "FPO=3A", "ACT_EST_MAPPING=PRECISE", "FS=MRC", "CURRENCY=USD", "XLFILL=b")</f>
        <v>622.60022003388144</v>
      </c>
      <c r="G151" s="9">
        <f>_xll.BQL("ALK US Equity", "IS_PROFESSIONAL_EXPENSES/1M", "FPT=A", "FPO=2A", "ACT_EST_MAPPING=PRECISE", "FS=MRC", "CURRENCY=USD", "XLFILL=b")</f>
        <v>505.98278237375916</v>
      </c>
      <c r="H151" s="9">
        <f>_xll.BQL("ALK US Equity", "IS_PROFESSIONAL_EXPENSES/1M", "FPT=A", "FPO=1A", "ACT_EST_MAPPING=PRECISE", "FS=MRC", "CURRENCY=USD", "XLFILL=b")</f>
        <v>414.55784897347928</v>
      </c>
      <c r="I151" s="9">
        <f>_xll.BQL("ALK US Equity", "IS_PROFESSIONAL_EXPENSES/1M", "FPT=A", "FPO=0A", "ACT_EST_MAPPING=PRECISE", "FS=MRC", "CURRENCY=USD", "XLFILL=b")</f>
        <v>389</v>
      </c>
      <c r="J151" s="9">
        <f>_xll.BQL("ALK US Equity", "IS_PROFESSIONAL_EXPENSES/1M", "FPT=A", "FPO=-1A", "ACT_EST_MAPPING=PRECISE", "FS=MRC", "CURRENCY=USD", "XLFILL=b")</f>
        <v>329</v>
      </c>
      <c r="K151" s="9">
        <f>_xll.BQL("ALK US Equity", "IS_PROFESSIONAL_EXPENSES/1M", "FPT=A", "FPO=-2A", "ACT_EST_MAPPING=PRECISE", "FS=MRC", "CURRENCY=USD", "XLFILL=b")</f>
        <v>235</v>
      </c>
      <c r="L151" s="9">
        <f>_xll.BQL("ALK US Equity", "IS_PROFESSIONAL_EXPENSES/1M", "FPT=A", "FPO=-3A", "ACT_EST_MAPPING=PRECISE", "FS=MRC", "CURRENCY=USD", "XLFILL=b")</f>
        <v>181</v>
      </c>
      <c r="M151" s="9">
        <f>_xll.BQL("ALK US Equity", "IS_PROFESSIONAL_EXPENSES/1M", "FPT=A", "FPO=-4A", "ACT_EST_MAPPING=PRECISE", "FS=MRC", "CURRENCY=USD", "XLFILL=b")</f>
        <v>289</v>
      </c>
      <c r="N151" s="9">
        <f>_xll.BQL("ALK US Equity", "IS_PROFESSIONAL_EXPENSES/1M", "FPT=A", "FPO=-5A", "ACT_EST_MAPPING=PRECISE", "FS=MRC", "CURRENCY=USD", "XLFILL=b")</f>
        <v>306</v>
      </c>
    </row>
    <row r="152" spans="1:14" x14ac:dyDescent="0.2">
      <c r="A152" s="8" t="s">
        <v>64</v>
      </c>
      <c r="B152" s="4" t="s">
        <v>150</v>
      </c>
      <c r="C152" s="4" t="s">
        <v>151</v>
      </c>
      <c r="D152" s="4"/>
      <c r="E152" s="9" t="str">
        <f>_xll.BQL("ALK US Equity", "FA_GROWTH(IS_PROFESSIONAL_EXPENSES, YOY)", "FPT=A", "FPO=4A", "ACT_EST_MAPPING=PRECISE", "FS=MRC", "CURRENCY=USD", "XLFILL=b")</f>
        <v/>
      </c>
      <c r="F152" s="9">
        <f>_xll.BQL("ALK US Equity", "FA_GROWTH(IS_PROFESSIONAL_EXPENSES, YOY)", "FPT=A", "FPO=3A", "ACT_EST_MAPPING=PRECISE", "FS=MRC", "CURRENCY=USD", "XLFILL=b")</f>
        <v>23.047708681513861</v>
      </c>
      <c r="G152" s="9">
        <f>_xll.BQL("ALK US Equity", "FA_GROWTH(IS_PROFESSIONAL_EXPENSES, YOY)", "FPT=A", "FPO=2A", "ACT_EST_MAPPING=PRECISE", "FS=MRC", "CURRENCY=USD", "XLFILL=b")</f>
        <v>22.053600872993883</v>
      </c>
      <c r="H152" s="9">
        <f>_xll.BQL("ALK US Equity", "FA_GROWTH(IS_PROFESSIONAL_EXPENSES, YOY)", "FPT=A", "FPO=1A", "ACT_EST_MAPPING=PRECISE", "FS=MRC", "CURRENCY=USD", "XLFILL=b")</f>
        <v>6.5701411242877299</v>
      </c>
      <c r="I152" s="9">
        <f>_xll.BQL("ALK US Equity", "FA_GROWTH(IS_PROFESSIONAL_EXPENSES, YOY)", "FPT=A", "FPO=0A", "ACT_EST_MAPPING=PRECISE", "FS=MRC", "CURRENCY=USD", "XLFILL=b")</f>
        <v>18.237082066869302</v>
      </c>
      <c r="J152" s="9">
        <f>_xll.BQL("ALK US Equity", "FA_GROWTH(IS_PROFESSIONAL_EXPENSES, YOY)", "FPT=A", "FPO=-1A", "ACT_EST_MAPPING=PRECISE", "FS=MRC", "CURRENCY=USD", "XLFILL=b")</f>
        <v>40</v>
      </c>
      <c r="K152" s="9">
        <f>_xll.BQL("ALK US Equity", "FA_GROWTH(IS_PROFESSIONAL_EXPENSES, YOY)", "FPT=A", "FPO=-2A", "ACT_EST_MAPPING=PRECISE", "FS=MRC", "CURRENCY=USD", "XLFILL=b")</f>
        <v>29.834254143646408</v>
      </c>
      <c r="L152" s="9">
        <f>_xll.BQL("ALK US Equity", "FA_GROWTH(IS_PROFESSIONAL_EXPENSES, YOY)", "FPT=A", "FPO=-3A", "ACT_EST_MAPPING=PRECISE", "FS=MRC", "CURRENCY=USD", "XLFILL=b")</f>
        <v>-37.370242214532873</v>
      </c>
      <c r="M152" s="9">
        <f>_xll.BQL("ALK US Equity", "FA_GROWTH(IS_PROFESSIONAL_EXPENSES, YOY)", "FPT=A", "FPO=-4A", "ACT_EST_MAPPING=PRECISE", "FS=MRC", "CURRENCY=USD", "XLFILL=b")</f>
        <v>-5.5555555555555554</v>
      </c>
      <c r="N152" s="9">
        <f>_xll.BQL("ALK US Equity", "FA_GROWTH(IS_PROFESSIONAL_EXPENSES, YOY)", "FPT=A", "FPO=-5A", "ACT_EST_MAPPING=PRECISE", "FS=MRC", "CURRENCY=USD", "XLFILL=b")</f>
        <v>-2.5477707006369426</v>
      </c>
    </row>
    <row r="153" spans="1:14" x14ac:dyDescent="0.2">
      <c r="A153" s="8" t="s">
        <v>152</v>
      </c>
      <c r="B153" s="4" t="s">
        <v>153</v>
      </c>
      <c r="C153" s="4" t="s">
        <v>154</v>
      </c>
      <c r="D153" s="4"/>
      <c r="E153" s="9" t="str">
        <f>_xll.BQL("ALK US Equity", "CB_IS_S_AND_M_EXPENSE/1M", "FPT=A", "FPO=4A", "ACT_EST_MAPPING=PRECISE", "FS=MRC", "CURRENCY=USD", "XLFILL=b")</f>
        <v/>
      </c>
      <c r="F153" s="9">
        <f>_xll.BQL("ALK US Equity", "CB_IS_S_AND_M_EXPENSE/1M", "FPT=A", "FPO=3A", "ACT_EST_MAPPING=PRECISE", "FS=MRC", "CURRENCY=USD", "XLFILL=b")</f>
        <v>425.87831508573271</v>
      </c>
      <c r="G153" s="9">
        <f>_xll.BQL("ALK US Equity", "CB_IS_S_AND_M_EXPENSE/1M", "FPT=A", "FPO=2A", "ACT_EST_MAPPING=PRECISE", "FS=MRC", "CURRENCY=USD", "XLFILL=b")</f>
        <v>379.36159388988364</v>
      </c>
      <c r="H153" s="9">
        <f>_xll.BQL("ALK US Equity", "CB_IS_S_AND_M_EXPENSE/1M", "FPT=A", "FPO=1A", "ACT_EST_MAPPING=PRECISE", "FS=MRC", "CURRENCY=USD", "XLFILL=b")</f>
        <v>347.19659586449313</v>
      </c>
      <c r="I153" s="9">
        <f>_xll.BQL("ALK US Equity", "CB_IS_S_AND_M_EXPENSE/1M", "FPT=A", "FPO=0A", "ACT_EST_MAPPING=PRECISE", "FS=MRC", "CURRENCY=USD", "XLFILL=b")</f>
        <v>303</v>
      </c>
      <c r="J153" s="9">
        <f>_xll.BQL("ALK US Equity", "CB_IS_S_AND_M_EXPENSE/1M", "FPT=A", "FPO=-1A", "ACT_EST_MAPPING=PRECISE", "FS=MRC", "CURRENCY=USD", "XLFILL=b")</f>
        <v>295</v>
      </c>
      <c r="K153" s="9">
        <f>_xll.BQL("ALK US Equity", "CB_IS_S_AND_M_EXPENSE/1M", "FPT=A", "FPO=-2A", "ACT_EST_MAPPING=PRECISE", "FS=MRC", "CURRENCY=USD", "XLFILL=b")</f>
        <v>173</v>
      </c>
      <c r="L153" s="9">
        <f>_xll.BQL("ALK US Equity", "CB_IS_S_AND_M_EXPENSE/1M", "FPT=A", "FPO=-3A", "ACT_EST_MAPPING=PRECISE", "FS=MRC", "CURRENCY=USD", "XLFILL=b")</f>
        <v>101</v>
      </c>
      <c r="M153" s="9">
        <f>_xll.BQL("ALK US Equity", "CB_IS_S_AND_M_EXPENSE/1M", "FPT=A", "FPO=-4A", "ACT_EST_MAPPING=PRECISE", "FS=MRC", "CURRENCY=USD", "XLFILL=b")</f>
        <v>313</v>
      </c>
      <c r="N153" s="9">
        <f>_xll.BQL("ALK US Equity", "CB_IS_S_AND_M_EXPENSE/1M", "FPT=A", "FPO=-5A", "ACT_EST_MAPPING=PRECISE", "FS=MRC", "CURRENCY=USD", "XLFILL=b")</f>
        <v>326</v>
      </c>
    </row>
    <row r="154" spans="1:14" x14ac:dyDescent="0.2">
      <c r="A154" s="8" t="s">
        <v>64</v>
      </c>
      <c r="B154" s="4" t="s">
        <v>153</v>
      </c>
      <c r="C154" s="4" t="s">
        <v>154</v>
      </c>
      <c r="D154" s="4"/>
      <c r="E154" s="9" t="str">
        <f>_xll.BQL("ALK US Equity", "FA_GROWTH(CB_IS_S_AND_M_EXPENSE, YOY)", "FPT=A", "FPO=4A", "ACT_EST_MAPPING=PRECISE", "FS=MRC", "CURRENCY=USD", "XLFILL=b")</f>
        <v/>
      </c>
      <c r="F154" s="9">
        <f>_xll.BQL("ALK US Equity", "FA_GROWTH(CB_IS_S_AND_M_EXPENSE, YOY)", "FPT=A", "FPO=3A", "ACT_EST_MAPPING=PRECISE", "FS=MRC", "CURRENCY=USD", "XLFILL=b")</f>
        <v>12.261842512542625</v>
      </c>
      <c r="G154" s="9">
        <f>_xll.BQL("ALK US Equity", "FA_GROWTH(CB_IS_S_AND_M_EXPENSE, YOY)", "FPT=A", "FPO=2A", "ACT_EST_MAPPING=PRECISE", "FS=MRC", "CURRENCY=USD", "XLFILL=b")</f>
        <v>9.2642031657315371</v>
      </c>
      <c r="H154" s="9">
        <f>_xll.BQL("ALK US Equity", "FA_GROWTH(CB_IS_S_AND_M_EXPENSE, YOY)", "FPT=A", "FPO=1A", "ACT_EST_MAPPING=PRECISE", "FS=MRC", "CURRENCY=USD", "XLFILL=b")</f>
        <v>14.586335268809615</v>
      </c>
      <c r="I154" s="9">
        <f>_xll.BQL("ALK US Equity", "FA_GROWTH(CB_IS_S_AND_M_EXPENSE, YOY)", "FPT=A", "FPO=0A", "ACT_EST_MAPPING=PRECISE", "FS=MRC", "CURRENCY=USD", "XLFILL=b")</f>
        <v>2.7118644067796609</v>
      </c>
      <c r="J154" s="9">
        <f>_xll.BQL("ALK US Equity", "FA_GROWTH(CB_IS_S_AND_M_EXPENSE, YOY)", "FPT=A", "FPO=-1A", "ACT_EST_MAPPING=PRECISE", "FS=MRC", "CURRENCY=USD", "XLFILL=b")</f>
        <v>70.520231213872833</v>
      </c>
      <c r="K154" s="9">
        <f>_xll.BQL("ALK US Equity", "FA_GROWTH(CB_IS_S_AND_M_EXPENSE, YOY)", "FPT=A", "FPO=-2A", "ACT_EST_MAPPING=PRECISE", "FS=MRC", "CURRENCY=USD", "XLFILL=b")</f>
        <v>71.287128712871294</v>
      </c>
      <c r="L154" s="9">
        <f>_xll.BQL("ALK US Equity", "FA_GROWTH(CB_IS_S_AND_M_EXPENSE, YOY)", "FPT=A", "FPO=-3A", "ACT_EST_MAPPING=PRECISE", "FS=MRC", "CURRENCY=USD", "XLFILL=b")</f>
        <v>-67.731629392971243</v>
      </c>
      <c r="M154" s="9">
        <f>_xll.BQL("ALK US Equity", "FA_GROWTH(CB_IS_S_AND_M_EXPENSE, YOY)", "FPT=A", "FPO=-4A", "ACT_EST_MAPPING=PRECISE", "FS=MRC", "CURRENCY=USD", "XLFILL=b")</f>
        <v>-3.9877300613496933</v>
      </c>
      <c r="N154" s="9">
        <f>_xll.BQL("ALK US Equity", "FA_GROWTH(CB_IS_S_AND_M_EXPENSE, YOY)", "FPT=A", "FPO=-5A", "ACT_EST_MAPPING=PRECISE", "FS=MRC", "CURRENCY=USD", "XLFILL=b")</f>
        <v>-11.413043478260869</v>
      </c>
    </row>
    <row r="155" spans="1:14" x14ac:dyDescent="0.2">
      <c r="A155" s="8" t="s">
        <v>155</v>
      </c>
      <c r="B155" s="4" t="s">
        <v>156</v>
      </c>
      <c r="C155" s="4" t="s">
        <v>157</v>
      </c>
      <c r="D155" s="4"/>
      <c r="E155" s="9" t="str">
        <f>_xll.BQL("ALK US Equity", "IS_D_AND_A_GAAP/1M", "FPT=A", "FPO=4A", "ACT_EST_MAPPING=PRECISE", "FS=MRC", "CURRENCY=USD", "XLFILL=b")</f>
        <v/>
      </c>
      <c r="F155" s="9">
        <f>_xll.BQL("ALK US Equity", "IS_D_AND_A_GAAP/1M", "FPT=A", "FPO=3A", "ACT_EST_MAPPING=PRECISE", "FS=MRC", "CURRENCY=USD", "XLFILL=b")</f>
        <v>621.77941386689326</v>
      </c>
      <c r="G155" s="9">
        <f>_xll.BQL("ALK US Equity", "IS_D_AND_A_GAAP/1M", "FPT=A", "FPO=2A", "ACT_EST_MAPPING=PRECISE", "FS=MRC", "CURRENCY=USD", "XLFILL=b")</f>
        <v>548.77064786999995</v>
      </c>
      <c r="H155" s="9">
        <f>_xll.BQL("ALK US Equity", "IS_D_AND_A_GAAP/1M", "FPT=A", "FPO=1A", "ACT_EST_MAPPING=PRECISE", "FS=MRC", "CURRENCY=USD", "XLFILL=b")</f>
        <v>516.89871970000002</v>
      </c>
      <c r="I155" s="9">
        <f>_xll.BQL("ALK US Equity", "IS_D_AND_A_GAAP/1M", "FPT=A", "FPO=0A", "ACT_EST_MAPPING=PRECISE", "FS=MRC", "CURRENCY=USD", "XLFILL=b")</f>
        <v>451</v>
      </c>
      <c r="J155" s="9">
        <f>_xll.BQL("ALK US Equity", "IS_D_AND_A_GAAP/1M", "FPT=A", "FPO=-1A", "ACT_EST_MAPPING=PRECISE", "FS=MRC", "CURRENCY=USD", "XLFILL=b")</f>
        <v>415</v>
      </c>
      <c r="K155" s="9">
        <f>_xll.BQL("ALK US Equity", "IS_D_AND_A_GAAP/1M", "FPT=A", "FPO=-2A", "ACT_EST_MAPPING=PRECISE", "FS=MRC", "CURRENCY=USD", "XLFILL=b")</f>
        <v>394</v>
      </c>
      <c r="L155" s="9">
        <f>_xll.BQL("ALK US Equity", "IS_D_AND_A_GAAP/1M", "FPT=A", "FPO=-3A", "ACT_EST_MAPPING=PRECISE", "FS=MRC", "CURRENCY=USD", "XLFILL=b")</f>
        <v>420</v>
      </c>
      <c r="M155" s="9">
        <f>_xll.BQL("ALK US Equity", "IS_D_AND_A_GAAP/1M", "FPT=A", "FPO=-4A", "ACT_EST_MAPPING=PRECISE", "FS=MRC", "CURRENCY=USD", "XLFILL=b")</f>
        <v>423</v>
      </c>
      <c r="N155" s="9">
        <f>_xll.BQL("ALK US Equity", "IS_D_AND_A_GAAP/1M", "FPT=A", "FPO=-5A", "ACT_EST_MAPPING=PRECISE", "FS=MRC", "CURRENCY=USD", "XLFILL=b")</f>
        <v>398</v>
      </c>
    </row>
    <row r="156" spans="1:14" x14ac:dyDescent="0.2">
      <c r="A156" s="8" t="s">
        <v>64</v>
      </c>
      <c r="B156" s="4" t="s">
        <v>156</v>
      </c>
      <c r="C156" s="4" t="s">
        <v>157</v>
      </c>
      <c r="D156" s="4"/>
      <c r="E156" s="9" t="str">
        <f>_xll.BQL("ALK US Equity", "FA_GROWTH(IS_D_AND_A_GAAP, YOY)", "FPT=A", "FPO=4A", "ACT_EST_MAPPING=PRECISE", "FS=MRC", "CURRENCY=USD", "XLFILL=b")</f>
        <v/>
      </c>
      <c r="F156" s="9">
        <f>_xll.BQL("ALK US Equity", "FA_GROWTH(IS_D_AND_A_GAAP, YOY)", "FPT=A", "FPO=3A", "ACT_EST_MAPPING=PRECISE", "FS=MRC", "CURRENCY=USD", "XLFILL=b")</f>
        <v>13.304058130709018</v>
      </c>
      <c r="G156" s="9">
        <f>_xll.BQL("ALK US Equity", "FA_GROWTH(IS_D_AND_A_GAAP, YOY)", "FPT=A", "FPO=2A", "ACT_EST_MAPPING=PRECISE", "FS=MRC", "CURRENCY=USD", "XLFILL=b")</f>
        <v>6.1659909292284558</v>
      </c>
      <c r="H156" s="9">
        <f>_xll.BQL("ALK US Equity", "FA_GROWTH(IS_D_AND_A_GAAP, YOY)", "FPT=A", "FPO=1A", "ACT_EST_MAPPING=PRECISE", "FS=MRC", "CURRENCY=USD", "XLFILL=b")</f>
        <v>14.61168951219512</v>
      </c>
      <c r="I156" s="9">
        <f>_xll.BQL("ALK US Equity", "FA_GROWTH(IS_D_AND_A_GAAP, YOY)", "FPT=A", "FPO=0A", "ACT_EST_MAPPING=PRECISE", "FS=MRC", "CURRENCY=USD", "XLFILL=b")</f>
        <v>8.6746987951807224</v>
      </c>
      <c r="J156" s="9">
        <f>_xll.BQL("ALK US Equity", "FA_GROWTH(IS_D_AND_A_GAAP, YOY)", "FPT=A", "FPO=-1A", "ACT_EST_MAPPING=PRECISE", "FS=MRC", "CURRENCY=USD", "XLFILL=b")</f>
        <v>5.3299492385786804</v>
      </c>
      <c r="K156" s="9">
        <f>_xll.BQL("ALK US Equity", "FA_GROWTH(IS_D_AND_A_GAAP, YOY)", "FPT=A", "FPO=-2A", "ACT_EST_MAPPING=PRECISE", "FS=MRC", "CURRENCY=USD", "XLFILL=b")</f>
        <v>-6.1904761904761907</v>
      </c>
      <c r="L156" s="9">
        <f>_xll.BQL("ALK US Equity", "FA_GROWTH(IS_D_AND_A_GAAP, YOY)", "FPT=A", "FPO=-3A", "ACT_EST_MAPPING=PRECISE", "FS=MRC", "CURRENCY=USD", "XLFILL=b")</f>
        <v>-0.70921985815602839</v>
      </c>
      <c r="M156" s="9">
        <f>_xll.BQL("ALK US Equity", "FA_GROWTH(IS_D_AND_A_GAAP, YOY)", "FPT=A", "FPO=-4A", "ACT_EST_MAPPING=PRECISE", "FS=MRC", "CURRENCY=USD", "XLFILL=b")</f>
        <v>6.2814070351758797</v>
      </c>
      <c r="N156" s="9">
        <f>_xll.BQL("ALK US Equity", "FA_GROWTH(IS_D_AND_A_GAAP, YOY)", "FPT=A", "FPO=-5A", "ACT_EST_MAPPING=PRECISE", "FS=MRC", "CURRENCY=USD", "XLFILL=b")</f>
        <v>6.989247311827957</v>
      </c>
    </row>
    <row r="157" spans="1:14" x14ac:dyDescent="0.2">
      <c r="A157" s="8" t="s">
        <v>158</v>
      </c>
      <c r="B157" s="4" t="s">
        <v>159</v>
      </c>
      <c r="C157" s="4" t="s">
        <v>160</v>
      </c>
      <c r="D157" s="4"/>
      <c r="E157" s="9" t="str">
        <f>_xll.BQL("ALK US Equity", "CB_IS_PASSENGER_SERVICE_COST/1M", "FPT=A", "FPO=4A", "ACT_EST_MAPPING=PRECISE", "FS=MRC", "CURRENCY=USD", "XLFILL=b")</f>
        <v/>
      </c>
      <c r="F157" s="9">
        <f>_xll.BQL("ALK US Equity", "CB_IS_PASSENGER_SERVICE_COST/1M", "FPT=A", "FPO=3A", "ACT_EST_MAPPING=PRECISE", "FS=MRC", "CURRENCY=USD", "XLFILL=b")</f>
        <v>433.76597338900001</v>
      </c>
      <c r="G157" s="9">
        <f>_xll.BQL("ALK US Equity", "CB_IS_PASSENGER_SERVICE_COST/1M", "FPT=A", "FPO=2A", "ACT_EST_MAPPING=PRECISE", "FS=MRC", "CURRENCY=USD", "XLFILL=b")</f>
        <v>269.15721650500001</v>
      </c>
      <c r="H157" s="9">
        <f>_xll.BQL("ALK US Equity", "CB_IS_PASSENGER_SERVICE_COST/1M", "FPT=A", "FPO=1A", "ACT_EST_MAPPING=PRECISE", "FS=MRC", "CURRENCY=USD", "XLFILL=b")</f>
        <v>254.84068399999998</v>
      </c>
      <c r="I157" s="9">
        <f>_xll.BQL("ALK US Equity", "CB_IS_PASSENGER_SERVICE_COST/1M", "FPT=A", "FPO=0A", "ACT_EST_MAPPING=PRECISE", "FS=MRC", "CURRENCY=USD", "XLFILL=b")</f>
        <v>241</v>
      </c>
      <c r="J157" s="9">
        <f>_xll.BQL("ALK US Equity", "CB_IS_PASSENGER_SERVICE_COST/1M", "FPT=A", "FPO=-1A", "ACT_EST_MAPPING=PRECISE", "FS=MRC", "CURRENCY=USD", "XLFILL=b")</f>
        <v>197</v>
      </c>
      <c r="K157" s="9">
        <f>_xll.BQL("ALK US Equity", "CB_IS_PASSENGER_SERVICE_COST/1M", "FPT=A", "FPO=-2A", "ACT_EST_MAPPING=PRECISE", "FS=MRC", "CURRENCY=USD", "XLFILL=b")</f>
        <v>139</v>
      </c>
      <c r="L157" s="9">
        <f>_xll.BQL("ALK US Equity", "CB_IS_PASSENGER_SERVICE_COST/1M", "FPT=A", "FPO=-3A", "ACT_EST_MAPPING=PRECISE", "FS=MRC", "CURRENCY=USD", "XLFILL=b")</f>
        <v>90</v>
      </c>
      <c r="M157" s="9">
        <f>_xll.BQL("ALK US Equity", "CB_IS_PASSENGER_SERVICE_COST/1M", "FPT=A", "FPO=-4A", "ACT_EST_MAPPING=PRECISE", "FS=MRC", "CURRENCY=USD", "XLFILL=b")</f>
        <v>214</v>
      </c>
      <c r="N157" s="9">
        <f>_xll.BQL("ALK US Equity", "CB_IS_PASSENGER_SERVICE_COST/1M", "FPT=A", "FPO=-5A", "ACT_EST_MAPPING=PRECISE", "FS=MRC", "CURRENCY=USD", "XLFILL=b")</f>
        <v>211</v>
      </c>
    </row>
    <row r="158" spans="1:14" x14ac:dyDescent="0.2">
      <c r="A158" s="8" t="s">
        <v>64</v>
      </c>
      <c r="B158" s="4" t="s">
        <v>159</v>
      </c>
      <c r="C158" s="4" t="s">
        <v>160</v>
      </c>
      <c r="D158" s="4"/>
      <c r="E158" s="9" t="str">
        <f>_xll.BQL("ALK US Equity", "FA_GROWTH(CB_IS_PASSENGER_SERVICE_COST, YOY)", "FPT=A", "FPO=4A", "ACT_EST_MAPPING=PRECISE", "FS=MRC", "CURRENCY=USD", "XLFILL=b")</f>
        <v/>
      </c>
      <c r="F158" s="9">
        <f>_xll.BQL("ALK US Equity", "FA_GROWTH(CB_IS_PASSENGER_SERVICE_COST, YOY)", "FPT=A", "FPO=3A", "ACT_EST_MAPPING=PRECISE", "FS=MRC", "CURRENCY=USD", "XLFILL=b")</f>
        <v>61.157103280172372</v>
      </c>
      <c r="G158" s="9">
        <f>_xll.BQL("ALK US Equity", "FA_GROWTH(CB_IS_PASSENGER_SERVICE_COST, YOY)", "FPT=A", "FPO=2A", "ACT_EST_MAPPING=PRECISE", "FS=MRC", "CURRENCY=USD", "XLFILL=b")</f>
        <v>5.6178363204361927</v>
      </c>
      <c r="H158" s="9">
        <f>_xll.BQL("ALK US Equity", "FA_GROWTH(CB_IS_PASSENGER_SERVICE_COST, YOY)", "FPT=A", "FPO=1A", "ACT_EST_MAPPING=PRECISE", "FS=MRC", "CURRENCY=USD", "XLFILL=b")</f>
        <v>5.7430224066389925</v>
      </c>
      <c r="I158" s="9">
        <f>_xll.BQL("ALK US Equity", "FA_GROWTH(CB_IS_PASSENGER_SERVICE_COST, YOY)", "FPT=A", "FPO=0A", "ACT_EST_MAPPING=PRECISE", "FS=MRC", "CURRENCY=USD", "XLFILL=b")</f>
        <v>22.335025380710661</v>
      </c>
      <c r="J158" s="9">
        <f>_xll.BQL("ALK US Equity", "FA_GROWTH(CB_IS_PASSENGER_SERVICE_COST, YOY)", "FPT=A", "FPO=-1A", "ACT_EST_MAPPING=PRECISE", "FS=MRC", "CURRENCY=USD", "XLFILL=b")</f>
        <v>41.726618705035975</v>
      </c>
      <c r="K158" s="9">
        <f>_xll.BQL("ALK US Equity", "FA_GROWTH(CB_IS_PASSENGER_SERVICE_COST, YOY)", "FPT=A", "FPO=-2A", "ACT_EST_MAPPING=PRECISE", "FS=MRC", "CURRENCY=USD", "XLFILL=b")</f>
        <v>54.444444444444443</v>
      </c>
      <c r="L158" s="9">
        <f>_xll.BQL("ALK US Equity", "FA_GROWTH(CB_IS_PASSENGER_SERVICE_COST, YOY)", "FPT=A", "FPO=-3A", "ACT_EST_MAPPING=PRECISE", "FS=MRC", "CURRENCY=USD", "XLFILL=b")</f>
        <v>-57.943925233644862</v>
      </c>
      <c r="M158" s="9">
        <f>_xll.BQL("ALK US Equity", "FA_GROWTH(CB_IS_PASSENGER_SERVICE_COST, YOY)", "FPT=A", "FPO=-4A", "ACT_EST_MAPPING=PRECISE", "FS=MRC", "CURRENCY=USD", "XLFILL=b")</f>
        <v>1.4218009478672986</v>
      </c>
      <c r="N158" s="9">
        <f>_xll.BQL("ALK US Equity", "FA_GROWTH(CB_IS_PASSENGER_SERVICE_COST, YOY)", "FPT=A", "FPO=-5A", "ACT_EST_MAPPING=PRECISE", "FS=MRC", "CURRENCY=USD", "XLFILL=b")</f>
        <v>8.2051282051282044</v>
      </c>
    </row>
    <row r="159" spans="1:14" x14ac:dyDescent="0.2">
      <c r="A159" s="8" t="s">
        <v>161</v>
      </c>
      <c r="B159" s="4" t="s">
        <v>162</v>
      </c>
      <c r="C159" s="4" t="s">
        <v>163</v>
      </c>
      <c r="D159" s="4"/>
      <c r="E159" s="9" t="str">
        <f>_xll.BQL("ALK US Equity", "IS_REGIONAL_CAPACITY_PURCH_EXPN/1M", "FPT=A", "FPO=4A", "ACT_EST_MAPPING=PRECISE", "FS=MRC", "CURRENCY=USD", "XLFILL=b")</f>
        <v/>
      </c>
      <c r="F159" s="9" t="str">
        <f>_xll.BQL("ALK US Equity", "IS_REGIONAL_CAPACITY_PURCH_EXPN/1M", "FPT=A", "FPO=3A", "ACT_EST_MAPPING=PRECISE", "FS=MRC", "CURRENCY=USD", "XLFILL=b")</f>
        <v/>
      </c>
      <c r="G159" s="9">
        <f>_xll.BQL("ALK US Equity", "IS_REGIONAL_CAPACITY_PURCH_EXPN/1M", "FPT=A", "FPO=2A", "ACT_EST_MAPPING=PRECISE", "FS=MRC", "CURRENCY=USD", "XLFILL=b")</f>
        <v>165.6200546</v>
      </c>
      <c r="H159" s="9">
        <f>_xll.BQL("ALK US Equity", "IS_REGIONAL_CAPACITY_PURCH_EXPN/1M", "FPT=A", "FPO=1A", "ACT_EST_MAPPING=PRECISE", "FS=MRC", "CURRENCY=USD", "XLFILL=b")</f>
        <v>175.8216075</v>
      </c>
      <c r="I159" s="9">
        <f>_xll.BQL("ALK US Equity", "IS_REGIONAL_CAPACITY_PURCH_EXPN/1M", "FPT=A", "FPO=0A", "ACT_EST_MAPPING=PRECISE", "FS=MRC", "CURRENCY=USD", "XLFILL=b")</f>
        <v>218</v>
      </c>
      <c r="J159" s="9">
        <f>_xll.BQL("ALK US Equity", "IS_REGIONAL_CAPACITY_PURCH_EXPN/1M", "FPT=A", "FPO=-1A", "ACT_EST_MAPPING=PRECISE", "FS=MRC", "CURRENCY=USD", "XLFILL=b")</f>
        <v>182</v>
      </c>
      <c r="K159" s="9">
        <f>_xll.BQL("ALK US Equity", "IS_REGIONAL_CAPACITY_PURCH_EXPN/1M", "FPT=A", "FPO=-2A", "ACT_EST_MAPPING=PRECISE", "FS=MRC", "CURRENCY=USD", "XLFILL=b")</f>
        <v>147</v>
      </c>
      <c r="L159" s="9">
        <f>_xll.BQL("ALK US Equity", "IS_REGIONAL_CAPACITY_PURCH_EXPN/1M", "FPT=A", "FPO=-3A", "ACT_EST_MAPPING=PRECISE", "FS=MRC", "CURRENCY=USD", "XLFILL=b")</f>
        <v>128</v>
      </c>
      <c r="M159" s="9">
        <f>_xll.BQL("ALK US Equity", "IS_REGIONAL_CAPACITY_PURCH_EXPN/1M", "FPT=A", "FPO=-4A", "ACT_EST_MAPPING=PRECISE", "FS=MRC", "CURRENCY=USD", "XLFILL=b")</f>
        <v>166</v>
      </c>
      <c r="N159" s="9">
        <f>_xll.BQL("ALK US Equity", "IS_REGIONAL_CAPACITY_PURCH_EXPN/1M", "FPT=A", "FPO=-5A", "ACT_EST_MAPPING=PRECISE", "FS=MRC", "CURRENCY=USD", "XLFILL=b")</f>
        <v>154</v>
      </c>
    </row>
    <row r="160" spans="1:14" x14ac:dyDescent="0.2">
      <c r="A160" s="8" t="s">
        <v>64</v>
      </c>
      <c r="B160" s="4" t="s">
        <v>162</v>
      </c>
      <c r="C160" s="4" t="s">
        <v>163</v>
      </c>
      <c r="D160" s="4"/>
      <c r="E160" s="9" t="str">
        <f>_xll.BQL("ALK US Equity", "FA_GROWTH(IS_REGIONAL_CAPACITY_PURCH_EXPN, YOY)", "FPT=A", "FPO=4A", "ACT_EST_MAPPING=PRECISE", "FS=MRC", "CURRENCY=USD", "XLFILL=b")</f>
        <v/>
      </c>
      <c r="F160" s="9" t="str">
        <f>_xll.BQL("ALK US Equity", "FA_GROWTH(IS_REGIONAL_CAPACITY_PURCH_EXPN, YOY)", "FPT=A", "FPO=3A", "ACT_EST_MAPPING=PRECISE", "FS=MRC", "CURRENCY=USD", "XLFILL=b")</f>
        <v/>
      </c>
      <c r="G160" s="9">
        <f>_xll.BQL("ALK US Equity", "FA_GROWTH(IS_REGIONAL_CAPACITY_PURCH_EXPN, YOY)", "FPT=A", "FPO=2A", "ACT_EST_MAPPING=PRECISE", "FS=MRC", "CURRENCY=USD", "XLFILL=b")</f>
        <v>-5.8022179668673575</v>
      </c>
      <c r="H160" s="9">
        <f>_xll.BQL("ALK US Equity", "FA_GROWTH(IS_REGIONAL_CAPACITY_PURCH_EXPN, YOY)", "FPT=A", "FPO=1A", "ACT_EST_MAPPING=PRECISE", "FS=MRC", "CURRENCY=USD", "XLFILL=b")</f>
        <v>-19.347886467889907</v>
      </c>
      <c r="I160" s="9">
        <f>_xll.BQL("ALK US Equity", "FA_GROWTH(IS_REGIONAL_CAPACITY_PURCH_EXPN, YOY)", "FPT=A", "FPO=0A", "ACT_EST_MAPPING=PRECISE", "FS=MRC", "CURRENCY=USD", "XLFILL=b")</f>
        <v>19.780219780219781</v>
      </c>
      <c r="J160" s="9">
        <f>_xll.BQL("ALK US Equity", "FA_GROWTH(IS_REGIONAL_CAPACITY_PURCH_EXPN, YOY)", "FPT=A", "FPO=-1A", "ACT_EST_MAPPING=PRECISE", "FS=MRC", "CURRENCY=USD", "XLFILL=b")</f>
        <v>23.80952380952381</v>
      </c>
      <c r="K160" s="9">
        <f>_xll.BQL("ALK US Equity", "FA_GROWTH(IS_REGIONAL_CAPACITY_PURCH_EXPN, YOY)", "FPT=A", "FPO=-2A", "ACT_EST_MAPPING=PRECISE", "FS=MRC", "CURRENCY=USD", "XLFILL=b")</f>
        <v>14.84375</v>
      </c>
      <c r="L160" s="9">
        <f>_xll.BQL("ALK US Equity", "FA_GROWTH(IS_REGIONAL_CAPACITY_PURCH_EXPN, YOY)", "FPT=A", "FPO=-3A", "ACT_EST_MAPPING=PRECISE", "FS=MRC", "CURRENCY=USD", "XLFILL=b")</f>
        <v>-22.891566265060241</v>
      </c>
      <c r="M160" s="9">
        <f>_xll.BQL("ALK US Equity", "FA_GROWTH(IS_REGIONAL_CAPACITY_PURCH_EXPN, YOY)", "FPT=A", "FPO=-4A", "ACT_EST_MAPPING=PRECISE", "FS=MRC", "CURRENCY=USD", "XLFILL=b")</f>
        <v>7.7922077922077921</v>
      </c>
      <c r="N160" s="9">
        <f>_xll.BQL("ALK US Equity", "FA_GROWTH(IS_REGIONAL_CAPACITY_PURCH_EXPN, YOY)", "FPT=A", "FPO=-5A", "ACT_EST_MAPPING=PRECISE", "FS=MRC", "CURRENCY=USD", "XLFILL=b")</f>
        <v>27.272727272727273</v>
      </c>
    </row>
    <row r="161" spans="1:14" x14ac:dyDescent="0.2">
      <c r="A161" s="8" t="s">
        <v>164</v>
      </c>
      <c r="B161" s="4" t="s">
        <v>165</v>
      </c>
      <c r="C161" s="4"/>
      <c r="D161" s="4"/>
      <c r="E161" s="9" t="str">
        <f>_xll.BQL("ALK US Equity", "IS_OTHER_ONE_TIME_ITEMS/1M", "FPT=A", "FPO=4A", "ACT_EST_MAPPING=PRECISE", "FS=MRC", "CURRENCY=USD", "XLFILL=b")</f>
        <v/>
      </c>
      <c r="F161" s="9">
        <f>_xll.BQL("ALK US Equity", "IS_OTHER_ONE_TIME_ITEMS/1M", "FPT=A", "FPO=3A", "ACT_EST_MAPPING=PRECISE", "FS=MRC", "CURRENCY=USD", "XLFILL=b")</f>
        <v>0</v>
      </c>
      <c r="G161" s="9">
        <f>_xll.BQL("ALK US Equity", "IS_OTHER_ONE_TIME_ITEMS/1M", "FPT=A", "FPO=2A", "ACT_EST_MAPPING=PRECISE", "FS=MRC", "CURRENCY=USD", "XLFILL=b")</f>
        <v>0</v>
      </c>
      <c r="H161" s="9">
        <f>_xll.BQL("ALK US Equity", "IS_OTHER_ONE_TIME_ITEMS/1M", "FPT=A", "FPO=1A", "ACT_EST_MAPPING=PRECISE", "FS=MRC", "CURRENCY=USD", "XLFILL=b")</f>
        <v>172.66666666666666</v>
      </c>
      <c r="I161" s="9">
        <f>_xll.BQL("ALK US Equity", "IS_OTHER_ONE_TIME_ITEMS/1M", "FPT=A", "FPO=0A", "ACT_EST_MAPPING=PRECISE", "FS=MRC", "CURRENCY=USD", "XLFILL=b")</f>
        <v>461</v>
      </c>
      <c r="J161" s="9">
        <f>_xll.BQL("ALK US Equity", "IS_OTHER_ONE_TIME_ITEMS/1M", "FPT=A", "FPO=-1A", "ACT_EST_MAPPING=PRECISE", "FS=MRC", "CURRENCY=USD", "XLFILL=b")</f>
        <v>580</v>
      </c>
      <c r="K161" s="9">
        <f>_xll.BQL("ALK US Equity", "IS_OTHER_ONE_TIME_ITEMS/1M", "FPT=A", "FPO=-2A", "ACT_EST_MAPPING=PRECISE", "FS=MRC", "CURRENCY=USD", "XLFILL=b")</f>
        <v>-925</v>
      </c>
      <c r="L161" s="9">
        <f>_xll.BQL("ALK US Equity", "IS_OTHER_ONE_TIME_ITEMS/1M", "FPT=A", "FPO=-3A", "ACT_EST_MAPPING=PRECISE", "FS=MRC", "CURRENCY=USD", "XLFILL=b")</f>
        <v>97</v>
      </c>
      <c r="M161" s="9">
        <f>_xll.BQL("ALK US Equity", "IS_OTHER_ONE_TIME_ITEMS/1M", "FPT=A", "FPO=-4A", "ACT_EST_MAPPING=PRECISE", "FS=MRC", "CURRENCY=USD", "XLFILL=b")</f>
        <v>44</v>
      </c>
      <c r="N161" s="9">
        <f>_xll.BQL("ALK US Equity", "IS_OTHER_ONE_TIME_ITEMS/1M", "FPT=A", "FPO=-5A", "ACT_EST_MAPPING=PRECISE", "FS=MRC", "CURRENCY=USD", "XLFILL=b")</f>
        <v>45</v>
      </c>
    </row>
    <row r="162" spans="1:14" x14ac:dyDescent="0.2">
      <c r="A162" s="8" t="s">
        <v>64</v>
      </c>
      <c r="B162" s="4" t="s">
        <v>165</v>
      </c>
      <c r="C162" s="4"/>
      <c r="D162" s="4"/>
      <c r="E162" s="9" t="str">
        <f>_xll.BQL("ALK US Equity", "FA_GROWTH(IS_OTHER_ONE_TIME_ITEMS, YOY)", "FPT=A", "FPO=4A", "ACT_EST_MAPPING=PRECISE", "FS=MRC", "CURRENCY=USD", "XLFILL=b")</f>
        <v/>
      </c>
      <c r="F162" s="9" t="str">
        <f>_xll.BQL("ALK US Equity", "FA_GROWTH(IS_OTHER_ONE_TIME_ITEMS, YOY)", "FPT=A", "FPO=3A", "ACT_EST_MAPPING=PRECISE", "FS=MRC", "CURRENCY=USD", "XLFILL=b")</f>
        <v/>
      </c>
      <c r="G162" s="9">
        <f>_xll.BQL("ALK US Equity", "FA_GROWTH(IS_OTHER_ONE_TIME_ITEMS, YOY)", "FPT=A", "FPO=2A", "ACT_EST_MAPPING=PRECISE", "FS=MRC", "CURRENCY=USD", "XLFILL=b")</f>
        <v>-99.999999999999986</v>
      </c>
      <c r="H162" s="9">
        <f>_xll.BQL("ALK US Equity", "FA_GROWTH(IS_OTHER_ONE_TIME_ITEMS, YOY)", "FPT=A", "FPO=1A", "ACT_EST_MAPPING=PRECISE", "FS=MRC", "CURRENCY=USD", "XLFILL=b")</f>
        <v>-62.545191612436739</v>
      </c>
      <c r="I162" s="9">
        <f>_xll.BQL("ALK US Equity", "FA_GROWTH(IS_OTHER_ONE_TIME_ITEMS, YOY)", "FPT=A", "FPO=0A", "ACT_EST_MAPPING=PRECISE", "FS=MRC", "CURRENCY=USD", "XLFILL=b")</f>
        <v>-20.517241379310345</v>
      </c>
      <c r="J162" s="9">
        <f>_xll.BQL("ALK US Equity", "FA_GROWTH(IS_OTHER_ONE_TIME_ITEMS, YOY)", "FPT=A", "FPO=-1A", "ACT_EST_MAPPING=PRECISE", "FS=MRC", "CURRENCY=USD", "XLFILL=b")</f>
        <v>162.70270270270271</v>
      </c>
      <c r="K162" s="9">
        <f>_xll.BQL("ALK US Equity", "FA_GROWTH(IS_OTHER_ONE_TIME_ITEMS, YOY)", "FPT=A", "FPO=-2A", "ACT_EST_MAPPING=PRECISE", "FS=MRC", "CURRENCY=USD", "XLFILL=b")</f>
        <v>-1053.6082474226805</v>
      </c>
      <c r="L162" s="9">
        <f>_xll.BQL("ALK US Equity", "FA_GROWTH(IS_OTHER_ONE_TIME_ITEMS, YOY)", "FPT=A", "FPO=-3A", "ACT_EST_MAPPING=PRECISE", "FS=MRC", "CURRENCY=USD", "XLFILL=b")</f>
        <v>120.45454545454545</v>
      </c>
      <c r="M162" s="9">
        <f>_xll.BQL("ALK US Equity", "FA_GROWTH(IS_OTHER_ONE_TIME_ITEMS, YOY)", "FPT=A", "FPO=-4A", "ACT_EST_MAPPING=PRECISE", "FS=MRC", "CURRENCY=USD", "XLFILL=b")</f>
        <v>-2.2222222222222223</v>
      </c>
      <c r="N162" s="9" t="str">
        <f>_xll.BQL("ALK US Equity", "FA_GROWTH(IS_OTHER_ONE_TIME_ITEMS, YOY)", "FPT=A", "FPO=-5A", "ACT_EST_MAPPING=PRECISE", "FS=MRC", "CURRENCY=USD", "XLFILL=b")</f>
        <v/>
      </c>
    </row>
    <row r="163" spans="1:14" x14ac:dyDescent="0.2">
      <c r="A163" s="8" t="s">
        <v>166</v>
      </c>
      <c r="B163" s="4" t="s">
        <v>167</v>
      </c>
      <c r="C163" s="4" t="s">
        <v>168</v>
      </c>
      <c r="D163" s="4"/>
      <c r="E163" s="9" t="str">
        <f>_xll.BQL("ALK US Equity", "CB_IS_OTHER_OPEX/1M", "FPT=A", "FPO=4A", "ACT_EST_MAPPING=PRECISE", "FS=MRC", "CURRENCY=USD", "XLFILL=b")</f>
        <v/>
      </c>
      <c r="F163" s="9">
        <f>_xll.BQL("ALK US Equity", "CB_IS_OTHER_OPEX/1M", "FPT=A", "FPO=3A", "ACT_EST_MAPPING=PRECISE", "FS=MRC", "CURRENCY=USD", "XLFILL=b")</f>
        <v>1012.1524009846</v>
      </c>
      <c r="G163" s="9">
        <f>_xll.BQL("ALK US Equity", "CB_IS_OTHER_OPEX/1M", "FPT=A", "FPO=2A", "ACT_EST_MAPPING=PRECISE", "FS=MRC", "CURRENCY=USD", "XLFILL=b")</f>
        <v>836.56972697499998</v>
      </c>
      <c r="H163" s="9">
        <f>_xll.BQL("ALK US Equity", "CB_IS_OTHER_OPEX/1M", "FPT=A", "FPO=1A", "ACT_EST_MAPPING=PRECISE", "FS=MRC", "CURRENCY=USD", "XLFILL=b")</f>
        <v>798.2833169999999</v>
      </c>
      <c r="I163" s="9">
        <f>_xll.BQL("ALK US Equity", "CB_IS_OTHER_OPEX/1M", "FPT=A", "FPO=0A", "ACT_EST_MAPPING=PRECISE", "FS=MRC", "CURRENCY=USD", "XLFILL=b")</f>
        <v>729</v>
      </c>
      <c r="J163" s="9">
        <f>_xll.BQL("ALK US Equity", "CB_IS_OTHER_OPEX/1M", "FPT=A", "FPO=-1A", "ACT_EST_MAPPING=PRECISE", "FS=MRC", "CURRENCY=USD", "XLFILL=b")</f>
        <v>717</v>
      </c>
      <c r="K163" s="9">
        <f>_xll.BQL("ALK US Equity", "CB_IS_OTHER_OPEX/1M", "FPT=A", "FPO=-2A", "ACT_EST_MAPPING=PRECISE", "FS=MRC", "CURRENCY=USD", "XLFILL=b")</f>
        <v>507</v>
      </c>
      <c r="L163" s="9">
        <f>_xll.BQL("ALK US Equity", "CB_IS_OTHER_OPEX/1M", "FPT=A", "FPO=-3A", "ACT_EST_MAPPING=PRECISE", "FS=MRC", "CURRENCY=USD", "XLFILL=b")</f>
        <v>407</v>
      </c>
      <c r="M163" s="9">
        <f>_xll.BQL("ALK US Equity", "CB_IS_OTHER_OPEX/1M", "FPT=A", "FPO=-4A", "ACT_EST_MAPPING=PRECISE", "FS=MRC", "CURRENCY=USD", "XLFILL=b")</f>
        <v>559</v>
      </c>
      <c r="N163" s="9">
        <f>_xll.BQL("ALK US Equity", "CB_IS_OTHER_OPEX/1M", "FPT=A", "FPO=-5A", "ACT_EST_MAPPING=PRECISE", "FS=MRC", "CURRENCY=USD", "XLFILL=b")</f>
        <v>572</v>
      </c>
    </row>
    <row r="164" spans="1:14" x14ac:dyDescent="0.2">
      <c r="A164" s="8" t="s">
        <v>64</v>
      </c>
      <c r="B164" s="4" t="s">
        <v>167</v>
      </c>
      <c r="C164" s="4" t="s">
        <v>168</v>
      </c>
      <c r="D164" s="4"/>
      <c r="E164" s="9" t="str">
        <f>_xll.BQL("ALK US Equity", "FA_GROWTH(CB_IS_OTHER_OPEX, YOY)", "FPT=A", "FPO=4A", "ACT_EST_MAPPING=PRECISE", "FS=MRC", "CURRENCY=USD", "XLFILL=b")</f>
        <v/>
      </c>
      <c r="F164" s="9">
        <f>_xll.BQL("ALK US Equity", "FA_GROWTH(CB_IS_OTHER_OPEX, YOY)", "FPT=A", "FPO=3A", "ACT_EST_MAPPING=PRECISE", "FS=MRC", "CURRENCY=USD", "XLFILL=b")</f>
        <v>20.988408777891042</v>
      </c>
      <c r="G164" s="9">
        <f>_xll.BQL("ALK US Equity", "FA_GROWTH(CB_IS_OTHER_OPEX, YOY)", "FPT=A", "FPO=2A", "ACT_EST_MAPPING=PRECISE", "FS=MRC", "CURRENCY=USD", "XLFILL=b")</f>
        <v>4.7960929609406016</v>
      </c>
      <c r="H164" s="9">
        <f>_xll.BQL("ALK US Equity", "FA_GROWTH(CB_IS_OTHER_OPEX, YOY)", "FPT=A", "FPO=1A", "ACT_EST_MAPPING=PRECISE", "FS=MRC", "CURRENCY=USD", "XLFILL=b")</f>
        <v>9.5038843621399014</v>
      </c>
      <c r="I164" s="9">
        <f>_xll.BQL("ALK US Equity", "FA_GROWTH(CB_IS_OTHER_OPEX, YOY)", "FPT=A", "FPO=0A", "ACT_EST_MAPPING=PRECISE", "FS=MRC", "CURRENCY=USD", "XLFILL=b")</f>
        <v>1.6736401673640167</v>
      </c>
      <c r="J164" s="9">
        <f>_xll.BQL("ALK US Equity", "FA_GROWTH(CB_IS_OTHER_OPEX, YOY)", "FPT=A", "FPO=-1A", "ACT_EST_MAPPING=PRECISE", "FS=MRC", "CURRENCY=USD", "XLFILL=b")</f>
        <v>41.420118343195263</v>
      </c>
      <c r="K164" s="9">
        <f>_xll.BQL("ALK US Equity", "FA_GROWTH(CB_IS_OTHER_OPEX, YOY)", "FPT=A", "FPO=-2A", "ACT_EST_MAPPING=PRECISE", "FS=MRC", "CURRENCY=USD", "XLFILL=b")</f>
        <v>24.570024570024572</v>
      </c>
      <c r="L164" s="9">
        <f>_xll.BQL("ALK US Equity", "FA_GROWTH(CB_IS_OTHER_OPEX, YOY)", "FPT=A", "FPO=-3A", "ACT_EST_MAPPING=PRECISE", "FS=MRC", "CURRENCY=USD", "XLFILL=b")</f>
        <v>-27.191413237924866</v>
      </c>
      <c r="M164" s="9">
        <f>_xll.BQL("ALK US Equity", "FA_GROWTH(CB_IS_OTHER_OPEX, YOY)", "FPT=A", "FPO=-4A", "ACT_EST_MAPPING=PRECISE", "FS=MRC", "CURRENCY=USD", "XLFILL=b")</f>
        <v>-2.2727272727272729</v>
      </c>
      <c r="N164" s="9">
        <f>_xll.BQL("ALK US Equity", "FA_GROWTH(CB_IS_OTHER_OPEX, YOY)", "FPT=A", "FPO=-5A", "ACT_EST_MAPPING=PRECISE", "FS=MRC", "CURRENCY=USD", "XLFILL=b")</f>
        <v>1.7793594306049823</v>
      </c>
    </row>
    <row r="165" spans="1:14" x14ac:dyDescent="0.2">
      <c r="A165" s="8" t="s">
        <v>16</v>
      </c>
      <c r="B165" s="4"/>
      <c r="C165" s="4"/>
      <c r="D165" s="4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x14ac:dyDescent="0.2">
      <c r="A166" s="8" t="s">
        <v>169</v>
      </c>
      <c r="B166" s="4" t="s">
        <v>170</v>
      </c>
      <c r="C166" s="4" t="s">
        <v>171</v>
      </c>
      <c r="D166" s="4"/>
      <c r="E166" s="9" t="str">
        <f>_xll.BQL("ALK US Equity", "IS_OPER_INC/1M", "FPT=A", "FPO=4A", "ACT_EST_MAPPING=PRECISE", "FS=MRC", "CURRENCY=USD", "XLFILL=b")</f>
        <v/>
      </c>
      <c r="F166" s="9">
        <f>_xll.BQL("ALK US Equity", "IS_OPER_INC/1M", "FPT=A", "FPO=3A", "ACT_EST_MAPPING=PRECISE", "FS=MRC", "CURRENCY=USD", "XLFILL=b")</f>
        <v>1214.5536744760091</v>
      </c>
      <c r="G166" s="9">
        <f>_xll.BQL("ALK US Equity", "IS_OPER_INC/1M", "FPT=A", "FPO=2A", "ACT_EST_MAPPING=PRECISE", "FS=MRC", "CURRENCY=USD", "XLFILL=b")</f>
        <v>1075.4672294653976</v>
      </c>
      <c r="H166" s="9">
        <f>_xll.BQL("ALK US Equity", "IS_OPER_INC/1M", "FPT=A", "FPO=1A", "ACT_EST_MAPPING=PRECISE", "FS=MRC", "CURRENCY=USD", "XLFILL=b")</f>
        <v>706.56859601735118</v>
      </c>
      <c r="I166" s="9">
        <f>_xll.BQL("ALK US Equity", "IS_OPER_INC/1M", "FPT=A", "FPO=0A", "ACT_EST_MAPPING=PRECISE", "FS=MRC", "CURRENCY=USD", "XLFILL=b")</f>
        <v>394</v>
      </c>
      <c r="J166" s="9">
        <f>_xll.BQL("ALK US Equity", "IS_OPER_INC/1M", "FPT=A", "FPO=-1A", "ACT_EST_MAPPING=PRECISE", "FS=MRC", "CURRENCY=USD", "XLFILL=b")</f>
        <v>70</v>
      </c>
      <c r="K166" s="9">
        <f>_xll.BQL("ALK US Equity", "IS_OPER_INC/1M", "FPT=A", "FPO=-2A", "ACT_EST_MAPPING=PRECISE", "FS=MRC", "CURRENCY=USD", "XLFILL=b")</f>
        <v>685</v>
      </c>
      <c r="L166" s="9">
        <f>_xll.BQL("ALK US Equity", "IS_OPER_INC/1M", "FPT=A", "FPO=-3A", "ACT_EST_MAPPING=PRECISE", "FS=MRC", "CURRENCY=USD", "XLFILL=b")</f>
        <v>-1775</v>
      </c>
      <c r="M166" s="9">
        <f>_xll.BQL("ALK US Equity", "IS_OPER_INC/1M", "FPT=A", "FPO=-4A", "ACT_EST_MAPPING=PRECISE", "FS=MRC", "CURRENCY=USD", "XLFILL=b")</f>
        <v>1063</v>
      </c>
      <c r="N166" s="9">
        <f>_xll.BQL("ALK US Equity", "IS_OPER_INC/1M", "FPT=A", "FPO=-5A", "ACT_EST_MAPPING=PRECISE", "FS=MRC", "CURRENCY=USD", "XLFILL=b")</f>
        <v>643</v>
      </c>
    </row>
    <row r="167" spans="1:14" x14ac:dyDescent="0.2">
      <c r="A167" s="8" t="s">
        <v>12</v>
      </c>
      <c r="B167" s="4" t="s">
        <v>170</v>
      </c>
      <c r="C167" s="4" t="s">
        <v>171</v>
      </c>
      <c r="D167" s="4"/>
      <c r="E167" s="9" t="str">
        <f>_xll.BQL("ALK US Equity", "FA_GROWTH(IS_OPER_INC, YOY)", "FPT=A", "FPO=4A", "ACT_EST_MAPPING=PRECISE", "FS=MRC", "CURRENCY=USD", "XLFILL=b")</f>
        <v/>
      </c>
      <c r="F167" s="9">
        <f>_xll.BQL("ALK US Equity", "FA_GROWTH(IS_OPER_INC, YOY)", "FPT=A", "FPO=3A", "ACT_EST_MAPPING=PRECISE", "FS=MRC", "CURRENCY=USD", "XLFILL=b")</f>
        <v>12.932653008846193</v>
      </c>
      <c r="G167" s="9">
        <f>_xll.BQL("ALK US Equity", "FA_GROWTH(IS_OPER_INC, YOY)", "FPT=A", "FPO=2A", "ACT_EST_MAPPING=PRECISE", "FS=MRC", "CURRENCY=USD", "XLFILL=b")</f>
        <v>52.209882455487367</v>
      </c>
      <c r="H167" s="9">
        <f>_xll.BQL("ALK US Equity", "FA_GROWTH(IS_OPER_INC, YOY)", "FPT=A", "FPO=1A", "ACT_EST_MAPPING=PRECISE", "FS=MRC", "CURRENCY=USD", "XLFILL=b")</f>
        <v>79.332130968870857</v>
      </c>
      <c r="I167" s="9">
        <f>_xll.BQL("ALK US Equity", "FA_GROWTH(IS_OPER_INC, YOY)", "FPT=A", "FPO=0A", "ACT_EST_MAPPING=PRECISE", "FS=MRC", "CURRENCY=USD", "XLFILL=b")</f>
        <v>462.85714285714283</v>
      </c>
      <c r="J167" s="9">
        <f>_xll.BQL("ALK US Equity", "FA_GROWTH(IS_OPER_INC, YOY)", "FPT=A", "FPO=-1A", "ACT_EST_MAPPING=PRECISE", "FS=MRC", "CURRENCY=USD", "XLFILL=b")</f>
        <v>-89.78102189781022</v>
      </c>
      <c r="K167" s="9">
        <f>_xll.BQL("ALK US Equity", "FA_GROWTH(IS_OPER_INC, YOY)", "FPT=A", "FPO=-2A", "ACT_EST_MAPPING=PRECISE", "FS=MRC", "CURRENCY=USD", "XLFILL=b")</f>
        <v>138.59154929577466</v>
      </c>
      <c r="L167" s="9">
        <f>_xll.BQL("ALK US Equity", "FA_GROWTH(IS_OPER_INC, YOY)", "FPT=A", "FPO=-3A", "ACT_EST_MAPPING=PRECISE", "FS=MRC", "CURRENCY=USD", "XLFILL=b")</f>
        <v>-266.98024459078079</v>
      </c>
      <c r="M167" s="9">
        <f>_xll.BQL("ALK US Equity", "FA_GROWTH(IS_OPER_INC, YOY)", "FPT=A", "FPO=-4A", "ACT_EST_MAPPING=PRECISE", "FS=MRC", "CURRENCY=USD", "XLFILL=b")</f>
        <v>65.31881804043546</v>
      </c>
      <c r="N167" s="9">
        <f>_xll.BQL("ALK US Equity", "FA_GROWTH(IS_OPER_INC, YOY)", "FPT=A", "FPO=-5A", "ACT_EST_MAPPING=PRECISE", "FS=MRC", "CURRENCY=USD", "XLFILL=b")</f>
        <v>-46.771523178807946</v>
      </c>
    </row>
    <row r="168" spans="1:14" x14ac:dyDescent="0.2">
      <c r="A168" s="8" t="s">
        <v>16</v>
      </c>
      <c r="B168" s="4"/>
      <c r="C168" s="4"/>
      <c r="D168" s="4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x14ac:dyDescent="0.2">
      <c r="A169" s="8" t="s">
        <v>172</v>
      </c>
      <c r="B169" s="4" t="s">
        <v>173</v>
      </c>
      <c r="C169" s="4" t="s">
        <v>41</v>
      </c>
      <c r="D169" s="4"/>
      <c r="E169" s="9" t="str">
        <f>_xll.BQL("ALK US Equity", "EBITDA/1M", "FPT=A", "FPO=4A", "ACT_EST_MAPPING=PRECISE", "FS=MRC", "CURRENCY=USD", "XLFILL=b")</f>
        <v/>
      </c>
      <c r="F169" s="9">
        <f>_xll.BQL("ALK US Equity", "EBITDA/1M", "FPT=A", "FPO=3A", "ACT_EST_MAPPING=PRECISE", "FS=MRC", "CURRENCY=USD", "XLFILL=b")</f>
        <v>1795.459743101874</v>
      </c>
      <c r="G169" s="9">
        <f>_xll.BQL("ALK US Equity", "EBITDA/1M", "FPT=A", "FPO=2A", "ACT_EST_MAPPING=PRECISE", "FS=MRC", "CURRENCY=USD", "XLFILL=b")</f>
        <v>1614.6165381894127</v>
      </c>
      <c r="H169" s="9">
        <f>_xll.BQL("ALK US Equity", "EBITDA/1M", "FPT=A", "FPO=1A", "ACT_EST_MAPPING=PRECISE", "FS=MRC", "CURRENCY=USD", "XLFILL=b")</f>
        <v>1242.1299633050523</v>
      </c>
      <c r="I169" s="9">
        <f>_xll.BQL("ALK US Equity", "EBITDA/1M", "FPT=A", "FPO=0A", "ACT_EST_MAPPING=PRECISE", "FS=MRC", "CURRENCY=USD", "XLFILL=b")</f>
        <v>1520</v>
      </c>
      <c r="J169" s="9">
        <f>_xll.BQL("ALK US Equity", "EBITDA/1M", "FPT=A", "FPO=-1A", "ACT_EST_MAPPING=PRECISE", "FS=MRC", "CURRENCY=USD", "XLFILL=b")</f>
        <v>1178</v>
      </c>
      <c r="K169" s="9">
        <f>_xll.BQL("ALK US Equity", "EBITDA/1M", "FPT=A", "FPO=-2A", "ACT_EST_MAPPING=PRECISE", "FS=MRC", "CURRENCY=USD", "XLFILL=b")</f>
        <v>1079</v>
      </c>
      <c r="L169" s="9">
        <f>_xll.BQL("ALK US Equity", "EBITDA/1M", "FPT=A", "FPO=-3A", "ACT_EST_MAPPING=PRECISE", "FS=MRC", "CURRENCY=USD", "XLFILL=b")</f>
        <v>-1066</v>
      </c>
      <c r="M169" s="9">
        <f>_xll.BQL("ALK US Equity", "EBITDA/1M", "FPT=A", "FPO=-4A", "ACT_EST_MAPPING=PRECISE", "FS=MRC", "CURRENCY=USD", "XLFILL=b")</f>
        <v>1805</v>
      </c>
      <c r="N169" s="9">
        <f>_xll.BQL("ALK US Equity", "EBITDA/1M", "FPT=A", "FPO=-5A", "ACT_EST_MAPPING=PRECISE", "FS=MRC", "CURRENCY=USD", "XLFILL=b")</f>
        <v>1041</v>
      </c>
    </row>
    <row r="170" spans="1:14" x14ac:dyDescent="0.2">
      <c r="A170" s="8" t="s">
        <v>12</v>
      </c>
      <c r="B170" s="4" t="s">
        <v>173</v>
      </c>
      <c r="C170" s="4" t="s">
        <v>41</v>
      </c>
      <c r="D170" s="4"/>
      <c r="E170" s="9" t="str">
        <f>_xll.BQL("ALK US Equity", "FA_GROWTH(EBITDA, YOY)", "FPT=A", "FPO=4A", "ACT_EST_MAPPING=PRECISE", "FS=MRC", "CURRENCY=USD", "XLFILL=b")</f>
        <v/>
      </c>
      <c r="F170" s="9">
        <f>_xll.BQL("ALK US Equity", "FA_GROWTH(EBITDA, YOY)", "FPT=A", "FPO=3A", "ACT_EST_MAPPING=PRECISE", "FS=MRC", "CURRENCY=USD", "XLFILL=b")</f>
        <v>11.200381058604398</v>
      </c>
      <c r="G170" s="9">
        <f>_xll.BQL("ALK US Equity", "FA_GROWTH(EBITDA, YOY)", "FPT=A", "FPO=2A", "ACT_EST_MAPPING=PRECISE", "FS=MRC", "CURRENCY=USD", "XLFILL=b")</f>
        <v>29.987729616734342</v>
      </c>
      <c r="H170" s="9">
        <f>_xll.BQL("ALK US Equity", "FA_GROWTH(EBITDA, YOY)", "FPT=A", "FPO=1A", "ACT_EST_MAPPING=PRECISE", "FS=MRC", "CURRENCY=USD", "XLFILL=b")</f>
        <v>-18.280923466772876</v>
      </c>
      <c r="I170" s="9">
        <f>_xll.BQL("ALK US Equity", "FA_GROWTH(EBITDA, YOY)", "FPT=A", "FPO=0A", "ACT_EST_MAPPING=PRECISE", "FS=MRC", "CURRENCY=USD", "XLFILL=b")</f>
        <v>29.032258064516128</v>
      </c>
      <c r="J170" s="9">
        <f>_xll.BQL("ALK US Equity", "FA_GROWTH(EBITDA, YOY)", "FPT=A", "FPO=-1A", "ACT_EST_MAPPING=PRECISE", "FS=MRC", "CURRENCY=USD", "XLFILL=b")</f>
        <v>9.1751621872103808</v>
      </c>
      <c r="K170" s="9">
        <f>_xll.BQL("ALK US Equity", "FA_GROWTH(EBITDA, YOY)", "FPT=A", "FPO=-2A", "ACT_EST_MAPPING=PRECISE", "FS=MRC", "CURRENCY=USD", "XLFILL=b")</f>
        <v>201.21951219512195</v>
      </c>
      <c r="L170" s="9">
        <f>_xll.BQL("ALK US Equity", "FA_GROWTH(EBITDA, YOY)", "FPT=A", "FPO=-3A", "ACT_EST_MAPPING=PRECISE", "FS=MRC", "CURRENCY=USD", "XLFILL=b")</f>
        <v>-159.05817174515235</v>
      </c>
      <c r="M170" s="9">
        <f>_xll.BQL("ALK US Equity", "FA_GROWTH(EBITDA, YOY)", "FPT=A", "FPO=-4A", "ACT_EST_MAPPING=PRECISE", "FS=MRC", "CURRENCY=USD", "XLFILL=b")</f>
        <v>73.390970220941398</v>
      </c>
      <c r="N170" s="9">
        <f>_xll.BQL("ALK US Equity", "FA_GROWTH(EBITDA, YOY)", "FPT=A", "FPO=-5A", "ACT_EST_MAPPING=PRECISE", "FS=MRC", "CURRENCY=USD", "XLFILL=b")</f>
        <v>-34.11392405063291</v>
      </c>
    </row>
    <row r="171" spans="1:14" x14ac:dyDescent="0.2">
      <c r="A171" s="8" t="s">
        <v>39</v>
      </c>
      <c r="B171" s="4" t="s">
        <v>40</v>
      </c>
      <c r="C171" s="4"/>
      <c r="D171" s="4"/>
      <c r="E171" s="9" t="str">
        <f>_xll.BQL("ALK US Equity", "AIRLINES_EBITDAR_RATIO/1M", "FPT=A", "FPO=4A", "ACT_EST_MAPPING=PRECISE", "FS=MRC", "CURRENCY=USD", "XLFILL=b")</f>
        <v/>
      </c>
      <c r="F171" s="9">
        <f>_xll.BQL("ALK US Equity", "AIRLINES_EBITDAR_RATIO/1M", "FPT=A", "FPO=3A", "ACT_EST_MAPPING=PRECISE", "FS=MRC", "CURRENCY=USD", "XLFILL=b")</f>
        <v>1964.7171081018739</v>
      </c>
      <c r="G171" s="9">
        <f>_xll.BQL("ALK US Equity", "AIRLINES_EBITDAR_RATIO/1M", "FPT=A", "FPO=2A", "ACT_EST_MAPPING=PRECISE", "FS=MRC", "CURRENCY=USD", "XLFILL=b")</f>
        <v>1791.0120381894128</v>
      </c>
      <c r="H171" s="9">
        <f>_xll.BQL("ALK US Equity", "AIRLINES_EBITDAR_RATIO/1M", "FPT=A", "FPO=1A", "ACT_EST_MAPPING=PRECISE", "FS=MRC", "CURRENCY=USD", "XLFILL=b")</f>
        <v>1426.6549633050522</v>
      </c>
      <c r="I171" s="9">
        <f>_xll.BQL("ALK US Equity", "AIRLINES_EBITDAR_RATIO/1M", "FPT=A", "FPO=0A", "ACT_EST_MAPPING=PRECISE", "FS=MRC", "CURRENCY=USD", "XLFILL=b")</f>
        <v>1520</v>
      </c>
      <c r="J171" s="9">
        <f>_xll.BQL("ALK US Equity", "AIRLINES_EBITDAR_RATIO/1M", "FPT=A", "FPO=-1A", "ACT_EST_MAPPING=PRECISE", "FS=MRC", "CURRENCY=USD", "XLFILL=b")</f>
        <v>1178</v>
      </c>
      <c r="K171" s="9">
        <f>_xll.BQL("ALK US Equity", "AIRLINES_EBITDAR_RATIO/1M", "FPT=A", "FPO=-2A", "ACT_EST_MAPPING=PRECISE", "FS=MRC", "CURRENCY=USD", "XLFILL=b")</f>
        <v>1079</v>
      </c>
      <c r="L171" s="9">
        <f>_xll.BQL("ALK US Equity", "AIRLINES_EBITDAR_RATIO/1M", "FPT=A", "FPO=-3A", "ACT_EST_MAPPING=PRECISE", "FS=MRC", "CURRENCY=USD", "XLFILL=b")</f>
        <v>-1066</v>
      </c>
      <c r="M171" s="9">
        <f>_xll.BQL("ALK US Equity", "AIRLINES_EBITDAR_RATIO/1M", "FPT=A", "FPO=-4A", "ACT_EST_MAPPING=PRECISE", "FS=MRC", "CURRENCY=USD", "XLFILL=b")</f>
        <v>1805</v>
      </c>
      <c r="N171" s="9">
        <f>_xll.BQL("ALK US Equity", "AIRLINES_EBITDAR_RATIO/1M", "FPT=A", "FPO=-5A", "ACT_EST_MAPPING=PRECISE", "FS=MRC", "CURRENCY=USD", "XLFILL=b")</f>
        <v>1041</v>
      </c>
    </row>
    <row r="172" spans="1:14" x14ac:dyDescent="0.2">
      <c r="A172" s="8" t="s">
        <v>12</v>
      </c>
      <c r="B172" s="4" t="s">
        <v>40</v>
      </c>
      <c r="C172" s="4"/>
      <c r="D172" s="4"/>
      <c r="E172" s="9" t="str">
        <f>_xll.BQL("ALK US Equity", "FA_GROWTH(AIRLINES_EBITDAR_RATIO, YOY)", "FPT=A", "FPO=4A", "ACT_EST_MAPPING=PRECISE", "FS=MRC", "CURRENCY=USD", "XLFILL=b")</f>
        <v/>
      </c>
      <c r="F172" s="9">
        <f>_xll.BQL("ALK US Equity", "FA_GROWTH(AIRLINES_EBITDAR_RATIO, YOY)", "FPT=A", "FPO=3A", "ACT_EST_MAPPING=PRECISE", "FS=MRC", "CURRENCY=USD", "XLFILL=b")</f>
        <v>9.6987103497118117</v>
      </c>
      <c r="G172" s="9">
        <f>_xll.BQL("ALK US Equity", "FA_GROWTH(AIRLINES_EBITDAR_RATIO, YOY)", "FPT=A", "FPO=2A", "ACT_EST_MAPPING=PRECISE", "FS=MRC", "CURRENCY=USD", "XLFILL=b")</f>
        <v>25.53925681093029</v>
      </c>
      <c r="H172" s="9">
        <f>_xll.BQL("ALK US Equity", "FA_GROWTH(AIRLINES_EBITDAR_RATIO, YOY)", "FPT=A", "FPO=1A", "ACT_EST_MAPPING=PRECISE", "FS=MRC", "CURRENCY=USD", "XLFILL=b")</f>
        <v>-6.141120835193929</v>
      </c>
      <c r="I172" s="9">
        <f>_xll.BQL("ALK US Equity", "FA_GROWTH(AIRLINES_EBITDAR_RATIO, YOY)", "FPT=A", "FPO=0A", "ACT_EST_MAPPING=PRECISE", "FS=MRC", "CURRENCY=USD", "XLFILL=b")</f>
        <v>29.032258064516128</v>
      </c>
      <c r="J172" s="9">
        <f>_xll.BQL("ALK US Equity", "FA_GROWTH(AIRLINES_EBITDAR_RATIO, YOY)", "FPT=A", "FPO=-1A", "ACT_EST_MAPPING=PRECISE", "FS=MRC", "CURRENCY=USD", "XLFILL=b")</f>
        <v>9.1751621872103808</v>
      </c>
      <c r="K172" s="9">
        <f>_xll.BQL("ALK US Equity", "FA_GROWTH(AIRLINES_EBITDAR_RATIO, YOY)", "FPT=A", "FPO=-2A", "ACT_EST_MAPPING=PRECISE", "FS=MRC", "CURRENCY=USD", "XLFILL=b")</f>
        <v>201.21951219512195</v>
      </c>
      <c r="L172" s="9">
        <f>_xll.BQL("ALK US Equity", "FA_GROWTH(AIRLINES_EBITDAR_RATIO, YOY)", "FPT=A", "FPO=-3A", "ACT_EST_MAPPING=PRECISE", "FS=MRC", "CURRENCY=USD", "XLFILL=b")</f>
        <v>-159.05817174515235</v>
      </c>
      <c r="M172" s="9">
        <f>_xll.BQL("ALK US Equity", "FA_GROWTH(AIRLINES_EBITDAR_RATIO, YOY)", "FPT=A", "FPO=-4A", "ACT_EST_MAPPING=PRECISE", "FS=MRC", "CURRENCY=USD", "XLFILL=b")</f>
        <v>73.390970220941398</v>
      </c>
      <c r="N172" s="9" t="str">
        <f>_xll.BQL("ALK US Equity", "FA_GROWTH(AIRLINES_EBITDAR_RATIO, YOY)", "FPT=A", "FPO=-5A", "ACT_EST_MAPPING=PRECISE", "FS=MRC", "CURRENCY=USD", "XLFILL=b")</f>
        <v/>
      </c>
    </row>
    <row r="173" spans="1:14" x14ac:dyDescent="0.2">
      <c r="A173" s="8" t="s">
        <v>16</v>
      </c>
      <c r="B173" s="4"/>
      <c r="C173" s="4"/>
      <c r="D173" s="4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x14ac:dyDescent="0.2">
      <c r="A174" s="8" t="s">
        <v>174</v>
      </c>
      <c r="B174" s="4" t="s">
        <v>175</v>
      </c>
      <c r="C174" s="4" t="s">
        <v>176</v>
      </c>
      <c r="D174" s="4"/>
      <c r="E174" s="9" t="str">
        <f>_xll.BQL("ALK US Equity", "IS_NON_OPERATING_INC_LOSS_GAAP/1M", "FPT=A", "FPO=4A", "ACT_EST_MAPPING=PRECISE", "FS=MRC", "CURRENCY=USD", "XLFILL=b")</f>
        <v/>
      </c>
      <c r="F174" s="9">
        <f>_xll.BQL("ALK US Equity", "IS_NON_OPERATING_INC_LOSS_GAAP/1M", "FPT=A", "FPO=3A", "ACT_EST_MAPPING=PRECISE", "FS=MRC", "CURRENCY=USD", "XLFILL=b")</f>
        <v>123.96175126233118</v>
      </c>
      <c r="G174" s="9">
        <f>_xll.BQL("ALK US Equity", "IS_NON_OPERATING_INC_LOSS_GAAP/1M", "FPT=A", "FPO=2A", "ACT_EST_MAPPING=PRECISE", "FS=MRC", "CURRENCY=USD", "XLFILL=b")</f>
        <v>51.438804699189028</v>
      </c>
      <c r="H174" s="9">
        <f>_xll.BQL("ALK US Equity", "IS_NON_OPERATING_INC_LOSS_GAAP/1M", "FPT=A", "FPO=1A", "ACT_EST_MAPPING=PRECISE", "FS=MRC", "CURRENCY=USD", "XLFILL=b")</f>
        <v>42.936463088862205</v>
      </c>
      <c r="I174" s="9">
        <f>_xll.BQL("ALK US Equity", "IS_NON_OPERATING_INC_LOSS_GAAP/1M", "FPT=A", "FPO=0A", "ACT_EST_MAPPING=PRECISE", "FS=MRC", "CURRENCY=USD", "XLFILL=b")</f>
        <v>71</v>
      </c>
      <c r="J174" s="9">
        <f>_xll.BQL("ALK US Equity", "IS_NON_OPERATING_INC_LOSS_GAAP/1M", "FPT=A", "FPO=-1A", "ACT_EST_MAPPING=PRECISE", "FS=MRC", "CURRENCY=USD", "XLFILL=b")</f>
        <v>-9</v>
      </c>
      <c r="K174" s="9">
        <f>_xll.BQL("ALK US Equity", "IS_NON_OPERATING_INC_LOSS_GAAP/1M", "FPT=A", "FPO=-2A", "ACT_EST_MAPPING=PRECISE", "FS=MRC", "CURRENCY=USD", "XLFILL=b")</f>
        <v>56</v>
      </c>
      <c r="L174" s="9">
        <f>_xll.BQL("ALK US Equity", "IS_NON_OPERATING_INC_LOSS_GAAP/1M", "FPT=A", "FPO=-3A", "ACT_EST_MAPPING=PRECISE", "FS=MRC", "CURRENCY=USD", "XLFILL=b")</f>
        <v>65</v>
      </c>
      <c r="M174" s="9">
        <f>_xll.BQL("ALK US Equity", "IS_NON_OPERATING_INC_LOSS_GAAP/1M", "FPT=A", "FPO=-4A", "ACT_EST_MAPPING=PRECISE", "FS=MRC", "CURRENCY=USD", "XLFILL=b")</f>
        <v>47</v>
      </c>
      <c r="N174" s="9">
        <f>_xll.BQL("ALK US Equity", "IS_NON_OPERATING_INC_LOSS_GAAP/1M", "FPT=A", "FPO=-5A", "ACT_EST_MAPPING=PRECISE", "FS=MRC", "CURRENCY=USD", "XLFILL=b")</f>
        <v>58</v>
      </c>
    </row>
    <row r="175" spans="1:14" x14ac:dyDescent="0.2">
      <c r="A175" s="8" t="s">
        <v>12</v>
      </c>
      <c r="B175" s="4" t="s">
        <v>175</v>
      </c>
      <c r="C175" s="4" t="s">
        <v>176</v>
      </c>
      <c r="D175" s="4"/>
      <c r="E175" s="9" t="str">
        <f>_xll.BQL("ALK US Equity", "FA_GROWTH(IS_NON_OPERATING_INC_LOSS_GAAP, YOY)", "FPT=A", "FPO=4A", "ACT_EST_MAPPING=PRECISE", "FS=MRC", "CURRENCY=USD", "XLFILL=b")</f>
        <v/>
      </c>
      <c r="F175" s="9">
        <f>_xll.BQL("ALK US Equity", "FA_GROWTH(IS_NON_OPERATING_INC_LOSS_GAAP, YOY)", "FPT=A", "FPO=3A", "ACT_EST_MAPPING=PRECISE", "FS=MRC", "CURRENCY=USD", "XLFILL=b")</f>
        <v>140.98878655375427</v>
      </c>
      <c r="G175" s="9">
        <f>_xll.BQL("ALK US Equity", "FA_GROWTH(IS_NON_OPERATING_INC_LOSS_GAAP, YOY)", "FPT=A", "FPO=2A", "ACT_EST_MAPPING=PRECISE", "FS=MRC", "CURRENCY=USD", "XLFILL=b")</f>
        <v>19.802147169714939</v>
      </c>
      <c r="H175" s="9">
        <f>_xll.BQL("ALK US Equity", "FA_GROWTH(IS_NON_OPERATING_INC_LOSS_GAAP, YOY)", "FPT=A", "FPO=1A", "ACT_EST_MAPPING=PRECISE", "FS=MRC", "CURRENCY=USD", "XLFILL=b")</f>
        <v>-39.52610832554619</v>
      </c>
      <c r="I175" s="9">
        <f>_xll.BQL("ALK US Equity", "FA_GROWTH(IS_NON_OPERATING_INC_LOSS_GAAP, YOY)", "FPT=A", "FPO=0A", "ACT_EST_MAPPING=PRECISE", "FS=MRC", "CURRENCY=USD", "XLFILL=b")</f>
        <v>888.88888888888891</v>
      </c>
      <c r="J175" s="9">
        <f>_xll.BQL("ALK US Equity", "FA_GROWTH(IS_NON_OPERATING_INC_LOSS_GAAP, YOY)", "FPT=A", "FPO=-1A", "ACT_EST_MAPPING=PRECISE", "FS=MRC", "CURRENCY=USD", "XLFILL=b")</f>
        <v>-116.07142857142857</v>
      </c>
      <c r="K175" s="9">
        <f>_xll.BQL("ALK US Equity", "FA_GROWTH(IS_NON_OPERATING_INC_LOSS_GAAP, YOY)", "FPT=A", "FPO=-2A", "ACT_EST_MAPPING=PRECISE", "FS=MRC", "CURRENCY=USD", "XLFILL=b")</f>
        <v>-13.846153846153847</v>
      </c>
      <c r="L175" s="9">
        <f>_xll.BQL("ALK US Equity", "FA_GROWTH(IS_NON_OPERATING_INC_LOSS_GAAP, YOY)", "FPT=A", "FPO=-3A", "ACT_EST_MAPPING=PRECISE", "FS=MRC", "CURRENCY=USD", "XLFILL=b")</f>
        <v>38.297872340425535</v>
      </c>
      <c r="M175" s="9">
        <f>_xll.BQL("ALK US Equity", "FA_GROWTH(IS_NON_OPERATING_INC_LOSS_GAAP, YOY)", "FPT=A", "FPO=-4A", "ACT_EST_MAPPING=PRECISE", "FS=MRC", "CURRENCY=USD", "XLFILL=b")</f>
        <v>-18.96551724137931</v>
      </c>
      <c r="N175" s="9">
        <f>_xll.BQL("ALK US Equity", "FA_GROWTH(IS_NON_OPERATING_INC_LOSS_GAAP, YOY)", "FPT=A", "FPO=-5A", "ACT_EST_MAPPING=PRECISE", "FS=MRC", "CURRENCY=USD", "XLFILL=b")</f>
        <v>18.367346938775512</v>
      </c>
    </row>
    <row r="176" spans="1:14" x14ac:dyDescent="0.2">
      <c r="A176" s="8" t="s">
        <v>177</v>
      </c>
      <c r="B176" s="4" t="s">
        <v>178</v>
      </c>
      <c r="C176" s="4"/>
      <c r="D176" s="4"/>
      <c r="E176" s="9" t="str">
        <f>_xll.BQL("ALK US Equity", "IS_NET_INTEREST_EXPENSE/1M", "FPT=A", "FPO=4A", "ACT_EST_MAPPING=PRECISE", "FS=MRC", "CURRENCY=USD", "XLFILL=b")</f>
        <v/>
      </c>
      <c r="F176" s="9">
        <f>_xll.BQL("ALK US Equity", "IS_NET_INTEREST_EXPENSE/1M", "FPT=A", "FPO=3A", "ACT_EST_MAPPING=PRECISE", "FS=MRC", "CURRENCY=USD", "XLFILL=b")</f>
        <v>192</v>
      </c>
      <c r="G176" s="9">
        <f>_xll.BQL("ALK US Equity", "IS_NET_INTEREST_EXPENSE/1M", "FPT=A", "FPO=2A", "ACT_EST_MAPPING=PRECISE", "FS=MRC", "CURRENCY=USD", "XLFILL=b")</f>
        <v>161</v>
      </c>
      <c r="H176" s="9">
        <f>_xll.BQL("ALK US Equity", "IS_NET_INTEREST_EXPENSE/1M", "FPT=A", "FPO=1A", "ACT_EST_MAPPING=PRECISE", "FS=MRC", "CURRENCY=USD", "XLFILL=b")</f>
        <v>65.199999999999989</v>
      </c>
      <c r="I176" s="9">
        <f>_xll.BQL("ALK US Equity", "IS_NET_INTEREST_EXPENSE/1M", "FPT=A", "FPO=0A", "ACT_EST_MAPPING=PRECISE", "FS=MRC", "CURRENCY=USD", "XLFILL=b")</f>
        <v>14</v>
      </c>
      <c r="J176" s="9">
        <f>_xll.BQL("ALK US Equity", "IS_NET_INTEREST_EXPENSE/1M", "FPT=A", "FPO=-1A", "ACT_EST_MAPPING=PRECISE", "FS=MRC", "CURRENCY=USD", "XLFILL=b")</f>
        <v>41</v>
      </c>
      <c r="K176" s="9">
        <f>_xll.BQL("ALK US Equity", "IS_NET_INTEREST_EXPENSE/1M", "FPT=A", "FPO=-2A", "ACT_EST_MAPPING=PRECISE", "FS=MRC", "CURRENCY=USD", "XLFILL=b")</f>
        <v>92</v>
      </c>
      <c r="L176" s="9">
        <f>_xll.BQL("ALK US Equity", "IS_NET_INTEREST_EXPENSE/1M", "FPT=A", "FPO=-3A", "ACT_EST_MAPPING=PRECISE", "FS=MRC", "CURRENCY=USD", "XLFILL=b")</f>
        <v>56</v>
      </c>
      <c r="M176" s="9">
        <f>_xll.BQL("ALK US Equity", "IS_NET_INTEREST_EXPENSE/1M", "FPT=A", "FPO=-4A", "ACT_EST_MAPPING=PRECISE", "FS=MRC", "CURRENCY=USD", "XLFILL=b")</f>
        <v>21</v>
      </c>
      <c r="N176" s="9">
        <f>_xll.BQL("ALK US Equity", "IS_NET_INTEREST_EXPENSE/1M", "FPT=A", "FPO=-5A", "ACT_EST_MAPPING=PRECISE", "FS=MRC", "CURRENCY=USD", "XLFILL=b")</f>
        <v>35</v>
      </c>
    </row>
    <row r="177" spans="1:14" x14ac:dyDescent="0.2">
      <c r="A177" s="8" t="s">
        <v>64</v>
      </c>
      <c r="B177" s="4" t="s">
        <v>178</v>
      </c>
      <c r="C177" s="4"/>
      <c r="D177" s="4"/>
      <c r="E177" s="9" t="str">
        <f>_xll.BQL("ALK US Equity", "FA_GROWTH(IS_NET_INTEREST_EXPENSE, YOY)", "FPT=A", "FPO=4A", "ACT_EST_MAPPING=PRECISE", "FS=MRC", "CURRENCY=USD", "XLFILL=b")</f>
        <v/>
      </c>
      <c r="F177" s="9">
        <f>_xll.BQL("ALK US Equity", "FA_GROWTH(IS_NET_INTEREST_EXPENSE, YOY)", "FPT=A", "FPO=3A", "ACT_EST_MAPPING=PRECISE", "FS=MRC", "CURRENCY=USD", "XLFILL=b")</f>
        <v>19.254658385093169</v>
      </c>
      <c r="G177" s="9">
        <f>_xll.BQL("ALK US Equity", "FA_GROWTH(IS_NET_INTEREST_EXPENSE, YOY)", "FPT=A", "FPO=2A", "ACT_EST_MAPPING=PRECISE", "FS=MRC", "CURRENCY=USD", "XLFILL=b")</f>
        <v>146.93251533742338</v>
      </c>
      <c r="H177" s="9">
        <f>_xll.BQL("ALK US Equity", "FA_GROWTH(IS_NET_INTEREST_EXPENSE, YOY)", "FPT=A", "FPO=1A", "ACT_EST_MAPPING=PRECISE", "FS=MRC", "CURRENCY=USD", "XLFILL=b")</f>
        <v>365.71428571428555</v>
      </c>
      <c r="I177" s="9">
        <f>_xll.BQL("ALK US Equity", "FA_GROWTH(IS_NET_INTEREST_EXPENSE, YOY)", "FPT=A", "FPO=0A", "ACT_EST_MAPPING=PRECISE", "FS=MRC", "CURRENCY=USD", "XLFILL=b")</f>
        <v>-65.853658536585371</v>
      </c>
      <c r="J177" s="9">
        <f>_xll.BQL("ALK US Equity", "FA_GROWTH(IS_NET_INTEREST_EXPENSE, YOY)", "FPT=A", "FPO=-1A", "ACT_EST_MAPPING=PRECISE", "FS=MRC", "CURRENCY=USD", "XLFILL=b")</f>
        <v>-55.434782608695649</v>
      </c>
      <c r="K177" s="9">
        <f>_xll.BQL("ALK US Equity", "FA_GROWTH(IS_NET_INTEREST_EXPENSE, YOY)", "FPT=A", "FPO=-2A", "ACT_EST_MAPPING=PRECISE", "FS=MRC", "CURRENCY=USD", "XLFILL=b")</f>
        <v>64.285714285714292</v>
      </c>
      <c r="L177" s="9">
        <f>_xll.BQL("ALK US Equity", "FA_GROWTH(IS_NET_INTEREST_EXPENSE, YOY)", "FPT=A", "FPO=-3A", "ACT_EST_MAPPING=PRECISE", "FS=MRC", "CURRENCY=USD", "XLFILL=b")</f>
        <v>166.66666666666666</v>
      </c>
      <c r="M177" s="9">
        <f>_xll.BQL("ALK US Equity", "FA_GROWTH(IS_NET_INTEREST_EXPENSE, YOY)", "FPT=A", "FPO=-4A", "ACT_EST_MAPPING=PRECISE", "FS=MRC", "CURRENCY=USD", "XLFILL=b")</f>
        <v>-40</v>
      </c>
      <c r="N177" s="9">
        <f>_xll.BQL("ALK US Equity", "FA_GROWTH(IS_NET_INTEREST_EXPENSE, YOY)", "FPT=A", "FPO=-5A", "ACT_EST_MAPPING=PRECISE", "FS=MRC", "CURRENCY=USD", "XLFILL=b")</f>
        <v>-32.692307692307693</v>
      </c>
    </row>
    <row r="178" spans="1:14" x14ac:dyDescent="0.2">
      <c r="A178" s="8" t="s">
        <v>179</v>
      </c>
      <c r="B178" s="4" t="s">
        <v>180</v>
      </c>
      <c r="C178" s="4" t="s">
        <v>181</v>
      </c>
      <c r="D178" s="4"/>
      <c r="E178" s="9" t="str">
        <f>_xll.BQL("ALK US Equity", "IS_INT_INC/1M", "FPT=A", "FPO=4A", "ACT_EST_MAPPING=PRECISE", "FS=MRC", "CURRENCY=USD", "XLFILL=b")</f>
        <v/>
      </c>
      <c r="F178" s="9">
        <f>_xll.BQL("ALK US Equity", "IS_INT_INC/1M", "FPT=A", "FPO=3A", "ACT_EST_MAPPING=PRECISE", "FS=MRC", "CURRENCY=USD", "XLFILL=b")</f>
        <v>101.82264757545288</v>
      </c>
      <c r="G178" s="9">
        <f>_xll.BQL("ALK US Equity", "IS_INT_INC/1M", "FPT=A", "FPO=2A", "ACT_EST_MAPPING=PRECISE", "FS=MRC", "CURRENCY=USD", "XLFILL=b")</f>
        <v>92.909811494082462</v>
      </c>
      <c r="H178" s="9">
        <f>_xll.BQL("ALK US Equity", "IS_INT_INC/1M", "FPT=A", "FPO=1A", "ACT_EST_MAPPING=PRECISE", "FS=MRC", "CURRENCY=USD", "XLFILL=b")</f>
        <v>90.647690570847217</v>
      </c>
      <c r="I178" s="9">
        <f>_xll.BQL("ALK US Equity", "IS_INT_INC/1M", "FPT=A", "FPO=0A", "ACT_EST_MAPPING=PRECISE", "FS=MRC", "CURRENCY=USD", "XLFILL=b")</f>
        <v>80</v>
      </c>
      <c r="J178" s="9">
        <f>_xll.BQL("ALK US Equity", "IS_INT_INC/1M", "FPT=A", "FPO=-1A", "ACT_EST_MAPPING=PRECISE", "FS=MRC", "CURRENCY=USD", "XLFILL=b")</f>
        <v>53</v>
      </c>
      <c r="K178" s="9">
        <f>_xll.BQL("ALK US Equity", "IS_INT_INC/1M", "FPT=A", "FPO=-2A", "ACT_EST_MAPPING=PRECISE", "FS=MRC", "CURRENCY=USD", "XLFILL=b")</f>
        <v>25</v>
      </c>
      <c r="L178" s="9">
        <f>_xll.BQL("ALK US Equity", "IS_INT_INC/1M", "FPT=A", "FPO=-3A", "ACT_EST_MAPPING=PRECISE", "FS=MRC", "CURRENCY=USD", "XLFILL=b")</f>
        <v>31</v>
      </c>
      <c r="M178" s="9">
        <f>_xll.BQL("ALK US Equity", "IS_INT_INC/1M", "FPT=A", "FPO=-4A", "ACT_EST_MAPPING=PRECISE", "FS=MRC", "CURRENCY=USD", "XLFILL=b")</f>
        <v>42</v>
      </c>
      <c r="N178" s="9">
        <f>_xll.BQL("ALK US Equity", "IS_INT_INC/1M", "FPT=A", "FPO=-5A", "ACT_EST_MAPPING=PRECISE", "FS=MRC", "CURRENCY=USD", "XLFILL=b")</f>
        <v>38</v>
      </c>
    </row>
    <row r="179" spans="1:14" x14ac:dyDescent="0.2">
      <c r="A179" s="8" t="s">
        <v>64</v>
      </c>
      <c r="B179" s="4" t="s">
        <v>180</v>
      </c>
      <c r="C179" s="4" t="s">
        <v>181</v>
      </c>
      <c r="D179" s="4"/>
      <c r="E179" s="9" t="str">
        <f>_xll.BQL("ALK US Equity", "FA_GROWTH(IS_INT_INC, YOY)", "FPT=A", "FPO=4A", "ACT_EST_MAPPING=PRECISE", "FS=MRC", "CURRENCY=USD", "XLFILL=b")</f>
        <v/>
      </c>
      <c r="F179" s="9">
        <f>_xll.BQL("ALK US Equity", "FA_GROWTH(IS_INT_INC, YOY)", "FPT=A", "FPO=3A", "ACT_EST_MAPPING=PRECISE", "FS=MRC", "CURRENCY=USD", "XLFILL=b")</f>
        <v>9.5929977017960937</v>
      </c>
      <c r="G179" s="9">
        <f>_xll.BQL("ALK US Equity", "FA_GROWTH(IS_INT_INC, YOY)", "FPT=A", "FPO=2A", "ACT_EST_MAPPING=PRECISE", "FS=MRC", "CURRENCY=USD", "XLFILL=b")</f>
        <v>2.49550861030183</v>
      </c>
      <c r="H179" s="9">
        <f>_xll.BQL("ALK US Equity", "FA_GROWTH(IS_INT_INC, YOY)", "FPT=A", "FPO=1A", "ACT_EST_MAPPING=PRECISE", "FS=MRC", "CURRENCY=USD", "XLFILL=b")</f>
        <v>13.309613213559016</v>
      </c>
      <c r="I179" s="9">
        <f>_xll.BQL("ALK US Equity", "FA_GROWTH(IS_INT_INC, YOY)", "FPT=A", "FPO=0A", "ACT_EST_MAPPING=PRECISE", "FS=MRC", "CURRENCY=USD", "XLFILL=b")</f>
        <v>50.943396226415096</v>
      </c>
      <c r="J179" s="9">
        <f>_xll.BQL("ALK US Equity", "FA_GROWTH(IS_INT_INC, YOY)", "FPT=A", "FPO=-1A", "ACT_EST_MAPPING=PRECISE", "FS=MRC", "CURRENCY=USD", "XLFILL=b")</f>
        <v>112</v>
      </c>
      <c r="K179" s="9">
        <f>_xll.BQL("ALK US Equity", "FA_GROWTH(IS_INT_INC, YOY)", "FPT=A", "FPO=-2A", "ACT_EST_MAPPING=PRECISE", "FS=MRC", "CURRENCY=USD", "XLFILL=b")</f>
        <v>-19.35483870967742</v>
      </c>
      <c r="L179" s="9">
        <f>_xll.BQL("ALK US Equity", "FA_GROWTH(IS_INT_INC, YOY)", "FPT=A", "FPO=-3A", "ACT_EST_MAPPING=PRECISE", "FS=MRC", "CURRENCY=USD", "XLFILL=b")</f>
        <v>-26.19047619047619</v>
      </c>
      <c r="M179" s="9">
        <f>_xll.BQL("ALK US Equity", "FA_GROWTH(IS_INT_INC, YOY)", "FPT=A", "FPO=-4A", "ACT_EST_MAPPING=PRECISE", "FS=MRC", "CURRENCY=USD", "XLFILL=b")</f>
        <v>10.526315789473685</v>
      </c>
      <c r="N179" s="9">
        <f>_xll.BQL("ALK US Equity", "FA_GROWTH(IS_INT_INC, YOY)", "FPT=A", "FPO=-5A", "ACT_EST_MAPPING=PRECISE", "FS=MRC", "CURRENCY=USD", "XLFILL=b")</f>
        <v>11.764705882352942</v>
      </c>
    </row>
    <row r="180" spans="1:14" x14ac:dyDescent="0.2">
      <c r="A180" s="8" t="s">
        <v>182</v>
      </c>
      <c r="B180" s="4" t="s">
        <v>183</v>
      </c>
      <c r="C180" s="4" t="s">
        <v>184</v>
      </c>
      <c r="D180" s="4"/>
      <c r="E180" s="9" t="str">
        <f>_xll.BQL("ALK US Equity", "CB_IS_INTEREST_EXPENSE/1M", "FPT=A", "FPO=4A", "ACT_EST_MAPPING=PRECISE", "FS=MRC", "CURRENCY=USD", "XLFILL=b")</f>
        <v/>
      </c>
      <c r="F180" s="9">
        <f>_xll.BQL("ALK US Equity", "CB_IS_INTEREST_EXPENSE/1M", "FPT=A", "FPO=3A", "ACT_EST_MAPPING=PRECISE", "FS=MRC", "CURRENCY=USD", "XLFILL=b")</f>
        <v>235.75667612083274</v>
      </c>
      <c r="G180" s="9">
        <f>_xll.BQL("ALK US Equity", "CB_IS_INTEREST_EXPENSE/1M", "FPT=A", "FPO=2A", "ACT_EST_MAPPING=PRECISE", "FS=MRC", "CURRENCY=USD", "XLFILL=b")</f>
        <v>165.67267712669477</v>
      </c>
      <c r="H180" s="9">
        <f>_xll.BQL("ALK US Equity", "CB_IS_INTEREST_EXPENSE/1M", "FPT=A", "FPO=1A", "ACT_EST_MAPPING=PRECISE", "FS=MRC", "CURRENCY=USD", "XLFILL=b")</f>
        <v>148.34115452002416</v>
      </c>
      <c r="I180" s="9">
        <f>_xll.BQL("ALK US Equity", "CB_IS_INTEREST_EXPENSE/1M", "FPT=A", "FPO=0A", "ACT_EST_MAPPING=PRECISE", "FS=MRC", "CURRENCY=USD", "XLFILL=b")</f>
        <v>121</v>
      </c>
      <c r="J180" s="9">
        <f>_xll.BQL("ALK US Equity", "CB_IS_INTEREST_EXPENSE/1M", "FPT=A", "FPO=-1A", "ACT_EST_MAPPING=PRECISE", "FS=MRC", "CURRENCY=USD", "XLFILL=b")</f>
        <v>108</v>
      </c>
      <c r="K180" s="9">
        <f>_xll.BQL("ALK US Equity", "CB_IS_INTEREST_EXPENSE/1M", "FPT=A", "FPO=-2A", "ACT_EST_MAPPING=PRECISE", "FS=MRC", "CURRENCY=USD", "XLFILL=b")</f>
        <v>128</v>
      </c>
      <c r="L180" s="9">
        <f>_xll.BQL("ALK US Equity", "CB_IS_INTEREST_EXPENSE/1M", "FPT=A", "FPO=-3A", "ACT_EST_MAPPING=PRECISE", "FS=MRC", "CURRENCY=USD", "XLFILL=b")</f>
        <v>98</v>
      </c>
      <c r="M180" s="9">
        <f>_xll.BQL("ALK US Equity", "CB_IS_INTEREST_EXPENSE/1M", "FPT=A", "FPO=-4A", "ACT_EST_MAPPING=PRECISE", "FS=MRC", "CURRENCY=USD", "XLFILL=b")</f>
        <v>78</v>
      </c>
      <c r="N180" s="9">
        <f>_xll.BQL("ALK US Equity", "CB_IS_INTEREST_EXPENSE/1M", "FPT=A", "FPO=-5A", "ACT_EST_MAPPING=PRECISE", "FS=MRC", "CURRENCY=USD", "XLFILL=b")</f>
        <v>91</v>
      </c>
    </row>
    <row r="181" spans="1:14" x14ac:dyDescent="0.2">
      <c r="A181" s="8" t="s">
        <v>64</v>
      </c>
      <c r="B181" s="4" t="s">
        <v>183</v>
      </c>
      <c r="C181" s="4" t="s">
        <v>184</v>
      </c>
      <c r="D181" s="4"/>
      <c r="E181" s="9" t="str">
        <f>_xll.BQL("ALK US Equity", "FA_GROWTH(CB_IS_INTEREST_EXPENSE, YOY)", "FPT=A", "FPO=4A", "ACT_EST_MAPPING=PRECISE", "FS=MRC", "CURRENCY=USD", "XLFILL=b")</f>
        <v/>
      </c>
      <c r="F181" s="9">
        <f>_xll.BQL("ALK US Equity", "FA_GROWTH(CB_IS_INTEREST_EXPENSE, YOY)", "FPT=A", "FPO=3A", "ACT_EST_MAPPING=PRECISE", "FS=MRC", "CURRENCY=USD", "XLFILL=b")</f>
        <v>42.302689984627143</v>
      </c>
      <c r="G181" s="9">
        <f>_xll.BQL("ALK US Equity", "FA_GROWTH(CB_IS_INTEREST_EXPENSE, YOY)", "FPT=A", "FPO=2A", "ACT_EST_MAPPING=PRECISE", "FS=MRC", "CURRENCY=USD", "XLFILL=b")</f>
        <v>11.68355650375573</v>
      </c>
      <c r="H181" s="9">
        <f>_xll.BQL("ALK US Equity", "FA_GROWTH(CB_IS_INTEREST_EXPENSE, YOY)", "FPT=A", "FPO=1A", "ACT_EST_MAPPING=PRECISE", "FS=MRC", "CURRENCY=USD", "XLFILL=b")</f>
        <v>22.595995471094341</v>
      </c>
      <c r="I181" s="9">
        <f>_xll.BQL("ALK US Equity", "FA_GROWTH(CB_IS_INTEREST_EXPENSE, YOY)", "FPT=A", "FPO=0A", "ACT_EST_MAPPING=PRECISE", "FS=MRC", "CURRENCY=USD", "XLFILL=b")</f>
        <v>12.037037037037036</v>
      </c>
      <c r="J181" s="9">
        <f>_xll.BQL("ALK US Equity", "FA_GROWTH(CB_IS_INTEREST_EXPENSE, YOY)", "FPT=A", "FPO=-1A", "ACT_EST_MAPPING=PRECISE", "FS=MRC", "CURRENCY=USD", "XLFILL=b")</f>
        <v>-15.625</v>
      </c>
      <c r="K181" s="9">
        <f>_xll.BQL("ALK US Equity", "FA_GROWTH(CB_IS_INTEREST_EXPENSE, YOY)", "FPT=A", "FPO=-2A", "ACT_EST_MAPPING=PRECISE", "FS=MRC", "CURRENCY=USD", "XLFILL=b")</f>
        <v>30.612244897959183</v>
      </c>
      <c r="L181" s="9">
        <f>_xll.BQL("ALK US Equity", "FA_GROWTH(CB_IS_INTEREST_EXPENSE, YOY)", "FPT=A", "FPO=-3A", "ACT_EST_MAPPING=PRECISE", "FS=MRC", "CURRENCY=USD", "XLFILL=b")</f>
        <v>25.641025641025642</v>
      </c>
      <c r="M181" s="9">
        <f>_xll.BQL("ALK US Equity", "FA_GROWTH(CB_IS_INTEREST_EXPENSE, YOY)", "FPT=A", "FPO=-4A", "ACT_EST_MAPPING=PRECISE", "FS=MRC", "CURRENCY=USD", "XLFILL=b")</f>
        <v>-14.285714285714286</v>
      </c>
      <c r="N181" s="9">
        <f>_xll.BQL("ALK US Equity", "FA_GROWTH(CB_IS_INTEREST_EXPENSE, YOY)", "FPT=A", "FPO=-5A", "ACT_EST_MAPPING=PRECISE", "FS=MRC", "CURRENCY=USD", "XLFILL=b")</f>
        <v>-11.650485436893204</v>
      </c>
    </row>
    <row r="182" spans="1:14" x14ac:dyDescent="0.2">
      <c r="A182" s="8" t="s">
        <v>185</v>
      </c>
      <c r="B182" s="4" t="s">
        <v>186</v>
      </c>
      <c r="C182" s="4"/>
      <c r="D182" s="4"/>
      <c r="E182" s="9" t="str">
        <f>_xll.BQL("ALK US Equity", "INT_EXP_TO_TOT_REV_UTL", "FPT=A", "FPO=4A", "ACT_EST_MAPPING=PRECISE", "FS=MRC", "CURRENCY=USD", "XLFILL=b")</f>
        <v/>
      </c>
      <c r="F182" s="9" t="str">
        <f>_xll.BQL("ALK US Equity", "INT_EXP_TO_TOT_REV_UTL", "FPT=A", "FPO=3A", "ACT_EST_MAPPING=PRECISE", "FS=MRC", "CURRENCY=USD", "XLFILL=b")</f>
        <v/>
      </c>
      <c r="G182" s="9" t="str">
        <f>_xll.BQL("ALK US Equity", "INT_EXP_TO_TOT_REV_UTL", "FPT=A", "FPO=2A", "ACT_EST_MAPPING=PRECISE", "FS=MRC", "CURRENCY=USD", "XLFILL=b")</f>
        <v/>
      </c>
      <c r="H182" s="9" t="str">
        <f>_xll.BQL("ALK US Equity", "INT_EXP_TO_TOT_REV_UTL", "FPT=A", "FPO=1A", "ACT_EST_MAPPING=PRECISE", "FS=MRC", "CURRENCY=USD", "XLFILL=b")</f>
        <v/>
      </c>
      <c r="I182" s="9" t="str">
        <f>_xll.BQL("ALK US Equity", "INT_EXP_TO_TOT_REV_UTL", "FPT=A", "FPO=0A", "ACT_EST_MAPPING=PRECISE", "FS=MRC", "CURRENCY=USD", "XLFILL=b")</f>
        <v/>
      </c>
      <c r="J182" s="9" t="str">
        <f>_xll.BQL("ALK US Equity", "INT_EXP_TO_TOT_REV_UTL", "FPT=A", "FPO=-1A", "ACT_EST_MAPPING=PRECISE", "FS=MRC", "CURRENCY=USD", "XLFILL=b")</f>
        <v/>
      </c>
      <c r="K182" s="9" t="str">
        <f>_xll.BQL("ALK US Equity", "INT_EXP_TO_TOT_REV_UTL", "FPT=A", "FPO=-2A", "ACT_EST_MAPPING=PRECISE", "FS=MRC", "CURRENCY=USD", "XLFILL=b")</f>
        <v/>
      </c>
      <c r="L182" s="9" t="str">
        <f>_xll.BQL("ALK US Equity", "INT_EXP_TO_TOT_REV_UTL", "FPT=A", "FPO=-3A", "ACT_EST_MAPPING=PRECISE", "FS=MRC", "CURRENCY=USD", "XLFILL=b")</f>
        <v/>
      </c>
      <c r="M182" s="9" t="str">
        <f>_xll.BQL("ALK US Equity", "INT_EXP_TO_TOT_REV_UTL", "FPT=A", "FPO=-4A", "ACT_EST_MAPPING=PRECISE", "FS=MRC", "CURRENCY=USD", "XLFILL=b")</f>
        <v/>
      </c>
      <c r="N182" s="9" t="str">
        <f>_xll.BQL("ALK US Equity", "INT_EXP_TO_TOT_REV_UTL", "FPT=A", "FPO=-5A", "ACT_EST_MAPPING=PRECISE", "FS=MRC", "CURRENCY=USD", "XLFILL=b")</f>
        <v/>
      </c>
    </row>
    <row r="183" spans="1:14" x14ac:dyDescent="0.2">
      <c r="A183" s="8" t="s">
        <v>67</v>
      </c>
      <c r="B183" s="4" t="s">
        <v>186</v>
      </c>
      <c r="C183" s="4"/>
      <c r="D183" s="4"/>
      <c r="E183" s="9" t="str">
        <f>_xll.BQL("ALK US Equity", "FA_GROWTH(INT_EXP_TO_TOT_REV_UTL, YOY)", "FPT=A", "FPO=4A", "ACT_EST_MAPPING=PRECISE", "FS=MRC", "CURRENCY=USD", "XLFILL=b")</f>
        <v/>
      </c>
      <c r="F183" s="9" t="str">
        <f>_xll.BQL("ALK US Equity", "FA_GROWTH(INT_EXP_TO_TOT_REV_UTL, YOY)", "FPT=A", "FPO=3A", "ACT_EST_MAPPING=PRECISE", "FS=MRC", "CURRENCY=USD", "XLFILL=b")</f>
        <v/>
      </c>
      <c r="G183" s="9" t="str">
        <f>_xll.BQL("ALK US Equity", "FA_GROWTH(INT_EXP_TO_TOT_REV_UTL, YOY)", "FPT=A", "FPO=2A", "ACT_EST_MAPPING=PRECISE", "FS=MRC", "CURRENCY=USD", "XLFILL=b")</f>
        <v/>
      </c>
      <c r="H183" s="9" t="str">
        <f>_xll.BQL("ALK US Equity", "FA_GROWTH(INT_EXP_TO_TOT_REV_UTL, YOY)", "FPT=A", "FPO=1A", "ACT_EST_MAPPING=PRECISE", "FS=MRC", "CURRENCY=USD", "XLFILL=b")</f>
        <v/>
      </c>
      <c r="I183" s="9" t="str">
        <f>_xll.BQL("ALK US Equity", "FA_GROWTH(INT_EXP_TO_TOT_REV_UTL, YOY)", "FPT=A", "FPO=0A", "ACT_EST_MAPPING=PRECISE", "FS=MRC", "CURRENCY=USD", "XLFILL=b")</f>
        <v/>
      </c>
      <c r="J183" s="9" t="str">
        <f>_xll.BQL("ALK US Equity", "FA_GROWTH(INT_EXP_TO_TOT_REV_UTL, YOY)", "FPT=A", "FPO=-1A", "ACT_EST_MAPPING=PRECISE", "FS=MRC", "CURRENCY=USD", "XLFILL=b")</f>
        <v/>
      </c>
      <c r="K183" s="9" t="str">
        <f>_xll.BQL("ALK US Equity", "FA_GROWTH(INT_EXP_TO_TOT_REV_UTL, YOY)", "FPT=A", "FPO=-2A", "ACT_EST_MAPPING=PRECISE", "FS=MRC", "CURRENCY=USD", "XLFILL=b")</f>
        <v/>
      </c>
      <c r="L183" s="9" t="str">
        <f>_xll.BQL("ALK US Equity", "FA_GROWTH(INT_EXP_TO_TOT_REV_UTL, YOY)", "FPT=A", "FPO=-3A", "ACT_EST_MAPPING=PRECISE", "FS=MRC", "CURRENCY=USD", "XLFILL=b")</f>
        <v/>
      </c>
      <c r="M183" s="9" t="str">
        <f>_xll.BQL("ALK US Equity", "FA_GROWTH(INT_EXP_TO_TOT_REV_UTL, YOY)", "FPT=A", "FPO=-4A", "ACT_EST_MAPPING=PRECISE", "FS=MRC", "CURRENCY=USD", "XLFILL=b")</f>
        <v/>
      </c>
      <c r="N183" s="9" t="str">
        <f>_xll.BQL("ALK US Equity", "FA_GROWTH(INT_EXP_TO_TOT_REV_UTL, YOY)", "FPT=A", "FPO=-5A", "ACT_EST_MAPPING=PRECISE", "FS=MRC", "CURRENCY=USD", "XLFILL=b")</f>
        <v/>
      </c>
    </row>
    <row r="184" spans="1:14" x14ac:dyDescent="0.2">
      <c r="A184" s="8" t="s">
        <v>187</v>
      </c>
      <c r="B184" s="4" t="s">
        <v>188</v>
      </c>
      <c r="C184" s="4" t="s">
        <v>189</v>
      </c>
      <c r="D184" s="4"/>
      <c r="E184" s="9" t="str">
        <f>_xll.BQL("ALK US Equity", "IS_CAP_INT_EXP/1M", "FPT=A", "FPO=4A", "ACT_EST_MAPPING=PRECISE", "FS=MRC", "CURRENCY=USD", "XLFILL=b")</f>
        <v/>
      </c>
      <c r="F184" s="9">
        <f>_xll.BQL("ALK US Equity", "IS_CAP_INT_EXP/1M", "FPT=A", "FPO=3A", "ACT_EST_MAPPING=PRECISE", "FS=MRC", "CURRENCY=USD", "XLFILL=b")</f>
        <v>30.5</v>
      </c>
      <c r="G184" s="9">
        <f>_xll.BQL("ALK US Equity", "IS_CAP_INT_EXP/1M", "FPT=A", "FPO=2A", "ACT_EST_MAPPING=PRECISE", "FS=MRC", "CURRENCY=USD", "XLFILL=b")</f>
        <v>23.666666666666668</v>
      </c>
      <c r="H184" s="9">
        <f>_xll.BQL("ALK US Equity", "IS_CAP_INT_EXP/1M", "FPT=A", "FPO=1A", "ACT_EST_MAPPING=PRECISE", "FS=MRC", "CURRENCY=USD", "XLFILL=b")</f>
        <v>23.5</v>
      </c>
      <c r="I184" s="9">
        <f>_xll.BQL("ALK US Equity", "IS_CAP_INT_EXP/1M", "FPT=A", "FPO=0A", "ACT_EST_MAPPING=PRECISE", "FS=MRC", "CURRENCY=USD", "XLFILL=b")</f>
        <v>27</v>
      </c>
      <c r="J184" s="9">
        <f>_xll.BQL("ALK US Equity", "IS_CAP_INT_EXP/1M", "FPT=A", "FPO=-1A", "ACT_EST_MAPPING=PRECISE", "FS=MRC", "CURRENCY=USD", "XLFILL=b")</f>
        <v>14</v>
      </c>
      <c r="K184" s="9">
        <f>_xll.BQL("ALK US Equity", "IS_CAP_INT_EXP/1M", "FPT=A", "FPO=-2A", "ACT_EST_MAPPING=PRECISE", "FS=MRC", "CURRENCY=USD", "XLFILL=b")</f>
        <v>11</v>
      </c>
      <c r="L184" s="9">
        <f>_xll.BQL("ALK US Equity", "IS_CAP_INT_EXP/1M", "FPT=A", "FPO=-3A", "ACT_EST_MAPPING=PRECISE", "FS=MRC", "CURRENCY=USD", "XLFILL=b")</f>
        <v>11</v>
      </c>
      <c r="M184" s="9">
        <f>_xll.BQL("ALK US Equity", "IS_CAP_INT_EXP/1M", "FPT=A", "FPO=-4A", "ACT_EST_MAPPING=PRECISE", "FS=MRC", "CURRENCY=USD", "XLFILL=b")</f>
        <v>15</v>
      </c>
      <c r="N184" s="9">
        <f>_xll.BQL("ALK US Equity", "IS_CAP_INT_EXP/1M", "FPT=A", "FPO=-5A", "ACT_EST_MAPPING=PRECISE", "FS=MRC", "CURRENCY=USD", "XLFILL=b")</f>
        <v>18</v>
      </c>
    </row>
    <row r="185" spans="1:14" x14ac:dyDescent="0.2">
      <c r="A185" s="8" t="s">
        <v>64</v>
      </c>
      <c r="B185" s="4" t="s">
        <v>188</v>
      </c>
      <c r="C185" s="4" t="s">
        <v>189</v>
      </c>
      <c r="D185" s="4"/>
      <c r="E185" s="9" t="str">
        <f>_xll.BQL("ALK US Equity", "FA_GROWTH(IS_CAP_INT_EXP, YOY)", "FPT=A", "FPO=4A", "ACT_EST_MAPPING=PRECISE", "FS=MRC", "CURRENCY=USD", "XLFILL=b")</f>
        <v/>
      </c>
      <c r="F185" s="9">
        <f>_xll.BQL("ALK US Equity", "FA_GROWTH(IS_CAP_INT_EXP, YOY)", "FPT=A", "FPO=3A", "ACT_EST_MAPPING=PRECISE", "FS=MRC", "CURRENCY=USD", "XLFILL=b")</f>
        <v>28.873239436619713</v>
      </c>
      <c r="G185" s="9">
        <f>_xll.BQL("ALK US Equity", "FA_GROWTH(IS_CAP_INT_EXP, YOY)", "FPT=A", "FPO=2A", "ACT_EST_MAPPING=PRECISE", "FS=MRC", "CURRENCY=USD", "XLFILL=b")</f>
        <v>0.70921985815603361</v>
      </c>
      <c r="H185" s="9">
        <f>_xll.BQL("ALK US Equity", "FA_GROWTH(IS_CAP_INT_EXP, YOY)", "FPT=A", "FPO=1A", "ACT_EST_MAPPING=PRECISE", "FS=MRC", "CURRENCY=USD", "XLFILL=b")</f>
        <v>-12.962962962962964</v>
      </c>
      <c r="I185" s="9">
        <f>_xll.BQL("ALK US Equity", "FA_GROWTH(IS_CAP_INT_EXP, YOY)", "FPT=A", "FPO=0A", "ACT_EST_MAPPING=PRECISE", "FS=MRC", "CURRENCY=USD", "XLFILL=b")</f>
        <v>92.857142857142861</v>
      </c>
      <c r="J185" s="9">
        <f>_xll.BQL("ALK US Equity", "FA_GROWTH(IS_CAP_INT_EXP, YOY)", "FPT=A", "FPO=-1A", "ACT_EST_MAPPING=PRECISE", "FS=MRC", "CURRENCY=USD", "XLFILL=b")</f>
        <v>27.272727272727273</v>
      </c>
      <c r="K185" s="9">
        <f>_xll.BQL("ALK US Equity", "FA_GROWTH(IS_CAP_INT_EXP, YOY)", "FPT=A", "FPO=-2A", "ACT_EST_MAPPING=PRECISE", "FS=MRC", "CURRENCY=USD", "XLFILL=b")</f>
        <v>0</v>
      </c>
      <c r="L185" s="9">
        <f>_xll.BQL("ALK US Equity", "FA_GROWTH(IS_CAP_INT_EXP, YOY)", "FPT=A", "FPO=-3A", "ACT_EST_MAPPING=PRECISE", "FS=MRC", "CURRENCY=USD", "XLFILL=b")</f>
        <v>-26.666666666666668</v>
      </c>
      <c r="M185" s="9">
        <f>_xll.BQL("ALK US Equity", "FA_GROWTH(IS_CAP_INT_EXP, YOY)", "FPT=A", "FPO=-4A", "ACT_EST_MAPPING=PRECISE", "FS=MRC", "CURRENCY=USD", "XLFILL=b")</f>
        <v>-16.666666666666668</v>
      </c>
      <c r="N185" s="9">
        <f>_xll.BQL("ALK US Equity", "FA_GROWTH(IS_CAP_INT_EXP, YOY)", "FPT=A", "FPO=-5A", "ACT_EST_MAPPING=PRECISE", "FS=MRC", "CURRENCY=USD", "XLFILL=b")</f>
        <v>5.882352941176471</v>
      </c>
    </row>
    <row r="186" spans="1:14" x14ac:dyDescent="0.2">
      <c r="A186" s="8" t="s">
        <v>190</v>
      </c>
      <c r="B186" s="4" t="s">
        <v>191</v>
      </c>
      <c r="C186" s="4"/>
      <c r="D186" s="4"/>
      <c r="E186" s="9" t="str">
        <f>_xll.BQL("ALK US Equity", "CB_IS_OTHER_NON_OPER_INC_EXPN/1M", "FPT=A", "FPO=4A", "ACT_EST_MAPPING=PRECISE", "FS=MRC", "CURRENCY=USD", "XLFILL=b")</f>
        <v/>
      </c>
      <c r="F186" s="9">
        <f>_xll.BQL("ALK US Equity", "CB_IS_OTHER_NON_OPER_INC_EXPN/1M", "FPT=A", "FPO=3A", "ACT_EST_MAPPING=PRECISE", "FS=MRC", "CURRENCY=USD", "XLFILL=b")</f>
        <v>9.4</v>
      </c>
      <c r="G186" s="9">
        <f>_xll.BQL("ALK US Equity", "CB_IS_OTHER_NON_OPER_INC_EXPN/1M", "FPT=A", "FPO=2A", "ACT_EST_MAPPING=PRECISE", "FS=MRC", "CURRENCY=USD", "XLFILL=b")</f>
        <v>10</v>
      </c>
      <c r="H186" s="9">
        <f>_xll.BQL("ALK US Equity", "CB_IS_OTHER_NON_OPER_INC_EXPN/1M", "FPT=A", "FPO=1A", "ACT_EST_MAPPING=PRECISE", "FS=MRC", "CURRENCY=USD", "XLFILL=b")</f>
        <v>9.5</v>
      </c>
      <c r="I186" s="9">
        <f>_xll.BQL("ALK US Equity", "CB_IS_OTHER_NON_OPER_INC_EXPN/1M", "FPT=A", "FPO=0A", "ACT_EST_MAPPING=PRECISE", "FS=MRC", "CURRENCY=USD", "XLFILL=b")</f>
        <v>39</v>
      </c>
      <c r="J186" s="9">
        <f>_xll.BQL("ALK US Equity", "CB_IS_OTHER_NON_OPER_INC_EXPN/1M", "FPT=A", "FPO=-1A", "ACT_EST_MAPPING=PRECISE", "FS=MRC", "CURRENCY=USD", "XLFILL=b")</f>
        <v>-50</v>
      </c>
      <c r="K186" s="9">
        <f>_xll.BQL("ALK US Equity", "CB_IS_OTHER_NON_OPER_INC_EXPN/1M", "FPT=A", "FPO=-2A", "ACT_EST_MAPPING=PRECISE", "FS=MRC", "CURRENCY=USD", "XLFILL=b")</f>
        <v>-36</v>
      </c>
      <c r="L186" s="9">
        <f>_xll.BQL("ALK US Equity", "CB_IS_OTHER_NON_OPER_INC_EXPN/1M", "FPT=A", "FPO=-3A", "ACT_EST_MAPPING=PRECISE", "FS=MRC", "CURRENCY=USD", "XLFILL=b")</f>
        <v>-17</v>
      </c>
      <c r="M186" s="9">
        <f>_xll.BQL("ALK US Equity", "CB_IS_OTHER_NON_OPER_INC_EXPN/1M", "FPT=A", "FPO=-4A", "ACT_EST_MAPPING=PRECISE", "FS=MRC", "CURRENCY=USD", "XLFILL=b")</f>
        <v>26</v>
      </c>
      <c r="N186" s="9">
        <f>_xll.BQL("ALK US Equity", "CB_IS_OTHER_NON_OPER_INC_EXPN/1M", "FPT=A", "FPO=-5A", "ACT_EST_MAPPING=PRECISE", "FS=MRC", "CURRENCY=USD", "XLFILL=b")</f>
        <v>23</v>
      </c>
    </row>
    <row r="187" spans="1:14" x14ac:dyDescent="0.2">
      <c r="A187" s="8" t="s">
        <v>64</v>
      </c>
      <c r="B187" s="4" t="s">
        <v>191</v>
      </c>
      <c r="C187" s="4"/>
      <c r="D187" s="4"/>
      <c r="E187" s="9" t="str">
        <f>_xll.BQL("ALK US Equity", "FA_GROWTH(CB_IS_OTHER_NON_OPER_INC_EXPN, YOY)", "FPT=A", "FPO=4A", "ACT_EST_MAPPING=PRECISE", "FS=MRC", "CURRENCY=USD", "XLFILL=b")</f>
        <v/>
      </c>
      <c r="F187" s="9">
        <f>_xll.BQL("ALK US Equity", "FA_GROWTH(CB_IS_OTHER_NON_OPER_INC_EXPN, YOY)", "FPT=A", "FPO=3A", "ACT_EST_MAPPING=PRECISE", "FS=MRC", "CURRENCY=USD", "XLFILL=b")</f>
        <v>-6</v>
      </c>
      <c r="G187" s="9">
        <f>_xll.BQL("ALK US Equity", "FA_GROWTH(CB_IS_OTHER_NON_OPER_INC_EXPN, YOY)", "FPT=A", "FPO=2A", "ACT_EST_MAPPING=PRECISE", "FS=MRC", "CURRENCY=USD", "XLFILL=b")</f>
        <v>5.2631578947368425</v>
      </c>
      <c r="H187" s="9">
        <f>_xll.BQL("ALK US Equity", "FA_GROWTH(CB_IS_OTHER_NON_OPER_INC_EXPN, YOY)", "FPT=A", "FPO=1A", "ACT_EST_MAPPING=PRECISE", "FS=MRC", "CURRENCY=USD", "XLFILL=b")</f>
        <v>-75.641025641025635</v>
      </c>
      <c r="I187" s="9">
        <f>_xll.BQL("ALK US Equity", "FA_GROWTH(CB_IS_OTHER_NON_OPER_INC_EXPN, YOY)", "FPT=A", "FPO=0A", "ACT_EST_MAPPING=PRECISE", "FS=MRC", "CURRENCY=USD", "XLFILL=b")</f>
        <v>178</v>
      </c>
      <c r="J187" s="9">
        <f>_xll.BQL("ALK US Equity", "FA_GROWTH(CB_IS_OTHER_NON_OPER_INC_EXPN, YOY)", "FPT=A", "FPO=-1A", "ACT_EST_MAPPING=PRECISE", "FS=MRC", "CURRENCY=USD", "XLFILL=b")</f>
        <v>-38.888888888888886</v>
      </c>
      <c r="K187" s="9">
        <f>_xll.BQL("ALK US Equity", "FA_GROWTH(CB_IS_OTHER_NON_OPER_INC_EXPN, YOY)", "FPT=A", "FPO=-2A", "ACT_EST_MAPPING=PRECISE", "FS=MRC", "CURRENCY=USD", "XLFILL=b")</f>
        <v>-111.76470588235294</v>
      </c>
      <c r="L187" s="9">
        <f>_xll.BQL("ALK US Equity", "FA_GROWTH(CB_IS_OTHER_NON_OPER_INC_EXPN, YOY)", "FPT=A", "FPO=-3A", "ACT_EST_MAPPING=PRECISE", "FS=MRC", "CURRENCY=USD", "XLFILL=b")</f>
        <v>-165.38461538461539</v>
      </c>
      <c r="M187" s="9">
        <f>_xll.BQL("ALK US Equity", "FA_GROWTH(CB_IS_OTHER_NON_OPER_INC_EXPN, YOY)", "FPT=A", "FPO=-4A", "ACT_EST_MAPPING=PRECISE", "FS=MRC", "CURRENCY=USD", "XLFILL=b")</f>
        <v>13.043478260869565</v>
      </c>
      <c r="N187" s="9">
        <f>_xll.BQL("ALK US Equity", "FA_GROWTH(CB_IS_OTHER_NON_OPER_INC_EXPN, YOY)", "FPT=A", "FPO=-5A", "ACT_EST_MAPPING=PRECISE", "FS=MRC", "CURRENCY=USD", "XLFILL=b")</f>
        <v>866.66666666666663</v>
      </c>
    </row>
    <row r="188" spans="1:14" x14ac:dyDescent="0.2">
      <c r="A188" s="8" t="s">
        <v>16</v>
      </c>
      <c r="B188" s="4"/>
      <c r="C188" s="4"/>
      <c r="D188" s="4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x14ac:dyDescent="0.2">
      <c r="A189" s="8" t="s">
        <v>192</v>
      </c>
      <c r="B189" s="4" t="s">
        <v>193</v>
      </c>
      <c r="C189" s="4" t="s">
        <v>194</v>
      </c>
      <c r="D189" s="4"/>
      <c r="E189" s="9" t="str">
        <f>_xll.BQL("ALK US Equity", "PRETAX_INC/1M", "FPT=A", "FPO=4A", "ACT_EST_MAPPING=PRECISE", "FS=MRC", "CURRENCY=USD", "XLFILL=b")</f>
        <v/>
      </c>
      <c r="F189" s="9">
        <f>_xll.BQL("ALK US Equity", "PRETAX_INC/1M", "FPT=A", "FPO=3A", "ACT_EST_MAPPING=PRECISE", "FS=MRC", "CURRENCY=USD", "XLFILL=b")</f>
        <v>1154.0297195682808</v>
      </c>
      <c r="G189" s="9">
        <f>_xll.BQL("ALK US Equity", "PRETAX_INC/1M", "FPT=A", "FPO=2A", "ACT_EST_MAPPING=PRECISE", "FS=MRC", "CURRENCY=USD", "XLFILL=b")</f>
        <v>1015.6629859116644</v>
      </c>
      <c r="H189" s="9">
        <f>_xll.BQL("ALK US Equity", "PRETAX_INC/1M", "FPT=A", "FPO=1A", "ACT_EST_MAPPING=PRECISE", "FS=MRC", "CURRENCY=USD", "XLFILL=b")</f>
        <v>660.17454435961815</v>
      </c>
      <c r="I189" s="9">
        <f>_xll.BQL("ALK US Equity", "PRETAX_INC/1M", "FPT=A", "FPO=0A", "ACT_EST_MAPPING=PRECISE", "FS=MRC", "CURRENCY=USD", "XLFILL=b")</f>
        <v>323</v>
      </c>
      <c r="J189" s="9">
        <f>_xll.BQL("ALK US Equity", "PRETAX_INC/1M", "FPT=A", "FPO=-1A", "ACT_EST_MAPPING=PRECISE", "FS=MRC", "CURRENCY=USD", "XLFILL=b")</f>
        <v>79</v>
      </c>
      <c r="K189" s="9">
        <f>_xll.BQL("ALK US Equity", "PRETAX_INC/1M", "FPT=A", "FPO=-2A", "ACT_EST_MAPPING=PRECISE", "FS=MRC", "CURRENCY=USD", "XLFILL=b")</f>
        <v>629</v>
      </c>
      <c r="L189" s="9">
        <f>_xll.BQL("ALK US Equity", "PRETAX_INC/1M", "FPT=A", "FPO=-3A", "ACT_EST_MAPPING=PRECISE", "FS=MRC", "CURRENCY=USD", "XLFILL=b")</f>
        <v>-1840</v>
      </c>
      <c r="M189" s="9">
        <f>_xll.BQL("ALK US Equity", "PRETAX_INC/1M", "FPT=A", "FPO=-4A", "ACT_EST_MAPPING=PRECISE", "FS=MRC", "CURRENCY=USD", "XLFILL=b")</f>
        <v>1016</v>
      </c>
      <c r="N189" s="9">
        <f>_xll.BQL("ALK US Equity", "PRETAX_INC/1M", "FPT=A", "FPO=-5A", "ACT_EST_MAPPING=PRECISE", "FS=MRC", "CURRENCY=USD", "XLFILL=b")</f>
        <v>585</v>
      </c>
    </row>
    <row r="190" spans="1:14" x14ac:dyDescent="0.2">
      <c r="A190" s="8" t="s">
        <v>12</v>
      </c>
      <c r="B190" s="4" t="s">
        <v>193</v>
      </c>
      <c r="C190" s="4" t="s">
        <v>194</v>
      </c>
      <c r="D190" s="4"/>
      <c r="E190" s="9" t="str">
        <f>_xll.BQL("ALK US Equity", "FA_GROWTH(PRETAX_INC, YOY)", "FPT=A", "FPO=4A", "ACT_EST_MAPPING=PRECISE", "FS=MRC", "CURRENCY=USD", "XLFILL=b")</f>
        <v/>
      </c>
      <c r="F190" s="9">
        <f>_xll.BQL("ALK US Equity", "FA_GROWTH(PRETAX_INC, YOY)", "FPT=A", "FPO=3A", "ACT_EST_MAPPING=PRECISE", "FS=MRC", "CURRENCY=USD", "XLFILL=b")</f>
        <v>13.623291935997635</v>
      </c>
      <c r="G190" s="9">
        <f>_xll.BQL("ALK US Equity", "FA_GROWTH(PRETAX_INC, YOY)", "FPT=A", "FPO=2A", "ACT_EST_MAPPING=PRECISE", "FS=MRC", "CURRENCY=USD", "XLFILL=b")</f>
        <v>53.847644473610643</v>
      </c>
      <c r="H190" s="9">
        <f>_xll.BQL("ALK US Equity", "FA_GROWTH(PRETAX_INC, YOY)", "FPT=A", "FPO=1A", "ACT_EST_MAPPING=PRECISE", "FS=MRC", "CURRENCY=USD", "XLFILL=b")</f>
        <v>104.38840382650717</v>
      </c>
      <c r="I190" s="9">
        <f>_xll.BQL("ALK US Equity", "FA_GROWTH(PRETAX_INC, YOY)", "FPT=A", "FPO=0A", "ACT_EST_MAPPING=PRECISE", "FS=MRC", "CURRENCY=USD", "XLFILL=b")</f>
        <v>308.86075949367091</v>
      </c>
      <c r="J190" s="9">
        <f>_xll.BQL("ALK US Equity", "FA_GROWTH(PRETAX_INC, YOY)", "FPT=A", "FPO=-1A", "ACT_EST_MAPPING=PRECISE", "FS=MRC", "CURRENCY=USD", "XLFILL=b")</f>
        <v>-87.440381558028619</v>
      </c>
      <c r="K190" s="9">
        <f>_xll.BQL("ALK US Equity", "FA_GROWTH(PRETAX_INC, YOY)", "FPT=A", "FPO=-2A", "ACT_EST_MAPPING=PRECISE", "FS=MRC", "CURRENCY=USD", "XLFILL=b")</f>
        <v>134.18478260869566</v>
      </c>
      <c r="L190" s="9">
        <f>_xll.BQL("ALK US Equity", "FA_GROWTH(PRETAX_INC, YOY)", "FPT=A", "FPO=-3A", "ACT_EST_MAPPING=PRECISE", "FS=MRC", "CURRENCY=USD", "XLFILL=b")</f>
        <v>-281.10236220472439</v>
      </c>
      <c r="M190" s="9">
        <f>_xll.BQL("ALK US Equity", "FA_GROWTH(PRETAX_INC, YOY)", "FPT=A", "FPO=-4A", "ACT_EST_MAPPING=PRECISE", "FS=MRC", "CURRENCY=USD", "XLFILL=b")</f>
        <v>73.675213675213669</v>
      </c>
      <c r="N190" s="9">
        <f>_xll.BQL("ALK US Equity", "FA_GROWTH(PRETAX_INC, YOY)", "FPT=A", "FPO=-5A", "ACT_EST_MAPPING=PRECISE", "FS=MRC", "CURRENCY=USD", "XLFILL=b")</f>
        <v>-49.525452976704052</v>
      </c>
    </row>
    <row r="191" spans="1:14" x14ac:dyDescent="0.2">
      <c r="A191" s="8" t="s">
        <v>16</v>
      </c>
      <c r="B191" s="4"/>
      <c r="C191" s="4"/>
      <c r="D191" s="4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x14ac:dyDescent="0.2">
      <c r="A192" s="8" t="s">
        <v>195</v>
      </c>
      <c r="B192" s="4" t="s">
        <v>196</v>
      </c>
      <c r="C192" s="4"/>
      <c r="D192" s="4"/>
      <c r="E192" s="9" t="str">
        <f>_xll.BQL("ALK US Equity", "IS_INC_TAX_EXP/1M", "FPT=A", "FPO=4A", "ACT_EST_MAPPING=PRECISE", "FS=MRC", "CURRENCY=USD", "XLFILL=b")</f>
        <v/>
      </c>
      <c r="F192" s="9">
        <f>_xll.BQL("ALK US Equity", "IS_INC_TAX_EXP/1M", "FPT=A", "FPO=3A", "ACT_EST_MAPPING=PRECISE", "FS=MRC", "CURRENCY=USD", "XLFILL=b")</f>
        <v>294.41205249662215</v>
      </c>
      <c r="G192" s="9">
        <f>_xll.BQL("ALK US Equity", "IS_INC_TAX_EXP/1M", "FPT=A", "FPO=2A", "ACT_EST_MAPPING=PRECISE", "FS=MRC", "CURRENCY=USD", "XLFILL=b")</f>
        <v>259.16769577202928</v>
      </c>
      <c r="H192" s="9">
        <f>_xll.BQL("ALK US Equity", "IS_INC_TAX_EXP/1M", "FPT=A", "FPO=1A", "ACT_EST_MAPPING=PRECISE", "FS=MRC", "CURRENCY=USD", "XLFILL=b")</f>
        <v>179.07280675352479</v>
      </c>
      <c r="I192" s="9">
        <f>_xll.BQL("ALK US Equity", "IS_INC_TAX_EXP/1M", "FPT=A", "FPO=0A", "ACT_EST_MAPPING=PRECISE", "FS=MRC", "CURRENCY=USD", "XLFILL=b")</f>
        <v>88</v>
      </c>
      <c r="J192" s="9">
        <f>_xll.BQL("ALK US Equity", "IS_INC_TAX_EXP/1M", "FPT=A", "FPO=-1A", "ACT_EST_MAPPING=PRECISE", "FS=MRC", "CURRENCY=USD", "XLFILL=b")</f>
        <v>21</v>
      </c>
      <c r="K192" s="9">
        <f>_xll.BQL("ALK US Equity", "IS_INC_TAX_EXP/1M", "FPT=A", "FPO=-2A", "ACT_EST_MAPPING=PRECISE", "FS=MRC", "CURRENCY=USD", "XLFILL=b")</f>
        <v>151</v>
      </c>
      <c r="L192" s="9">
        <f>_xll.BQL("ALK US Equity", "IS_INC_TAX_EXP/1M", "FPT=A", "FPO=-3A", "ACT_EST_MAPPING=PRECISE", "FS=MRC", "CURRENCY=USD", "XLFILL=b")</f>
        <v>-516</v>
      </c>
      <c r="M192" s="9">
        <f>_xll.BQL("ALK US Equity", "IS_INC_TAX_EXP/1M", "FPT=A", "FPO=-4A", "ACT_EST_MAPPING=PRECISE", "FS=MRC", "CURRENCY=USD", "XLFILL=b")</f>
        <v>247</v>
      </c>
      <c r="N192" s="9">
        <f>_xll.BQL("ALK US Equity", "IS_INC_TAX_EXP/1M", "FPT=A", "FPO=-5A", "ACT_EST_MAPPING=PRECISE", "FS=MRC", "CURRENCY=USD", "XLFILL=b")</f>
        <v>148</v>
      </c>
    </row>
    <row r="193" spans="1:14" x14ac:dyDescent="0.2">
      <c r="A193" s="8" t="s">
        <v>12</v>
      </c>
      <c r="B193" s="4" t="s">
        <v>196</v>
      </c>
      <c r="C193" s="4"/>
      <c r="D193" s="4"/>
      <c r="E193" s="9" t="str">
        <f>_xll.BQL("ALK US Equity", "FA_GROWTH(IS_INC_TAX_EXP, YOY)", "FPT=A", "FPO=4A", "ACT_EST_MAPPING=PRECISE", "FS=MRC", "CURRENCY=USD", "XLFILL=b")</f>
        <v/>
      </c>
      <c r="F193" s="9">
        <f>_xll.BQL("ALK US Equity", "FA_GROWTH(IS_INC_TAX_EXP, YOY)", "FPT=A", "FPO=3A", "ACT_EST_MAPPING=PRECISE", "FS=MRC", "CURRENCY=USD", "XLFILL=b")</f>
        <v>13.59905470456269</v>
      </c>
      <c r="G193" s="9">
        <f>_xll.BQL("ALK US Equity", "FA_GROWTH(IS_INC_TAX_EXP, YOY)", "FPT=A", "FPO=2A", "ACT_EST_MAPPING=PRECISE", "FS=MRC", "CURRENCY=USD", "XLFILL=b")</f>
        <v>44.72755549576371</v>
      </c>
      <c r="H193" s="9">
        <f>_xll.BQL("ALK US Equity", "FA_GROWTH(IS_INC_TAX_EXP, YOY)", "FPT=A", "FPO=1A", "ACT_EST_MAPPING=PRECISE", "FS=MRC", "CURRENCY=USD", "XLFILL=b")</f>
        <v>103.49182585627815</v>
      </c>
      <c r="I193" s="9">
        <f>_xll.BQL("ALK US Equity", "FA_GROWTH(IS_INC_TAX_EXP, YOY)", "FPT=A", "FPO=0A", "ACT_EST_MAPPING=PRECISE", "FS=MRC", "CURRENCY=USD", "XLFILL=b")</f>
        <v>319.04761904761904</v>
      </c>
      <c r="J193" s="9">
        <f>_xll.BQL("ALK US Equity", "FA_GROWTH(IS_INC_TAX_EXP, YOY)", "FPT=A", "FPO=-1A", "ACT_EST_MAPPING=PRECISE", "FS=MRC", "CURRENCY=USD", "XLFILL=b")</f>
        <v>-86.092715231788077</v>
      </c>
      <c r="K193" s="9">
        <f>_xll.BQL("ALK US Equity", "FA_GROWTH(IS_INC_TAX_EXP, YOY)", "FPT=A", "FPO=-2A", "ACT_EST_MAPPING=PRECISE", "FS=MRC", "CURRENCY=USD", "XLFILL=b")</f>
        <v>129.26356589147287</v>
      </c>
      <c r="L193" s="9">
        <f>_xll.BQL("ALK US Equity", "FA_GROWTH(IS_INC_TAX_EXP, YOY)", "FPT=A", "FPO=-3A", "ACT_EST_MAPPING=PRECISE", "FS=MRC", "CURRENCY=USD", "XLFILL=b")</f>
        <v>-308.90688259109311</v>
      </c>
      <c r="M193" s="9">
        <f>_xll.BQL("ALK US Equity", "FA_GROWTH(IS_INC_TAX_EXP, YOY)", "FPT=A", "FPO=-4A", "ACT_EST_MAPPING=PRECISE", "FS=MRC", "CURRENCY=USD", "XLFILL=b")</f>
        <v>66.891891891891888</v>
      </c>
      <c r="N193" s="9">
        <f>_xll.BQL("ALK US Equity", "FA_GROWTH(IS_INC_TAX_EXP, YOY)", "FPT=A", "FPO=-5A", "ACT_EST_MAPPING=PRECISE", "FS=MRC", "CURRENCY=USD", "XLFILL=b")</f>
        <v>-25.628140703517587</v>
      </c>
    </row>
    <row r="194" spans="1:14" x14ac:dyDescent="0.2">
      <c r="A194" s="8" t="s">
        <v>197</v>
      </c>
      <c r="B194" s="4" t="s">
        <v>198</v>
      </c>
      <c r="C194" s="4" t="s">
        <v>199</v>
      </c>
      <c r="D194" s="4"/>
      <c r="E194" s="9" t="str">
        <f>_xll.BQL("ALK US Equity", "EFF_TAX_RATE", "FPT=A", "FPO=4A", "ACT_EST_MAPPING=PRECISE", "FS=MRC", "CURRENCY=USD", "XLFILL=b")</f>
        <v/>
      </c>
      <c r="F194" s="9">
        <f>_xll.BQL("ALK US Equity", "EFF_TAX_RATE", "FPT=A", "FPO=3A", "ACT_EST_MAPPING=PRECISE", "FS=MRC", "CURRENCY=USD", "XLFILL=b")</f>
        <v>25.458333333333304</v>
      </c>
      <c r="G194" s="9">
        <f>_xll.BQL("ALK US Equity", "EFF_TAX_RATE", "FPT=A", "FPO=2A", "ACT_EST_MAPPING=PRECISE", "FS=MRC", "CURRENCY=USD", "XLFILL=b")</f>
        <v>25.187499999999986</v>
      </c>
      <c r="H194" s="9">
        <f>_xll.BQL("ALK US Equity", "EFF_TAX_RATE", "FPT=A", "FPO=1A", "ACT_EST_MAPPING=PRECISE", "FS=MRC", "CURRENCY=USD", "XLFILL=b")</f>
        <v>26.815644544741161</v>
      </c>
      <c r="I194" s="9">
        <f>_xll.BQL("ALK US Equity", "EFF_TAX_RATE", "FPT=A", "FPO=0A", "ACT_EST_MAPPING=PRECISE", "FS=MRC", "CURRENCY=USD", "XLFILL=b")</f>
        <v>27.244582043343652</v>
      </c>
      <c r="J194" s="9">
        <f>_xll.BQL("ALK US Equity", "EFF_TAX_RATE", "FPT=A", "FPO=-1A", "ACT_EST_MAPPING=PRECISE", "FS=MRC", "CURRENCY=USD", "XLFILL=b")</f>
        <v>26.582278481012658</v>
      </c>
      <c r="K194" s="9">
        <f>_xll.BQL("ALK US Equity", "EFF_TAX_RATE", "FPT=A", "FPO=-2A", "ACT_EST_MAPPING=PRECISE", "FS=MRC", "CURRENCY=USD", "XLFILL=b")</f>
        <v>24.006359300476948</v>
      </c>
      <c r="L194" s="9" t="str">
        <f>_xll.BQL("ALK US Equity", "EFF_TAX_RATE", "FPT=A", "FPO=-3A", "ACT_EST_MAPPING=PRECISE", "FS=MRC", "CURRENCY=USD", "XLFILL=b")</f>
        <v/>
      </c>
      <c r="M194" s="9">
        <f>_xll.BQL("ALK US Equity", "EFF_TAX_RATE", "FPT=A", "FPO=-4A", "ACT_EST_MAPPING=PRECISE", "FS=MRC", "CURRENCY=USD", "XLFILL=b")</f>
        <v>24.311023622047244</v>
      </c>
      <c r="N194" s="9">
        <f>_xll.BQL("ALK US Equity", "EFF_TAX_RATE", "FPT=A", "FPO=-5A", "ACT_EST_MAPPING=PRECISE", "FS=MRC", "CURRENCY=USD", "XLFILL=b")</f>
        <v>25.299145299145298</v>
      </c>
    </row>
    <row r="195" spans="1:14" x14ac:dyDescent="0.2">
      <c r="A195" s="8" t="s">
        <v>64</v>
      </c>
      <c r="B195" s="4" t="s">
        <v>198</v>
      </c>
      <c r="C195" s="4" t="s">
        <v>199</v>
      </c>
      <c r="D195" s="4"/>
      <c r="E195" s="9" t="str">
        <f>_xll.BQL("ALK US Equity", "FA_GROWTH(EFF_TAX_RATE, YOY)", "FPT=A", "FPO=4A", "ACT_EST_MAPPING=PRECISE", "FS=MRC", "CURRENCY=USD", "XLFILL=b")</f>
        <v/>
      </c>
      <c r="F195" s="9">
        <f>_xll.BQL("ALK US Equity", "FA_GROWTH(EFF_TAX_RATE, YOY)", "FPT=A", "FPO=3A", "ACT_EST_MAPPING=PRECISE", "FS=MRC", "CURRENCY=USD", "XLFILL=b")</f>
        <v>1.0752688172042406</v>
      </c>
      <c r="G195" s="9">
        <f>_xll.BQL("ALK US Equity", "FA_GROWTH(EFF_TAX_RATE, YOY)", "FPT=A", "FPO=2A", "ACT_EST_MAPPING=PRECISE", "FS=MRC", "CURRENCY=USD", "XLFILL=b")</f>
        <v>-6.0716218923049246</v>
      </c>
      <c r="H195" s="9">
        <f>_xll.BQL("ALK US Equity", "FA_GROWTH(EFF_TAX_RATE, YOY)", "FPT=A", "FPO=1A", "ACT_EST_MAPPING=PRECISE", "FS=MRC", "CURRENCY=USD", "XLFILL=b")</f>
        <v>-1.5743955914614134</v>
      </c>
      <c r="I195" s="9">
        <f>_xll.BQL("ALK US Equity", "FA_GROWTH(EFF_TAX_RATE, YOY)", "FPT=A", "FPO=0A", "ACT_EST_MAPPING=PRECISE", "FS=MRC", "CURRENCY=USD", "XLFILL=b")</f>
        <v>2.4915229249594533</v>
      </c>
      <c r="J195" s="9">
        <f>_xll.BQL("ALK US Equity", "FA_GROWTH(EFF_TAX_RATE, YOY)", "FPT=A", "FPO=-1A", "ACT_EST_MAPPING=PRECISE", "FS=MRC", "CURRENCY=USD", "XLFILL=b")</f>
        <v>10.730153407661996</v>
      </c>
      <c r="K195" s="9" t="str">
        <f>_xll.BQL("ALK US Equity", "FA_GROWTH(EFF_TAX_RATE, YOY)", "FPT=A", "FPO=-2A", "ACT_EST_MAPPING=PRECISE", "FS=MRC", "CURRENCY=USD", "XLFILL=b")</f>
        <v/>
      </c>
      <c r="L195" s="9" t="str">
        <f>_xll.BQL("ALK US Equity", "FA_GROWTH(EFF_TAX_RATE, YOY)", "FPT=A", "FPO=-3A", "ACT_EST_MAPPING=PRECISE", "FS=MRC", "CURRENCY=USD", "XLFILL=b")</f>
        <v/>
      </c>
      <c r="M195" s="9">
        <f>_xll.BQL("ALK US Equity", "FA_GROWTH(EFF_TAX_RATE, YOY)", "FPT=A", "FPO=-4A", "ACT_EST_MAPPING=PRECISE", "FS=MRC", "CURRENCY=USD", "XLFILL=b")</f>
        <v>-3.9057512236646041</v>
      </c>
      <c r="N195" s="9">
        <f>_xll.BQL("ALK US Equity", "FA_GROWTH(EFF_TAX_RATE, YOY)", "FPT=A", "FPO=-5A", "ACT_EST_MAPPING=PRECISE", "FS=MRC", "CURRENCY=USD", "XLFILL=b")</f>
        <v>47.345273375424135</v>
      </c>
    </row>
    <row r="196" spans="1:14" x14ac:dyDescent="0.2">
      <c r="A196" s="8" t="s">
        <v>16</v>
      </c>
      <c r="B196" s="4"/>
      <c r="C196" s="4"/>
      <c r="D196" s="4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x14ac:dyDescent="0.2">
      <c r="A197" s="8" t="s">
        <v>200</v>
      </c>
      <c r="B197" s="4" t="s">
        <v>201</v>
      </c>
      <c r="C197" s="4" t="s">
        <v>202</v>
      </c>
      <c r="D197" s="4"/>
      <c r="E197" s="9" t="str">
        <f>_xll.BQL("ALK US Equity", "IS_COMP_NET_INCOME_GAAP/1M", "FPT=A", "FPO=4A", "ACT_EST_MAPPING=PRECISE", "FS=MRC", "CURRENCY=USD", "XLFILL=b")</f>
        <v/>
      </c>
      <c r="F197" s="9">
        <f>_xll.BQL("ALK US Equity", "IS_COMP_NET_INCOME_GAAP/1M", "FPT=A", "FPO=3A", "ACT_EST_MAPPING=PRECISE", "FS=MRC", "CURRENCY=USD", "XLFILL=b")</f>
        <v>823.4</v>
      </c>
      <c r="G197" s="9">
        <f>_xll.BQL("ALK US Equity", "IS_COMP_NET_INCOME_GAAP/1M", "FPT=A", "FPO=2A", "ACT_EST_MAPPING=PRECISE", "FS=MRC", "CURRENCY=USD", "XLFILL=b")</f>
        <v>710.375</v>
      </c>
      <c r="H197" s="9">
        <f>_xll.BQL("ALK US Equity", "IS_COMP_NET_INCOME_GAAP/1M", "FPT=A", "FPO=1A", "ACT_EST_MAPPING=PRECISE", "FS=MRC", "CURRENCY=USD", "XLFILL=b")</f>
        <v>476.14285714285711</v>
      </c>
      <c r="I197" s="9">
        <f>_xll.BQL("ALK US Equity", "IS_COMP_NET_INCOME_GAAP/1M", "FPT=A", "FPO=0A", "ACT_EST_MAPPING=PRECISE", "FS=MRC", "CURRENCY=USD", "XLFILL=b")</f>
        <v>235</v>
      </c>
      <c r="J197" s="9">
        <f>_xll.BQL("ALK US Equity", "IS_COMP_NET_INCOME_GAAP/1M", "FPT=A", "FPO=-1A", "ACT_EST_MAPPING=PRECISE", "FS=MRC", "CURRENCY=USD", "XLFILL=b")</f>
        <v>58</v>
      </c>
      <c r="K197" s="9">
        <f>_xll.BQL("ALK US Equity", "IS_COMP_NET_INCOME_GAAP/1M", "FPT=A", "FPO=-2A", "ACT_EST_MAPPING=PRECISE", "FS=MRC", "CURRENCY=USD", "XLFILL=b")</f>
        <v>478</v>
      </c>
      <c r="L197" s="9">
        <f>_xll.BQL("ALK US Equity", "IS_COMP_NET_INCOME_GAAP/1M", "FPT=A", "FPO=-3A", "ACT_EST_MAPPING=PRECISE", "FS=MRC", "CURRENCY=USD", "XLFILL=b")</f>
        <v>-1307</v>
      </c>
      <c r="M197" s="9">
        <f>_xll.BQL("ALK US Equity", "IS_COMP_NET_INCOME_GAAP/1M", "FPT=A", "FPO=-4A", "ACT_EST_MAPPING=PRECISE", "FS=MRC", "CURRENCY=USD", "XLFILL=b")</f>
        <v>769</v>
      </c>
      <c r="N197" s="9">
        <f>_xll.BQL("ALK US Equity", "IS_COMP_NET_INCOME_GAAP/1M", "FPT=A", "FPO=-5A", "ACT_EST_MAPPING=PRECISE", "FS=MRC", "CURRENCY=USD", "XLFILL=b")</f>
        <v>437</v>
      </c>
    </row>
    <row r="198" spans="1:14" x14ac:dyDescent="0.2">
      <c r="A198" s="8" t="s">
        <v>12</v>
      </c>
      <c r="B198" s="4" t="s">
        <v>201</v>
      </c>
      <c r="C198" s="4" t="s">
        <v>202</v>
      </c>
      <c r="D198" s="4"/>
      <c r="E198" s="9" t="str">
        <f>_xll.BQL("ALK US Equity", "FA_GROWTH(IS_COMP_NET_INCOME_GAAP, YOY)", "FPT=A", "FPO=4A", "ACT_EST_MAPPING=PRECISE", "FS=MRC", "CURRENCY=USD", "XLFILL=b")</f>
        <v/>
      </c>
      <c r="F198" s="9">
        <f>_xll.BQL("ALK US Equity", "FA_GROWTH(IS_COMP_NET_INCOME_GAAP, YOY)", "FPT=A", "FPO=3A", "ACT_EST_MAPPING=PRECISE", "FS=MRC", "CURRENCY=USD", "XLFILL=b")</f>
        <v>15.910610592996656</v>
      </c>
      <c r="G198" s="9">
        <f>_xll.BQL("ALK US Equity", "FA_GROWTH(IS_COMP_NET_INCOME_GAAP, YOY)", "FPT=A", "FPO=2A", "ACT_EST_MAPPING=PRECISE", "FS=MRC", "CURRENCY=USD", "XLFILL=b")</f>
        <v>49.193669366936696</v>
      </c>
      <c r="H198" s="9">
        <f>_xll.BQL("ALK US Equity", "FA_GROWTH(IS_COMP_NET_INCOME_GAAP, YOY)", "FPT=A", "FPO=1A", "ACT_EST_MAPPING=PRECISE", "FS=MRC", "CURRENCY=USD", "XLFILL=b")</f>
        <v>102.61398176291793</v>
      </c>
      <c r="I198" s="9">
        <f>_xll.BQL("ALK US Equity", "FA_GROWTH(IS_COMP_NET_INCOME_GAAP, YOY)", "FPT=A", "FPO=0A", "ACT_EST_MAPPING=PRECISE", "FS=MRC", "CURRENCY=USD", "XLFILL=b")</f>
        <v>305.17241379310343</v>
      </c>
      <c r="J198" s="9">
        <f>_xll.BQL("ALK US Equity", "FA_GROWTH(IS_COMP_NET_INCOME_GAAP, YOY)", "FPT=A", "FPO=-1A", "ACT_EST_MAPPING=PRECISE", "FS=MRC", "CURRENCY=USD", "XLFILL=b")</f>
        <v>-87.86610878661088</v>
      </c>
      <c r="K198" s="9">
        <f>_xll.BQL("ALK US Equity", "FA_GROWTH(IS_COMP_NET_INCOME_GAAP, YOY)", "FPT=A", "FPO=-2A", "ACT_EST_MAPPING=PRECISE", "FS=MRC", "CURRENCY=USD", "XLFILL=b")</f>
        <v>136.57230298393267</v>
      </c>
      <c r="L198" s="9">
        <f>_xll.BQL("ALK US Equity", "FA_GROWTH(IS_COMP_NET_INCOME_GAAP, YOY)", "FPT=A", "FPO=-3A", "ACT_EST_MAPPING=PRECISE", "FS=MRC", "CURRENCY=USD", "XLFILL=b")</f>
        <v>-269.96098829648895</v>
      </c>
      <c r="M198" s="9">
        <f>_xll.BQL("ALK US Equity", "FA_GROWTH(IS_COMP_NET_INCOME_GAAP, YOY)", "FPT=A", "FPO=-4A", "ACT_EST_MAPPING=PRECISE", "FS=MRC", "CURRENCY=USD", "XLFILL=b")</f>
        <v>75.972540045766593</v>
      </c>
      <c r="N198" s="9">
        <f>_xll.BQL("ALK US Equity", "FA_GROWTH(IS_COMP_NET_INCOME_GAAP, YOY)", "FPT=A", "FPO=-5A", "ACT_EST_MAPPING=PRECISE", "FS=MRC", "CURRENCY=USD", "XLFILL=b")</f>
        <v>-57.490272373540854</v>
      </c>
    </row>
    <row r="199" spans="1:14" x14ac:dyDescent="0.2">
      <c r="A199" s="8" t="s">
        <v>16</v>
      </c>
      <c r="B199" s="4"/>
      <c r="C199" s="4"/>
      <c r="D199" s="4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x14ac:dyDescent="0.2">
      <c r="A200" s="8" t="s">
        <v>203</v>
      </c>
      <c r="B200" s="4" t="s">
        <v>204</v>
      </c>
      <c r="C200" s="4"/>
      <c r="D200" s="4"/>
      <c r="E200" s="9" t="str">
        <f>_xll.BQL("ALK US Equity", "IS_AVG_NUM_SH_FOR_EPS/1M", "FPT=A", "FPO=4A", "ACT_EST_MAPPING=PRECISE", "FS=MRC", "CURRENCY=USD", "XLFILL=b")</f>
        <v/>
      </c>
      <c r="F200" s="9">
        <f>_xll.BQL("ALK US Equity", "IS_AVG_NUM_SH_FOR_EPS/1M", "FPT=A", "FPO=3A", "ACT_EST_MAPPING=PRECISE", "FS=MRC", "CURRENCY=USD", "XLFILL=b")</f>
        <v>128.168522</v>
      </c>
      <c r="G200" s="9">
        <f>_xll.BQL("ALK US Equity", "IS_AVG_NUM_SH_FOR_EPS/1M", "FPT=A", "FPO=2A", "ACT_EST_MAPPING=PRECISE", "FS=MRC", "CURRENCY=USD", "XLFILL=b")</f>
        <v>127.142723</v>
      </c>
      <c r="H200" s="9">
        <f>_xll.BQL("ALK US Equity", "IS_AVG_NUM_SH_FOR_EPS/1M", "FPT=A", "FPO=1A", "ACT_EST_MAPPING=PRECISE", "FS=MRC", "CURRENCY=USD", "XLFILL=b")</f>
        <v>126.40198650000001</v>
      </c>
      <c r="I200" s="9">
        <f>_xll.BQL("ALK US Equity", "IS_AVG_NUM_SH_FOR_EPS/1M", "FPT=A", "FPO=0A", "ACT_EST_MAPPING=PRECISE", "FS=MRC", "CURRENCY=USD", "XLFILL=b")</f>
        <v>127.375</v>
      </c>
      <c r="J200" s="9">
        <f>_xll.BQL("ALK US Equity", "IS_AVG_NUM_SH_FOR_EPS/1M", "FPT=A", "FPO=-1A", "ACT_EST_MAPPING=PRECISE", "FS=MRC", "CURRENCY=USD", "XLFILL=b")</f>
        <v>126.657</v>
      </c>
      <c r="K200" s="9">
        <f>_xll.BQL("ALK US Equity", "IS_AVG_NUM_SH_FOR_EPS/1M", "FPT=A", "FPO=-2A", "ACT_EST_MAPPING=PRECISE", "FS=MRC", "CURRENCY=USD", "XLFILL=b")</f>
        <v>125.063</v>
      </c>
      <c r="L200" s="9">
        <f>_xll.BQL("ALK US Equity", "IS_AVG_NUM_SH_FOR_EPS/1M", "FPT=A", "FPO=-3A", "ACT_EST_MAPPING=PRECISE", "FS=MRC", "CURRENCY=USD", "XLFILL=b")</f>
        <v>123.45</v>
      </c>
      <c r="M200" s="9">
        <f>_xll.BQL("ALK US Equity", "IS_AVG_NUM_SH_FOR_EPS/1M", "FPT=A", "FPO=-4A", "ACT_EST_MAPPING=PRECISE", "FS=MRC", "CURRENCY=USD", "XLFILL=b")</f>
        <v>123.279</v>
      </c>
      <c r="N200" s="9">
        <f>_xll.BQL("ALK US Equity", "IS_AVG_NUM_SH_FOR_EPS/1M", "FPT=A", "FPO=-5A", "ACT_EST_MAPPING=PRECISE", "FS=MRC", "CURRENCY=USD", "XLFILL=b")</f>
        <v>123.23</v>
      </c>
    </row>
    <row r="201" spans="1:14" x14ac:dyDescent="0.2">
      <c r="A201" s="8" t="s">
        <v>12</v>
      </c>
      <c r="B201" s="4" t="s">
        <v>204</v>
      </c>
      <c r="C201" s="4"/>
      <c r="D201" s="4"/>
      <c r="E201" s="9" t="str">
        <f>_xll.BQL("ALK US Equity", "FA_GROWTH(IS_AVG_NUM_SH_FOR_EPS, YOY)", "FPT=A", "FPO=4A", "ACT_EST_MAPPING=PRECISE", "FS=MRC", "CURRENCY=USD", "XLFILL=b")</f>
        <v/>
      </c>
      <c r="F201" s="9">
        <f>_xll.BQL("ALK US Equity", "FA_GROWTH(IS_AVG_NUM_SH_FOR_EPS, YOY)", "FPT=A", "FPO=3A", "ACT_EST_MAPPING=PRECISE", "FS=MRC", "CURRENCY=USD", "XLFILL=b")</f>
        <v>0.80680905347606879</v>
      </c>
      <c r="G201" s="9">
        <f>_xll.BQL("ALK US Equity", "FA_GROWTH(IS_AVG_NUM_SH_FOR_EPS, YOY)", "FPT=A", "FPO=2A", "ACT_EST_MAPPING=PRECISE", "FS=MRC", "CURRENCY=USD", "XLFILL=b")</f>
        <v>0.5860165022010948</v>
      </c>
      <c r="H201" s="9">
        <f>_xll.BQL("ALK US Equity", "FA_GROWTH(IS_AVG_NUM_SH_FOR_EPS, YOY)", "FPT=A", "FPO=1A", "ACT_EST_MAPPING=PRECISE", "FS=MRC", "CURRENCY=USD", "XLFILL=b")</f>
        <v>-0.76389676153091268</v>
      </c>
      <c r="I201" s="9">
        <f>_xll.BQL("ALK US Equity", "FA_GROWTH(IS_AVG_NUM_SH_FOR_EPS, YOY)", "FPT=A", "FPO=0A", "ACT_EST_MAPPING=PRECISE", "FS=MRC", "CURRENCY=USD", "XLFILL=b")</f>
        <v>0.56688536756752494</v>
      </c>
      <c r="J201" s="9">
        <f>_xll.BQL("ALK US Equity", "FA_GROWTH(IS_AVG_NUM_SH_FOR_EPS, YOY)", "FPT=A", "FPO=-1A", "ACT_EST_MAPPING=PRECISE", "FS=MRC", "CURRENCY=USD", "XLFILL=b")</f>
        <v>1.2745576229580291</v>
      </c>
      <c r="K201" s="9">
        <f>_xll.BQL("ALK US Equity", "FA_GROWTH(IS_AVG_NUM_SH_FOR_EPS, YOY)", "FPT=A", "FPO=-2A", "ACT_EST_MAPPING=PRECISE", "FS=MRC", "CURRENCY=USD", "XLFILL=b")</f>
        <v>1.3066018631024707</v>
      </c>
      <c r="L201" s="9">
        <f>_xll.BQL("ALK US Equity", "FA_GROWTH(IS_AVG_NUM_SH_FOR_EPS, YOY)", "FPT=A", "FPO=-3A", "ACT_EST_MAPPING=PRECISE", "FS=MRC", "CURRENCY=USD", "XLFILL=b")</f>
        <v>0.13870975591949966</v>
      </c>
      <c r="M201" s="9">
        <f>_xll.BQL("ALK US Equity", "FA_GROWTH(IS_AVG_NUM_SH_FOR_EPS, YOY)", "FPT=A", "FPO=-4A", "ACT_EST_MAPPING=PRECISE", "FS=MRC", "CURRENCY=USD", "XLFILL=b")</f>
        <v>3.9763044713138032E-2</v>
      </c>
      <c r="N201" s="9">
        <f>_xll.BQL("ALK US Equity", "FA_GROWTH(IS_AVG_NUM_SH_FOR_EPS, YOY)", "FPT=A", "FPO=-5A", "ACT_EST_MAPPING=PRECISE", "FS=MRC", "CURRENCY=USD", "XLFILL=b")</f>
        <v>1.5420701073767765E-2</v>
      </c>
    </row>
    <row r="202" spans="1:14" x14ac:dyDescent="0.2">
      <c r="A202" s="8" t="s">
        <v>205</v>
      </c>
      <c r="B202" s="4" t="s">
        <v>206</v>
      </c>
      <c r="C202" s="4"/>
      <c r="D202" s="4"/>
      <c r="E202" s="9" t="str">
        <f>_xll.BQL("ALK US Equity", "IS_EPS", "FPT=A", "FPO=4A", "ACT_EST_MAPPING=PRECISE", "FS=MRC", "CURRENCY=USD", "XLFILL=b")</f>
        <v/>
      </c>
      <c r="F202" s="9">
        <f>_xll.BQL("ALK US Equity", "IS_EPS", "FPT=A", "FPO=3A", "ACT_EST_MAPPING=PRECISE", "FS=MRC", "CURRENCY=USD", "XLFILL=b")</f>
        <v>6.6825602781540603</v>
      </c>
      <c r="G202" s="9">
        <f>_xll.BQL("ALK US Equity", "IS_EPS", "FPT=A", "FPO=2A", "ACT_EST_MAPPING=PRECISE", "FS=MRC", "CURRENCY=USD", "XLFILL=b")</f>
        <v>5.8858548945095777</v>
      </c>
      <c r="H202" s="9">
        <f>_xll.BQL("ALK US Equity", "IS_EPS", "FPT=A", "FPO=1A", "ACT_EST_MAPPING=PRECISE", "FS=MRC", "CURRENCY=USD", "XLFILL=b")</f>
        <v>3.796100243789017</v>
      </c>
      <c r="I202" s="9">
        <f>_xll.BQL("ALK US Equity", "IS_EPS", "FPT=A", "FPO=0A", "ACT_EST_MAPPING=PRECISE", "FS=MRC", "CURRENCY=USD", "XLFILL=b")</f>
        <v>1.84</v>
      </c>
      <c r="J202" s="9">
        <f>_xll.BQL("ALK US Equity", "IS_EPS", "FPT=A", "FPO=-1A", "ACT_EST_MAPPING=PRECISE", "FS=MRC", "CURRENCY=USD", "XLFILL=b")</f>
        <v>0.46</v>
      </c>
      <c r="K202" s="9">
        <f>_xll.BQL("ALK US Equity", "IS_EPS", "FPT=A", "FPO=-2A", "ACT_EST_MAPPING=PRECISE", "FS=MRC", "CURRENCY=USD", "XLFILL=b")</f>
        <v>3.82</v>
      </c>
      <c r="L202" s="9">
        <f>_xll.BQL("ALK US Equity", "IS_EPS", "FPT=A", "FPO=-3A", "ACT_EST_MAPPING=PRECISE", "FS=MRC", "CURRENCY=USD", "XLFILL=b")</f>
        <v>-10.72</v>
      </c>
      <c r="M202" s="9">
        <f>_xll.BQL("ALK US Equity", "IS_EPS", "FPT=A", "FPO=-4A", "ACT_EST_MAPPING=PRECISE", "FS=MRC", "CURRENCY=USD", "XLFILL=b")</f>
        <v>6.24</v>
      </c>
      <c r="N202" s="9">
        <f>_xll.BQL("ALK US Equity", "IS_EPS", "FPT=A", "FPO=-5A", "ACT_EST_MAPPING=PRECISE", "FS=MRC", "CURRENCY=USD", "XLFILL=b")</f>
        <v>3.55</v>
      </c>
    </row>
    <row r="203" spans="1:14" x14ac:dyDescent="0.2">
      <c r="A203" s="8" t="s">
        <v>12</v>
      </c>
      <c r="B203" s="4" t="s">
        <v>206</v>
      </c>
      <c r="C203" s="4"/>
      <c r="D203" s="4"/>
      <c r="E203" s="9" t="str">
        <f>_xll.BQL("ALK US Equity", "FA_GROWTH(IS_EPS, YOY)", "FPT=A", "FPO=4A", "ACT_EST_MAPPING=PRECISE", "FS=MRC", "CURRENCY=USD", "XLFILL=b")</f>
        <v/>
      </c>
      <c r="F203" s="9">
        <f>_xll.BQL("ALK US Equity", "FA_GROWTH(IS_EPS, YOY)", "FPT=A", "FPO=3A", "ACT_EST_MAPPING=PRECISE", "FS=MRC", "CURRENCY=USD", "XLFILL=b")</f>
        <v>13.535933146902119</v>
      </c>
      <c r="G203" s="9">
        <f>_xll.BQL("ALK US Equity", "FA_GROWTH(IS_EPS, YOY)", "FPT=A", "FPO=2A", "ACT_EST_MAPPING=PRECISE", "FS=MRC", "CURRENCY=USD", "XLFILL=b")</f>
        <v>55.05003863213858</v>
      </c>
      <c r="H203" s="9">
        <f>_xll.BQL("ALK US Equity", "FA_GROWTH(IS_EPS, YOY)", "FPT=A", "FPO=1A", "ACT_EST_MAPPING=PRECISE", "FS=MRC", "CURRENCY=USD", "XLFILL=b")</f>
        <v>106.30979585809874</v>
      </c>
      <c r="I203" s="9">
        <f>_xll.BQL("ALK US Equity", "FA_GROWTH(IS_EPS, YOY)", "FPT=A", "FPO=0A", "ACT_EST_MAPPING=PRECISE", "FS=MRC", "CURRENCY=USD", "XLFILL=b")</f>
        <v>300</v>
      </c>
      <c r="J203" s="9">
        <f>_xll.BQL("ALK US Equity", "FA_GROWTH(IS_EPS, YOY)", "FPT=A", "FPO=-1A", "ACT_EST_MAPPING=PRECISE", "FS=MRC", "CURRENCY=USD", "XLFILL=b")</f>
        <v>-87.958115183246079</v>
      </c>
      <c r="K203" s="9">
        <f>_xll.BQL("ALK US Equity", "FA_GROWTH(IS_EPS, YOY)", "FPT=A", "FPO=-2A", "ACT_EST_MAPPING=PRECISE", "FS=MRC", "CURRENCY=USD", "XLFILL=b")</f>
        <v>135.63432835820896</v>
      </c>
      <c r="L203" s="9">
        <f>_xll.BQL("ALK US Equity", "FA_GROWTH(IS_EPS, YOY)", "FPT=A", "FPO=-3A", "ACT_EST_MAPPING=PRECISE", "FS=MRC", "CURRENCY=USD", "XLFILL=b")</f>
        <v>-271.79487179487177</v>
      </c>
      <c r="M203" s="9">
        <f>_xll.BQL("ALK US Equity", "FA_GROWTH(IS_EPS, YOY)", "FPT=A", "FPO=-4A", "ACT_EST_MAPPING=PRECISE", "FS=MRC", "CURRENCY=USD", "XLFILL=b")</f>
        <v>75.774647887323965</v>
      </c>
      <c r="N203" s="9">
        <f>_xll.BQL("ALK US Equity", "FA_GROWTH(IS_EPS, YOY)", "FPT=A", "FPO=-5A", "ACT_EST_MAPPING=PRECISE", "FS=MRC", "CURRENCY=USD", "XLFILL=b")</f>
        <v>-54.428754813863925</v>
      </c>
    </row>
    <row r="204" spans="1:14" x14ac:dyDescent="0.2">
      <c r="A204" s="8" t="s">
        <v>16</v>
      </c>
      <c r="B204" s="4"/>
      <c r="C204" s="4"/>
      <c r="D204" s="4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x14ac:dyDescent="0.2">
      <c r="A205" s="8" t="s">
        <v>207</v>
      </c>
      <c r="B205" s="4" t="s">
        <v>208</v>
      </c>
      <c r="C205" s="4" t="s">
        <v>209</v>
      </c>
      <c r="D205" s="4"/>
      <c r="E205" s="9" t="str">
        <f>_xll.BQL("ALK US Equity", "IS_SH_FOR_DILUTED_EPS/1M", "FPT=A", "FPO=4A", "ACT_EST_MAPPING=PRECISE", "FS=MRC", "CURRENCY=USD", "XLFILL=b")</f>
        <v/>
      </c>
      <c r="F205" s="9">
        <f>_xll.BQL("ALK US Equity", "IS_SH_FOR_DILUTED_EPS/1M", "FPT=A", "FPO=3A", "ACT_EST_MAPPING=PRECISE", "FS=MRC", "CURRENCY=USD", "XLFILL=b")</f>
        <v>129.60316439251281</v>
      </c>
      <c r="G205" s="9">
        <f>_xll.BQL("ALK US Equity", "IS_SH_FOR_DILUTED_EPS/1M", "FPT=A", "FPO=2A", "ACT_EST_MAPPING=PRECISE", "FS=MRC", "CURRENCY=USD", "XLFILL=b")</f>
        <v>128.61454965451551</v>
      </c>
      <c r="H205" s="9">
        <f>_xll.BQL("ALK US Equity", "IS_SH_FOR_DILUTED_EPS/1M", "FPT=A", "FPO=1A", "ACT_EST_MAPPING=PRECISE", "FS=MRC", "CURRENCY=USD", "XLFILL=b")</f>
        <v>127.85989879024622</v>
      </c>
      <c r="I205" s="9">
        <f>_xll.BQL("ALK US Equity", "IS_SH_FOR_DILUTED_EPS/1M", "FPT=A", "FPO=0A", "ACT_EST_MAPPING=PRECISE", "FS=MRC", "CURRENCY=USD", "XLFILL=b")</f>
        <v>128.708</v>
      </c>
      <c r="J205" s="9">
        <f>_xll.BQL("ALK US Equity", "IS_SH_FOR_DILUTED_EPS/1M", "FPT=A", "FPO=-1A", "ACT_EST_MAPPING=PRECISE", "FS=MRC", "CURRENCY=USD", "XLFILL=b")</f>
        <v>127.899</v>
      </c>
      <c r="K205" s="9">
        <f>_xll.BQL("ALK US Equity", "IS_SH_FOR_DILUTED_EPS/1M", "FPT=A", "FPO=-2A", "ACT_EST_MAPPING=PRECISE", "FS=MRC", "CURRENCY=USD", "XLFILL=b")</f>
        <v>126.77500000000001</v>
      </c>
      <c r="L205" s="9">
        <f>_xll.BQL("ALK US Equity", "IS_SH_FOR_DILUTED_EPS/1M", "FPT=A", "FPO=-3A", "ACT_EST_MAPPING=PRECISE", "FS=MRC", "CURRENCY=USD", "XLFILL=b")</f>
        <v>123.45</v>
      </c>
      <c r="M205" s="9">
        <f>_xll.BQL("ALK US Equity", "IS_SH_FOR_DILUTED_EPS/1M", "FPT=A", "FPO=-4A", "ACT_EST_MAPPING=PRECISE", "FS=MRC", "CURRENCY=USD", "XLFILL=b")</f>
        <v>124.289</v>
      </c>
      <c r="N205" s="9">
        <f>_xll.BQL("ALK US Equity", "IS_SH_FOR_DILUTED_EPS/1M", "FPT=A", "FPO=-5A", "ACT_EST_MAPPING=PRECISE", "FS=MRC", "CURRENCY=USD", "XLFILL=b")</f>
        <v>123.97499999999999</v>
      </c>
    </row>
    <row r="206" spans="1:14" x14ac:dyDescent="0.2">
      <c r="A206" s="8" t="s">
        <v>12</v>
      </c>
      <c r="B206" s="4" t="s">
        <v>208</v>
      </c>
      <c r="C206" s="4" t="s">
        <v>209</v>
      </c>
      <c r="D206" s="4"/>
      <c r="E206" s="9" t="str">
        <f>_xll.BQL("ALK US Equity", "FA_GROWTH(IS_SH_FOR_DILUTED_EPS, YOY)", "FPT=A", "FPO=4A", "ACT_EST_MAPPING=PRECISE", "FS=MRC", "CURRENCY=USD", "XLFILL=b")</f>
        <v/>
      </c>
      <c r="F206" s="9">
        <f>_xll.BQL("ALK US Equity", "FA_GROWTH(IS_SH_FOR_DILUTED_EPS, YOY)", "FPT=A", "FPO=3A", "ACT_EST_MAPPING=PRECISE", "FS=MRC", "CURRENCY=USD", "XLFILL=b")</f>
        <v>0.7686647744387366</v>
      </c>
      <c r="G206" s="9">
        <f>_xll.BQL("ALK US Equity", "FA_GROWTH(IS_SH_FOR_DILUTED_EPS, YOY)", "FPT=A", "FPO=2A", "ACT_EST_MAPPING=PRECISE", "FS=MRC", "CURRENCY=USD", "XLFILL=b")</f>
        <v>0.59021700424407797</v>
      </c>
      <c r="H206" s="9">
        <f>_xll.BQL("ALK US Equity", "FA_GROWTH(IS_SH_FOR_DILUTED_EPS, YOY)", "FPT=A", "FPO=1A", "ACT_EST_MAPPING=PRECISE", "FS=MRC", "CURRENCY=USD", "XLFILL=b")</f>
        <v>-0.65893433955448111</v>
      </c>
      <c r="I206" s="9">
        <f>_xll.BQL("ALK US Equity", "FA_GROWTH(IS_SH_FOR_DILUTED_EPS, YOY)", "FPT=A", "FPO=0A", "ACT_EST_MAPPING=PRECISE", "FS=MRC", "CURRENCY=USD", "XLFILL=b")</f>
        <v>0.63253035598401863</v>
      </c>
      <c r="J206" s="9">
        <f>_xll.BQL("ALK US Equity", "FA_GROWTH(IS_SH_FOR_DILUTED_EPS, YOY)", "FPT=A", "FPO=-1A", "ACT_EST_MAPPING=PRECISE", "FS=MRC", "CURRENCY=USD", "XLFILL=b")</f>
        <v>0.88661013606783667</v>
      </c>
      <c r="K206" s="9">
        <f>_xll.BQL("ALK US Equity", "FA_GROWTH(IS_SH_FOR_DILUTED_EPS, YOY)", "FPT=A", "FPO=-2A", "ACT_EST_MAPPING=PRECISE", "FS=MRC", "CURRENCY=USD", "XLFILL=b")</f>
        <v>2.6933981368975295</v>
      </c>
      <c r="L206" s="9">
        <f>_xll.BQL("ALK US Equity", "FA_GROWTH(IS_SH_FOR_DILUTED_EPS, YOY)", "FPT=A", "FPO=-3A", "ACT_EST_MAPPING=PRECISE", "FS=MRC", "CURRENCY=USD", "XLFILL=b")</f>
        <v>-0.6750396253892138</v>
      </c>
      <c r="M206" s="9">
        <f>_xll.BQL("ALK US Equity", "FA_GROWTH(IS_SH_FOR_DILUTED_EPS, YOY)", "FPT=A", "FPO=-4A", "ACT_EST_MAPPING=PRECISE", "FS=MRC", "CURRENCY=USD", "XLFILL=b")</f>
        <v>0.25327687033676144</v>
      </c>
      <c r="N206" s="9">
        <f>_xll.BQL("ALK US Equity", "FA_GROWTH(IS_SH_FOR_DILUTED_EPS, YOY)", "FPT=A", "FPO=-5A", "ACT_EST_MAPPING=PRECISE", "FS=MRC", "CURRENCY=USD", "XLFILL=b")</f>
        <v>9.7695673938669722E-2</v>
      </c>
    </row>
    <row r="207" spans="1:14" x14ac:dyDescent="0.2">
      <c r="A207" s="8" t="s">
        <v>210</v>
      </c>
      <c r="B207" s="4" t="s">
        <v>211</v>
      </c>
      <c r="C207" s="4" t="s">
        <v>212</v>
      </c>
      <c r="D207" s="4"/>
      <c r="E207" s="9" t="str">
        <f>_xll.BQL("ALK US Equity", "IS_COMP_EPS_GAAP", "FPT=A", "FPO=4A", "ACT_EST_MAPPING=PRECISE", "FS=MRC", "CURRENCY=USD", "XLFILL=b")</f>
        <v/>
      </c>
      <c r="F207" s="9">
        <f>_xll.BQL("ALK US Equity", "IS_COMP_EPS_GAAP", "FPT=A", "FPO=3A", "ACT_EST_MAPPING=PRECISE", "FS=MRC", "CURRENCY=USD", "XLFILL=b")</f>
        <v>6.3016666666666667</v>
      </c>
      <c r="G207" s="9">
        <f>_xll.BQL("ALK US Equity", "IS_COMP_EPS_GAAP", "FPT=A", "FPO=2A", "ACT_EST_MAPPING=PRECISE", "FS=MRC", "CURRENCY=USD", "XLFILL=b")</f>
        <v>5.5811111111111096</v>
      </c>
      <c r="H207" s="9">
        <f>_xll.BQL("ALK US Equity", "IS_COMP_EPS_GAAP", "FPT=A", "FPO=1A", "ACT_EST_MAPPING=PRECISE", "FS=MRC", "CURRENCY=USD", "XLFILL=b")</f>
        <v>3.9911111111111115</v>
      </c>
      <c r="I207" s="9">
        <f>_xll.BQL("ALK US Equity", "IS_COMP_EPS_GAAP", "FPT=A", "FPO=0A", "ACT_EST_MAPPING=PRECISE", "FS=MRC", "CURRENCY=USD", "XLFILL=b")</f>
        <v>1.83</v>
      </c>
      <c r="J207" s="9">
        <f>_xll.BQL("ALK US Equity", "IS_COMP_EPS_GAAP", "FPT=A", "FPO=-1A", "ACT_EST_MAPPING=PRECISE", "FS=MRC", "CURRENCY=USD", "XLFILL=b")</f>
        <v>0.45</v>
      </c>
      <c r="K207" s="9">
        <f>_xll.BQL("ALK US Equity", "IS_COMP_EPS_GAAP", "FPT=A", "FPO=-2A", "ACT_EST_MAPPING=PRECISE", "FS=MRC", "CURRENCY=USD", "XLFILL=b")</f>
        <v>3.77</v>
      </c>
      <c r="L207" s="9">
        <f>_xll.BQL("ALK US Equity", "IS_COMP_EPS_GAAP", "FPT=A", "FPO=-3A", "ACT_EST_MAPPING=PRECISE", "FS=MRC", "CURRENCY=USD", "XLFILL=b")</f>
        <v>-10.59</v>
      </c>
      <c r="M207" s="9">
        <f>_xll.BQL("ALK US Equity", "IS_COMP_EPS_GAAP", "FPT=A", "FPO=-4A", "ACT_EST_MAPPING=PRECISE", "FS=MRC", "CURRENCY=USD", "XLFILL=b")</f>
        <v>6.19</v>
      </c>
      <c r="N207" s="9">
        <f>_xll.BQL("ALK US Equity", "IS_COMP_EPS_GAAP", "FPT=A", "FPO=-5A", "ACT_EST_MAPPING=PRECISE", "FS=MRC", "CURRENCY=USD", "XLFILL=b")</f>
        <v>3.52</v>
      </c>
    </row>
    <row r="208" spans="1:14" x14ac:dyDescent="0.2">
      <c r="A208" s="8" t="s">
        <v>12</v>
      </c>
      <c r="B208" s="4" t="s">
        <v>211</v>
      </c>
      <c r="C208" s="4" t="s">
        <v>212</v>
      </c>
      <c r="D208" s="4"/>
      <c r="E208" s="9" t="str">
        <f>_xll.BQL("ALK US Equity", "FA_GROWTH(IS_COMP_EPS_GAAP, YOY)", "FPT=A", "FPO=4A", "ACT_EST_MAPPING=PRECISE", "FS=MRC", "CURRENCY=USD", "XLFILL=b")</f>
        <v/>
      </c>
      <c r="F208" s="9">
        <f>_xll.BQL("ALK US Equity", "FA_GROWTH(IS_COMP_EPS_GAAP, YOY)", "FPT=A", "FPO=3A", "ACT_EST_MAPPING=PRECISE", "FS=MRC", "CURRENCY=USD", "XLFILL=b")</f>
        <v>12.910611188532782</v>
      </c>
      <c r="G208" s="9">
        <f>_xll.BQL("ALK US Equity", "FA_GROWTH(IS_COMP_EPS_GAAP, YOY)", "FPT=A", "FPO=2A", "ACT_EST_MAPPING=PRECISE", "FS=MRC", "CURRENCY=USD", "XLFILL=b")</f>
        <v>39.838530066815089</v>
      </c>
      <c r="H208" s="9">
        <f>_xll.BQL("ALK US Equity", "FA_GROWTH(IS_COMP_EPS_GAAP, YOY)", "FPT=A", "FPO=1A", "ACT_EST_MAPPING=PRECISE", "FS=MRC", "CURRENCY=USD", "XLFILL=b")</f>
        <v>118.09350333940499</v>
      </c>
      <c r="I208" s="9">
        <f>_xll.BQL("ALK US Equity", "FA_GROWTH(IS_COMP_EPS_GAAP, YOY)", "FPT=A", "FPO=0A", "ACT_EST_MAPPING=PRECISE", "FS=MRC", "CURRENCY=USD", "XLFILL=b")</f>
        <v>306.66666666666669</v>
      </c>
      <c r="J208" s="9">
        <f>_xll.BQL("ALK US Equity", "FA_GROWTH(IS_COMP_EPS_GAAP, YOY)", "FPT=A", "FPO=-1A", "ACT_EST_MAPPING=PRECISE", "FS=MRC", "CURRENCY=USD", "XLFILL=b")</f>
        <v>-88.063660477453581</v>
      </c>
      <c r="K208" s="9">
        <f>_xll.BQL("ALK US Equity", "FA_GROWTH(IS_COMP_EPS_GAAP, YOY)", "FPT=A", "FPO=-2A", "ACT_EST_MAPPING=PRECISE", "FS=MRC", "CURRENCY=USD", "XLFILL=b")</f>
        <v>135.59962228517469</v>
      </c>
      <c r="L208" s="9">
        <f>_xll.BQL("ALK US Equity", "FA_GROWTH(IS_COMP_EPS_GAAP, YOY)", "FPT=A", "FPO=-3A", "ACT_EST_MAPPING=PRECISE", "FS=MRC", "CURRENCY=USD", "XLFILL=b")</f>
        <v>-271.08239095315025</v>
      </c>
      <c r="M208" s="9">
        <f>_xll.BQL("ALK US Equity", "FA_GROWTH(IS_COMP_EPS_GAAP, YOY)", "FPT=A", "FPO=-4A", "ACT_EST_MAPPING=PRECISE", "FS=MRC", "CURRENCY=USD", "XLFILL=b")</f>
        <v>75.852272727272748</v>
      </c>
      <c r="N208" s="9">
        <f>_xll.BQL("ALK US Equity", "FA_GROWTH(IS_COMP_EPS_GAAP, YOY)", "FPT=A", "FPO=-5A", "ACT_EST_MAPPING=PRECISE", "FS=MRC", "CURRENCY=USD", "XLFILL=b")</f>
        <v>-57.590361445783138</v>
      </c>
    </row>
    <row r="209" spans="1:14" x14ac:dyDescent="0.2">
      <c r="A209" s="8" t="s">
        <v>16</v>
      </c>
      <c r="B209" s="4"/>
      <c r="C209" s="4"/>
      <c r="D209" s="4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x14ac:dyDescent="0.2">
      <c r="A210" s="8" t="s">
        <v>213</v>
      </c>
      <c r="B210" s="4" t="s">
        <v>214</v>
      </c>
      <c r="C210" s="4" t="s">
        <v>215</v>
      </c>
      <c r="D210" s="4"/>
      <c r="E210" s="9" t="str">
        <f>_xll.BQL("ALK US Equity", "HEADLINE_DPS", "FPT=A", "FPO=4A", "ACT_EST_MAPPING=PRECISE", "FS=MRC", "CURRENCY=USD", "XLFILL=b")</f>
        <v/>
      </c>
      <c r="F210" s="9">
        <f>_xll.BQL("ALK US Equity", "HEADLINE_DPS", "FPT=A", "FPO=3A", "ACT_EST_MAPPING=PRECISE", "FS=MRC", "CURRENCY=USD", "XLFILL=b")</f>
        <v>0</v>
      </c>
      <c r="G210" s="9">
        <f>_xll.BQL("ALK US Equity", "HEADLINE_DPS", "FPT=A", "FPO=2A", "ACT_EST_MAPPING=PRECISE", "FS=MRC", "CURRENCY=USD", "XLFILL=b")</f>
        <v>0</v>
      </c>
      <c r="H210" s="9">
        <f>_xll.BQL("ALK US Equity", "HEADLINE_DPS", "FPT=A", "FPO=1A", "ACT_EST_MAPPING=PRECISE", "FS=MRC", "CURRENCY=USD", "XLFILL=b")</f>
        <v>0</v>
      </c>
      <c r="I210" s="9">
        <f>_xll.BQL("ALK US Equity", "HEADLINE_DPS", "FPT=A", "FPO=0A", "ACT_EST_MAPPING=PRECISE", "FS=MRC", "CURRENCY=USD", "XLFILL=b")</f>
        <v>0</v>
      </c>
      <c r="J210" s="9">
        <f>_xll.BQL("ALK US Equity", "HEADLINE_DPS", "FPT=A", "FPO=-1A", "ACT_EST_MAPPING=PRECISE", "FS=MRC", "CURRENCY=USD", "XLFILL=b")</f>
        <v>0</v>
      </c>
      <c r="K210" s="9">
        <f>_xll.BQL("ALK US Equity", "HEADLINE_DPS", "FPT=A", "FPO=-2A", "ACT_EST_MAPPING=PRECISE", "FS=MRC", "CURRENCY=USD", "XLFILL=b")</f>
        <v>0</v>
      </c>
      <c r="L210" s="9">
        <f>_xll.BQL("ALK US Equity", "HEADLINE_DPS", "FPT=A", "FPO=-3A", "ACT_EST_MAPPING=PRECISE", "FS=MRC", "CURRENCY=USD", "XLFILL=b")</f>
        <v>0.375</v>
      </c>
      <c r="M210" s="9">
        <f>_xll.BQL("ALK US Equity", "HEADLINE_DPS", "FPT=A", "FPO=-4A", "ACT_EST_MAPPING=PRECISE", "FS=MRC", "CURRENCY=USD", "XLFILL=b")</f>
        <v>1.4</v>
      </c>
      <c r="N210" s="9">
        <f>_xll.BQL("ALK US Equity", "HEADLINE_DPS", "FPT=A", "FPO=-5A", "ACT_EST_MAPPING=PRECISE", "FS=MRC", "CURRENCY=USD", "XLFILL=b")</f>
        <v>1.28</v>
      </c>
    </row>
    <row r="211" spans="1:14" x14ac:dyDescent="0.2">
      <c r="A211" s="8" t="s">
        <v>12</v>
      </c>
      <c r="B211" s="4" t="s">
        <v>214</v>
      </c>
      <c r="C211" s="4" t="s">
        <v>215</v>
      </c>
      <c r="D211" s="4"/>
      <c r="E211" s="9" t="str">
        <f>_xll.BQL("ALK US Equity", "FA_GROWTH(HEADLINE_DPS, YOY)", "FPT=A", "FPO=4A", "ACT_EST_MAPPING=PRECISE", "FS=MRC", "CURRENCY=USD", "XLFILL=b")</f>
        <v/>
      </c>
      <c r="F211" s="9" t="str">
        <f>_xll.BQL("ALK US Equity", "FA_GROWTH(HEADLINE_DPS, YOY)", "FPT=A", "FPO=3A", "ACT_EST_MAPPING=PRECISE", "FS=MRC", "CURRENCY=USD", "XLFILL=b")</f>
        <v/>
      </c>
      <c r="G211" s="9" t="str">
        <f>_xll.BQL("ALK US Equity", "FA_GROWTH(HEADLINE_DPS, YOY)", "FPT=A", "FPO=2A", "ACT_EST_MAPPING=PRECISE", "FS=MRC", "CURRENCY=USD", "XLFILL=b")</f>
        <v/>
      </c>
      <c r="H211" s="9" t="str">
        <f>_xll.BQL("ALK US Equity", "FA_GROWTH(HEADLINE_DPS, YOY)", "FPT=A", "FPO=1A", "ACT_EST_MAPPING=PRECISE", "FS=MRC", "CURRENCY=USD", "XLFILL=b")</f>
        <v/>
      </c>
      <c r="I211" s="9" t="str">
        <f>_xll.BQL("ALK US Equity", "FA_GROWTH(HEADLINE_DPS, YOY)", "FPT=A", "FPO=0A", "ACT_EST_MAPPING=PRECISE", "FS=MRC", "CURRENCY=USD", "XLFILL=b")</f>
        <v/>
      </c>
      <c r="J211" s="9" t="str">
        <f>_xll.BQL("ALK US Equity", "FA_GROWTH(HEADLINE_DPS, YOY)", "FPT=A", "FPO=-1A", "ACT_EST_MAPPING=PRECISE", "FS=MRC", "CURRENCY=USD", "XLFILL=b")</f>
        <v/>
      </c>
      <c r="K211" s="9">
        <f>_xll.BQL("ALK US Equity", "FA_GROWTH(HEADLINE_DPS, YOY)", "FPT=A", "FPO=-2A", "ACT_EST_MAPPING=PRECISE", "FS=MRC", "CURRENCY=USD", "XLFILL=b")</f>
        <v>-100</v>
      </c>
      <c r="L211" s="9">
        <f>_xll.BQL("ALK US Equity", "FA_GROWTH(HEADLINE_DPS, YOY)", "FPT=A", "FPO=-3A", "ACT_EST_MAPPING=PRECISE", "FS=MRC", "CURRENCY=USD", "XLFILL=b")</f>
        <v>-73.214285714285708</v>
      </c>
      <c r="M211" s="9">
        <f>_xll.BQL("ALK US Equity", "FA_GROWTH(HEADLINE_DPS, YOY)", "FPT=A", "FPO=-4A", "ACT_EST_MAPPING=PRECISE", "FS=MRC", "CURRENCY=USD", "XLFILL=b")</f>
        <v>9.3749999999999911</v>
      </c>
      <c r="N211" s="9">
        <f>_xll.BQL("ALK US Equity", "FA_GROWTH(HEADLINE_DPS, YOY)", "FPT=A", "FPO=-5A", "ACT_EST_MAPPING=PRECISE", "FS=MRC", "CURRENCY=USD", "XLFILL=b")</f>
        <v>6.6666666666666732</v>
      </c>
    </row>
    <row r="212" spans="1:14" x14ac:dyDescent="0.2">
      <c r="A212" s="8" t="s">
        <v>16</v>
      </c>
      <c r="B212" s="4"/>
      <c r="C212" s="4"/>
      <c r="D212" s="4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x14ac:dyDescent="0.2">
      <c r="A213" s="8" t="s">
        <v>216</v>
      </c>
      <c r="B213" s="4"/>
      <c r="C213" s="4" t="s">
        <v>217</v>
      </c>
      <c r="D213" s="4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x14ac:dyDescent="0.2">
      <c r="A214" s="8" t="s">
        <v>218</v>
      </c>
      <c r="B214" s="4" t="s">
        <v>219</v>
      </c>
      <c r="C214" s="4" t="s">
        <v>220</v>
      </c>
      <c r="D214" s="4"/>
      <c r="E214" s="9" t="str">
        <f>_xll.BQL("ALK US Equity", "CB_IS_ADJUSTED_OPEX/1M", "FPT=A", "FPO=4A", "ACT_EST_MAPPING=PRECISE", "FS=MRC", "CURRENCY=USD", "XLFILL=b")</f>
        <v/>
      </c>
      <c r="F214" s="9">
        <f>_xll.BQL("ALK US Equity", "CB_IS_ADJUSTED_OPEX/1M", "FPT=A", "FPO=3A", "ACT_EST_MAPPING=PRECISE", "FS=MRC", "CURRENCY=USD", "XLFILL=b")</f>
        <v>13330.447075187481</v>
      </c>
      <c r="G214" s="9">
        <f>_xll.BQL("ALK US Equity", "CB_IS_ADJUSTED_OPEX/1M", "FPT=A", "FPO=2A", "ACT_EST_MAPPING=PRECISE", "FS=MRC", "CURRENCY=USD", "XLFILL=b")</f>
        <v>11499.35844090156</v>
      </c>
      <c r="H214" s="9">
        <f>_xll.BQL("ALK US Equity", "CB_IS_ADJUSTED_OPEX/1M", "FPT=A", "FPO=1A", "ACT_EST_MAPPING=PRECISE", "FS=MRC", "CURRENCY=USD", "XLFILL=b")</f>
        <v>9995.2232156868158</v>
      </c>
      <c r="I214" s="9">
        <f>_xll.BQL("ALK US Equity", "CB_IS_ADJUSTED_OPEX/1M", "FPT=A", "FPO=0A", "ACT_EST_MAPPING=PRECISE", "FS=MRC", "CURRENCY=USD", "XLFILL=b")</f>
        <v>10426</v>
      </c>
      <c r="J214" s="9">
        <f>_xll.BQL("ALK US Equity", "CB_IS_ADJUSTED_OPEX/1M", "FPT=A", "FPO=-1A", "ACT_EST_MAPPING=PRECISE", "FS=MRC", "CURRENCY=USD", "XLFILL=b")</f>
        <v>8920</v>
      </c>
      <c r="K214" s="9">
        <f>_xll.BQL("ALK US Equity", "CB_IS_ADJUSTED_OPEX/1M", "FPT=A", "FPO=-2A", "ACT_EST_MAPPING=PRECISE", "FS=MRC", "CURRENCY=USD", "XLFILL=b")</f>
        <v>6463</v>
      </c>
      <c r="L214" s="9">
        <f>_xll.BQL("ALK US Equity", "CB_IS_ADJUSTED_OPEX/1M", "FPT=A", "FPO=-3A", "ACT_EST_MAPPING=PRECISE", "FS=MRC", "CURRENCY=USD", "XLFILL=b")</f>
        <v>5278</v>
      </c>
      <c r="M214" s="9">
        <f>_xll.BQL("ALK US Equity", "CB_IS_ADJUSTED_OPEX/1M", "FPT=A", "FPO=-4A", "ACT_EST_MAPPING=PRECISE", "FS=MRC", "CURRENCY=USD", "XLFILL=b")</f>
        <v>7718</v>
      </c>
      <c r="N214" s="9">
        <f>_xll.BQL("ALK US Equity", "CB_IS_ADJUSTED_OPEX/1M", "FPT=A", "FPO=-5A", "ACT_EST_MAPPING=PRECISE", "FS=MRC", "CURRENCY=USD", "XLFILL=b")</f>
        <v>7621</v>
      </c>
    </row>
    <row r="215" spans="1:14" x14ac:dyDescent="0.2">
      <c r="A215" s="8" t="s">
        <v>64</v>
      </c>
      <c r="B215" s="4" t="s">
        <v>219</v>
      </c>
      <c r="C215" s="4" t="s">
        <v>220</v>
      </c>
      <c r="D215" s="4"/>
      <c r="E215" s="9" t="str">
        <f>_xll.BQL("ALK US Equity", "FA_GROWTH(CB_IS_ADJUSTED_OPEX, YOY)", "FPT=A", "FPO=4A", "ACT_EST_MAPPING=PRECISE", "FS=MRC", "CURRENCY=USD", "XLFILL=b")</f>
        <v/>
      </c>
      <c r="F215" s="9">
        <f>_xll.BQL("ALK US Equity", "FA_GROWTH(CB_IS_ADJUSTED_OPEX, YOY)", "FPT=A", "FPO=3A", "ACT_EST_MAPPING=PRECISE", "FS=MRC", "CURRENCY=USD", "XLFILL=b")</f>
        <v>15.923398193876649</v>
      </c>
      <c r="G215" s="9">
        <f>_xll.BQL("ALK US Equity", "FA_GROWTH(CB_IS_ADJUSTED_OPEX, YOY)", "FPT=A", "FPO=2A", "ACT_EST_MAPPING=PRECISE", "FS=MRC", "CURRENCY=USD", "XLFILL=b")</f>
        <v>15.048540615422253</v>
      </c>
      <c r="H215" s="9">
        <f>_xll.BQL("ALK US Equity", "FA_GROWTH(CB_IS_ADJUSTED_OPEX, YOY)", "FPT=A", "FPO=1A", "ACT_EST_MAPPING=PRECISE", "FS=MRC", "CURRENCY=USD", "XLFILL=b")</f>
        <v>-4.1317550768577087</v>
      </c>
      <c r="I215" s="9">
        <f>_xll.BQL("ALK US Equity", "FA_GROWTH(CB_IS_ADJUSTED_OPEX, YOY)", "FPT=A", "FPO=0A", "ACT_EST_MAPPING=PRECISE", "FS=MRC", "CURRENCY=USD", "XLFILL=b")</f>
        <v>16.883408071748878</v>
      </c>
      <c r="J215" s="9">
        <f>_xll.BQL("ALK US Equity", "FA_GROWTH(CB_IS_ADJUSTED_OPEX, YOY)", "FPT=A", "FPO=-1A", "ACT_EST_MAPPING=PRECISE", "FS=MRC", "CURRENCY=USD", "XLFILL=b")</f>
        <v>38.016401052142967</v>
      </c>
      <c r="K215" s="9">
        <f>_xll.BQL("ALK US Equity", "FA_GROWTH(CB_IS_ADJUSTED_OPEX, YOY)", "FPT=A", "FPO=-2A", "ACT_EST_MAPPING=PRECISE", "FS=MRC", "CURRENCY=USD", "XLFILL=b")</f>
        <v>22.451686244789695</v>
      </c>
      <c r="L215" s="9">
        <f>_xll.BQL("ALK US Equity", "FA_GROWTH(CB_IS_ADJUSTED_OPEX, YOY)", "FPT=A", "FPO=-3A", "ACT_EST_MAPPING=PRECISE", "FS=MRC", "CURRENCY=USD", "XLFILL=b")</f>
        <v>-31.614407877688521</v>
      </c>
      <c r="M215" s="9">
        <f>_xll.BQL("ALK US Equity", "FA_GROWTH(CB_IS_ADJUSTED_OPEX, YOY)", "FPT=A", "FPO=-4A", "ACT_EST_MAPPING=PRECISE", "FS=MRC", "CURRENCY=USD", "XLFILL=b")</f>
        <v>1.2727988452958929</v>
      </c>
      <c r="N215" s="9">
        <f>_xll.BQL("ALK US Equity", "FA_GROWTH(CB_IS_ADJUSTED_OPEX, YOY)", "FPT=A", "FPO=-5A", "ACT_EST_MAPPING=PRECISE", "FS=MRC", "CURRENCY=USD", "XLFILL=b")</f>
        <v>13.984445109183369</v>
      </c>
    </row>
    <row r="216" spans="1:14" x14ac:dyDescent="0.2">
      <c r="A216" s="8" t="s">
        <v>221</v>
      </c>
      <c r="B216" s="4" t="s">
        <v>222</v>
      </c>
      <c r="C216" s="4"/>
      <c r="D216" s="4"/>
      <c r="E216" s="9" t="str">
        <f>_xll.BQL("ALK US Equity", "IS_OTHER_OPERATING_EXPN_ADJUST/1M", "FPT=A", "FPO=4A", "ACT_EST_MAPPING=PRECISE", "FS=MRC", "CURRENCY=USD", "XLFILL=b")</f>
        <v/>
      </c>
      <c r="F216" s="9">
        <f>_xll.BQL("ALK US Equity", "IS_OTHER_OPERATING_EXPN_ADJUST/1M", "FPT=A", "FPO=3A", "ACT_EST_MAPPING=PRECISE", "FS=MRC", "CURRENCY=USD", "XLFILL=b")</f>
        <v>0</v>
      </c>
      <c r="G216" s="9">
        <f>_xll.BQL("ALK US Equity", "IS_OTHER_OPERATING_EXPN_ADJUST/1M", "FPT=A", "FPO=2A", "ACT_EST_MAPPING=PRECISE", "FS=MRC", "CURRENCY=USD", "XLFILL=b")</f>
        <v>0</v>
      </c>
      <c r="H216" s="9">
        <f>_xll.BQL("ALK US Equity", "IS_OTHER_OPERATING_EXPN_ADJUST/1M", "FPT=A", "FPO=1A", "ACT_EST_MAPPING=PRECISE", "FS=MRC", "CURRENCY=USD", "XLFILL=b")</f>
        <v>162</v>
      </c>
      <c r="I216" s="9">
        <f>_xll.BQL("ALK US Equity", "IS_OTHER_OPERATING_EXPN_ADJUST/1M", "FPT=A", "FPO=0A", "ACT_EST_MAPPING=PRECISE", "FS=MRC", "CURRENCY=USD", "XLFILL=b")</f>
        <v>441</v>
      </c>
      <c r="J216" s="9">
        <f>_xll.BQL("ALK US Equity", "IS_OTHER_OPERATING_EXPN_ADJUST/1M", "FPT=A", "FPO=-1A", "ACT_EST_MAPPING=PRECISE", "FS=MRC", "CURRENCY=USD", "XLFILL=b")</f>
        <v>656</v>
      </c>
      <c r="K216" s="9">
        <f>_xll.BQL("ALK US Equity", "IS_OTHER_OPERATING_EXPN_ADJUST/1M", "FPT=A", "FPO=-2A", "ACT_EST_MAPPING=PRECISE", "FS=MRC", "CURRENCY=USD", "XLFILL=b")</f>
        <v>-972</v>
      </c>
      <c r="L216" s="9">
        <f>_xll.BQL("ALK US Equity", "IS_OTHER_OPERATING_EXPN_ADJUST/1M", "FPT=A", "FPO=-3A", "ACT_EST_MAPPING=PRECISE", "FS=MRC", "CURRENCY=USD", "XLFILL=b")</f>
        <v>63</v>
      </c>
      <c r="M216" s="9">
        <f>_xll.BQL("ALK US Equity", "IS_OTHER_OPERATING_EXPN_ADJUST/1M", "FPT=A", "FPO=-4A", "ACT_EST_MAPPING=PRECISE", "FS=MRC", "CURRENCY=USD", "XLFILL=b")</f>
        <v>38</v>
      </c>
      <c r="N216" s="9">
        <f>_xll.BQL("ALK US Equity", "IS_OTHER_OPERATING_EXPN_ADJUST/1M", "FPT=A", "FPO=-5A", "ACT_EST_MAPPING=PRECISE", "FS=MRC", "CURRENCY=USD", "XLFILL=b")</f>
        <v>154</v>
      </c>
    </row>
    <row r="217" spans="1:14" x14ac:dyDescent="0.2">
      <c r="A217" s="8" t="s">
        <v>67</v>
      </c>
      <c r="B217" s="4" t="s">
        <v>222</v>
      </c>
      <c r="C217" s="4"/>
      <c r="D217" s="4"/>
      <c r="E217" s="9" t="str">
        <f>_xll.BQL("ALK US Equity", "FA_GROWTH(IS_OTHER_OPERATING_EXPN_ADJUST, YOY)", "FPT=A", "FPO=4A", "ACT_EST_MAPPING=PRECISE", "FS=MRC", "CURRENCY=USD", "XLFILL=b")</f>
        <v/>
      </c>
      <c r="F217" s="9" t="str">
        <f>_xll.BQL("ALK US Equity", "FA_GROWTH(IS_OTHER_OPERATING_EXPN_ADJUST, YOY)", "FPT=A", "FPO=3A", "ACT_EST_MAPPING=PRECISE", "FS=MRC", "CURRENCY=USD", "XLFILL=b")</f>
        <v/>
      </c>
      <c r="G217" s="9">
        <f>_xll.BQL("ALK US Equity", "FA_GROWTH(IS_OTHER_OPERATING_EXPN_ADJUST, YOY)", "FPT=A", "FPO=2A", "ACT_EST_MAPPING=PRECISE", "FS=MRC", "CURRENCY=USD", "XLFILL=b")</f>
        <v>-100</v>
      </c>
      <c r="H217" s="9">
        <f>_xll.BQL("ALK US Equity", "FA_GROWTH(IS_OTHER_OPERATING_EXPN_ADJUST, YOY)", "FPT=A", "FPO=1A", "ACT_EST_MAPPING=PRECISE", "FS=MRC", "CURRENCY=USD", "XLFILL=b")</f>
        <v>-63.265306122448976</v>
      </c>
      <c r="I217" s="9">
        <f>_xll.BQL("ALK US Equity", "FA_GROWTH(IS_OTHER_OPERATING_EXPN_ADJUST, YOY)", "FPT=A", "FPO=0A", "ACT_EST_MAPPING=PRECISE", "FS=MRC", "CURRENCY=USD", "XLFILL=b")</f>
        <v>-32.774390243902438</v>
      </c>
      <c r="J217" s="9">
        <f>_xll.BQL("ALK US Equity", "FA_GROWTH(IS_OTHER_OPERATING_EXPN_ADJUST, YOY)", "FPT=A", "FPO=-1A", "ACT_EST_MAPPING=PRECISE", "FS=MRC", "CURRENCY=USD", "XLFILL=b")</f>
        <v>167.48971193415639</v>
      </c>
      <c r="K217" s="9">
        <f>_xll.BQL("ALK US Equity", "FA_GROWTH(IS_OTHER_OPERATING_EXPN_ADJUST, YOY)", "FPT=A", "FPO=-2A", "ACT_EST_MAPPING=PRECISE", "FS=MRC", "CURRENCY=USD", "XLFILL=b")</f>
        <v>-1642.8571428571429</v>
      </c>
      <c r="L217" s="9">
        <f>_xll.BQL("ALK US Equity", "FA_GROWTH(IS_OTHER_OPERATING_EXPN_ADJUST, YOY)", "FPT=A", "FPO=-3A", "ACT_EST_MAPPING=PRECISE", "FS=MRC", "CURRENCY=USD", "XLFILL=b")</f>
        <v>65.78947368421052</v>
      </c>
      <c r="M217" s="9">
        <f>_xll.BQL("ALK US Equity", "FA_GROWTH(IS_OTHER_OPERATING_EXPN_ADJUST, YOY)", "FPT=A", "FPO=-4A", "ACT_EST_MAPPING=PRECISE", "FS=MRC", "CURRENCY=USD", "XLFILL=b")</f>
        <v>-75.324675324675326</v>
      </c>
      <c r="N217" s="9">
        <f>_xll.BQL("ALK US Equity", "FA_GROWTH(IS_OTHER_OPERATING_EXPN_ADJUST, YOY)", "FPT=A", "FPO=-5A", "ACT_EST_MAPPING=PRECISE", "FS=MRC", "CURRENCY=USD", "XLFILL=b")</f>
        <v>41.284403669724767</v>
      </c>
    </row>
    <row r="218" spans="1:14" x14ac:dyDescent="0.2">
      <c r="A218" s="8" t="s">
        <v>223</v>
      </c>
      <c r="B218" s="4" t="s">
        <v>224</v>
      </c>
      <c r="C218" s="4" t="s">
        <v>171</v>
      </c>
      <c r="D218" s="4"/>
      <c r="E218" s="9" t="str">
        <f>_xll.BQL("ALK US Equity", "IS_COMPARABLE_EBIT/1M", "FPT=A", "FPO=4A", "ACT_EST_MAPPING=PRECISE", "FS=MRC", "CURRENCY=USD", "XLFILL=b")</f>
        <v/>
      </c>
      <c r="F218" s="9">
        <f>_xll.BQL("ALK US Equity", "IS_COMPARABLE_EBIT/1M", "FPT=A", "FPO=3A", "ACT_EST_MAPPING=PRECISE", "FS=MRC", "CURRENCY=USD", "XLFILL=b")</f>
        <v>1268.6666666666667</v>
      </c>
      <c r="G218" s="9">
        <f>_xll.BQL("ALK US Equity", "IS_COMPARABLE_EBIT/1M", "FPT=A", "FPO=2A", "ACT_EST_MAPPING=PRECISE", "FS=MRC", "CURRENCY=USD", "XLFILL=b")</f>
        <v>1074</v>
      </c>
      <c r="H218" s="9">
        <f>_xll.BQL("ALK US Equity", "IS_COMPARABLE_EBIT/1M", "FPT=A", "FPO=1A", "ACT_EST_MAPPING=PRECISE", "FS=MRC", "CURRENCY=USD", "XLFILL=b")</f>
        <v>836.16666666666663</v>
      </c>
      <c r="I218" s="9">
        <f>_xll.BQL("ALK US Equity", "IS_COMPARABLE_EBIT/1M", "FPT=A", "FPO=0A", "ACT_EST_MAPPING=PRECISE", "FS=MRC", "CURRENCY=USD", "XLFILL=b")</f>
        <v>835</v>
      </c>
      <c r="J218" s="9">
        <f>_xll.BQL("ALK US Equity", "IS_COMPARABLE_EBIT/1M", "FPT=A", "FPO=-1A", "ACT_EST_MAPPING=PRECISE", "FS=MRC", "CURRENCY=USD", "XLFILL=b")</f>
        <v>726</v>
      </c>
      <c r="K218" s="9">
        <f>_xll.BQL("ALK US Equity", "IS_COMPARABLE_EBIT/1M", "FPT=A", "FPO=-2A", "ACT_EST_MAPPING=PRECISE", "FS=MRC", "CURRENCY=USD", "XLFILL=b")</f>
        <v>-287</v>
      </c>
      <c r="L218" s="9">
        <f>_xll.BQL("ALK US Equity", "IS_COMPARABLE_EBIT/1M", "FPT=A", "FPO=-3A", "ACT_EST_MAPPING=PRECISE", "FS=MRC", "CURRENCY=USD", "XLFILL=b")</f>
        <v>-1712</v>
      </c>
      <c r="M218" s="9">
        <f>_xll.BQL("ALK US Equity", "IS_COMPARABLE_EBIT/1M", "FPT=A", "FPO=-4A", "ACT_EST_MAPPING=PRECISE", "FS=MRC", "CURRENCY=USD", "XLFILL=b")</f>
        <v>1101</v>
      </c>
      <c r="N218" s="9">
        <f>_xll.BQL("ALK US Equity", "IS_COMPARABLE_EBIT/1M", "FPT=A", "FPO=-5A", "ACT_EST_MAPPING=PRECISE", "FS=MRC", "CURRENCY=USD", "XLFILL=b")</f>
        <v>797</v>
      </c>
    </row>
    <row r="219" spans="1:14" x14ac:dyDescent="0.2">
      <c r="A219" s="8" t="s">
        <v>64</v>
      </c>
      <c r="B219" s="4" t="s">
        <v>224</v>
      </c>
      <c r="C219" s="4" t="s">
        <v>171</v>
      </c>
      <c r="D219" s="4"/>
      <c r="E219" s="9" t="str">
        <f>_xll.BQL("ALK US Equity", "FA_GROWTH(IS_COMPARABLE_EBIT, YOY)", "FPT=A", "FPO=4A", "ACT_EST_MAPPING=PRECISE", "FS=MRC", "CURRENCY=USD", "XLFILL=b")</f>
        <v/>
      </c>
      <c r="F219" s="9">
        <f>_xll.BQL("ALK US Equity", "FA_GROWTH(IS_COMPARABLE_EBIT, YOY)", "FPT=A", "FPO=3A", "ACT_EST_MAPPING=PRECISE", "FS=MRC", "CURRENCY=USD", "XLFILL=b")</f>
        <v>18.125387957790199</v>
      </c>
      <c r="G219" s="9">
        <f>_xll.BQL("ALK US Equity", "FA_GROWTH(IS_COMPARABLE_EBIT, YOY)", "FPT=A", "FPO=2A", "ACT_EST_MAPPING=PRECISE", "FS=MRC", "CURRENCY=USD", "XLFILL=b")</f>
        <v>28.443292804464825</v>
      </c>
      <c r="H219" s="9">
        <f>_xll.BQL("ALK US Equity", "FA_GROWTH(IS_COMPARABLE_EBIT, YOY)", "FPT=A", "FPO=1A", "ACT_EST_MAPPING=PRECISE", "FS=MRC", "CURRENCY=USD", "XLFILL=b")</f>
        <v>0.13972055888223078</v>
      </c>
      <c r="I219" s="9">
        <f>_xll.BQL("ALK US Equity", "FA_GROWTH(IS_COMPARABLE_EBIT, YOY)", "FPT=A", "FPO=0A", "ACT_EST_MAPPING=PRECISE", "FS=MRC", "CURRENCY=USD", "XLFILL=b")</f>
        <v>15.013774104683195</v>
      </c>
      <c r="J219" s="9">
        <f>_xll.BQL("ALK US Equity", "FA_GROWTH(IS_COMPARABLE_EBIT, YOY)", "FPT=A", "FPO=-1A", "ACT_EST_MAPPING=PRECISE", "FS=MRC", "CURRENCY=USD", "XLFILL=b")</f>
        <v>352.96167247386762</v>
      </c>
      <c r="K219" s="9">
        <f>_xll.BQL("ALK US Equity", "FA_GROWTH(IS_COMPARABLE_EBIT, YOY)", "FPT=A", "FPO=-2A", "ACT_EST_MAPPING=PRECISE", "FS=MRC", "CURRENCY=USD", "XLFILL=b")</f>
        <v>83.235981308411212</v>
      </c>
      <c r="L219" s="9">
        <f>_xll.BQL("ALK US Equity", "FA_GROWTH(IS_COMPARABLE_EBIT, YOY)", "FPT=A", "FPO=-3A", "ACT_EST_MAPPING=PRECISE", "FS=MRC", "CURRENCY=USD", "XLFILL=b")</f>
        <v>-255.49500454132607</v>
      </c>
      <c r="M219" s="9">
        <f>_xll.BQL("ALK US Equity", "FA_GROWTH(IS_COMPARABLE_EBIT, YOY)", "FPT=A", "FPO=-4A", "ACT_EST_MAPPING=PRECISE", "FS=MRC", "CURRENCY=USD", "XLFILL=b")</f>
        <v>38.143036386449182</v>
      </c>
      <c r="N219" s="9">
        <f>_xll.BQL("ALK US Equity", "FA_GROWTH(IS_COMPARABLE_EBIT, YOY)", "FPT=A", "FPO=-5A", "ACT_EST_MAPPING=PRECISE", "FS=MRC", "CURRENCY=USD", "XLFILL=b")</f>
        <v>-42.16255442670537</v>
      </c>
    </row>
    <row r="220" spans="1:14" x14ac:dyDescent="0.2">
      <c r="A220" s="8" t="s">
        <v>225</v>
      </c>
      <c r="B220" s="4" t="s">
        <v>226</v>
      </c>
      <c r="C220" s="4"/>
      <c r="D220" s="4"/>
      <c r="E220" s="9" t="str">
        <f>_xll.BQL("ALK US Equity", "OPER_MARGIN", "FPT=A", "FPO=4A", "ACT_EST_MAPPING=PRECISE", "FS=MRC", "CURRENCY=USD", "XLFILL=b")</f>
        <v/>
      </c>
      <c r="F220" s="9">
        <f>_xll.BQL("ALK US Equity", "OPER_MARGIN", "FPT=A", "FPO=3A", "ACT_EST_MAPPING=PRECISE", "FS=MRC", "CURRENCY=USD", "XLFILL=b")</f>
        <v>9.7293108382338058</v>
      </c>
      <c r="G220" s="9">
        <f>_xll.BQL("ALK US Equity", "OPER_MARGIN", "FPT=A", "FPO=2A", "ACT_EST_MAPPING=PRECISE", "FS=MRC", "CURRENCY=USD", "XLFILL=b")</f>
        <v>9.0719895913942477</v>
      </c>
      <c r="H220" s="9">
        <f>_xll.BQL("ALK US Equity", "OPER_MARGIN", "FPT=A", "FPO=1A", "ACT_EST_MAPPING=PRECISE", "FS=MRC", "CURRENCY=USD", "XLFILL=b")</f>
        <v>6.66008751218002</v>
      </c>
      <c r="I220" s="9">
        <f>_xll.BQL("ALK US Equity", "OPER_MARGIN", "FPT=A", "FPO=0A", "ACT_EST_MAPPING=PRECISE", "FS=MRC", "CURRENCY=USD", "XLFILL=b")</f>
        <v>3.7790140034529061</v>
      </c>
      <c r="J220" s="9">
        <f>_xll.BQL("ALK US Equity", "OPER_MARGIN", "FPT=A", "FPO=-1A", "ACT_EST_MAPPING=PRECISE", "FS=MRC", "CURRENCY=USD", "XLFILL=b")</f>
        <v>0.72568940493468792</v>
      </c>
      <c r="K220" s="9">
        <f>_xll.BQL("ALK US Equity", "OPER_MARGIN", "FPT=A", "FPO=-2A", "ACT_EST_MAPPING=PRECISE", "FS=MRC", "CURRENCY=USD", "XLFILL=b")</f>
        <v>11.091321243523316</v>
      </c>
      <c r="L220" s="9">
        <f>_xll.BQL("ALK US Equity", "OPER_MARGIN", "FPT=A", "FPO=-3A", "ACT_EST_MAPPING=PRECISE", "FS=MRC", "CURRENCY=USD", "XLFILL=b")</f>
        <v>-49.775659001682563</v>
      </c>
      <c r="M220" s="9">
        <f>_xll.BQL("ALK US Equity", "OPER_MARGIN", "FPT=A", "FPO=-4A", "ACT_EST_MAPPING=PRECISE", "FS=MRC", "CURRENCY=USD", "XLFILL=b")</f>
        <v>12.105682724063319</v>
      </c>
      <c r="N220" s="9">
        <f>_xll.BQL("ALK US Equity", "OPER_MARGIN", "FPT=A", "FPO=-5A", "ACT_EST_MAPPING=PRECISE", "FS=MRC", "CURRENCY=USD", "XLFILL=b")</f>
        <v>7.7807357212003865</v>
      </c>
    </row>
    <row r="221" spans="1:14" x14ac:dyDescent="0.2">
      <c r="A221" s="8" t="s">
        <v>67</v>
      </c>
      <c r="B221" s="4" t="s">
        <v>226</v>
      </c>
      <c r="C221" s="4"/>
      <c r="D221" s="4"/>
      <c r="E221" s="9" t="str">
        <f>_xll.BQL("ALK US Equity", "FA_GROWTH(OPER_MARGIN, YOY)", "FPT=A", "FPO=4A", "ACT_EST_MAPPING=PRECISE", "FS=MRC", "CURRENCY=USD", "XLFILL=b")</f>
        <v/>
      </c>
      <c r="F221" s="9">
        <f>_xll.BQL("ALK US Equity", "FA_GROWTH(OPER_MARGIN, YOY)", "FPT=A", "FPO=3A", "ACT_EST_MAPPING=PRECISE", "FS=MRC", "CURRENCY=USD", "XLFILL=b")</f>
        <v>7.2456128858778417</v>
      </c>
      <c r="G221" s="9">
        <f>_xll.BQL("ALK US Equity", "FA_GROWTH(OPER_MARGIN, YOY)", "FPT=A", "FPO=2A", "ACT_EST_MAPPING=PRECISE", "FS=MRC", "CURRENCY=USD", "XLFILL=b")</f>
        <v>36.214270079834868</v>
      </c>
      <c r="H221" s="9">
        <f>_xll.BQL("ALK US Equity", "FA_GROWTH(OPER_MARGIN, YOY)", "FPT=A", "FPO=1A", "ACT_EST_MAPPING=PRECISE", "FS=MRC", "CURRENCY=USD", "XLFILL=b")</f>
        <v>76.238762441596165</v>
      </c>
      <c r="I221" s="9">
        <f>_xll.BQL("ALK US Equity", "FA_GROWTH(OPER_MARGIN, YOY)", "FPT=A", "FPO=0A", "ACT_EST_MAPPING=PRECISE", "FS=MRC", "CURRENCY=USD", "XLFILL=b")</f>
        <v>420.74812967581045</v>
      </c>
      <c r="J221" s="9">
        <f>_xll.BQL("ALK US Equity", "FA_GROWTH(OPER_MARGIN, YOY)", "FPT=A", "FPO=-1A", "ACT_EST_MAPPING=PRECISE", "FS=MRC", "CURRENCY=USD", "XLFILL=b")</f>
        <v>-93.457141949085212</v>
      </c>
      <c r="K221" s="9">
        <f>_xll.BQL("ALK US Equity", "FA_GROWTH(OPER_MARGIN, YOY)", "FPT=A", "FPO=-2A", "ACT_EST_MAPPING=PRECISE", "FS=MRC", "CURRENCY=USD", "XLFILL=b")</f>
        <v>122.2826205940305</v>
      </c>
      <c r="L221" s="9">
        <f>_xll.BQL("ALK US Equity", "FA_GROWTH(OPER_MARGIN, YOY)", "FPT=A", "FPO=-3A", "ACT_EST_MAPPING=PRECISE", "FS=MRC", "CURRENCY=USD", "XLFILL=b")</f>
        <v>-511.17597525284532</v>
      </c>
      <c r="M221" s="9">
        <f>_xll.BQL("ALK US Equity", "FA_GROWTH(OPER_MARGIN, YOY)", "FPT=A", "FPO=-4A", "ACT_EST_MAPPING=PRECISE", "FS=MRC", "CURRENCY=USD", "XLFILL=b")</f>
        <v>55.58532197769717</v>
      </c>
      <c r="N221" s="9">
        <f>_xll.BQL("ALK US Equity", "FA_GROWTH(OPER_MARGIN, YOY)", "FPT=A", "FPO=-5A", "ACT_EST_MAPPING=PRECISE", "FS=MRC", "CURRENCY=USD", "XLFILL=b")</f>
        <v>-49.154695543745163</v>
      </c>
    </row>
    <row r="222" spans="1:14" x14ac:dyDescent="0.2">
      <c r="A222" s="8" t="s">
        <v>227</v>
      </c>
      <c r="B222" s="4" t="s">
        <v>228</v>
      </c>
      <c r="C222" s="4" t="s">
        <v>173</v>
      </c>
      <c r="D222" s="4"/>
      <c r="E222" s="9" t="str">
        <f>_xll.BQL("ALK US Equity", "IS_COMPARABLE_EBITDA/1M", "FPT=A", "FPO=4A", "ACT_EST_MAPPING=PRECISE", "FS=MRC", "CURRENCY=USD", "XLFILL=b")</f>
        <v/>
      </c>
      <c r="F222" s="9">
        <f>_xll.BQL("ALK US Equity", "IS_COMPARABLE_EBITDA/1M", "FPT=A", "FPO=3A", "ACT_EST_MAPPING=PRECISE", "FS=MRC", "CURRENCY=USD", "XLFILL=b")</f>
        <v>1878.2857142857144</v>
      </c>
      <c r="G222" s="9">
        <f>_xll.BQL("ALK US Equity", "IS_COMPARABLE_EBITDA/1M", "FPT=A", "FPO=2A", "ACT_EST_MAPPING=PRECISE", "FS=MRC", "CURRENCY=USD", "XLFILL=b")</f>
        <v>1644.4</v>
      </c>
      <c r="H222" s="9">
        <f>_xll.BQL("ALK US Equity", "IS_COMPARABLE_EBITDA/1M", "FPT=A", "FPO=1A", "ACT_EST_MAPPING=PRECISE", "FS=MRC", "CURRENCY=USD", "XLFILL=b")</f>
        <v>1392.2</v>
      </c>
      <c r="I222" s="9">
        <f>_xll.BQL("ALK US Equity", "IS_COMPARABLE_EBITDA/1M", "FPT=A", "FPO=0A", "ACT_EST_MAPPING=PRECISE", "FS=MRC", "CURRENCY=USD", "XLFILL=b")</f>
        <v>1286</v>
      </c>
      <c r="J222" s="9">
        <f>_xll.BQL("ALK US Equity", "IS_COMPARABLE_EBITDA/1M", "FPT=A", "FPO=-1A", "ACT_EST_MAPPING=PRECISE", "FS=MRC", "CURRENCY=USD", "XLFILL=b")</f>
        <v>1141</v>
      </c>
      <c r="K222" s="9">
        <f>_xll.BQL("ALK US Equity", "IS_COMPARABLE_EBITDA/1M", "FPT=A", "FPO=-2A", "ACT_EST_MAPPING=PRECISE", "FS=MRC", "CURRENCY=USD", "XLFILL=b")</f>
        <v>107</v>
      </c>
      <c r="L222" s="9">
        <f>_xll.BQL("ALK US Equity", "IS_COMPARABLE_EBITDA/1M", "FPT=A", "FPO=-3A", "ACT_EST_MAPPING=PRECISE", "FS=MRC", "CURRENCY=USD", "XLFILL=b")</f>
        <v>-1292</v>
      </c>
      <c r="M222" s="9">
        <f>_xll.BQL("ALK US Equity", "IS_COMPARABLE_EBITDA/1M", "FPT=A", "FPO=-4A", "ACT_EST_MAPPING=PRECISE", "FS=MRC", "CURRENCY=USD", "XLFILL=b")</f>
        <v>1524</v>
      </c>
      <c r="N222" s="9">
        <f>_xll.BQL("ALK US Equity", "IS_COMPARABLE_EBITDA/1M", "FPT=A", "FPO=-5A", "ACT_EST_MAPPING=PRECISE", "FS=MRC", "CURRENCY=USD", "XLFILL=b")</f>
        <v>1195</v>
      </c>
    </row>
    <row r="223" spans="1:14" x14ac:dyDescent="0.2">
      <c r="A223" s="8" t="s">
        <v>64</v>
      </c>
      <c r="B223" s="4" t="s">
        <v>228</v>
      </c>
      <c r="C223" s="4" t="s">
        <v>173</v>
      </c>
      <c r="D223" s="4"/>
      <c r="E223" s="9" t="str">
        <f>_xll.BQL("ALK US Equity", "FA_GROWTH(IS_COMPARABLE_EBITDA, YOY)", "FPT=A", "FPO=4A", "ACT_EST_MAPPING=PRECISE", "FS=MRC", "CURRENCY=USD", "XLFILL=b")</f>
        <v/>
      </c>
      <c r="F223" s="9">
        <f>_xll.BQL("ALK US Equity", "FA_GROWTH(IS_COMPARABLE_EBITDA, YOY)", "FPT=A", "FPO=3A", "ACT_EST_MAPPING=PRECISE", "FS=MRC", "CURRENCY=USD", "XLFILL=b")</f>
        <v>14.223164332626757</v>
      </c>
      <c r="G223" s="9">
        <f>_xll.BQL("ALK US Equity", "FA_GROWTH(IS_COMPARABLE_EBITDA, YOY)", "FPT=A", "FPO=2A", "ACT_EST_MAPPING=PRECISE", "FS=MRC", "CURRENCY=USD", "XLFILL=b")</f>
        <v>18.115213331417898</v>
      </c>
      <c r="H223" s="9">
        <f>_xll.BQL("ALK US Equity", "FA_GROWTH(IS_COMPARABLE_EBITDA, YOY)", "FPT=A", "FPO=1A", "ACT_EST_MAPPING=PRECISE", "FS=MRC", "CURRENCY=USD", "XLFILL=b")</f>
        <v>8.2581648522550548</v>
      </c>
      <c r="I223" s="9">
        <f>_xll.BQL("ALK US Equity", "FA_GROWTH(IS_COMPARABLE_EBITDA, YOY)", "FPT=A", "FPO=0A", "ACT_EST_MAPPING=PRECISE", "FS=MRC", "CURRENCY=USD", "XLFILL=b")</f>
        <v>12.708150744960561</v>
      </c>
      <c r="J223" s="9">
        <f>_xll.BQL("ALK US Equity", "FA_GROWTH(IS_COMPARABLE_EBITDA, YOY)", "FPT=A", "FPO=-1A", "ACT_EST_MAPPING=PRECISE", "FS=MRC", "CURRENCY=USD", "XLFILL=b")</f>
        <v>966.35514018691583</v>
      </c>
      <c r="K223" s="9">
        <f>_xll.BQL("ALK US Equity", "FA_GROWTH(IS_COMPARABLE_EBITDA, YOY)", "FPT=A", "FPO=-2A", "ACT_EST_MAPPING=PRECISE", "FS=MRC", "CURRENCY=USD", "XLFILL=b")</f>
        <v>108.28173374613003</v>
      </c>
      <c r="L223" s="9">
        <f>_xll.BQL("ALK US Equity", "FA_GROWTH(IS_COMPARABLE_EBITDA, YOY)", "FPT=A", "FPO=-3A", "ACT_EST_MAPPING=PRECISE", "FS=MRC", "CURRENCY=USD", "XLFILL=b")</f>
        <v>-184.7769028871391</v>
      </c>
      <c r="M223" s="9">
        <f>_xll.BQL("ALK US Equity", "FA_GROWTH(IS_COMPARABLE_EBITDA, YOY)", "FPT=A", "FPO=-4A", "ACT_EST_MAPPING=PRECISE", "FS=MRC", "CURRENCY=USD", "XLFILL=b")</f>
        <v>27.531380753138077</v>
      </c>
      <c r="N223" s="9">
        <f>_xll.BQL("ALK US Equity", "FA_GROWTH(IS_COMPARABLE_EBITDA, YOY)", "FPT=A", "FPO=-5A", "ACT_EST_MAPPING=PRECISE", "FS=MRC", "CURRENCY=USD", "XLFILL=b")</f>
        <v>-31.714285714285715</v>
      </c>
    </row>
    <row r="224" spans="1:14" x14ac:dyDescent="0.2">
      <c r="A224" s="8" t="s">
        <v>229</v>
      </c>
      <c r="B224" s="4" t="s">
        <v>230</v>
      </c>
      <c r="C224" s="4" t="s">
        <v>194</v>
      </c>
      <c r="D224" s="4"/>
      <c r="E224" s="9" t="str">
        <f>_xll.BQL("ALK US Equity", "IS_COMP_PTP_EX_STK_BASED_COMP/1M", "FPT=A", "FPO=4A", "ACT_EST_MAPPING=PRECISE", "FS=MRC", "CURRENCY=USD", "XLFILL=b")</f>
        <v/>
      </c>
      <c r="F224" s="9">
        <f>_xll.BQL("ALK US Equity", "IS_COMP_PTP_EX_STK_BASED_COMP/1M", "FPT=A", "FPO=3A", "ACT_EST_MAPPING=PRECISE", "FS=MRC", "CURRENCY=USD", "XLFILL=b")</f>
        <v>1144.625</v>
      </c>
      <c r="G224" s="9">
        <f>_xll.BQL("ALK US Equity", "IS_COMP_PTP_EX_STK_BASED_COMP/1M", "FPT=A", "FPO=2A", "ACT_EST_MAPPING=PRECISE", "FS=MRC", "CURRENCY=USD", "XLFILL=b")</f>
        <v>996.75</v>
      </c>
      <c r="H224" s="9">
        <f>_xll.BQL("ALK US Equity", "IS_COMP_PTP_EX_STK_BASED_COMP/1M", "FPT=A", "FPO=1A", "ACT_EST_MAPPING=PRECISE", "FS=MRC", "CURRENCY=USD", "XLFILL=b")</f>
        <v>792.5454545454545</v>
      </c>
      <c r="I224" s="9">
        <f>_xll.BQL("ALK US Equity", "IS_COMP_PTP_EX_STK_BASED_COMP/1M", "FPT=A", "FPO=0A", "ACT_EST_MAPPING=PRECISE", "FS=MRC", "CURRENCY=USD", "XLFILL=b")</f>
        <v>782</v>
      </c>
      <c r="J224" s="9">
        <f>_xll.BQL("ALK US Equity", "IS_COMP_PTP_EX_STK_BASED_COMP/1M", "FPT=A", "FPO=-1A", "ACT_EST_MAPPING=PRECISE", "FS=MRC", "CURRENCY=USD", "XLFILL=b")</f>
        <v>735</v>
      </c>
      <c r="K224" s="9">
        <f>_xll.BQL("ALK US Equity", "IS_COMP_PTP_EX_STK_BASED_COMP/1M", "FPT=A", "FPO=-2A", "ACT_EST_MAPPING=PRECISE", "FS=MRC", "CURRENCY=USD", "XLFILL=b")</f>
        <v>-343</v>
      </c>
      <c r="L224" s="9">
        <f>_xll.BQL("ALK US Equity", "IS_COMP_PTP_EX_STK_BASED_COMP/1M", "FPT=A", "FPO=-3A", "ACT_EST_MAPPING=PRECISE", "FS=MRC", "CURRENCY=USD", "XLFILL=b")</f>
        <v>-1751</v>
      </c>
      <c r="M224" s="9">
        <f>_xll.BQL("ALK US Equity", "IS_COMP_PTP_EX_STK_BASED_COMP/1M", "FPT=A", "FPO=-4A", "ACT_EST_MAPPING=PRECISE", "FS=MRC", "CURRENCY=USD", "XLFILL=b")</f>
        <v>1054</v>
      </c>
      <c r="N224" s="9">
        <f>_xll.BQL("ALK US Equity", "IS_COMP_PTP_EX_STK_BASED_COMP/1M", "FPT=A", "FPO=-5A", "ACT_EST_MAPPING=PRECISE", "FS=MRC", "CURRENCY=USD", "XLFILL=b")</f>
        <v>585</v>
      </c>
    </row>
    <row r="225" spans="1:14" x14ac:dyDescent="0.2">
      <c r="A225" s="8" t="s">
        <v>64</v>
      </c>
      <c r="B225" s="4" t="s">
        <v>230</v>
      </c>
      <c r="C225" s="4" t="s">
        <v>194</v>
      </c>
      <c r="D225" s="4"/>
      <c r="E225" s="9" t="str">
        <f>_xll.BQL("ALK US Equity", "FA_GROWTH(IS_COMP_PTP_EX_STK_BASED_COMP, YOY)", "FPT=A", "FPO=4A", "ACT_EST_MAPPING=PRECISE", "FS=MRC", "CURRENCY=USD", "XLFILL=b")</f>
        <v/>
      </c>
      <c r="F225" s="9">
        <f>_xll.BQL("ALK US Equity", "FA_GROWTH(IS_COMP_PTP_EX_STK_BASED_COMP, YOY)", "FPT=A", "FPO=3A", "ACT_EST_MAPPING=PRECISE", "FS=MRC", "CURRENCY=USD", "XLFILL=b")</f>
        <v>14.835716077251066</v>
      </c>
      <c r="G225" s="9">
        <f>_xll.BQL("ALK US Equity", "FA_GROWTH(IS_COMP_PTP_EX_STK_BASED_COMP, YOY)", "FPT=A", "FPO=2A", "ACT_EST_MAPPING=PRECISE", "FS=MRC", "CURRENCY=USD", "XLFILL=b")</f>
        <v>25.765657260839653</v>
      </c>
      <c r="H225" s="9">
        <f>_xll.BQL("ALK US Equity", "FA_GROWTH(IS_COMP_PTP_EX_STK_BASED_COMP, YOY)", "FPT=A", "FPO=1A", "ACT_EST_MAPPING=PRECISE", "FS=MRC", "CURRENCY=USD", "XLFILL=b")</f>
        <v>1.3485235991629798</v>
      </c>
      <c r="I225" s="9">
        <f>_xll.BQL("ALK US Equity", "FA_GROWTH(IS_COMP_PTP_EX_STK_BASED_COMP, YOY)", "FPT=A", "FPO=0A", "ACT_EST_MAPPING=PRECISE", "FS=MRC", "CURRENCY=USD", "XLFILL=b")</f>
        <v>6.3945578231292517</v>
      </c>
      <c r="J225" s="9">
        <f>_xll.BQL("ALK US Equity", "FA_GROWTH(IS_COMP_PTP_EX_STK_BASED_COMP, YOY)", "FPT=A", "FPO=-1A", "ACT_EST_MAPPING=PRECISE", "FS=MRC", "CURRENCY=USD", "XLFILL=b")</f>
        <v>314.28571428571428</v>
      </c>
      <c r="K225" s="9">
        <f>_xll.BQL("ALK US Equity", "FA_GROWTH(IS_COMP_PTP_EX_STK_BASED_COMP, YOY)", "FPT=A", "FPO=-2A", "ACT_EST_MAPPING=PRECISE", "FS=MRC", "CURRENCY=USD", "XLFILL=b")</f>
        <v>80.41119360365505</v>
      </c>
      <c r="L225" s="9">
        <f>_xll.BQL("ALK US Equity", "FA_GROWTH(IS_COMP_PTP_EX_STK_BASED_COMP, YOY)", "FPT=A", "FPO=-3A", "ACT_EST_MAPPING=PRECISE", "FS=MRC", "CURRENCY=USD", "XLFILL=b")</f>
        <v>-266.12903225806451</v>
      </c>
      <c r="M225" s="9">
        <f>_xll.BQL("ALK US Equity", "FA_GROWTH(IS_COMP_PTP_EX_STK_BASED_COMP, YOY)", "FPT=A", "FPO=-4A", "ACT_EST_MAPPING=PRECISE", "FS=MRC", "CURRENCY=USD", "XLFILL=b")</f>
        <v>80.17094017094017</v>
      </c>
      <c r="N225" s="9">
        <f>_xll.BQL("ALK US Equity", "FA_GROWTH(IS_COMP_PTP_EX_STK_BASED_COMP, YOY)", "FPT=A", "FPO=-5A", "ACT_EST_MAPPING=PRECISE", "FS=MRC", "CURRENCY=USD", "XLFILL=b")</f>
        <v>-55.61456752655539</v>
      </c>
    </row>
    <row r="226" spans="1:14" x14ac:dyDescent="0.2">
      <c r="A226" s="8" t="s">
        <v>185</v>
      </c>
      <c r="B226" s="4" t="s">
        <v>231</v>
      </c>
      <c r="C226" s="4"/>
      <c r="D226" s="4"/>
      <c r="E226" s="9" t="str">
        <f>_xll.BQL("ALK US Equity", "PRETAX_MARGIN", "FPT=A", "FPO=4A", "ACT_EST_MAPPING=PRECISE", "FS=MRC", "CURRENCY=USD", "XLFILL=b")</f>
        <v/>
      </c>
      <c r="F226" s="9">
        <f>_xll.BQL("ALK US Equity", "PRETAX_MARGIN", "FPT=A", "FPO=3A", "ACT_EST_MAPPING=PRECISE", "FS=MRC", "CURRENCY=USD", "XLFILL=b")</f>
        <v>9.1351462344409011</v>
      </c>
      <c r="G226" s="9">
        <f>_xll.BQL("ALK US Equity", "PRETAX_MARGIN", "FPT=A", "FPO=2A", "ACT_EST_MAPPING=PRECISE", "FS=MRC", "CURRENCY=USD", "XLFILL=b")</f>
        <v>8.4265505217086432</v>
      </c>
      <c r="H226" s="9">
        <f>_xll.BQL("ALK US Equity", "PRETAX_MARGIN", "FPT=A", "FPO=1A", "ACT_EST_MAPPING=PRECISE", "FS=MRC", "CURRENCY=USD", "XLFILL=b")</f>
        <v>6.2085938048117306</v>
      </c>
      <c r="I226" s="9">
        <f>_xll.BQL("ALK US Equity", "PRETAX_MARGIN", "FPT=A", "FPO=0A", "ACT_EST_MAPPING=PRECISE", "FS=MRC", "CURRENCY=USD", "XLFILL=b")</f>
        <v>3.0980241703433724</v>
      </c>
      <c r="J226" s="9">
        <f>_xll.BQL("ALK US Equity", "PRETAX_MARGIN", "FPT=A", "FPO=-1A", "ACT_EST_MAPPING=PRECISE", "FS=MRC", "CURRENCY=USD", "XLFILL=b")</f>
        <v>0.81899232842629066</v>
      </c>
      <c r="K226" s="9">
        <f>_xll.BQL("ALK US Equity", "PRETAX_MARGIN", "FPT=A", "FPO=-2A", "ACT_EST_MAPPING=PRECISE", "FS=MRC", "CURRENCY=USD", "XLFILL=b")</f>
        <v>10.184585492227979</v>
      </c>
      <c r="L226" s="9">
        <f>_xll.BQL("ALK US Equity", "PRETAX_MARGIN", "FPT=A", "FPO=-3A", "ACT_EST_MAPPING=PRECISE", "FS=MRC", "CURRENCY=USD", "XLFILL=b")</f>
        <v>-51.598429613011781</v>
      </c>
      <c r="M226" s="9">
        <f>_xll.BQL("ALK US Equity", "PRETAX_MARGIN", "FPT=A", "FPO=-4A", "ACT_EST_MAPPING=PRECISE", "FS=MRC", "CURRENCY=USD", "XLFILL=b")</f>
        <v>11.570436169001253</v>
      </c>
      <c r="N226" s="9">
        <f>_xll.BQL("ALK US Equity", "PRETAX_MARGIN", "FPT=A", "FPO=-5A", "ACT_EST_MAPPING=PRECISE", "FS=MRC", "CURRENCY=USD", "XLFILL=b")</f>
        <v>7.0788964181994194</v>
      </c>
    </row>
    <row r="227" spans="1:14" x14ac:dyDescent="0.2">
      <c r="A227" s="8" t="s">
        <v>67</v>
      </c>
      <c r="B227" s="4" t="s">
        <v>231</v>
      </c>
      <c r="C227" s="4"/>
      <c r="D227" s="4"/>
      <c r="E227" s="9" t="str">
        <f>_xll.BQL("ALK US Equity", "FA_GROWTH(PRETAX_MARGIN, YOY)", "FPT=A", "FPO=4A", "ACT_EST_MAPPING=PRECISE", "FS=MRC", "CURRENCY=USD", "XLFILL=b")</f>
        <v/>
      </c>
      <c r="F227" s="9">
        <f>_xll.BQL("ALK US Equity", "FA_GROWTH(PRETAX_MARGIN, YOY)", "FPT=A", "FPO=3A", "ACT_EST_MAPPING=PRECISE", "FS=MRC", "CURRENCY=USD", "XLFILL=b")</f>
        <v>8.4090840125714532</v>
      </c>
      <c r="G227" s="9">
        <f>_xll.BQL("ALK US Equity", "FA_GROWTH(PRETAX_MARGIN, YOY)", "FPT=A", "FPO=2A", "ACT_EST_MAPPING=PRECISE", "FS=MRC", "CURRENCY=USD", "XLFILL=b")</f>
        <v>35.723978514715697</v>
      </c>
      <c r="H227" s="9">
        <f>_xll.BQL("ALK US Equity", "FA_GROWTH(PRETAX_MARGIN, YOY)", "FPT=A", "FPO=1A", "ACT_EST_MAPPING=PRECISE", "FS=MRC", "CURRENCY=USD", "XLFILL=b")</f>
        <v>100.40495049215821</v>
      </c>
      <c r="I227" s="9">
        <f>_xll.BQL("ALK US Equity", "FA_GROWTH(PRETAX_MARGIN, YOY)", "FPT=A", "FPO=0A", "ACT_EST_MAPPING=PRECISE", "FS=MRC", "CURRENCY=USD", "XLFILL=b")</f>
        <v>278.27267274850851</v>
      </c>
      <c r="J227" s="9">
        <f>_xll.BQL("ALK US Equity", "FA_GROWTH(PRETAX_MARGIN, YOY)", "FPT=A", "FPO=-1A", "ACT_EST_MAPPING=PRECISE", "FS=MRC", "CURRENCY=USD", "XLFILL=b")</f>
        <v>-91.958510937423256</v>
      </c>
      <c r="K227" s="9">
        <f>_xll.BQL("ALK US Equity", "FA_GROWTH(PRETAX_MARGIN, YOY)", "FPT=A", "FPO=-2A", "ACT_EST_MAPPING=PRECISE", "FS=MRC", "CURRENCY=USD", "XLFILL=b")</f>
        <v>119.73816949200271</v>
      </c>
      <c r="L227" s="9">
        <f>_xll.BQL("ALK US Equity", "FA_GROWTH(PRETAX_MARGIN, YOY)", "FPT=A", "FPO=-3A", "ACT_EST_MAPPING=PRECISE", "FS=MRC", "CURRENCY=USD", "XLFILL=b")</f>
        <v>-545.95060081875636</v>
      </c>
      <c r="M227" s="9">
        <f>_xll.BQL("ALK US Equity", "FA_GROWTH(PRETAX_MARGIN, YOY)", "FPT=A", "FPO=-4A", "ACT_EST_MAPPING=PRECISE", "FS=MRC", "CURRENCY=USD", "XLFILL=b")</f>
        <v>63.449717095087777</v>
      </c>
      <c r="N227" s="9">
        <f>_xll.BQL("ALK US Equity", "FA_GROWTH(PRETAX_MARGIN, YOY)", "FPT=A", "FPO=-5A", "ACT_EST_MAPPING=PRECISE", "FS=MRC", "CURRENCY=USD", "XLFILL=b")</f>
        <v>-51.785324999770303</v>
      </c>
    </row>
    <row r="228" spans="1:14" x14ac:dyDescent="0.2">
      <c r="A228" s="8" t="s">
        <v>232</v>
      </c>
      <c r="B228" s="4" t="s">
        <v>43</v>
      </c>
      <c r="C228" s="4" t="s">
        <v>202</v>
      </c>
      <c r="D228" s="4"/>
      <c r="E228" s="9" t="str">
        <f>_xll.BQL("ALK US Equity", "IS_COMP_NET_INCOME_ADJUST_OLD/1M", "FPT=A", "FPO=4A", "ACT_EST_MAPPING=PRECISE", "FS=MRC", "CURRENCY=USD", "XLFILL=b")</f>
        <v/>
      </c>
      <c r="F228" s="9">
        <f>_xll.BQL("ALK US Equity", "IS_COMP_NET_INCOME_ADJUST_OLD/1M", "FPT=A", "FPO=3A", "ACT_EST_MAPPING=PRECISE", "FS=MRC", "CURRENCY=USD", "XLFILL=b")</f>
        <v>855</v>
      </c>
      <c r="G228" s="9">
        <f>_xll.BQL("ALK US Equity", "IS_COMP_NET_INCOME_ADJUST_OLD/1M", "FPT=A", "FPO=2A", "ACT_EST_MAPPING=PRECISE", "FS=MRC", "CURRENCY=USD", "XLFILL=b")</f>
        <v>746.16666666666663</v>
      </c>
      <c r="H228" s="9">
        <f>_xll.BQL("ALK US Equity", "IS_COMP_NET_INCOME_ADJUST_OLD/1M", "FPT=A", "FPO=1A", "ACT_EST_MAPPING=PRECISE", "FS=MRC", "CURRENCY=USD", "XLFILL=b")</f>
        <v>585.66666666666663</v>
      </c>
      <c r="I228" s="9">
        <f>_xll.BQL("ALK US Equity", "IS_COMP_NET_INCOME_ADJUST_OLD/1M", "FPT=A", "FPO=0A", "ACT_EST_MAPPING=PRECISE", "FS=MRC", "CURRENCY=USD", "XLFILL=b")</f>
        <v>583</v>
      </c>
      <c r="J228" s="9">
        <f>_xll.BQL("ALK US Equity", "IS_COMP_NET_INCOME_ADJUST_OLD/1M", "FPT=A", "FPO=-1A", "ACT_EST_MAPPING=PRECISE", "FS=MRC", "CURRENCY=USD", "XLFILL=b")</f>
        <v>556</v>
      </c>
      <c r="K228" s="9">
        <f>_xll.BQL("ALK US Equity", "IS_COMP_NET_INCOME_ADJUST_OLD/1M", "FPT=A", "FPO=-2A", "ACT_EST_MAPPING=PRECISE", "FS=MRC", "CURRENCY=USD", "XLFILL=b")</f>
        <v>-256</v>
      </c>
      <c r="L228" s="9">
        <f>_xll.BQL("ALK US Equity", "IS_COMP_NET_INCOME_ADJUST_OLD/1M", "FPT=A", "FPO=-3A", "ACT_EST_MAPPING=PRECISE", "FS=MRC", "CURRENCY=USD", "XLFILL=b")</f>
        <v>-1256</v>
      </c>
      <c r="M228" s="9">
        <f>_xll.BQL("ALK US Equity", "IS_COMP_NET_INCOME_ADJUST_OLD/1M", "FPT=A", "FPO=-4A", "ACT_EST_MAPPING=PRECISE", "FS=MRC", "CURRENCY=USD", "XLFILL=b")</f>
        <v>798</v>
      </c>
      <c r="N228" s="9">
        <f>_xll.BQL("ALK US Equity", "IS_COMP_NET_INCOME_ADJUST_OLD/1M", "FPT=A", "FPO=-5A", "ACT_EST_MAPPING=PRECISE", "FS=MRC", "CURRENCY=USD", "XLFILL=b")</f>
        <v>554</v>
      </c>
    </row>
    <row r="229" spans="1:14" x14ac:dyDescent="0.2">
      <c r="A229" s="8" t="s">
        <v>64</v>
      </c>
      <c r="B229" s="4" t="s">
        <v>43</v>
      </c>
      <c r="C229" s="4" t="s">
        <v>202</v>
      </c>
      <c r="D229" s="4"/>
      <c r="E229" s="9" t="str">
        <f>_xll.BQL("ALK US Equity", "FA_GROWTH(IS_COMP_NET_INCOME_ADJUST_OLD, YOY)", "FPT=A", "FPO=4A", "ACT_EST_MAPPING=PRECISE", "FS=MRC", "CURRENCY=USD", "XLFILL=b")</f>
        <v/>
      </c>
      <c r="F229" s="9">
        <f>_xll.BQL("ALK US Equity", "FA_GROWTH(IS_COMP_NET_INCOME_ADJUST_OLD, YOY)", "FPT=A", "FPO=3A", "ACT_EST_MAPPING=PRECISE", "FS=MRC", "CURRENCY=USD", "XLFILL=b")</f>
        <v>14.585660040205502</v>
      </c>
      <c r="G229" s="9">
        <f>_xll.BQL("ALK US Equity", "FA_GROWTH(IS_COMP_NET_INCOME_ADJUST_OLD, YOY)", "FPT=A", "FPO=2A", "ACT_EST_MAPPING=PRECISE", "FS=MRC", "CURRENCY=USD", "XLFILL=b")</f>
        <v>27.404667046101309</v>
      </c>
      <c r="H229" s="9">
        <f>_xll.BQL("ALK US Equity", "FA_GROWTH(IS_COMP_NET_INCOME_ADJUST_OLD, YOY)", "FPT=A", "FPO=1A", "ACT_EST_MAPPING=PRECISE", "FS=MRC", "CURRENCY=USD", "XLFILL=b")</f>
        <v>0.45740423098912986</v>
      </c>
      <c r="I229" s="9">
        <f>_xll.BQL("ALK US Equity", "FA_GROWTH(IS_COMP_NET_INCOME_ADJUST_OLD, YOY)", "FPT=A", "FPO=0A", "ACT_EST_MAPPING=PRECISE", "FS=MRC", "CURRENCY=USD", "XLFILL=b")</f>
        <v>4.8561151079136691</v>
      </c>
      <c r="J229" s="9">
        <f>_xll.BQL("ALK US Equity", "FA_GROWTH(IS_COMP_NET_INCOME_ADJUST_OLD, YOY)", "FPT=A", "FPO=-1A", "ACT_EST_MAPPING=PRECISE", "FS=MRC", "CURRENCY=USD", "XLFILL=b")</f>
        <v>317.1875</v>
      </c>
      <c r="K229" s="9">
        <f>_xll.BQL("ALK US Equity", "FA_GROWTH(IS_COMP_NET_INCOME_ADJUST_OLD, YOY)", "FPT=A", "FPO=-2A", "ACT_EST_MAPPING=PRECISE", "FS=MRC", "CURRENCY=USD", "XLFILL=b")</f>
        <v>79.617834394904463</v>
      </c>
      <c r="L229" s="9">
        <f>_xll.BQL("ALK US Equity", "FA_GROWTH(IS_COMP_NET_INCOME_ADJUST_OLD, YOY)", "FPT=A", "FPO=-3A", "ACT_EST_MAPPING=PRECISE", "FS=MRC", "CURRENCY=USD", "XLFILL=b")</f>
        <v>-257.3934837092732</v>
      </c>
      <c r="M229" s="9">
        <f>_xll.BQL("ALK US Equity", "FA_GROWTH(IS_COMP_NET_INCOME_ADJUST_OLD, YOY)", "FPT=A", "FPO=-4A", "ACT_EST_MAPPING=PRECISE", "FS=MRC", "CURRENCY=USD", "XLFILL=b")</f>
        <v>44.04332129963899</v>
      </c>
      <c r="N229" s="9">
        <f>_xll.BQL("ALK US Equity", "FA_GROWTH(IS_COMP_NET_INCOME_ADJUST_OLD, YOY)", "FPT=A", "FPO=-5A", "ACT_EST_MAPPING=PRECISE", "FS=MRC", "CURRENCY=USD", "XLFILL=b")</f>
        <v>-32.685297691373023</v>
      </c>
    </row>
    <row r="230" spans="1:14" x14ac:dyDescent="0.2">
      <c r="A230" s="8" t="s">
        <v>233</v>
      </c>
      <c r="B230" s="4" t="s">
        <v>234</v>
      </c>
      <c r="C230" s="4" t="s">
        <v>235</v>
      </c>
      <c r="D230" s="4"/>
      <c r="E230" s="9" t="str">
        <f>_xll.BQL("ALK US Equity", "ADJ_PROFIT_MARGIN", "FPT=A", "FPO=4A", "ACT_EST_MAPPING=PRECISE", "FS=MRC", "CURRENCY=USD", "XLFILL=b")</f>
        <v/>
      </c>
      <c r="F230" s="9">
        <f>_xll.BQL("ALK US Equity", "ADJ_PROFIT_MARGIN", "FPT=A", "FPO=3A", "ACT_EST_MAPPING=PRECISE", "FS=MRC", "CURRENCY=USD", "XLFILL=b")</f>
        <v>9.8293108382337984</v>
      </c>
      <c r="G230" s="9">
        <f>_xll.BQL("ALK US Equity", "ADJ_PROFIT_MARGIN", "FPT=A", "FPO=2A", "ACT_EST_MAPPING=PRECISE", "FS=MRC", "CURRENCY=USD", "XLFILL=b")</f>
        <v>9.1719895913942473</v>
      </c>
      <c r="H230" s="9">
        <f>_xll.BQL("ALK US Equity", "ADJ_PROFIT_MARGIN", "FPT=A", "FPO=1A", "ACT_EST_MAPPING=PRECISE", "FS=MRC", "CURRENCY=USD", "XLFILL=b")</f>
        <v>6.6600875121800129</v>
      </c>
      <c r="I230" s="9">
        <f>_xll.BQL("ALK US Equity", "ADJ_PROFIT_MARGIN", "FPT=A", "FPO=0A", "ACT_EST_MAPPING=PRECISE", "FS=MRC", "CURRENCY=USD", "XLFILL=b")</f>
        <v>5.5917897563782848</v>
      </c>
      <c r="J230" s="9">
        <f>_xll.BQL("ALK US Equity", "ADJ_PROFIT_MARGIN", "FPT=A", "FPO=-1A", "ACT_EST_MAPPING=PRECISE", "FS=MRC", "CURRENCY=USD", "XLFILL=b")</f>
        <v>5.7640472734812356</v>
      </c>
      <c r="K230" s="9">
        <f>_xll.BQL("ALK US Equity", "ADJ_PROFIT_MARGIN", "FPT=A", "FPO=-2A", "ACT_EST_MAPPING=PRECISE", "FS=MRC", "CURRENCY=USD", "XLFILL=b")</f>
        <v>-4.1450777202072544</v>
      </c>
      <c r="L230" s="9">
        <f>_xll.BQL("ALK US Equity", "ADJ_PROFIT_MARGIN", "FPT=A", "FPO=-3A", "ACT_EST_MAPPING=PRECISE", "FS=MRC", "CURRENCY=USD", "XLFILL=b")</f>
        <v>-35.221536735838477</v>
      </c>
      <c r="M230" s="9">
        <f>_xll.BQL("ALK US Equity", "ADJ_PROFIT_MARGIN", "FPT=A", "FPO=-4A", "ACT_EST_MAPPING=PRECISE", "FS=MRC", "CURRENCY=USD", "XLFILL=b")</f>
        <v>9.0878032114793292</v>
      </c>
      <c r="N230" s="9">
        <f>_xll.BQL("ALK US Equity", "ADJ_PROFIT_MARGIN", "FPT=A", "FPO=-5A", "ACT_EST_MAPPING=PRECISE", "FS=MRC", "CURRENCY=USD", "XLFILL=b")</f>
        <v>6.703775411423039</v>
      </c>
    </row>
    <row r="231" spans="1:14" x14ac:dyDescent="0.2">
      <c r="A231" s="8" t="s">
        <v>67</v>
      </c>
      <c r="B231" s="4" t="s">
        <v>234</v>
      </c>
      <c r="C231" s="4" t="s">
        <v>235</v>
      </c>
      <c r="D231" s="4"/>
      <c r="E231" s="9" t="str">
        <f>_xll.BQL("ALK US Equity", "FA_GROWTH(ADJ_PROFIT_MARGIN, YOY)", "FPT=A", "FPO=4A", "ACT_EST_MAPPING=PRECISE", "FS=MRC", "CURRENCY=USD", "XLFILL=b")</f>
        <v/>
      </c>
      <c r="F231" s="9">
        <f>_xll.BQL("ALK US Equity", "FA_GROWTH(ADJ_PROFIT_MARGIN, YOY)", "FPT=A", "FPO=3A", "ACT_EST_MAPPING=PRECISE", "FS=MRC", "CURRENCY=USD", "XLFILL=b")</f>
        <v>7.1666157085076971</v>
      </c>
      <c r="G231" s="9">
        <f>_xll.BQL("ALK US Equity", "FA_GROWTH(ADJ_PROFIT_MARGIN, YOY)", "FPT=A", "FPO=2A", "ACT_EST_MAPPING=PRECISE", "FS=MRC", "CURRENCY=USD", "XLFILL=b")</f>
        <v>37.715751851915627</v>
      </c>
      <c r="H231" s="9">
        <f>_xll.BQL("ALK US Equity", "FA_GROWTH(ADJ_PROFIT_MARGIN, YOY)", "FPT=A", "FPO=1A", "ACT_EST_MAPPING=PRECISE", "FS=MRC", "CURRENCY=USD", "XLFILL=b")</f>
        <v>19.104755406498832</v>
      </c>
      <c r="I231" s="9">
        <f>_xll.BQL("ALK US Equity", "FA_GROWTH(ADJ_PROFIT_MARGIN, YOY)", "FPT=A", "FPO=0A", "ACT_EST_MAPPING=PRECISE", "FS=MRC", "CURRENCY=USD", "XLFILL=b")</f>
        <v>-2.9884820323292507</v>
      </c>
      <c r="J231" s="9">
        <f>_xll.BQL("ALK US Equity", "FA_GROWTH(ADJ_PROFIT_MARGIN, YOY)", "FPT=A", "FPO=-1A", "ACT_EST_MAPPING=PRECISE", "FS=MRC", "CURRENCY=USD", "XLFILL=b")</f>
        <v>239.05764047273479</v>
      </c>
      <c r="K231" s="9">
        <f>_xll.BQL("ALK US Equity", "FA_GROWTH(ADJ_PROFIT_MARGIN, YOY)", "FPT=A", "FPO=-2A", "ACT_EST_MAPPING=PRECISE", "FS=MRC", "CURRENCY=USD", "XLFILL=b")</f>
        <v>88.231411504570801</v>
      </c>
      <c r="L231" s="9">
        <f>_xll.BQL("ALK US Equity", "FA_GROWTH(ADJ_PROFIT_MARGIN, YOY)", "FPT=A", "FPO=-3A", "ACT_EST_MAPPING=PRECISE", "FS=MRC", "CURRENCY=USD", "XLFILL=b")</f>
        <v>-487.56931588646336</v>
      </c>
      <c r="M231" s="9">
        <f>_xll.BQL("ALK US Equity", "FA_GROWTH(ADJ_PROFIT_MARGIN, YOY)", "FPT=A", "FPO=-4A", "ACT_EST_MAPPING=PRECISE", "FS=MRC", "CURRENCY=USD", "XLFILL=b")</f>
        <v>35.562465234052681</v>
      </c>
      <c r="N231" s="9">
        <f>_xll.BQL("ALK US Equity", "FA_GROWTH(ADJ_PROFIT_MARGIN, YOY)", "FPT=A", "FPO=-5A", "ACT_EST_MAPPING=PRECISE", "FS=MRC", "CURRENCY=USD", "XLFILL=b")</f>
        <v>-33.097846905469702</v>
      </c>
    </row>
    <row r="232" spans="1:14" x14ac:dyDescent="0.2">
      <c r="A232" s="8" t="s">
        <v>236</v>
      </c>
      <c r="B232" s="4" t="s">
        <v>10</v>
      </c>
      <c r="C232" s="4" t="s">
        <v>212</v>
      </c>
      <c r="D232" s="4"/>
      <c r="E232" s="9" t="str">
        <f>_xll.BQL("ALK US Equity", "IS_COMP_EPS_ADJUSTED_OLD", "FPT=A", "FPO=4A", "ACT_EST_MAPPING=PRECISE", "FS=MRC", "CURRENCY=USD", "XLFILL=b")</f>
        <v/>
      </c>
      <c r="F232" s="9">
        <f>_xll.BQL("ALK US Equity", "IS_COMP_EPS_ADJUSTED_OLD", "FPT=A", "FPO=3A", "ACT_EST_MAPPING=PRECISE", "FS=MRC", "CURRENCY=USD", "XLFILL=b")</f>
        <v>6.6112500000000001</v>
      </c>
      <c r="G232" s="9">
        <f>_xll.BQL("ALK US Equity", "IS_COMP_EPS_ADJUSTED_OLD", "FPT=A", "FPO=2A", "ACT_EST_MAPPING=PRECISE", "FS=MRC", "CURRENCY=USD", "XLFILL=b")</f>
        <v>5.8166666666666664</v>
      </c>
      <c r="H232" s="9">
        <f>_xll.BQL("ALK US Equity", "IS_COMP_EPS_ADJUSTED_OLD", "FPT=A", "FPO=1A", "ACT_EST_MAPPING=PRECISE", "FS=MRC", "CURRENCY=USD", "XLFILL=b")</f>
        <v>4.5841666666666656</v>
      </c>
      <c r="I232" s="9">
        <f>_xll.BQL("ALK US Equity", "IS_COMP_EPS_ADJUSTED_OLD", "FPT=A", "FPO=0A", "ACT_EST_MAPPING=PRECISE", "FS=MRC", "CURRENCY=USD", "XLFILL=b")</f>
        <v>4.53</v>
      </c>
      <c r="J232" s="9">
        <f>_xll.BQL("ALK US Equity", "IS_COMP_EPS_ADJUSTED_OLD", "FPT=A", "FPO=-1A", "ACT_EST_MAPPING=PRECISE", "FS=MRC", "CURRENCY=USD", "XLFILL=b")</f>
        <v>4.3499999999999996</v>
      </c>
      <c r="K232" s="9">
        <f>_xll.BQL("ALK US Equity", "IS_COMP_EPS_ADJUSTED_OLD", "FPT=A", "FPO=-2A", "ACT_EST_MAPPING=PRECISE", "FS=MRC", "CURRENCY=USD", "XLFILL=b")</f>
        <v>-2.0299999999999998</v>
      </c>
      <c r="L232" s="9">
        <f>_xll.BQL("ALK US Equity", "IS_COMP_EPS_ADJUSTED_OLD", "FPT=A", "FPO=-3A", "ACT_EST_MAPPING=PRECISE", "FS=MRC", "CURRENCY=USD", "XLFILL=b")</f>
        <v>-10.17</v>
      </c>
      <c r="M232" s="9">
        <f>_xll.BQL("ALK US Equity", "IS_COMP_EPS_ADJUSTED_OLD", "FPT=A", "FPO=-4A", "ACT_EST_MAPPING=PRECISE", "FS=MRC", "CURRENCY=USD", "XLFILL=b")</f>
        <v>6.42</v>
      </c>
      <c r="N232" s="9">
        <f>_xll.BQL("ALK US Equity", "IS_COMP_EPS_ADJUSTED_OLD", "FPT=A", "FPO=-5A", "ACT_EST_MAPPING=PRECISE", "FS=MRC", "CURRENCY=USD", "XLFILL=b")</f>
        <v>4.46</v>
      </c>
    </row>
    <row r="233" spans="1:14" x14ac:dyDescent="0.2">
      <c r="A233" s="8" t="s">
        <v>64</v>
      </c>
      <c r="B233" s="4" t="s">
        <v>10</v>
      </c>
      <c r="C233" s="4" t="s">
        <v>212</v>
      </c>
      <c r="D233" s="4"/>
      <c r="E233" s="9" t="str">
        <f>_xll.BQL("ALK US Equity", "FA_GROWTH(IS_COMP_EPS_ADJUSTED_OLD, YOY)", "FPT=A", "FPO=4A", "ACT_EST_MAPPING=PRECISE", "FS=MRC", "CURRENCY=USD", "XLFILL=b")</f>
        <v/>
      </c>
      <c r="F233" s="9">
        <f>_xll.BQL("ALK US Equity", "FA_GROWTH(IS_COMP_EPS_ADJUSTED_OLD, YOY)", "FPT=A", "FPO=3A", "ACT_EST_MAPPING=PRECISE", "FS=MRC", "CURRENCY=USD", "XLFILL=b")</f>
        <v>13.66045845272207</v>
      </c>
      <c r="G233" s="9">
        <f>_xll.BQL("ALK US Equity", "FA_GROWTH(IS_COMP_EPS_ADJUSTED_OLD, YOY)", "FPT=A", "FPO=2A", "ACT_EST_MAPPING=PRECISE", "FS=MRC", "CURRENCY=USD", "XLFILL=b")</f>
        <v>26.886020723504842</v>
      </c>
      <c r="H233" s="9">
        <f>_xll.BQL("ALK US Equity", "FA_GROWTH(IS_COMP_EPS_ADJUSTED_OLD, YOY)", "FPT=A", "FPO=1A", "ACT_EST_MAPPING=PRECISE", "FS=MRC", "CURRENCY=USD", "XLFILL=b")</f>
        <v>1.1957321559970278</v>
      </c>
      <c r="I233" s="9">
        <f>_xll.BQL("ALK US Equity", "FA_GROWTH(IS_COMP_EPS_ADJUSTED_OLD, YOY)", "FPT=A", "FPO=0A", "ACT_EST_MAPPING=PRECISE", "FS=MRC", "CURRENCY=USD", "XLFILL=b")</f>
        <v>4.1379310344827731</v>
      </c>
      <c r="J233" s="9">
        <f>_xll.BQL("ALK US Equity", "FA_GROWTH(IS_COMP_EPS_ADJUSTED_OLD, YOY)", "FPT=A", "FPO=-1A", "ACT_EST_MAPPING=PRECISE", "FS=MRC", "CURRENCY=USD", "XLFILL=b")</f>
        <v>314.28571428571428</v>
      </c>
      <c r="K233" s="9">
        <f>_xll.BQL("ALK US Equity", "FA_GROWTH(IS_COMP_EPS_ADJUSTED_OLD, YOY)", "FPT=A", "FPO=-2A", "ACT_EST_MAPPING=PRECISE", "FS=MRC", "CURRENCY=USD", "XLFILL=b")</f>
        <v>80.039331366764998</v>
      </c>
      <c r="L233" s="9">
        <f>_xll.BQL("ALK US Equity", "FA_GROWTH(IS_COMP_EPS_ADJUSTED_OLD, YOY)", "FPT=A", "FPO=-3A", "ACT_EST_MAPPING=PRECISE", "FS=MRC", "CURRENCY=USD", "XLFILL=b")</f>
        <v>-258.41121495327104</v>
      </c>
      <c r="M233" s="9">
        <f>_xll.BQL("ALK US Equity", "FA_GROWTH(IS_COMP_EPS_ADJUSTED_OLD, YOY)", "FPT=A", "FPO=-4A", "ACT_EST_MAPPING=PRECISE", "FS=MRC", "CURRENCY=USD", "XLFILL=b")</f>
        <v>43.946188340807176</v>
      </c>
      <c r="N233" s="9">
        <f>_xll.BQL("ALK US Equity", "FA_GROWTH(IS_COMP_EPS_ADJUSTED_OLD, YOY)", "FPT=A", "FPO=-5A", "ACT_EST_MAPPING=PRECISE", "FS=MRC", "CURRENCY=USD", "XLFILL=b")</f>
        <v>-32.831325301204814</v>
      </c>
    </row>
    <row r="234" spans="1:14" x14ac:dyDescent="0.2">
      <c r="A234" s="8" t="s">
        <v>16</v>
      </c>
      <c r="B234" s="4"/>
      <c r="C234" s="4"/>
      <c r="D234" s="4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x14ac:dyDescent="0.2">
      <c r="A235" s="8" t="s">
        <v>237</v>
      </c>
      <c r="B235" s="4"/>
      <c r="C235" s="4"/>
      <c r="D235" s="4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x14ac:dyDescent="0.2">
      <c r="A236" s="8" t="s">
        <v>238</v>
      </c>
      <c r="B236" s="4" t="s">
        <v>239</v>
      </c>
      <c r="C236" s="4"/>
      <c r="D236" s="4"/>
      <c r="E236" s="9" t="str">
        <f>_xll.BQL("ALK US Equity", "CF_STOCK_BASED_COMPENSATION/1M", "FPT=A", "FPO=4A", "ACT_EST_MAPPING=PRECISE", "FS=MRC", "CURRENCY=USD", "XLFILL=b")</f>
        <v/>
      </c>
      <c r="F236" s="9">
        <f>_xll.BQL("ALK US Equity", "CF_STOCK_BASED_COMPENSATION/1M", "FPT=A", "FPO=3A", "ACT_EST_MAPPING=PRECISE", "FS=MRC", "CURRENCY=USD", "XLFILL=b")</f>
        <v>78.492769754779545</v>
      </c>
      <c r="G236" s="9">
        <f>_xll.BQL("ALK US Equity", "CF_STOCK_BASED_COMPENSATION/1M", "FPT=A", "FPO=2A", "ACT_EST_MAPPING=PRECISE", "FS=MRC", "CURRENCY=USD", "XLFILL=b")</f>
        <v>60.778606759626904</v>
      </c>
      <c r="H236" s="9">
        <f>_xll.BQL("ALK US Equity", "CF_STOCK_BASED_COMPENSATION/1M", "FPT=A", "FPO=1A", "ACT_EST_MAPPING=PRECISE", "FS=MRC", "CURRENCY=USD", "XLFILL=b")</f>
        <v>66.92407924501623</v>
      </c>
      <c r="I236" s="9">
        <f>_xll.BQL("ALK US Equity", "CF_STOCK_BASED_COMPENSATION/1M", "FPT=A", "FPO=0A", "ACT_EST_MAPPING=PRECISE", "FS=MRC", "CURRENCY=USD", "XLFILL=b")</f>
        <v>85</v>
      </c>
      <c r="J236" s="9">
        <f>_xll.BQL("ALK US Equity", "CF_STOCK_BASED_COMPENSATION/1M", "FPT=A", "FPO=-1A", "ACT_EST_MAPPING=PRECISE", "FS=MRC", "CURRENCY=USD", "XLFILL=b")</f>
        <v>42</v>
      </c>
      <c r="K236" s="9">
        <f>_xll.BQL("ALK US Equity", "CF_STOCK_BASED_COMPENSATION/1M", "FPT=A", "FPO=-2A", "ACT_EST_MAPPING=PRECISE", "FS=MRC", "CURRENCY=USD", "XLFILL=b")</f>
        <v>51</v>
      </c>
      <c r="L236" s="9">
        <f>_xll.BQL("ALK US Equity", "CF_STOCK_BASED_COMPENSATION/1M", "FPT=A", "FPO=-3A", "ACT_EST_MAPPING=PRECISE", "FS=MRC", "CURRENCY=USD", "XLFILL=b")</f>
        <v>24</v>
      </c>
      <c r="M236" s="9">
        <f>_xll.BQL("ALK US Equity", "CF_STOCK_BASED_COMPENSATION/1M", "FPT=A", "FPO=-4A", "ACT_EST_MAPPING=PRECISE", "FS=MRC", "CURRENCY=USD", "XLFILL=b")</f>
        <v>29</v>
      </c>
      <c r="N236" s="9">
        <f>_xll.BQL("ALK US Equity", "CF_STOCK_BASED_COMPENSATION/1M", "FPT=A", "FPO=-5A", "ACT_EST_MAPPING=PRECISE", "FS=MRC", "CURRENCY=USD", "XLFILL=b")</f>
        <v>47</v>
      </c>
    </row>
    <row r="237" spans="1:14" x14ac:dyDescent="0.2">
      <c r="A237" s="8" t="s">
        <v>64</v>
      </c>
      <c r="B237" s="4" t="s">
        <v>239</v>
      </c>
      <c r="C237" s="4"/>
      <c r="D237" s="4"/>
      <c r="E237" s="9" t="str">
        <f>_xll.BQL("ALK US Equity", "FA_GROWTH(CF_STOCK_BASED_COMPENSATION, YOY)", "FPT=A", "FPO=4A", "ACT_EST_MAPPING=PRECISE", "FS=MRC", "CURRENCY=USD", "XLFILL=b")</f>
        <v/>
      </c>
      <c r="F237" s="9">
        <f>_xll.BQL("ALK US Equity", "FA_GROWTH(CF_STOCK_BASED_COMPENSATION, YOY)", "FPT=A", "FPO=3A", "ACT_EST_MAPPING=PRECISE", "FS=MRC", "CURRENCY=USD", "XLFILL=b")</f>
        <v>29.145391675742626</v>
      </c>
      <c r="G237" s="9">
        <f>_xll.BQL("ALK US Equity", "FA_GROWTH(CF_STOCK_BASED_COMPENSATION, YOY)", "FPT=A", "FPO=2A", "ACT_EST_MAPPING=PRECISE", "FS=MRC", "CURRENCY=USD", "XLFILL=b")</f>
        <v>-9.1827523885537357</v>
      </c>
      <c r="H237" s="9">
        <f>_xll.BQL("ALK US Equity", "FA_GROWTH(CF_STOCK_BASED_COMPENSATION, YOY)", "FPT=A", "FPO=1A", "ACT_EST_MAPPING=PRECISE", "FS=MRC", "CURRENCY=USD", "XLFILL=b")</f>
        <v>-21.265789123510324</v>
      </c>
      <c r="I237" s="9">
        <f>_xll.BQL("ALK US Equity", "FA_GROWTH(CF_STOCK_BASED_COMPENSATION, YOY)", "FPT=A", "FPO=0A", "ACT_EST_MAPPING=PRECISE", "FS=MRC", "CURRENCY=USD", "XLFILL=b")</f>
        <v>102.38095238095238</v>
      </c>
      <c r="J237" s="9">
        <f>_xll.BQL("ALK US Equity", "FA_GROWTH(CF_STOCK_BASED_COMPENSATION, YOY)", "FPT=A", "FPO=-1A", "ACT_EST_MAPPING=PRECISE", "FS=MRC", "CURRENCY=USD", "XLFILL=b")</f>
        <v>-17.647058823529413</v>
      </c>
      <c r="K237" s="9">
        <f>_xll.BQL("ALK US Equity", "FA_GROWTH(CF_STOCK_BASED_COMPENSATION, YOY)", "FPT=A", "FPO=-2A", "ACT_EST_MAPPING=PRECISE", "FS=MRC", "CURRENCY=USD", "XLFILL=b")</f>
        <v>112.5</v>
      </c>
      <c r="L237" s="9">
        <f>_xll.BQL("ALK US Equity", "FA_GROWTH(CF_STOCK_BASED_COMPENSATION, YOY)", "FPT=A", "FPO=-3A", "ACT_EST_MAPPING=PRECISE", "FS=MRC", "CURRENCY=USD", "XLFILL=b")</f>
        <v>-17.241379310344829</v>
      </c>
      <c r="M237" s="9">
        <f>_xll.BQL("ALK US Equity", "FA_GROWTH(CF_STOCK_BASED_COMPENSATION, YOY)", "FPT=A", "FPO=-4A", "ACT_EST_MAPPING=PRECISE", "FS=MRC", "CURRENCY=USD", "XLFILL=b")</f>
        <v>-38.297872340425535</v>
      </c>
      <c r="N237" s="9">
        <f>_xll.BQL("ALK US Equity", "FA_GROWTH(CF_STOCK_BASED_COMPENSATION, YOY)", "FPT=A", "FPO=-5A", "ACT_EST_MAPPING=PRECISE", "FS=MRC", "CURRENCY=USD", "XLFILL=b")</f>
        <v>-14.545454545454545</v>
      </c>
    </row>
    <row r="238" spans="1:14" x14ac:dyDescent="0.2">
      <c r="A238" s="8" t="s">
        <v>240</v>
      </c>
      <c r="B238" s="4" t="s">
        <v>241</v>
      </c>
      <c r="C238" s="4"/>
      <c r="D238" s="4"/>
      <c r="E238" s="9" t="str">
        <f>_xll.BQL("ALK US Equity", "IS_INC_TAX_EFFECT_NONGAAP_REC/1M", "FPT=A", "FPO=4A", "ACT_EST_MAPPING=PRECISE", "FS=MRC", "CURRENCY=USD", "XLFILL=b")</f>
        <v/>
      </c>
      <c r="F238" s="9" t="str">
        <f>_xll.BQL("ALK US Equity", "IS_INC_TAX_EFFECT_NONGAAP_REC/1M", "FPT=A", "FPO=3A", "ACT_EST_MAPPING=PRECISE", "FS=MRC", "CURRENCY=USD", "XLFILL=b")</f>
        <v/>
      </c>
      <c r="G238" s="9" t="str">
        <f>_xll.BQL("ALK US Equity", "IS_INC_TAX_EFFECT_NONGAAP_REC/1M", "FPT=A", "FPO=2A", "ACT_EST_MAPPING=PRECISE", "FS=MRC", "CURRENCY=USD", "XLFILL=b")</f>
        <v/>
      </c>
      <c r="H238" s="9">
        <f>_xll.BQL("ALK US Equity", "IS_INC_TAX_EFFECT_NONGAAP_REC/1M", "FPT=A", "FPO=1A", "ACT_EST_MAPPING=PRECISE", "FS=MRC", "CURRENCY=USD", "XLFILL=b")</f>
        <v>-39</v>
      </c>
      <c r="I238" s="9">
        <f>_xll.BQL("ALK US Equity", "IS_INC_TAX_EFFECT_NONGAAP_REC/1M", "FPT=A", "FPO=0A", "ACT_EST_MAPPING=PRECISE", "FS=MRC", "CURRENCY=USD", "XLFILL=b")</f>
        <v>-111</v>
      </c>
      <c r="J238" s="9">
        <f>_xll.BQL("ALK US Equity", "IS_INC_TAX_EFFECT_NONGAAP_REC/1M", "FPT=A", "FPO=-1A", "ACT_EST_MAPPING=PRECISE", "FS=MRC", "CURRENCY=USD", "XLFILL=b")</f>
        <v>-158</v>
      </c>
      <c r="K238" s="9">
        <f>_xll.BQL("ALK US Equity", "IS_INC_TAX_EFFECT_NONGAAP_REC/1M", "FPT=A", "FPO=-2A", "ACT_EST_MAPPING=PRECISE", "FS=MRC", "CURRENCY=USD", "XLFILL=b")</f>
        <v>238</v>
      </c>
      <c r="L238" s="9">
        <f>_xll.BQL("ALK US Equity", "IS_INC_TAX_EFFECT_NONGAAP_REC/1M", "FPT=A", "FPO=-3A", "ACT_EST_MAPPING=PRECISE", "FS=MRC", "CURRENCY=USD", "XLFILL=b")</f>
        <v>-21</v>
      </c>
      <c r="M238" s="9">
        <f>_xll.BQL("ALK US Equity", "IS_INC_TAX_EFFECT_NONGAAP_REC/1M", "FPT=A", "FPO=-4A", "ACT_EST_MAPPING=PRECISE", "FS=MRC", "CURRENCY=USD", "XLFILL=b")</f>
        <v>-9</v>
      </c>
      <c r="N238" s="9">
        <f>_xll.BQL("ALK US Equity", "IS_INC_TAX_EFFECT_NONGAAP_REC/1M", "FPT=A", "FPO=-5A", "ACT_EST_MAPPING=PRECISE", "FS=MRC", "CURRENCY=USD", "XLFILL=b")</f>
        <v>-37</v>
      </c>
    </row>
    <row r="239" spans="1:14" x14ac:dyDescent="0.2">
      <c r="A239" s="8" t="s">
        <v>64</v>
      </c>
      <c r="B239" s="4" t="s">
        <v>241</v>
      </c>
      <c r="C239" s="4"/>
      <c r="D239" s="4"/>
      <c r="E239" s="9" t="str">
        <f>_xll.BQL("ALK US Equity", "FA_GROWTH(IS_INC_TAX_EFFECT_NONGAAP_REC, YOY)", "FPT=A", "FPO=4A", "ACT_EST_MAPPING=PRECISE", "FS=MRC", "CURRENCY=USD", "XLFILL=b")</f>
        <v/>
      </c>
      <c r="F239" s="9" t="str">
        <f>_xll.BQL("ALK US Equity", "FA_GROWTH(IS_INC_TAX_EFFECT_NONGAAP_REC, YOY)", "FPT=A", "FPO=3A", "ACT_EST_MAPPING=PRECISE", "FS=MRC", "CURRENCY=USD", "XLFILL=b")</f>
        <v/>
      </c>
      <c r="G239" s="9" t="str">
        <f>_xll.BQL("ALK US Equity", "FA_GROWTH(IS_INC_TAX_EFFECT_NONGAAP_REC, YOY)", "FPT=A", "FPO=2A", "ACT_EST_MAPPING=PRECISE", "FS=MRC", "CURRENCY=USD", "XLFILL=b")</f>
        <v/>
      </c>
      <c r="H239" s="9">
        <f>_xll.BQL("ALK US Equity", "FA_GROWTH(IS_INC_TAX_EFFECT_NONGAAP_REC, YOY)", "FPT=A", "FPO=1A", "ACT_EST_MAPPING=PRECISE", "FS=MRC", "CURRENCY=USD", "XLFILL=b")</f>
        <v>64.86486486486487</v>
      </c>
      <c r="I239" s="9">
        <f>_xll.BQL("ALK US Equity", "FA_GROWTH(IS_INC_TAX_EFFECT_NONGAAP_REC, YOY)", "FPT=A", "FPO=0A", "ACT_EST_MAPPING=PRECISE", "FS=MRC", "CURRENCY=USD", "XLFILL=b")</f>
        <v>29.746835443037973</v>
      </c>
      <c r="J239" s="9">
        <f>_xll.BQL("ALK US Equity", "FA_GROWTH(IS_INC_TAX_EFFECT_NONGAAP_REC, YOY)", "FPT=A", "FPO=-1A", "ACT_EST_MAPPING=PRECISE", "FS=MRC", "CURRENCY=USD", "XLFILL=b")</f>
        <v>-166.38655462184875</v>
      </c>
      <c r="K239" s="9">
        <f>_xll.BQL("ALK US Equity", "FA_GROWTH(IS_INC_TAX_EFFECT_NONGAAP_REC, YOY)", "FPT=A", "FPO=-2A", "ACT_EST_MAPPING=PRECISE", "FS=MRC", "CURRENCY=USD", "XLFILL=b")</f>
        <v>1233.3333333333333</v>
      </c>
      <c r="L239" s="9">
        <f>_xll.BQL("ALK US Equity", "FA_GROWTH(IS_INC_TAX_EFFECT_NONGAAP_REC, YOY)", "FPT=A", "FPO=-3A", "ACT_EST_MAPPING=PRECISE", "FS=MRC", "CURRENCY=USD", "XLFILL=b")</f>
        <v>-133.33333333333334</v>
      </c>
      <c r="M239" s="9">
        <f>_xll.BQL("ALK US Equity", "FA_GROWTH(IS_INC_TAX_EFFECT_NONGAAP_REC, YOY)", "FPT=A", "FPO=-4A", "ACT_EST_MAPPING=PRECISE", "FS=MRC", "CURRENCY=USD", "XLFILL=b")</f>
        <v>75.675675675675677</v>
      </c>
      <c r="N239" s="9">
        <f>_xll.BQL("ALK US Equity", "FA_GROWTH(IS_INC_TAX_EFFECT_NONGAAP_REC, YOY)", "FPT=A", "FPO=-5A", "ACT_EST_MAPPING=PRECISE", "FS=MRC", "CURRENCY=USD", "XLFILL=b")</f>
        <v>9.7560975609756095</v>
      </c>
    </row>
    <row r="240" spans="1:14" x14ac:dyDescent="0.2">
      <c r="A240" s="8" t="s">
        <v>242</v>
      </c>
      <c r="B240" s="4" t="s">
        <v>243</v>
      </c>
      <c r="C240" s="4"/>
      <c r="D240" s="4"/>
      <c r="E240" s="9" t="str">
        <f>_xll.BQL("ALK US Equity", "CB_IS_DERIVATIVES_GAIN_LOSS_NON_OP/1M", "FPT=A", "FPO=4A", "ACT_EST_MAPPING=PRECISE", "FS=MRC", "CURRENCY=USD", "XLFILL=b")</f>
        <v/>
      </c>
      <c r="F240" s="9" t="str">
        <f>_xll.BQL("ALK US Equity", "CB_IS_DERIVATIVES_GAIN_LOSS_NON_OP/1M", "FPT=A", "FPO=3A", "ACT_EST_MAPPING=PRECISE", "FS=MRC", "CURRENCY=USD", "XLFILL=b")</f>
        <v/>
      </c>
      <c r="G240" s="9" t="str">
        <f>_xll.BQL("ALK US Equity", "CB_IS_DERIVATIVES_GAIN_LOSS_NON_OP/1M", "FPT=A", "FPO=2A", "ACT_EST_MAPPING=PRECISE", "FS=MRC", "CURRENCY=USD", "XLFILL=b")</f>
        <v/>
      </c>
      <c r="H240" s="9">
        <f>_xll.BQL("ALK US Equity", "CB_IS_DERIVATIVES_GAIN_LOSS_NON_OP/1M", "FPT=A", "FPO=1A", "ACT_EST_MAPPING=PRECISE", "FS=MRC", "CURRENCY=USD", "XLFILL=b")</f>
        <v>-11</v>
      </c>
      <c r="I240" s="9">
        <f>_xll.BQL("ALK US Equity", "CB_IS_DERIVATIVES_GAIN_LOSS_NON_OP/1M", "FPT=A", "FPO=0A", "ACT_EST_MAPPING=PRECISE", "FS=MRC", "CURRENCY=USD", "XLFILL=b")</f>
        <v>-2</v>
      </c>
      <c r="J240" s="9">
        <f>_xll.BQL("ALK US Equity", "CB_IS_DERIVATIVES_GAIN_LOSS_NON_OP/1M", "FPT=A", "FPO=-1A", "ACT_EST_MAPPING=PRECISE", "FS=MRC", "CURRENCY=USD", "XLFILL=b")</f>
        <v>76</v>
      </c>
      <c r="K240" s="9">
        <f>_xll.BQL("ALK US Equity", "CB_IS_DERIVATIVES_GAIN_LOSS_NON_OP/1M", "FPT=A", "FPO=-2A", "ACT_EST_MAPPING=PRECISE", "FS=MRC", "CURRENCY=USD", "XLFILL=b")</f>
        <v>-47</v>
      </c>
      <c r="L240" s="9">
        <f>_xll.BQL("ALK US Equity", "CB_IS_DERIVATIVES_GAIN_LOSS_NON_OP/1M", "FPT=A", "FPO=-3A", "ACT_EST_MAPPING=PRECISE", "FS=MRC", "CURRENCY=USD", "XLFILL=b")</f>
        <v>-8</v>
      </c>
      <c r="M240" s="9">
        <f>_xll.BQL("ALK US Equity", "CB_IS_DERIVATIVES_GAIN_LOSS_NON_OP/1M", "FPT=A", "FPO=-4A", "ACT_EST_MAPPING=PRECISE", "FS=MRC", "CURRENCY=USD", "XLFILL=b")</f>
        <v>-6</v>
      </c>
      <c r="N240" s="9">
        <f>_xll.BQL("ALK US Equity", "CB_IS_DERIVATIVES_GAIN_LOSS_NON_OP/1M", "FPT=A", "FPO=-5A", "ACT_EST_MAPPING=PRECISE", "FS=MRC", "CURRENCY=USD", "XLFILL=b")</f>
        <v>22</v>
      </c>
    </row>
    <row r="241" spans="1:14" x14ac:dyDescent="0.2">
      <c r="A241" s="8" t="s">
        <v>64</v>
      </c>
      <c r="B241" s="4" t="s">
        <v>243</v>
      </c>
      <c r="C241" s="4"/>
      <c r="D241" s="4"/>
      <c r="E241" s="9" t="str">
        <f>_xll.BQL("ALK US Equity", "FA_GROWTH(CB_IS_DERIVATIVES_GAIN_LOSS_NON_OP, YOY)", "FPT=A", "FPO=4A", "ACT_EST_MAPPING=PRECISE", "FS=MRC", "CURRENCY=USD", "XLFILL=b")</f>
        <v/>
      </c>
      <c r="F241" s="9" t="str">
        <f>_xll.BQL("ALK US Equity", "FA_GROWTH(CB_IS_DERIVATIVES_GAIN_LOSS_NON_OP, YOY)", "FPT=A", "FPO=3A", "ACT_EST_MAPPING=PRECISE", "FS=MRC", "CURRENCY=USD", "XLFILL=b")</f>
        <v/>
      </c>
      <c r="G241" s="9" t="str">
        <f>_xll.BQL("ALK US Equity", "FA_GROWTH(CB_IS_DERIVATIVES_GAIN_LOSS_NON_OP, YOY)", "FPT=A", "FPO=2A", "ACT_EST_MAPPING=PRECISE", "FS=MRC", "CURRENCY=USD", "XLFILL=b")</f>
        <v/>
      </c>
      <c r="H241" s="9">
        <f>_xll.BQL("ALK US Equity", "FA_GROWTH(CB_IS_DERIVATIVES_GAIN_LOSS_NON_OP, YOY)", "FPT=A", "FPO=1A", "ACT_EST_MAPPING=PRECISE", "FS=MRC", "CURRENCY=USD", "XLFILL=b")</f>
        <v>-450</v>
      </c>
      <c r="I241" s="9">
        <f>_xll.BQL("ALK US Equity", "FA_GROWTH(CB_IS_DERIVATIVES_GAIN_LOSS_NON_OP, YOY)", "FPT=A", "FPO=0A", "ACT_EST_MAPPING=PRECISE", "FS=MRC", "CURRENCY=USD", "XLFILL=b")</f>
        <v>-102.63157894736842</v>
      </c>
      <c r="J241" s="9">
        <f>_xll.BQL("ALK US Equity", "FA_GROWTH(CB_IS_DERIVATIVES_GAIN_LOSS_NON_OP, YOY)", "FPT=A", "FPO=-1A", "ACT_EST_MAPPING=PRECISE", "FS=MRC", "CURRENCY=USD", "XLFILL=b")</f>
        <v>261.70212765957444</v>
      </c>
      <c r="K241" s="9">
        <f>_xll.BQL("ALK US Equity", "FA_GROWTH(CB_IS_DERIVATIVES_GAIN_LOSS_NON_OP, YOY)", "FPT=A", "FPO=-2A", "ACT_EST_MAPPING=PRECISE", "FS=MRC", "CURRENCY=USD", "XLFILL=b")</f>
        <v>-487.5</v>
      </c>
      <c r="L241" s="9">
        <f>_xll.BQL("ALK US Equity", "FA_GROWTH(CB_IS_DERIVATIVES_GAIN_LOSS_NON_OP, YOY)", "FPT=A", "FPO=-3A", "ACT_EST_MAPPING=PRECISE", "FS=MRC", "CURRENCY=USD", "XLFILL=b")</f>
        <v>-33.333333333333336</v>
      </c>
      <c r="M241" s="9">
        <f>_xll.BQL("ALK US Equity", "FA_GROWTH(CB_IS_DERIVATIVES_GAIN_LOSS_NON_OP, YOY)", "FPT=A", "FPO=-4A", "ACT_EST_MAPPING=PRECISE", "FS=MRC", "CURRENCY=USD", "XLFILL=b")</f>
        <v>-127.27272727272727</v>
      </c>
      <c r="N241" s="9">
        <f>_xll.BQL("ALK US Equity", "FA_GROWTH(CB_IS_DERIVATIVES_GAIN_LOSS_NON_OP, YOY)", "FPT=A", "FPO=-5A", "ACT_EST_MAPPING=PRECISE", "FS=MRC", "CURRENCY=USD", "XLFILL=b")</f>
        <v>414.28571428571428</v>
      </c>
    </row>
    <row r="242" spans="1:14" x14ac:dyDescent="0.2">
      <c r="A242" s="8" t="s">
        <v>244</v>
      </c>
      <c r="B242" s="4" t="s">
        <v>245</v>
      </c>
      <c r="C242" s="4"/>
      <c r="D242" s="4"/>
      <c r="E242" s="9" t="str">
        <f>_xll.BQL("ALK US Equity", "IS_NET_ABNORMAL_ITEMS/1M", "FPT=A", "FPO=4A", "ACT_EST_MAPPING=PRECISE", "FS=MRC", "CURRENCY=USD", "XLFILL=b")</f>
        <v/>
      </c>
      <c r="F242" s="9" t="str">
        <f>_xll.BQL("ALK US Equity", "IS_NET_ABNORMAL_ITEMS/1M", "FPT=A", "FPO=3A", "ACT_EST_MAPPING=PRECISE", "FS=MRC", "CURRENCY=USD", "XLFILL=b")</f>
        <v/>
      </c>
      <c r="G242" s="9">
        <f>_xll.BQL("ALK US Equity", "IS_NET_ABNORMAL_ITEMS/1M", "FPT=A", "FPO=2A", "ACT_EST_MAPPING=PRECISE", "FS=MRC", "CURRENCY=USD", "XLFILL=b")</f>
        <v>300</v>
      </c>
      <c r="H242" s="9">
        <f>_xll.BQL("ALK US Equity", "IS_NET_ABNORMAL_ITEMS/1M", "FPT=A", "FPO=1A", "ACT_EST_MAPPING=PRECISE", "FS=MRC", "CURRENCY=USD", "XLFILL=b")</f>
        <v>160.5</v>
      </c>
      <c r="I242" s="9">
        <f>_xll.BQL("ALK US Equity", "IS_NET_ABNORMAL_ITEMS/1M", "FPT=A", "FPO=0A", "ACT_EST_MAPPING=PRECISE", "FS=MRC", "CURRENCY=USD", "XLFILL=b")</f>
        <v>348</v>
      </c>
      <c r="J242" s="9">
        <f>_xll.BQL("ALK US Equity", "IS_NET_ABNORMAL_ITEMS/1M", "FPT=A", "FPO=-1A", "ACT_EST_MAPPING=PRECISE", "FS=MRC", "CURRENCY=USD", "XLFILL=b")</f>
        <v>498</v>
      </c>
      <c r="K242" s="9">
        <f>_xll.BQL("ALK US Equity", "IS_NET_ABNORMAL_ITEMS/1M", "FPT=A", "FPO=-2A", "ACT_EST_MAPPING=PRECISE", "FS=MRC", "CURRENCY=USD", "XLFILL=b")</f>
        <v>-734</v>
      </c>
      <c r="L242" s="9">
        <f>_xll.BQL("ALK US Equity", "IS_NET_ABNORMAL_ITEMS/1M", "FPT=A", "FPO=-3A", "ACT_EST_MAPPING=PRECISE", "FS=MRC", "CURRENCY=USD", "XLFILL=b")</f>
        <v>-55.69</v>
      </c>
      <c r="M242" s="9">
        <f>_xll.BQL("ALK US Equity", "IS_NET_ABNORMAL_ITEMS/1M", "FPT=A", "FPO=-4A", "ACT_EST_MAPPING=PRECISE", "FS=MRC", "CURRENCY=USD", "XLFILL=b")</f>
        <v>19.760000000000002</v>
      </c>
      <c r="N242" s="9">
        <f>_xll.BQL("ALK US Equity", "IS_NET_ABNORMAL_ITEMS/1M", "FPT=A", "FPO=-5A", "ACT_EST_MAPPING=PRECISE", "FS=MRC", "CURRENCY=USD", "XLFILL=b")</f>
        <v>117</v>
      </c>
    </row>
    <row r="243" spans="1:14" x14ac:dyDescent="0.2">
      <c r="A243" s="8" t="s">
        <v>64</v>
      </c>
      <c r="B243" s="4" t="s">
        <v>245</v>
      </c>
      <c r="C243" s="4"/>
      <c r="D243" s="4"/>
      <c r="E243" s="9" t="str">
        <f>_xll.BQL("ALK US Equity", "FA_GROWTH(IS_NET_ABNORMAL_ITEMS, YOY)", "FPT=A", "FPO=4A", "ACT_EST_MAPPING=PRECISE", "FS=MRC", "CURRENCY=USD", "XLFILL=b")</f>
        <v/>
      </c>
      <c r="F243" s="9" t="str">
        <f>_xll.BQL("ALK US Equity", "FA_GROWTH(IS_NET_ABNORMAL_ITEMS, YOY)", "FPT=A", "FPO=3A", "ACT_EST_MAPPING=PRECISE", "FS=MRC", "CURRENCY=USD", "XLFILL=b")</f>
        <v/>
      </c>
      <c r="G243" s="9">
        <f>_xll.BQL("ALK US Equity", "FA_GROWTH(IS_NET_ABNORMAL_ITEMS, YOY)", "FPT=A", "FPO=2A", "ACT_EST_MAPPING=PRECISE", "FS=MRC", "CURRENCY=USD", "XLFILL=b")</f>
        <v>86.915887850467286</v>
      </c>
      <c r="H243" s="9">
        <f>_xll.BQL("ALK US Equity", "FA_GROWTH(IS_NET_ABNORMAL_ITEMS, YOY)", "FPT=A", "FPO=1A", "ACT_EST_MAPPING=PRECISE", "FS=MRC", "CURRENCY=USD", "XLFILL=b")</f>
        <v>-53.879310344827587</v>
      </c>
      <c r="I243" s="9">
        <f>_xll.BQL("ALK US Equity", "FA_GROWTH(IS_NET_ABNORMAL_ITEMS, YOY)", "FPT=A", "FPO=0A", "ACT_EST_MAPPING=PRECISE", "FS=MRC", "CURRENCY=USD", "XLFILL=b")</f>
        <v>-30.120481927710845</v>
      </c>
      <c r="J243" s="9">
        <f>_xll.BQL("ALK US Equity", "FA_GROWTH(IS_NET_ABNORMAL_ITEMS, YOY)", "FPT=A", "FPO=-1A", "ACT_EST_MAPPING=PRECISE", "FS=MRC", "CURRENCY=USD", "XLFILL=b")</f>
        <v>167.8474114441417</v>
      </c>
      <c r="K243" s="9">
        <f>_xll.BQL("ALK US Equity", "FA_GROWTH(IS_NET_ABNORMAL_ITEMS, YOY)", "FPT=A", "FPO=-2A", "ACT_EST_MAPPING=PRECISE", "FS=MRC", "CURRENCY=USD", "XLFILL=b")</f>
        <v>-1218.0104147961931</v>
      </c>
      <c r="L243" s="9">
        <f>_xll.BQL("ALK US Equity", "FA_GROWTH(IS_NET_ABNORMAL_ITEMS, YOY)", "FPT=A", "FPO=-3A", "ACT_EST_MAPPING=PRECISE", "FS=MRC", "CURRENCY=USD", "XLFILL=b")</f>
        <v>-381.83198380566802</v>
      </c>
      <c r="M243" s="9">
        <f>_xll.BQL("ALK US Equity", "FA_GROWTH(IS_NET_ABNORMAL_ITEMS, YOY)", "FPT=A", "FPO=-4A", "ACT_EST_MAPPING=PRECISE", "FS=MRC", "CURRENCY=USD", "XLFILL=b")</f>
        <v>-83.111111111111114</v>
      </c>
      <c r="N243" s="9">
        <f>_xll.BQL("ALK US Equity", "FA_GROWTH(IS_NET_ABNORMAL_ITEMS, YOY)", "FPT=A", "FPO=-5A", "ACT_EST_MAPPING=PRECISE", "FS=MRC", "CURRENCY=USD", "XLFILL=b")</f>
        <v>169.23076923076923</v>
      </c>
    </row>
    <row r="244" spans="1:14" x14ac:dyDescent="0.2">
      <c r="A244" s="8" t="s">
        <v>16</v>
      </c>
      <c r="B244" s="4"/>
      <c r="C244" s="4"/>
      <c r="D244" s="4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x14ac:dyDescent="0.2">
      <c r="A245" s="8" t="s">
        <v>246</v>
      </c>
      <c r="B245" s="4"/>
      <c r="C245" s="4" t="s">
        <v>247</v>
      </c>
      <c r="D245" s="4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x14ac:dyDescent="0.2">
      <c r="A246" s="8" t="s">
        <v>248</v>
      </c>
      <c r="B246" s="4"/>
      <c r="C246" s="4" t="s">
        <v>249</v>
      </c>
      <c r="D246" s="4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x14ac:dyDescent="0.2">
      <c r="A247" s="8" t="s">
        <v>250</v>
      </c>
      <c r="B247" s="4" t="s">
        <v>251</v>
      </c>
      <c r="C247" s="4" t="s">
        <v>252</v>
      </c>
      <c r="D247" s="4"/>
      <c r="E247" s="9" t="str">
        <f>_xll.BQL("ALK US Equity", "BS_CUR_ASSET_REPORT/1M", "FPT=A", "FPO=4A", "ACT_EST_MAPPING=PRECISE", "FS=MRC", "CURRENCY=USD", "XLFILL=b")</f>
        <v/>
      </c>
      <c r="F247" s="9">
        <f>_xll.BQL("ALK US Equity", "BS_CUR_ASSET_REPORT/1M", "FPT=A", "FPO=3A", "ACT_EST_MAPPING=PRECISE", "FS=MRC", "CURRENCY=USD", "XLFILL=b")</f>
        <v>2653.0900137559306</v>
      </c>
      <c r="G247" s="9">
        <f>_xll.BQL("ALK US Equity", "BS_CUR_ASSET_REPORT/1M", "FPT=A", "FPO=2A", "ACT_EST_MAPPING=PRECISE", "FS=MRC", "CURRENCY=USD", "XLFILL=b")</f>
        <v>2747.3177305193285</v>
      </c>
      <c r="H247" s="9">
        <f>_xll.BQL("ALK US Equity", "BS_CUR_ASSET_REPORT/1M", "FPT=A", "FPO=1A", "ACT_EST_MAPPING=PRECISE", "FS=MRC", "CURRENCY=USD", "XLFILL=b")</f>
        <v>2806.2177679946421</v>
      </c>
      <c r="I247" s="9">
        <f>_xll.BQL("ALK US Equity", "BS_CUR_ASSET_REPORT/1M", "FPT=A", "FPO=0A", "ACT_EST_MAPPING=PRECISE", "FS=MRC", "CURRENCY=USD", "XLFILL=b")</f>
        <v>2705</v>
      </c>
      <c r="J247" s="9">
        <f>_xll.BQL("ALK US Equity", "BS_CUR_ASSET_REPORT/1M", "FPT=A", "FPO=-1A", "ACT_EST_MAPPING=PRECISE", "FS=MRC", "CURRENCY=USD", "XLFILL=b")</f>
        <v>3040</v>
      </c>
      <c r="K247" s="9">
        <f>_xll.BQL("ALK US Equity", "BS_CUR_ASSET_REPORT/1M", "FPT=A", "FPO=-2A", "ACT_EST_MAPPING=PRECISE", "FS=MRC", "CURRENCY=USD", "XLFILL=b")</f>
        <v>3920</v>
      </c>
      <c r="L247" s="9">
        <f>_xll.BQL("ALK US Equity", "BS_CUR_ASSET_REPORT/1M", "FPT=A", "FPO=-3A", "ACT_EST_MAPPING=PRECISE", "FS=MRC", "CURRENCY=USD", "XLFILL=b")</f>
        <v>4006</v>
      </c>
      <c r="M247" s="9">
        <f>_xll.BQL("ALK US Equity", "BS_CUR_ASSET_REPORT/1M", "FPT=A", "FPO=-4A", "ACT_EST_MAPPING=PRECISE", "FS=MRC", "CURRENCY=USD", "XLFILL=b")</f>
        <v>2037</v>
      </c>
      <c r="N247" s="9">
        <f>_xll.BQL("ALK US Equity", "BS_CUR_ASSET_REPORT/1M", "FPT=A", "FPO=-5A", "ACT_EST_MAPPING=PRECISE", "FS=MRC", "CURRENCY=USD", "XLFILL=b")</f>
        <v>1787</v>
      </c>
    </row>
    <row r="248" spans="1:14" x14ac:dyDescent="0.2">
      <c r="A248" s="8" t="s">
        <v>64</v>
      </c>
      <c r="B248" s="4" t="s">
        <v>251</v>
      </c>
      <c r="C248" s="4" t="s">
        <v>252</v>
      </c>
      <c r="D248" s="4"/>
      <c r="E248" s="9" t="str">
        <f>_xll.BQL("ALK US Equity", "FA_GROWTH(BS_CUR_ASSET_REPORT, YOY)", "FPT=A", "FPO=4A", "ACT_EST_MAPPING=PRECISE", "FS=MRC", "CURRENCY=USD", "XLFILL=b")</f>
        <v/>
      </c>
      <c r="F248" s="9">
        <f>_xll.BQL("ALK US Equity", "FA_GROWTH(BS_CUR_ASSET_REPORT, YOY)", "FPT=A", "FPO=3A", "ACT_EST_MAPPING=PRECISE", "FS=MRC", "CURRENCY=USD", "XLFILL=b")</f>
        <v>-3.4298077618268854</v>
      </c>
      <c r="G248" s="9">
        <f>_xll.BQL("ALK US Equity", "FA_GROWTH(BS_CUR_ASSET_REPORT, YOY)", "FPT=A", "FPO=2A", "ACT_EST_MAPPING=PRECISE", "FS=MRC", "CURRENCY=USD", "XLFILL=b")</f>
        <v>-2.0989118573432863</v>
      </c>
      <c r="H248" s="9">
        <f>_xll.BQL("ALK US Equity", "FA_GROWTH(BS_CUR_ASSET_REPORT, YOY)", "FPT=A", "FPO=1A", "ACT_EST_MAPPING=PRECISE", "FS=MRC", "CURRENCY=USD", "XLFILL=b")</f>
        <v>3.7418768205043347</v>
      </c>
      <c r="I248" s="9">
        <f>_xll.BQL("ALK US Equity", "FA_GROWTH(BS_CUR_ASSET_REPORT, YOY)", "FPT=A", "FPO=0A", "ACT_EST_MAPPING=PRECISE", "FS=MRC", "CURRENCY=USD", "XLFILL=b")</f>
        <v>-11.019736842105264</v>
      </c>
      <c r="J248" s="9">
        <f>_xll.BQL("ALK US Equity", "FA_GROWTH(BS_CUR_ASSET_REPORT, YOY)", "FPT=A", "FPO=-1A", "ACT_EST_MAPPING=PRECISE", "FS=MRC", "CURRENCY=USD", "XLFILL=b")</f>
        <v>-22.448979591836736</v>
      </c>
      <c r="K248" s="9">
        <f>_xll.BQL("ALK US Equity", "FA_GROWTH(BS_CUR_ASSET_REPORT, YOY)", "FPT=A", "FPO=-2A", "ACT_EST_MAPPING=PRECISE", "FS=MRC", "CURRENCY=USD", "XLFILL=b")</f>
        <v>-2.1467798302546179</v>
      </c>
      <c r="L248" s="9">
        <f>_xll.BQL("ALK US Equity", "FA_GROWTH(BS_CUR_ASSET_REPORT, YOY)", "FPT=A", "FPO=-3A", "ACT_EST_MAPPING=PRECISE", "FS=MRC", "CURRENCY=USD", "XLFILL=b")</f>
        <v>96.661757486499752</v>
      </c>
      <c r="M248" s="9">
        <f>_xll.BQL("ALK US Equity", "FA_GROWTH(BS_CUR_ASSET_REPORT, YOY)", "FPT=A", "FPO=-4A", "ACT_EST_MAPPING=PRECISE", "FS=MRC", "CURRENCY=USD", "XLFILL=b")</f>
        <v>13.989927252378287</v>
      </c>
      <c r="N248" s="9">
        <f>_xll.BQL("ALK US Equity", "FA_GROWTH(BS_CUR_ASSET_REPORT, YOY)", "FPT=A", "FPO=-5A", "ACT_EST_MAPPING=PRECISE", "FS=MRC", "CURRENCY=USD", "XLFILL=b")</f>
        <v>-16.960966542750928</v>
      </c>
    </row>
    <row r="249" spans="1:14" x14ac:dyDescent="0.2">
      <c r="A249" s="8" t="s">
        <v>253</v>
      </c>
      <c r="B249" s="4" t="s">
        <v>254</v>
      </c>
      <c r="C249" s="4" t="s">
        <v>255</v>
      </c>
      <c r="D249" s="4"/>
      <c r="E249" s="9" t="str">
        <f>_xll.BQL("ALK US Equity", "BS_CASH_CASH_EQUIVALENTS_AND_STI/1M", "FPT=A", "FPO=4A", "ACT_EST_MAPPING=PRECISE", "FS=MRC", "CURRENCY=USD", "XLFILL=b")</f>
        <v/>
      </c>
      <c r="F249" s="9">
        <f>_xll.BQL("ALK US Equity", "BS_CASH_CASH_EQUIVALENTS_AND_STI/1M", "FPT=A", "FPO=3A", "ACT_EST_MAPPING=PRECISE", "FS=MRC", "CURRENCY=USD", "XLFILL=b")</f>
        <v>1846.1216803428251</v>
      </c>
      <c r="G249" s="9">
        <f>_xll.BQL("ALK US Equity", "BS_CASH_CASH_EQUIVALENTS_AND_STI/1M", "FPT=A", "FPO=2A", "ACT_EST_MAPPING=PRECISE", "FS=MRC", "CURRENCY=USD", "XLFILL=b")</f>
        <v>2011.7147738271899</v>
      </c>
      <c r="H249" s="9">
        <f>_xll.BQL("ALK US Equity", "BS_CASH_CASH_EQUIVALENTS_AND_STI/1M", "FPT=A", "FPO=1A", "ACT_EST_MAPPING=PRECISE", "FS=MRC", "CURRENCY=USD", "XLFILL=b")</f>
        <v>2054.537268265171</v>
      </c>
      <c r="I249" s="9">
        <f>_xll.BQL("ALK US Equity", "BS_CASH_CASH_EQUIVALENTS_AND_STI/1M", "FPT=A", "FPO=0A", "ACT_EST_MAPPING=PRECISE", "FS=MRC", "CURRENCY=USD", "XLFILL=b")</f>
        <v>1791</v>
      </c>
      <c r="J249" s="9">
        <f>_xll.BQL("ALK US Equity", "BS_CASH_CASH_EQUIVALENTS_AND_STI/1M", "FPT=A", "FPO=-1A", "ACT_EST_MAPPING=PRECISE", "FS=MRC", "CURRENCY=USD", "XLFILL=b")</f>
        <v>2417</v>
      </c>
      <c r="K249" s="9">
        <f>_xll.BQL("ALK US Equity", "BS_CASH_CASH_EQUIVALENTS_AND_STI/1M", "FPT=A", "FPO=-2A", "ACT_EST_MAPPING=PRECISE", "FS=MRC", "CURRENCY=USD", "XLFILL=b")</f>
        <v>3116</v>
      </c>
      <c r="L249" s="9">
        <f>_xll.BQL("ALK US Equity", "BS_CASH_CASH_EQUIVALENTS_AND_STI/1M", "FPT=A", "FPO=-3A", "ACT_EST_MAPPING=PRECISE", "FS=MRC", "CURRENCY=USD", "XLFILL=b")</f>
        <v>3346</v>
      </c>
      <c r="M249" s="9">
        <f>_xll.BQL("ALK US Equity", "BS_CASH_CASH_EQUIVALENTS_AND_STI/1M", "FPT=A", "FPO=-4A", "ACT_EST_MAPPING=PRECISE", "FS=MRC", "CURRENCY=USD", "XLFILL=b")</f>
        <v>1521</v>
      </c>
      <c r="N249" s="9">
        <f>_xll.BQL("ALK US Equity", "BS_CASH_CASH_EQUIVALENTS_AND_STI/1M", "FPT=A", "FPO=-5A", "ACT_EST_MAPPING=PRECISE", "FS=MRC", "CURRENCY=USD", "XLFILL=b")</f>
        <v>1236</v>
      </c>
    </row>
    <row r="250" spans="1:14" x14ac:dyDescent="0.2">
      <c r="A250" s="8" t="s">
        <v>67</v>
      </c>
      <c r="B250" s="4" t="s">
        <v>254</v>
      </c>
      <c r="C250" s="4" t="s">
        <v>255</v>
      </c>
      <c r="D250" s="4"/>
      <c r="E250" s="9" t="str">
        <f>_xll.BQL("ALK US Equity", "FA_GROWTH(BS_CASH_CASH_EQUIVALENTS_AND_STI, YOY)", "FPT=A", "FPO=4A", "ACT_EST_MAPPING=PRECISE", "FS=MRC", "CURRENCY=USD", "XLFILL=b")</f>
        <v/>
      </c>
      <c r="F250" s="9">
        <f>_xll.BQL("ALK US Equity", "FA_GROWTH(BS_CASH_CASH_EQUIVALENTS_AND_STI, YOY)", "FPT=A", "FPO=3A", "ACT_EST_MAPPING=PRECISE", "FS=MRC", "CURRENCY=USD", "XLFILL=b")</f>
        <v>-8.2314399456008314</v>
      </c>
      <c r="G250" s="9">
        <f>_xll.BQL("ALK US Equity", "FA_GROWTH(BS_CASH_CASH_EQUIVALENTS_AND_STI, YOY)", "FPT=A", "FPO=2A", "ACT_EST_MAPPING=PRECISE", "FS=MRC", "CURRENCY=USD", "XLFILL=b")</f>
        <v>-2.0842890075262419</v>
      </c>
      <c r="H250" s="9">
        <f>_xll.BQL("ALK US Equity", "FA_GROWTH(BS_CASH_CASH_EQUIVALENTS_AND_STI, YOY)", "FPT=A", "FPO=1A", "ACT_EST_MAPPING=PRECISE", "FS=MRC", "CURRENCY=USD", "XLFILL=b")</f>
        <v>14.714532008105573</v>
      </c>
      <c r="I250" s="9">
        <f>_xll.BQL("ALK US Equity", "FA_GROWTH(BS_CASH_CASH_EQUIVALENTS_AND_STI, YOY)", "FPT=A", "FPO=0A", "ACT_EST_MAPPING=PRECISE", "FS=MRC", "CURRENCY=USD", "XLFILL=b")</f>
        <v>-25.899875879189079</v>
      </c>
      <c r="J250" s="9">
        <f>_xll.BQL("ALK US Equity", "FA_GROWTH(BS_CASH_CASH_EQUIVALENTS_AND_STI, YOY)", "FPT=A", "FPO=-1A", "ACT_EST_MAPPING=PRECISE", "FS=MRC", "CURRENCY=USD", "XLFILL=b")</f>
        <v>-22.432605905006419</v>
      </c>
      <c r="K250" s="9">
        <f>_xll.BQL("ALK US Equity", "FA_GROWTH(BS_CASH_CASH_EQUIVALENTS_AND_STI, YOY)", "FPT=A", "FPO=-2A", "ACT_EST_MAPPING=PRECISE", "FS=MRC", "CURRENCY=USD", "XLFILL=b")</f>
        <v>-6.8738792588164976</v>
      </c>
      <c r="L250" s="9">
        <f>_xll.BQL("ALK US Equity", "FA_GROWTH(BS_CASH_CASH_EQUIVALENTS_AND_STI, YOY)", "FPT=A", "FPO=-3A", "ACT_EST_MAPPING=PRECISE", "FS=MRC", "CURRENCY=USD", "XLFILL=b")</f>
        <v>119.98685075608152</v>
      </c>
      <c r="M250" s="9">
        <f>_xll.BQL("ALK US Equity", "FA_GROWTH(BS_CASH_CASH_EQUIVALENTS_AND_STI, YOY)", "FPT=A", "FPO=-4A", "ACT_EST_MAPPING=PRECISE", "FS=MRC", "CURRENCY=USD", "XLFILL=b")</f>
        <v>23.058252427184467</v>
      </c>
      <c r="N250" s="9">
        <f>_xll.BQL("ALK US Equity", "FA_GROWTH(BS_CASH_CASH_EQUIVALENTS_AND_STI, YOY)", "FPT=A", "FPO=-5A", "ACT_EST_MAPPING=PRECISE", "FS=MRC", "CURRENCY=USD", "XLFILL=b")</f>
        <v>-23.750771128932758</v>
      </c>
    </row>
    <row r="251" spans="1:14" x14ac:dyDescent="0.2">
      <c r="A251" s="8" t="s">
        <v>256</v>
      </c>
      <c r="B251" s="4" t="s">
        <v>257</v>
      </c>
      <c r="C251" s="4"/>
      <c r="D251" s="4"/>
      <c r="E251" s="9" t="str">
        <f>_xll.BQL("ALK US Equity", "CB_BS_CASH/1M", "FPT=A", "FPO=4A", "ACT_EST_MAPPING=PRECISE", "FS=MRC", "CURRENCY=USD", "XLFILL=b")</f>
        <v/>
      </c>
      <c r="F251" s="9">
        <f>_xll.BQL("ALK US Equity", "CB_BS_CASH/1M", "FPT=A", "FPO=3A", "ACT_EST_MAPPING=PRECISE", "FS=MRC", "CURRENCY=USD", "XLFILL=b")</f>
        <v>857.41853898597049</v>
      </c>
      <c r="G251" s="9">
        <f>_xll.BQL("ALK US Equity", "CB_BS_CASH/1M", "FPT=A", "FPO=2A", "ACT_EST_MAPPING=PRECISE", "FS=MRC", "CURRENCY=USD", "XLFILL=b")</f>
        <v>925.74390574860956</v>
      </c>
      <c r="H251" s="9">
        <f>_xll.BQL("ALK US Equity", "CB_BS_CASH/1M", "FPT=A", "FPO=1A", "ACT_EST_MAPPING=PRECISE", "FS=MRC", "CURRENCY=USD", "XLFILL=b")</f>
        <v>864.24160556723621</v>
      </c>
      <c r="I251" s="9">
        <f>_xll.BQL("ALK US Equity", "CB_BS_CASH/1M", "FPT=A", "FPO=0A", "ACT_EST_MAPPING=PRECISE", "FS=MRC", "CURRENCY=USD", "XLFILL=b")</f>
        <v>281</v>
      </c>
      <c r="J251" s="9">
        <f>_xll.BQL("ALK US Equity", "CB_BS_CASH/1M", "FPT=A", "FPO=-1A", "ACT_EST_MAPPING=PRECISE", "FS=MRC", "CURRENCY=USD", "XLFILL=b")</f>
        <v>338</v>
      </c>
      <c r="K251" s="9">
        <f>_xll.BQL("ALK US Equity", "CB_BS_CASH/1M", "FPT=A", "FPO=-2A", "ACT_EST_MAPPING=PRECISE", "FS=MRC", "CURRENCY=USD", "XLFILL=b")</f>
        <v>470</v>
      </c>
      <c r="L251" s="9">
        <f>_xll.BQL("ALK US Equity", "CB_BS_CASH/1M", "FPT=A", "FPO=-3A", "ACT_EST_MAPPING=PRECISE", "FS=MRC", "CURRENCY=USD", "XLFILL=b")</f>
        <v>1370</v>
      </c>
      <c r="M251" s="9">
        <f>_xll.BQL("ALK US Equity", "CB_BS_CASH/1M", "FPT=A", "FPO=-4A", "ACT_EST_MAPPING=PRECISE", "FS=MRC", "CURRENCY=USD", "XLFILL=b")</f>
        <v>221</v>
      </c>
      <c r="N251" s="9">
        <f>_xll.BQL("ALK US Equity", "CB_BS_CASH/1M", "FPT=A", "FPO=-5A", "ACT_EST_MAPPING=PRECISE", "FS=MRC", "CURRENCY=USD", "XLFILL=b")</f>
        <v>105</v>
      </c>
    </row>
    <row r="252" spans="1:14" x14ac:dyDescent="0.2">
      <c r="A252" s="8" t="s">
        <v>67</v>
      </c>
      <c r="B252" s="4" t="s">
        <v>257</v>
      </c>
      <c r="C252" s="4"/>
      <c r="D252" s="4"/>
      <c r="E252" s="9" t="str">
        <f>_xll.BQL("ALK US Equity", "FA_GROWTH(CB_BS_CASH, YOY)", "FPT=A", "FPO=4A", "ACT_EST_MAPPING=PRECISE", "FS=MRC", "CURRENCY=USD", "XLFILL=b")</f>
        <v/>
      </c>
      <c r="F252" s="9">
        <f>_xll.BQL("ALK US Equity", "FA_GROWTH(CB_BS_CASH, YOY)", "FPT=A", "FPO=3A", "ACT_EST_MAPPING=PRECISE", "FS=MRC", "CURRENCY=USD", "XLFILL=b")</f>
        <v>-7.3805905000678607</v>
      </c>
      <c r="G252" s="9">
        <f>_xll.BQL("ALK US Equity", "FA_GROWTH(CB_BS_CASH, YOY)", "FPT=A", "FPO=2A", "ACT_EST_MAPPING=PRECISE", "FS=MRC", "CURRENCY=USD", "XLFILL=b")</f>
        <v>7.1163317971722675</v>
      </c>
      <c r="H252" s="9">
        <f>_xll.BQL("ALK US Equity", "FA_GROWTH(CB_BS_CASH, YOY)", "FPT=A", "FPO=1A", "ACT_EST_MAPPING=PRECISE", "FS=MRC", "CURRENCY=USD", "XLFILL=b")</f>
        <v>207.5592902374506</v>
      </c>
      <c r="I252" s="9">
        <f>_xll.BQL("ALK US Equity", "FA_GROWTH(CB_BS_CASH, YOY)", "FPT=A", "FPO=0A", "ACT_EST_MAPPING=PRECISE", "FS=MRC", "CURRENCY=USD", "XLFILL=b")</f>
        <v>-16.863905325443788</v>
      </c>
      <c r="J252" s="9">
        <f>_xll.BQL("ALK US Equity", "FA_GROWTH(CB_BS_CASH, YOY)", "FPT=A", "FPO=-1A", "ACT_EST_MAPPING=PRECISE", "FS=MRC", "CURRENCY=USD", "XLFILL=b")</f>
        <v>-28.085106382978722</v>
      </c>
      <c r="K252" s="9">
        <f>_xll.BQL("ALK US Equity", "FA_GROWTH(CB_BS_CASH, YOY)", "FPT=A", "FPO=-2A", "ACT_EST_MAPPING=PRECISE", "FS=MRC", "CURRENCY=USD", "XLFILL=b")</f>
        <v>-65.693430656934311</v>
      </c>
      <c r="L252" s="9">
        <f>_xll.BQL("ALK US Equity", "FA_GROWTH(CB_BS_CASH, YOY)", "FPT=A", "FPO=-3A", "ACT_EST_MAPPING=PRECISE", "FS=MRC", "CURRENCY=USD", "XLFILL=b")</f>
        <v>519.90950226244343</v>
      </c>
      <c r="M252" s="9">
        <f>_xll.BQL("ALK US Equity", "FA_GROWTH(CB_BS_CASH, YOY)", "FPT=A", "FPO=-4A", "ACT_EST_MAPPING=PRECISE", "FS=MRC", "CURRENCY=USD", "XLFILL=b")</f>
        <v>110.47619047619048</v>
      </c>
      <c r="N252" s="9">
        <f>_xll.BQL("ALK US Equity", "FA_GROWTH(CB_BS_CASH, YOY)", "FPT=A", "FPO=-5A", "ACT_EST_MAPPING=PRECISE", "FS=MRC", "CURRENCY=USD", "XLFILL=b")</f>
        <v>-45.876288659793815</v>
      </c>
    </row>
    <row r="253" spans="1:14" x14ac:dyDescent="0.2">
      <c r="A253" s="8" t="s">
        <v>258</v>
      </c>
      <c r="B253" s="4" t="s">
        <v>259</v>
      </c>
      <c r="C253" s="4"/>
      <c r="D253" s="4"/>
      <c r="E253" s="9" t="str">
        <f>_xll.BQL("ALK US Equity", "CB_BS_ST_MARKETABLE_SECS/1M", "FPT=A", "FPO=4A", "ACT_EST_MAPPING=PRECISE", "FS=MRC", "CURRENCY=USD", "XLFILL=b")</f>
        <v/>
      </c>
      <c r="F253" s="9">
        <f>_xll.BQL("ALK US Equity", "CB_BS_ST_MARKETABLE_SECS/1M", "FPT=A", "FPO=3A", "ACT_EST_MAPPING=PRECISE", "FS=MRC", "CURRENCY=USD", "XLFILL=b")</f>
        <v>934</v>
      </c>
      <c r="G253" s="9">
        <f>_xll.BQL("ALK US Equity", "CB_BS_ST_MARKETABLE_SECS/1M", "FPT=A", "FPO=2A", "ACT_EST_MAPPING=PRECISE", "FS=MRC", "CURRENCY=USD", "XLFILL=b")</f>
        <v>1294.1666666666667</v>
      </c>
      <c r="H253" s="9">
        <f>_xll.BQL("ALK US Equity", "CB_BS_ST_MARKETABLE_SECS/1M", "FPT=A", "FPO=1A", "ACT_EST_MAPPING=PRECISE", "FS=MRC", "CURRENCY=USD", "XLFILL=b")</f>
        <v>1327.5</v>
      </c>
      <c r="I253" s="9">
        <f>_xll.BQL("ALK US Equity", "CB_BS_ST_MARKETABLE_SECS/1M", "FPT=A", "FPO=0A", "ACT_EST_MAPPING=PRECISE", "FS=MRC", "CURRENCY=USD", "XLFILL=b")</f>
        <v>1510</v>
      </c>
      <c r="J253" s="9">
        <f>_xll.BQL("ALK US Equity", "CB_BS_ST_MARKETABLE_SECS/1M", "FPT=A", "FPO=-1A", "ACT_EST_MAPPING=PRECISE", "FS=MRC", "CURRENCY=USD", "XLFILL=b")</f>
        <v>2079</v>
      </c>
      <c r="K253" s="9">
        <f>_xll.BQL("ALK US Equity", "CB_BS_ST_MARKETABLE_SECS/1M", "FPT=A", "FPO=-2A", "ACT_EST_MAPPING=PRECISE", "FS=MRC", "CURRENCY=USD", "XLFILL=b")</f>
        <v>2646</v>
      </c>
      <c r="L253" s="9">
        <f>_xll.BQL("ALK US Equity", "CB_BS_ST_MARKETABLE_SECS/1M", "FPT=A", "FPO=-3A", "ACT_EST_MAPPING=PRECISE", "FS=MRC", "CURRENCY=USD", "XLFILL=b")</f>
        <v>1976</v>
      </c>
      <c r="M253" s="9">
        <f>_xll.BQL("ALK US Equity", "CB_BS_ST_MARKETABLE_SECS/1M", "FPT=A", "FPO=-4A", "ACT_EST_MAPPING=PRECISE", "FS=MRC", "CURRENCY=USD", "XLFILL=b")</f>
        <v>1300</v>
      </c>
      <c r="N253" s="9">
        <f>_xll.BQL("ALK US Equity", "CB_BS_ST_MARKETABLE_SECS/1M", "FPT=A", "FPO=-5A", "ACT_EST_MAPPING=PRECISE", "FS=MRC", "CURRENCY=USD", "XLFILL=b")</f>
        <v>1131</v>
      </c>
    </row>
    <row r="254" spans="1:14" x14ac:dyDescent="0.2">
      <c r="A254" s="8" t="s">
        <v>67</v>
      </c>
      <c r="B254" s="4" t="s">
        <v>259</v>
      </c>
      <c r="C254" s="4"/>
      <c r="D254" s="4"/>
      <c r="E254" s="9" t="str">
        <f>_xll.BQL("ALK US Equity", "FA_GROWTH(CB_BS_ST_MARKETABLE_SECS, YOY)", "FPT=A", "FPO=4A", "ACT_EST_MAPPING=PRECISE", "FS=MRC", "CURRENCY=USD", "XLFILL=b")</f>
        <v/>
      </c>
      <c r="F254" s="9">
        <f>_xll.BQL("ALK US Equity", "FA_GROWTH(CB_BS_ST_MARKETABLE_SECS, YOY)", "FPT=A", "FPO=3A", "ACT_EST_MAPPING=PRECISE", "FS=MRC", "CURRENCY=USD", "XLFILL=b")</f>
        <v>-27.830006439150033</v>
      </c>
      <c r="G254" s="9">
        <f>_xll.BQL("ALK US Equity", "FA_GROWTH(CB_BS_ST_MARKETABLE_SECS, YOY)", "FPT=A", "FPO=2A", "ACT_EST_MAPPING=PRECISE", "FS=MRC", "CURRENCY=USD", "XLFILL=b")</f>
        <v>-2.5109855618330137</v>
      </c>
      <c r="H254" s="9">
        <f>_xll.BQL("ALK US Equity", "FA_GROWTH(CB_BS_ST_MARKETABLE_SECS, YOY)", "FPT=A", "FPO=1A", "ACT_EST_MAPPING=PRECISE", "FS=MRC", "CURRENCY=USD", "XLFILL=b")</f>
        <v>-12.086092715231787</v>
      </c>
      <c r="I254" s="9">
        <f>_xll.BQL("ALK US Equity", "FA_GROWTH(CB_BS_ST_MARKETABLE_SECS, YOY)", "FPT=A", "FPO=0A", "ACT_EST_MAPPING=PRECISE", "FS=MRC", "CURRENCY=USD", "XLFILL=b")</f>
        <v>-27.36892736892737</v>
      </c>
      <c r="J254" s="9">
        <f>_xll.BQL("ALK US Equity", "FA_GROWTH(CB_BS_ST_MARKETABLE_SECS, YOY)", "FPT=A", "FPO=-1A", "ACT_EST_MAPPING=PRECISE", "FS=MRC", "CURRENCY=USD", "XLFILL=b")</f>
        <v>-21.428571428571427</v>
      </c>
      <c r="K254" s="9">
        <f>_xll.BQL("ALK US Equity", "FA_GROWTH(CB_BS_ST_MARKETABLE_SECS, YOY)", "FPT=A", "FPO=-2A", "ACT_EST_MAPPING=PRECISE", "FS=MRC", "CURRENCY=USD", "XLFILL=b")</f>
        <v>33.906882591093115</v>
      </c>
      <c r="L254" s="9">
        <f>_xll.BQL("ALK US Equity", "FA_GROWTH(CB_BS_ST_MARKETABLE_SECS, YOY)", "FPT=A", "FPO=-3A", "ACT_EST_MAPPING=PRECISE", "FS=MRC", "CURRENCY=USD", "XLFILL=b")</f>
        <v>52</v>
      </c>
      <c r="M254" s="9">
        <f>_xll.BQL("ALK US Equity", "FA_GROWTH(CB_BS_ST_MARKETABLE_SECS, YOY)", "FPT=A", "FPO=-4A", "ACT_EST_MAPPING=PRECISE", "FS=MRC", "CURRENCY=USD", "XLFILL=b")</f>
        <v>14.942528735632184</v>
      </c>
      <c r="N254" s="9">
        <f>_xll.BQL("ALK US Equity", "FA_GROWTH(CB_BS_ST_MARKETABLE_SECS, YOY)", "FPT=A", "FPO=-5A", "ACT_EST_MAPPING=PRECISE", "FS=MRC", "CURRENCY=USD", "XLFILL=b")</f>
        <v>-20.74281709880869</v>
      </c>
    </row>
    <row r="255" spans="1:14" x14ac:dyDescent="0.2">
      <c r="A255" s="8" t="s">
        <v>260</v>
      </c>
      <c r="B255" s="4" t="s">
        <v>261</v>
      </c>
      <c r="C255" s="4" t="s">
        <v>262</v>
      </c>
      <c r="D255" s="4"/>
      <c r="E255" s="9" t="str">
        <f>_xll.BQL("ALK US Equity", "BS_ACCTS_REC_EXCL_NOTES_REC/1M", "FPT=A", "FPO=4A", "ACT_EST_MAPPING=PRECISE", "FS=MRC", "CURRENCY=USD", "XLFILL=b")</f>
        <v/>
      </c>
      <c r="F255" s="9">
        <f>_xll.BQL("ALK US Equity", "BS_ACCTS_REC_EXCL_NOTES_REC/1M", "FPT=A", "FPO=3A", "ACT_EST_MAPPING=PRECISE", "FS=MRC", "CURRENCY=USD", "XLFILL=b")</f>
        <v>396.25345829115514</v>
      </c>
      <c r="G255" s="9">
        <f>_xll.BQL("ALK US Equity", "BS_ACCTS_REC_EXCL_NOTES_REC/1M", "FPT=A", "FPO=2A", "ACT_EST_MAPPING=PRECISE", "FS=MRC", "CURRENCY=USD", "XLFILL=b")</f>
        <v>369.07944835131946</v>
      </c>
      <c r="H255" s="9">
        <f>_xll.BQL("ALK US Equity", "BS_ACCTS_REC_EXCL_NOTES_REC/1M", "FPT=A", "FPO=1A", "ACT_EST_MAPPING=PRECISE", "FS=MRC", "CURRENCY=USD", "XLFILL=b")</f>
        <v>365.23432577760792</v>
      </c>
      <c r="I255" s="9">
        <f>_xll.BQL("ALK US Equity", "BS_ACCTS_REC_EXCL_NOTES_REC/1M", "FPT=A", "FPO=0A", "ACT_EST_MAPPING=PRECISE", "FS=MRC", "CURRENCY=USD", "XLFILL=b")</f>
        <v>383</v>
      </c>
      <c r="J255" s="9">
        <f>_xll.BQL("ALK US Equity", "BS_ACCTS_REC_EXCL_NOTES_REC/1M", "FPT=A", "FPO=-1A", "ACT_EST_MAPPING=PRECISE", "FS=MRC", "CURRENCY=USD", "XLFILL=b")</f>
        <v>296</v>
      </c>
      <c r="K255" s="9">
        <f>_xll.BQL("ALK US Equity", "BS_ACCTS_REC_EXCL_NOTES_REC/1M", "FPT=A", "FPO=-2A", "ACT_EST_MAPPING=PRECISE", "FS=MRC", "CURRENCY=USD", "XLFILL=b")</f>
        <v>546</v>
      </c>
      <c r="L255" s="9">
        <f>_xll.BQL("ALK US Equity", "BS_ACCTS_REC_EXCL_NOTES_REC/1M", "FPT=A", "FPO=-3A", "ACT_EST_MAPPING=PRECISE", "FS=MRC", "CURRENCY=USD", "XLFILL=b")</f>
        <v>480</v>
      </c>
      <c r="M255" s="9">
        <f>_xll.BQL("ALK US Equity", "BS_ACCTS_REC_EXCL_NOTES_REC/1M", "FPT=A", "FPO=-4A", "ACT_EST_MAPPING=PRECISE", "FS=MRC", "CURRENCY=USD", "XLFILL=b")</f>
        <v>323</v>
      </c>
      <c r="N255" s="9">
        <f>_xll.BQL("ALK US Equity", "BS_ACCTS_REC_EXCL_NOTES_REC/1M", "FPT=A", "FPO=-5A", "ACT_EST_MAPPING=PRECISE", "FS=MRC", "CURRENCY=USD", "XLFILL=b")</f>
        <v>366</v>
      </c>
    </row>
    <row r="256" spans="1:14" x14ac:dyDescent="0.2">
      <c r="A256" s="8" t="s">
        <v>67</v>
      </c>
      <c r="B256" s="4" t="s">
        <v>261</v>
      </c>
      <c r="C256" s="4" t="s">
        <v>262</v>
      </c>
      <c r="D256" s="4"/>
      <c r="E256" s="9" t="str">
        <f>_xll.BQL("ALK US Equity", "FA_GROWTH(BS_ACCTS_REC_EXCL_NOTES_REC, YOY)", "FPT=A", "FPO=4A", "ACT_EST_MAPPING=PRECISE", "FS=MRC", "CURRENCY=USD", "XLFILL=b")</f>
        <v/>
      </c>
      <c r="F256" s="9">
        <f>_xll.BQL("ALK US Equity", "FA_GROWTH(BS_ACCTS_REC_EXCL_NOTES_REC, YOY)", "FPT=A", "FPO=3A", "ACT_EST_MAPPING=PRECISE", "FS=MRC", "CURRENCY=USD", "XLFILL=b")</f>
        <v>7.3626451056059148</v>
      </c>
      <c r="G256" s="9">
        <f>_xll.BQL("ALK US Equity", "FA_GROWTH(BS_ACCTS_REC_EXCL_NOTES_REC, YOY)", "FPT=A", "FPO=2A", "ACT_EST_MAPPING=PRECISE", "FS=MRC", "CURRENCY=USD", "XLFILL=b")</f>
        <v>1.0527823652733066</v>
      </c>
      <c r="H256" s="9">
        <f>_xll.BQL("ALK US Equity", "FA_GROWTH(BS_ACCTS_REC_EXCL_NOTES_REC, YOY)", "FPT=A", "FPO=1A", "ACT_EST_MAPPING=PRECISE", "FS=MRC", "CURRENCY=USD", "XLFILL=b")</f>
        <v>-4.638557238222476</v>
      </c>
      <c r="I256" s="9">
        <f>_xll.BQL("ALK US Equity", "FA_GROWTH(BS_ACCTS_REC_EXCL_NOTES_REC, YOY)", "FPT=A", "FPO=0A", "ACT_EST_MAPPING=PRECISE", "FS=MRC", "CURRENCY=USD", "XLFILL=b")</f>
        <v>29.391891891891891</v>
      </c>
      <c r="J256" s="9">
        <f>_xll.BQL("ALK US Equity", "FA_GROWTH(BS_ACCTS_REC_EXCL_NOTES_REC, YOY)", "FPT=A", "FPO=-1A", "ACT_EST_MAPPING=PRECISE", "FS=MRC", "CURRENCY=USD", "XLFILL=b")</f>
        <v>-45.787545787545788</v>
      </c>
      <c r="K256" s="9">
        <f>_xll.BQL("ALK US Equity", "FA_GROWTH(BS_ACCTS_REC_EXCL_NOTES_REC, YOY)", "FPT=A", "FPO=-2A", "ACT_EST_MAPPING=PRECISE", "FS=MRC", "CURRENCY=USD", "XLFILL=b")</f>
        <v>13.75</v>
      </c>
      <c r="L256" s="9">
        <f>_xll.BQL("ALK US Equity", "FA_GROWTH(BS_ACCTS_REC_EXCL_NOTES_REC, YOY)", "FPT=A", "FPO=-3A", "ACT_EST_MAPPING=PRECISE", "FS=MRC", "CURRENCY=USD", "XLFILL=b")</f>
        <v>48.606811145510839</v>
      </c>
      <c r="M256" s="9">
        <f>_xll.BQL("ALK US Equity", "FA_GROWTH(BS_ACCTS_REC_EXCL_NOTES_REC, YOY)", "FPT=A", "FPO=-4A", "ACT_EST_MAPPING=PRECISE", "FS=MRC", "CURRENCY=USD", "XLFILL=b")</f>
        <v>-11.748633879781421</v>
      </c>
      <c r="N256" s="9">
        <f>_xll.BQL("ALK US Equity", "FA_GROWTH(BS_ACCTS_REC_EXCL_NOTES_REC, YOY)", "FPT=A", "FPO=-5A", "ACT_EST_MAPPING=PRECISE", "FS=MRC", "CURRENCY=USD", "XLFILL=b")</f>
        <v>7.3313782991202343</v>
      </c>
    </row>
    <row r="257" spans="1:14" x14ac:dyDescent="0.2">
      <c r="A257" s="8" t="s">
        <v>263</v>
      </c>
      <c r="B257" s="4" t="s">
        <v>264</v>
      </c>
      <c r="C257" s="4" t="s">
        <v>265</v>
      </c>
      <c r="D257" s="4"/>
      <c r="E257" s="9" t="str">
        <f>_xll.BQL("ALK US Equity", "BS_INVENTORIES/1M", "FPT=A", "FPO=4A", "ACT_EST_MAPPING=PRECISE", "FS=MRC", "CURRENCY=USD", "XLFILL=b")</f>
        <v/>
      </c>
      <c r="F257" s="9">
        <f>_xll.BQL("ALK US Equity", "BS_INVENTORIES/1M", "FPT=A", "FPO=3A", "ACT_EST_MAPPING=PRECISE", "FS=MRC", "CURRENCY=USD", "XLFILL=b")</f>
        <v>115.14609918028283</v>
      </c>
      <c r="G257" s="9">
        <f>_xll.BQL("ALK US Equity", "BS_INVENTORIES/1M", "FPT=A", "FPO=2A", "ACT_EST_MAPPING=PRECISE", "FS=MRC", "CURRENCY=USD", "XLFILL=b")</f>
        <v>124.48460456008922</v>
      </c>
      <c r="H257" s="9">
        <f>_xll.BQL("ALK US Equity", "BS_INVENTORIES/1M", "FPT=A", "FPO=1A", "ACT_EST_MAPPING=PRECISE", "FS=MRC", "CURRENCY=USD", "XLFILL=b")</f>
        <v>116.62529759355321</v>
      </c>
      <c r="I257" s="9">
        <f>_xll.BQL("ALK US Equity", "BS_INVENTORIES/1M", "FPT=A", "FPO=0A", "ACT_EST_MAPPING=PRECISE", "FS=MRC", "CURRENCY=USD", "XLFILL=b")</f>
        <v>116</v>
      </c>
      <c r="J257" s="9">
        <f>_xll.BQL("ALK US Equity", "BS_INVENTORIES/1M", "FPT=A", "FPO=-1A", "ACT_EST_MAPPING=PRECISE", "FS=MRC", "CURRENCY=USD", "XLFILL=b")</f>
        <v>104</v>
      </c>
      <c r="K257" s="9">
        <f>_xll.BQL("ALK US Equity", "BS_INVENTORIES/1M", "FPT=A", "FPO=-2A", "ACT_EST_MAPPING=PRECISE", "FS=MRC", "CURRENCY=USD", "XLFILL=b")</f>
        <v>62</v>
      </c>
      <c r="L257" s="9">
        <f>_xll.BQL("ALK US Equity", "BS_INVENTORIES/1M", "FPT=A", "FPO=-3A", "ACT_EST_MAPPING=PRECISE", "FS=MRC", "CURRENCY=USD", "XLFILL=b")</f>
        <v>57</v>
      </c>
      <c r="M257" s="9">
        <f>_xll.BQL("ALK US Equity", "BS_INVENTORIES/1M", "FPT=A", "FPO=-4A", "ACT_EST_MAPPING=PRECISE", "FS=MRC", "CURRENCY=USD", "XLFILL=b")</f>
        <v>72</v>
      </c>
      <c r="N257" s="9">
        <f>_xll.BQL("ALK US Equity", "BS_INVENTORIES/1M", "FPT=A", "FPO=-5A", "ACT_EST_MAPPING=PRECISE", "FS=MRC", "CURRENCY=USD", "XLFILL=b")</f>
        <v>60</v>
      </c>
    </row>
    <row r="258" spans="1:14" x14ac:dyDescent="0.2">
      <c r="A258" s="8" t="s">
        <v>67</v>
      </c>
      <c r="B258" s="4" t="s">
        <v>264</v>
      </c>
      <c r="C258" s="4" t="s">
        <v>265</v>
      </c>
      <c r="D258" s="4"/>
      <c r="E258" s="9" t="str">
        <f>_xll.BQL("ALK US Equity", "FA_GROWTH(BS_INVENTORIES, YOY)", "FPT=A", "FPO=4A", "ACT_EST_MAPPING=PRECISE", "FS=MRC", "CURRENCY=USD", "XLFILL=b")</f>
        <v/>
      </c>
      <c r="F258" s="9">
        <f>_xll.BQL("ALK US Equity", "FA_GROWTH(BS_INVENTORIES, YOY)", "FPT=A", "FPO=3A", "ACT_EST_MAPPING=PRECISE", "FS=MRC", "CURRENCY=USD", "XLFILL=b")</f>
        <v>-7.5017351846899789</v>
      </c>
      <c r="G258" s="9">
        <f>_xll.BQL("ALK US Equity", "FA_GROWTH(BS_INVENTORIES, YOY)", "FPT=A", "FPO=2A", "ACT_EST_MAPPING=PRECISE", "FS=MRC", "CURRENCY=USD", "XLFILL=b")</f>
        <v>6.7389384024778343</v>
      </c>
      <c r="H258" s="9">
        <f>_xll.BQL("ALK US Equity", "FA_GROWTH(BS_INVENTORIES, YOY)", "FPT=A", "FPO=1A", "ACT_EST_MAPPING=PRECISE", "FS=MRC", "CURRENCY=USD", "XLFILL=b")</f>
        <v>0.5390496496148407</v>
      </c>
      <c r="I258" s="9">
        <f>_xll.BQL("ALK US Equity", "FA_GROWTH(BS_INVENTORIES, YOY)", "FPT=A", "FPO=0A", "ACT_EST_MAPPING=PRECISE", "FS=MRC", "CURRENCY=USD", "XLFILL=b")</f>
        <v>11.538461538461538</v>
      </c>
      <c r="J258" s="9">
        <f>_xll.BQL("ALK US Equity", "FA_GROWTH(BS_INVENTORIES, YOY)", "FPT=A", "FPO=-1A", "ACT_EST_MAPPING=PRECISE", "FS=MRC", "CURRENCY=USD", "XLFILL=b")</f>
        <v>67.741935483870961</v>
      </c>
      <c r="K258" s="9">
        <f>_xll.BQL("ALK US Equity", "FA_GROWTH(BS_INVENTORIES, YOY)", "FPT=A", "FPO=-2A", "ACT_EST_MAPPING=PRECISE", "FS=MRC", "CURRENCY=USD", "XLFILL=b")</f>
        <v>8.7719298245614041</v>
      </c>
      <c r="L258" s="9">
        <f>_xll.BQL("ALK US Equity", "FA_GROWTH(BS_INVENTORIES, YOY)", "FPT=A", "FPO=-3A", "ACT_EST_MAPPING=PRECISE", "FS=MRC", "CURRENCY=USD", "XLFILL=b")</f>
        <v>-20.833333333333332</v>
      </c>
      <c r="M258" s="9">
        <f>_xll.BQL("ALK US Equity", "FA_GROWTH(BS_INVENTORIES, YOY)", "FPT=A", "FPO=-4A", "ACT_EST_MAPPING=PRECISE", "FS=MRC", "CURRENCY=USD", "XLFILL=b")</f>
        <v>20</v>
      </c>
      <c r="N258" s="9">
        <f>_xll.BQL("ALK US Equity", "FA_GROWTH(BS_INVENTORIES, YOY)", "FPT=A", "FPO=-5A", "ACT_EST_MAPPING=PRECISE", "FS=MRC", "CURRENCY=USD", "XLFILL=b")</f>
        <v>5.2631578947368425</v>
      </c>
    </row>
    <row r="259" spans="1:14" x14ac:dyDescent="0.2">
      <c r="A259" s="8" t="s">
        <v>266</v>
      </c>
      <c r="B259" s="4" t="s">
        <v>267</v>
      </c>
      <c r="C259" s="4"/>
      <c r="D259" s="4"/>
      <c r="E259" s="9" t="str">
        <f>_xll.BQL("ALK US Equity", "PREPAID_EXPNSS_AND_OTHR/1M", "FPT=A", "FPO=4A", "ACT_EST_MAPPING=PRECISE", "FS=MRC", "CURRENCY=USD", "XLFILL=b")</f>
        <v/>
      </c>
      <c r="F259" s="9">
        <f>_xll.BQL("ALK US Equity", "PREPAID_EXPNSS_AND_OTHR/1M", "FPT=A", "FPO=3A", "ACT_EST_MAPPING=PRECISE", "FS=MRC", "CURRENCY=USD", "XLFILL=b")</f>
        <v>350.27191729852194</v>
      </c>
      <c r="G259" s="9">
        <f>_xll.BQL("ALK US Equity", "PREPAID_EXPNSS_AND_OTHR/1M", "FPT=A", "FPO=2A", "ACT_EST_MAPPING=PRECISE", "FS=MRC", "CURRENCY=USD", "XLFILL=b")</f>
        <v>375.15624874579618</v>
      </c>
      <c r="H259" s="9">
        <f>_xll.BQL("ALK US Equity", "PREPAID_EXPNSS_AND_OTHR/1M", "FPT=A", "FPO=1A", "ACT_EST_MAPPING=PRECISE", "FS=MRC", "CURRENCY=USD", "XLFILL=b")</f>
        <v>370.80281717398833</v>
      </c>
      <c r="I259" s="9">
        <f>_xll.BQL("ALK US Equity", "PREPAID_EXPNSS_AND_OTHR/1M", "FPT=A", "FPO=0A", "ACT_EST_MAPPING=PRECISE", "FS=MRC", "CURRENCY=USD", "XLFILL=b")</f>
        <v>176</v>
      </c>
      <c r="J259" s="9">
        <f>_xll.BQL("ALK US Equity", "PREPAID_EXPNSS_AND_OTHR/1M", "FPT=A", "FPO=-1A", "ACT_EST_MAPPING=PRECISE", "FS=MRC", "CURRENCY=USD", "XLFILL=b")</f>
        <v>163</v>
      </c>
      <c r="K259" s="9">
        <f>_xll.BQL("ALK US Equity", "PREPAID_EXPNSS_AND_OTHR/1M", "FPT=A", "FPO=-2A", "ACT_EST_MAPPING=PRECISE", "FS=MRC", "CURRENCY=USD", "XLFILL=b")</f>
        <v>196</v>
      </c>
      <c r="L259" s="9">
        <f>_xll.BQL("ALK US Equity", "PREPAID_EXPNSS_AND_OTHR/1M", "FPT=A", "FPO=-3A", "ACT_EST_MAPPING=PRECISE", "FS=MRC", "CURRENCY=USD", "XLFILL=b")</f>
        <v>123</v>
      </c>
      <c r="M259" s="9">
        <f>_xll.BQL("ALK US Equity", "PREPAID_EXPNSS_AND_OTHR/1M", "FPT=A", "FPO=-4A", "ACT_EST_MAPPING=PRECISE", "FS=MRC", "CURRENCY=USD", "XLFILL=b")</f>
        <v>121</v>
      </c>
      <c r="N259" s="9">
        <f>_xll.BQL("ALK US Equity", "PREPAID_EXPNSS_AND_OTHR/1M", "FPT=A", "FPO=-5A", "ACT_EST_MAPPING=PRECISE", "FS=MRC", "CURRENCY=USD", "XLFILL=b")</f>
        <v>125</v>
      </c>
    </row>
    <row r="260" spans="1:14" x14ac:dyDescent="0.2">
      <c r="A260" s="8" t="s">
        <v>67</v>
      </c>
      <c r="B260" s="4" t="s">
        <v>267</v>
      </c>
      <c r="C260" s="4"/>
      <c r="D260" s="4"/>
      <c r="E260" s="9" t="str">
        <f>_xll.BQL("ALK US Equity", "FA_GROWTH(PREPAID_EXPNSS_AND_OTHR, YOY)", "FPT=A", "FPO=4A", "ACT_EST_MAPPING=PRECISE", "FS=MRC", "CURRENCY=USD", "XLFILL=b")</f>
        <v/>
      </c>
      <c r="F260" s="9">
        <f>_xll.BQL("ALK US Equity", "FA_GROWTH(PREPAID_EXPNSS_AND_OTHR, YOY)", "FPT=A", "FPO=3A", "ACT_EST_MAPPING=PRECISE", "FS=MRC", "CURRENCY=USD", "XLFILL=b")</f>
        <v>-6.6330579673046444</v>
      </c>
      <c r="G260" s="9">
        <f>_xll.BQL("ALK US Equity", "FA_GROWTH(PREPAID_EXPNSS_AND_OTHR, YOY)", "FPT=A", "FPO=2A", "ACT_EST_MAPPING=PRECISE", "FS=MRC", "CURRENCY=USD", "XLFILL=b")</f>
        <v>1.174055689486615</v>
      </c>
      <c r="H260" s="9">
        <f>_xll.BQL("ALK US Equity", "FA_GROWTH(PREPAID_EXPNSS_AND_OTHR, YOY)", "FPT=A", "FPO=1A", "ACT_EST_MAPPING=PRECISE", "FS=MRC", "CURRENCY=USD", "XLFILL=b")</f>
        <v>110.68341884885702</v>
      </c>
      <c r="I260" s="9">
        <f>_xll.BQL("ALK US Equity", "FA_GROWTH(PREPAID_EXPNSS_AND_OTHR, YOY)", "FPT=A", "FPO=0A", "ACT_EST_MAPPING=PRECISE", "FS=MRC", "CURRENCY=USD", "XLFILL=b")</f>
        <v>7.9754601226993866</v>
      </c>
      <c r="J260" s="9">
        <f>_xll.BQL("ALK US Equity", "FA_GROWTH(PREPAID_EXPNSS_AND_OTHR, YOY)", "FPT=A", "FPO=-1A", "ACT_EST_MAPPING=PRECISE", "FS=MRC", "CURRENCY=USD", "XLFILL=b")</f>
        <v>-16.836734693877553</v>
      </c>
      <c r="K260" s="9">
        <f>_xll.BQL("ALK US Equity", "FA_GROWTH(PREPAID_EXPNSS_AND_OTHR, YOY)", "FPT=A", "FPO=-2A", "ACT_EST_MAPPING=PRECISE", "FS=MRC", "CURRENCY=USD", "XLFILL=b")</f>
        <v>59.349593495934961</v>
      </c>
      <c r="L260" s="9">
        <f>_xll.BQL("ALK US Equity", "FA_GROWTH(PREPAID_EXPNSS_AND_OTHR, YOY)", "FPT=A", "FPO=-3A", "ACT_EST_MAPPING=PRECISE", "FS=MRC", "CURRENCY=USD", "XLFILL=b")</f>
        <v>1.6528925619834711</v>
      </c>
      <c r="M260" s="9">
        <f>_xll.BQL("ALK US Equity", "FA_GROWTH(PREPAID_EXPNSS_AND_OTHR, YOY)", "FPT=A", "FPO=-4A", "ACT_EST_MAPPING=PRECISE", "FS=MRC", "CURRENCY=USD", "XLFILL=b")</f>
        <v>-3.2</v>
      </c>
      <c r="N260" s="9">
        <f>_xll.BQL("ALK US Equity", "FA_GROWTH(PREPAID_EXPNSS_AND_OTHR, YOY)", "FPT=A", "FPO=-5A", "ACT_EST_MAPPING=PRECISE", "FS=MRC", "CURRENCY=USD", "XLFILL=b")</f>
        <v>-6.0150375939849621</v>
      </c>
    </row>
    <row r="261" spans="1:14" x14ac:dyDescent="0.2">
      <c r="A261" s="8" t="s">
        <v>268</v>
      </c>
      <c r="B261" s="4" t="s">
        <v>269</v>
      </c>
      <c r="C261" s="4"/>
      <c r="D261" s="4"/>
      <c r="E261" s="9" t="str">
        <f>_xll.BQL("ALK US Equity", "BS_TOTAL_NON_CURRENT_ASSETS/1M", "FPT=A", "FPO=4A", "ACT_EST_MAPPING=PRECISE", "FS=MRC", "CURRENCY=USD", "XLFILL=b")</f>
        <v/>
      </c>
      <c r="F261" s="9" t="str">
        <f>_xll.BQL("ALK US Equity", "BS_TOTAL_NON_CURRENT_ASSETS/1M", "FPT=A", "FPO=3A", "ACT_EST_MAPPING=PRECISE", "FS=MRC", "CURRENCY=USD", "XLFILL=b")</f>
        <v/>
      </c>
      <c r="G261" s="9" t="str">
        <f>_xll.BQL("ALK US Equity", "BS_TOTAL_NON_CURRENT_ASSETS/1M", "FPT=A", "FPO=2A", "ACT_EST_MAPPING=PRECISE", "FS=MRC", "CURRENCY=USD", "XLFILL=b")</f>
        <v/>
      </c>
      <c r="H261" s="9" t="str">
        <f>_xll.BQL("ALK US Equity", "BS_TOTAL_NON_CURRENT_ASSETS/1M", "FPT=A", "FPO=1A", "ACT_EST_MAPPING=PRECISE", "FS=MRC", "CURRENCY=USD", "XLFILL=b")</f>
        <v/>
      </c>
      <c r="I261" s="9">
        <f>_xll.BQL("ALK US Equity", "BS_TOTAL_NON_CURRENT_ASSETS/1M", "FPT=A", "FPO=0A", "ACT_EST_MAPPING=PRECISE", "FS=MRC", "CURRENCY=USD", "XLFILL=b")</f>
        <v>11908</v>
      </c>
      <c r="J261" s="9">
        <f>_xll.BQL("ALK US Equity", "BS_TOTAL_NON_CURRENT_ASSETS/1M", "FPT=A", "FPO=-1A", "ACT_EST_MAPPING=PRECISE", "FS=MRC", "CURRENCY=USD", "XLFILL=b")</f>
        <v>11146</v>
      </c>
      <c r="K261" s="9">
        <f>_xll.BQL("ALK US Equity", "BS_TOTAL_NON_CURRENT_ASSETS/1M", "FPT=A", "FPO=-2A", "ACT_EST_MAPPING=PRECISE", "FS=MRC", "CURRENCY=USD", "XLFILL=b")</f>
        <v>10031</v>
      </c>
      <c r="L261" s="9">
        <f>_xll.BQL("ALK US Equity", "BS_TOTAL_NON_CURRENT_ASSETS/1M", "FPT=A", "FPO=-3A", "ACT_EST_MAPPING=PRECISE", "FS=MRC", "CURRENCY=USD", "XLFILL=b")</f>
        <v>10040</v>
      </c>
      <c r="M261" s="9">
        <f>_xll.BQL("ALK US Equity", "BS_TOTAL_NON_CURRENT_ASSETS/1M", "FPT=A", "FPO=-4A", "ACT_EST_MAPPING=PRECISE", "FS=MRC", "CURRENCY=USD", "XLFILL=b")</f>
        <v>10956</v>
      </c>
      <c r="N261" s="9">
        <f>_xll.BQL("ALK US Equity", "BS_TOTAL_NON_CURRENT_ASSETS/1M", "FPT=A", "FPO=-5A", "ACT_EST_MAPPING=PRECISE", "FS=MRC", "CURRENCY=USD", "XLFILL=b")</f>
        <v>9125</v>
      </c>
    </row>
    <row r="262" spans="1:14" x14ac:dyDescent="0.2">
      <c r="A262" s="8" t="s">
        <v>64</v>
      </c>
      <c r="B262" s="4" t="s">
        <v>269</v>
      </c>
      <c r="C262" s="4"/>
      <c r="D262" s="4"/>
      <c r="E262" s="9" t="str">
        <f>_xll.BQL("ALK US Equity", "FA_GROWTH(BS_TOTAL_NON_CURRENT_ASSETS, YOY)", "FPT=A", "FPO=4A", "ACT_EST_MAPPING=PRECISE", "FS=MRC", "CURRENCY=USD", "XLFILL=b")</f>
        <v/>
      </c>
      <c r="F262" s="9" t="str">
        <f>_xll.BQL("ALK US Equity", "FA_GROWTH(BS_TOTAL_NON_CURRENT_ASSETS, YOY)", "FPT=A", "FPO=3A", "ACT_EST_MAPPING=PRECISE", "FS=MRC", "CURRENCY=USD", "XLFILL=b")</f>
        <v/>
      </c>
      <c r="G262" s="9" t="str">
        <f>_xll.BQL("ALK US Equity", "FA_GROWTH(BS_TOTAL_NON_CURRENT_ASSETS, YOY)", "FPT=A", "FPO=2A", "ACT_EST_MAPPING=PRECISE", "FS=MRC", "CURRENCY=USD", "XLFILL=b")</f>
        <v/>
      </c>
      <c r="H262" s="9" t="str">
        <f>_xll.BQL("ALK US Equity", "FA_GROWTH(BS_TOTAL_NON_CURRENT_ASSETS, YOY)", "FPT=A", "FPO=1A", "ACT_EST_MAPPING=PRECISE", "FS=MRC", "CURRENCY=USD", "XLFILL=b")</f>
        <v/>
      </c>
      <c r="I262" s="9">
        <f>_xll.BQL("ALK US Equity", "FA_GROWTH(BS_TOTAL_NON_CURRENT_ASSETS, YOY)", "FPT=A", "FPO=0A", "ACT_EST_MAPPING=PRECISE", "FS=MRC", "CURRENCY=USD", "XLFILL=b")</f>
        <v>6.8365332854835819</v>
      </c>
      <c r="J262" s="9">
        <f>_xll.BQL("ALK US Equity", "FA_GROWTH(BS_TOTAL_NON_CURRENT_ASSETS, YOY)", "FPT=A", "FPO=-1A", "ACT_EST_MAPPING=PRECISE", "FS=MRC", "CURRENCY=USD", "XLFILL=b")</f>
        <v>11.115541820356894</v>
      </c>
      <c r="K262" s="9">
        <f>_xll.BQL("ALK US Equity", "FA_GROWTH(BS_TOTAL_NON_CURRENT_ASSETS, YOY)", "FPT=A", "FPO=-2A", "ACT_EST_MAPPING=PRECISE", "FS=MRC", "CURRENCY=USD", "XLFILL=b")</f>
        <v>-8.9641434262948211E-2</v>
      </c>
      <c r="L262" s="9">
        <f>_xll.BQL("ALK US Equity", "FA_GROWTH(BS_TOTAL_NON_CURRENT_ASSETS, YOY)", "FPT=A", "FPO=-3A", "ACT_EST_MAPPING=PRECISE", "FS=MRC", "CURRENCY=USD", "XLFILL=b")</f>
        <v>-8.3607155896312531</v>
      </c>
      <c r="M262" s="9">
        <f>_xll.BQL("ALK US Equity", "FA_GROWTH(BS_TOTAL_NON_CURRENT_ASSETS, YOY)", "FPT=A", "FPO=-4A", "ACT_EST_MAPPING=PRECISE", "FS=MRC", "CURRENCY=USD", "XLFILL=b")</f>
        <v>20.065753424657533</v>
      </c>
      <c r="N262" s="9">
        <f>_xll.BQL("ALK US Equity", "FA_GROWTH(BS_TOTAL_NON_CURRENT_ASSETS, YOY)", "FPT=A", "FPO=-5A", "ACT_EST_MAPPING=PRECISE", "FS=MRC", "CURRENCY=USD", "XLFILL=b")</f>
        <v>6.1787293460553876</v>
      </c>
    </row>
    <row r="263" spans="1:14" x14ac:dyDescent="0.2">
      <c r="A263" s="8" t="s">
        <v>270</v>
      </c>
      <c r="B263" s="4" t="s">
        <v>271</v>
      </c>
      <c r="C263" s="4" t="s">
        <v>272</v>
      </c>
      <c r="D263" s="4"/>
      <c r="E263" s="9" t="str">
        <f>_xll.BQL("ALK US Equity", "CB_BS_PP_AND_E_NET/1M", "FPT=A", "FPO=4A", "ACT_EST_MAPPING=PRECISE", "FS=MRC", "CURRENCY=USD", "XLFILL=b")</f>
        <v/>
      </c>
      <c r="F263" s="9">
        <f>_xll.BQL("ALK US Equity", "CB_BS_PP_AND_E_NET/1M", "FPT=A", "FPO=3A", "ACT_EST_MAPPING=PRECISE", "FS=MRC", "CURRENCY=USD", "XLFILL=b")</f>
        <v>12246.246950269258</v>
      </c>
      <c r="G263" s="9">
        <f>_xll.BQL("ALK US Equity", "CB_BS_PP_AND_E_NET/1M", "FPT=A", "FPO=2A", "ACT_EST_MAPPING=PRECISE", "FS=MRC", "CURRENCY=USD", "XLFILL=b")</f>
        <v>10278.825776947413</v>
      </c>
      <c r="H263" s="9">
        <f>_xll.BQL("ALK US Equity", "CB_BS_PP_AND_E_NET/1M", "FPT=A", "FPO=1A", "ACT_EST_MAPPING=PRECISE", "FS=MRC", "CURRENCY=USD", "XLFILL=b")</f>
        <v>9238.7593002827452</v>
      </c>
      <c r="I263" s="9">
        <f>_xll.BQL("ALK US Equity", "CB_BS_PP_AND_E_NET/1M", "FPT=A", "FPO=0A", "ACT_EST_MAPPING=PRECISE", "FS=MRC", "CURRENCY=USD", "XLFILL=b")</f>
        <v>8388</v>
      </c>
      <c r="J263" s="9">
        <f>_xll.BQL("ALK US Equity", "CB_BS_PP_AND_E_NET/1M", "FPT=A", "FPO=-1A", "ACT_EST_MAPPING=PRECISE", "FS=MRC", "CURRENCY=USD", "XLFILL=b")</f>
        <v>7257</v>
      </c>
      <c r="K263" s="9">
        <f>_xll.BQL("ALK US Equity", "CB_BS_PP_AND_E_NET/1M", "FPT=A", "FPO=-2A", "ACT_EST_MAPPING=PRECISE", "FS=MRC", "CURRENCY=USD", "XLFILL=b")</f>
        <v>6138</v>
      </c>
      <c r="L263" s="9">
        <f>_xll.BQL("ALK US Equity", "CB_BS_PP_AND_E_NET/1M", "FPT=A", "FPO=-3A", "ACT_EST_MAPPING=PRECISE", "FS=MRC", "CURRENCY=USD", "XLFILL=b")</f>
        <v>6211</v>
      </c>
      <c r="M263" s="9">
        <f>_xll.BQL("ALK US Equity", "CB_BS_PP_AND_E_NET/1M", "FPT=A", "FPO=-4A", "ACT_EST_MAPPING=PRECISE", "FS=MRC", "CURRENCY=USD", "XLFILL=b")</f>
        <v>6902</v>
      </c>
      <c r="N263" s="9">
        <f>_xll.BQL("ALK US Equity", "CB_BS_PP_AND_E_NET/1M", "FPT=A", "FPO=-5A", "ACT_EST_MAPPING=PRECISE", "FS=MRC", "CURRENCY=USD", "XLFILL=b")</f>
        <v>6781</v>
      </c>
    </row>
    <row r="264" spans="1:14" x14ac:dyDescent="0.2">
      <c r="A264" s="8" t="s">
        <v>67</v>
      </c>
      <c r="B264" s="4" t="s">
        <v>271</v>
      </c>
      <c r="C264" s="4" t="s">
        <v>272</v>
      </c>
      <c r="D264" s="4"/>
      <c r="E264" s="9" t="str">
        <f>_xll.BQL("ALK US Equity", "FA_GROWTH(CB_BS_PP_AND_E_NET, YOY)", "FPT=A", "FPO=4A", "ACT_EST_MAPPING=PRECISE", "FS=MRC", "CURRENCY=USD", "XLFILL=b")</f>
        <v/>
      </c>
      <c r="F264" s="9">
        <f>_xll.BQL("ALK US Equity", "FA_GROWTH(CB_BS_PP_AND_E_NET, YOY)", "FPT=A", "FPO=3A", "ACT_EST_MAPPING=PRECISE", "FS=MRC", "CURRENCY=USD", "XLFILL=b")</f>
        <v>19.14052456978337</v>
      </c>
      <c r="G264" s="9">
        <f>_xll.BQL("ALK US Equity", "FA_GROWTH(CB_BS_PP_AND_E_NET, YOY)", "FPT=A", "FPO=2A", "ACT_EST_MAPPING=PRECISE", "FS=MRC", "CURRENCY=USD", "XLFILL=b")</f>
        <v>11.25764231819349</v>
      </c>
      <c r="H264" s="9">
        <f>_xll.BQL("ALK US Equity", "FA_GROWTH(CB_BS_PP_AND_E_NET, YOY)", "FPT=A", "FPO=1A", "ACT_EST_MAPPING=PRECISE", "FS=MRC", "CURRENCY=USD", "XLFILL=b")</f>
        <v>10.142576302846273</v>
      </c>
      <c r="I264" s="9">
        <f>_xll.BQL("ALK US Equity", "FA_GROWTH(CB_BS_PP_AND_E_NET, YOY)", "FPT=A", "FPO=0A", "ACT_EST_MAPPING=PRECISE", "FS=MRC", "CURRENCY=USD", "XLFILL=b")</f>
        <v>15.584952459694088</v>
      </c>
      <c r="J264" s="9">
        <f>_xll.BQL("ALK US Equity", "FA_GROWTH(CB_BS_PP_AND_E_NET, YOY)", "FPT=A", "FPO=-1A", "ACT_EST_MAPPING=PRECISE", "FS=MRC", "CURRENCY=USD", "XLFILL=b")</f>
        <v>18.23069403714565</v>
      </c>
      <c r="K264" s="9">
        <f>_xll.BQL("ALK US Equity", "FA_GROWTH(CB_BS_PP_AND_E_NET, YOY)", "FPT=A", "FPO=-2A", "ACT_EST_MAPPING=PRECISE", "FS=MRC", "CURRENCY=USD", "XLFILL=b")</f>
        <v>-1.1753340846884559</v>
      </c>
      <c r="L264" s="9">
        <f>_xll.BQL("ALK US Equity", "FA_GROWTH(CB_BS_PP_AND_E_NET, YOY)", "FPT=A", "FPO=-3A", "ACT_EST_MAPPING=PRECISE", "FS=MRC", "CURRENCY=USD", "XLFILL=b")</f>
        <v>-10.011590843233845</v>
      </c>
      <c r="M264" s="9">
        <f>_xll.BQL("ALK US Equity", "FA_GROWTH(CB_BS_PP_AND_E_NET, YOY)", "FPT=A", "FPO=-4A", "ACT_EST_MAPPING=PRECISE", "FS=MRC", "CURRENCY=USD", "XLFILL=b")</f>
        <v>1.7843975814776583</v>
      </c>
      <c r="N264" s="9">
        <f>_xll.BQL("ALK US Equity", "FA_GROWTH(CB_BS_PP_AND_E_NET, YOY)", "FPT=A", "FPO=-5A", "ACT_EST_MAPPING=PRECISE", "FS=MRC", "CURRENCY=USD", "XLFILL=b")</f>
        <v>7.9089751750477406</v>
      </c>
    </row>
    <row r="265" spans="1:14" x14ac:dyDescent="0.2">
      <c r="A265" s="8" t="s">
        <v>273</v>
      </c>
      <c r="B265" s="4" t="s">
        <v>274</v>
      </c>
      <c r="C265" s="4"/>
      <c r="D265" s="4"/>
      <c r="E265" s="9" t="str">
        <f>_xll.BQL("ALK US Equity", "CB_BS_ACCUMULATED_DEPRECIATION/1M", "FPT=A", "FPO=4A", "ACT_EST_MAPPING=PRECISE", "FS=MRC", "CURRENCY=USD", "XLFILL=b")</f>
        <v/>
      </c>
      <c r="F265" s="9">
        <f>_xll.BQL("ALK US Equity", "CB_BS_ACCUMULATED_DEPRECIATION/1M", "FPT=A", "FPO=3A", "ACT_EST_MAPPING=PRECISE", "FS=MRC", "CURRENCY=USD", "XLFILL=b")</f>
        <v>4052.0240800000006</v>
      </c>
      <c r="G265" s="9">
        <f>_xll.BQL("ALK US Equity", "CB_BS_ACCUMULATED_DEPRECIATION/1M", "FPT=A", "FPO=2A", "ACT_EST_MAPPING=PRECISE", "FS=MRC", "CURRENCY=USD", "XLFILL=b")</f>
        <v>4229.7020000000002</v>
      </c>
      <c r="H265" s="9">
        <f>_xll.BQL("ALK US Equity", "CB_BS_ACCUMULATED_DEPRECIATION/1M", "FPT=A", "FPO=1A", "ACT_EST_MAPPING=PRECISE", "FS=MRC", "CURRENCY=USD", "XLFILL=b")</f>
        <v>4391.3999999999996</v>
      </c>
      <c r="I265" s="9">
        <f>_xll.BQL("ALK US Equity", "CB_BS_ACCUMULATED_DEPRECIATION/1M", "FPT=A", "FPO=0A", "ACT_EST_MAPPING=PRECISE", "FS=MRC", "CURRENCY=USD", "XLFILL=b")</f>
        <v>4342</v>
      </c>
      <c r="J265" s="9">
        <f>_xll.BQL("ALK US Equity", "CB_BS_ACCUMULATED_DEPRECIATION/1M", "FPT=A", "FPO=-1A", "ACT_EST_MAPPING=PRECISE", "FS=MRC", "CURRENCY=USD", "XLFILL=b")</f>
        <v>4127</v>
      </c>
      <c r="K265" s="9">
        <f>_xll.BQL("ALK US Equity", "CB_BS_ACCUMULATED_DEPRECIATION/1M", "FPT=A", "FPO=-2A", "ACT_EST_MAPPING=PRECISE", "FS=MRC", "CURRENCY=USD", "XLFILL=b")</f>
        <v>3862</v>
      </c>
      <c r="L265" s="9">
        <f>_xll.BQL("ALK US Equity", "CB_BS_ACCUMULATED_DEPRECIATION/1M", "FPT=A", "FPO=-3A", "ACT_EST_MAPPING=PRECISE", "FS=MRC", "CURRENCY=USD", "XLFILL=b")</f>
        <v>3531</v>
      </c>
      <c r="M265" s="9">
        <f>_xll.BQL("ALK US Equity", "CB_BS_ACCUMULATED_DEPRECIATION/1M", "FPT=A", "FPO=-4A", "ACT_EST_MAPPING=PRECISE", "FS=MRC", "CURRENCY=USD", "XLFILL=b")</f>
        <v>3486</v>
      </c>
      <c r="N265" s="9">
        <f>_xll.BQL("ALK US Equity", "CB_BS_ACCUMULATED_DEPRECIATION/1M", "FPT=A", "FPO=-5A", "ACT_EST_MAPPING=PRECISE", "FS=MRC", "CURRENCY=USD", "XLFILL=b")</f>
        <v>3242</v>
      </c>
    </row>
    <row r="266" spans="1:14" x14ac:dyDescent="0.2">
      <c r="A266" s="8" t="s">
        <v>67</v>
      </c>
      <c r="B266" s="4" t="s">
        <v>274</v>
      </c>
      <c r="C266" s="4"/>
      <c r="D266" s="4"/>
      <c r="E266" s="9" t="str">
        <f>_xll.BQL("ALK US Equity", "FA_GROWTH(CB_BS_ACCUMULATED_DEPRECIATION, YOY)", "FPT=A", "FPO=4A", "ACT_EST_MAPPING=PRECISE", "FS=MRC", "CURRENCY=USD", "XLFILL=b")</f>
        <v/>
      </c>
      <c r="F266" s="9">
        <f>_xll.BQL("ALK US Equity", "FA_GROWTH(CB_BS_ACCUMULATED_DEPRECIATION, YOY)", "FPT=A", "FPO=3A", "ACT_EST_MAPPING=PRECISE", "FS=MRC", "CURRENCY=USD", "XLFILL=b")</f>
        <v>-4.2007195778804167</v>
      </c>
      <c r="G266" s="9">
        <f>_xll.BQL("ALK US Equity", "FA_GROWTH(CB_BS_ACCUMULATED_DEPRECIATION, YOY)", "FPT=A", "FPO=2A", "ACT_EST_MAPPING=PRECISE", "FS=MRC", "CURRENCY=USD", "XLFILL=b")</f>
        <v>-3.6821514778886004</v>
      </c>
      <c r="H266" s="9">
        <f>_xll.BQL("ALK US Equity", "FA_GROWTH(CB_BS_ACCUMULATED_DEPRECIATION, YOY)", "FPT=A", "FPO=1A", "ACT_EST_MAPPING=PRECISE", "FS=MRC", "CURRENCY=USD", "XLFILL=b")</f>
        <v>1.1377245508982037</v>
      </c>
      <c r="I266" s="9">
        <f>_xll.BQL("ALK US Equity", "FA_GROWTH(CB_BS_ACCUMULATED_DEPRECIATION, YOY)", "FPT=A", "FPO=0A", "ACT_EST_MAPPING=PRECISE", "FS=MRC", "CURRENCY=USD", "XLFILL=b")</f>
        <v>5.2095953477102013</v>
      </c>
      <c r="J266" s="9">
        <f>_xll.BQL("ALK US Equity", "FA_GROWTH(CB_BS_ACCUMULATED_DEPRECIATION, YOY)", "FPT=A", "FPO=-1A", "ACT_EST_MAPPING=PRECISE", "FS=MRC", "CURRENCY=USD", "XLFILL=b")</f>
        <v>6.8617296737441738</v>
      </c>
      <c r="K266" s="9">
        <f>_xll.BQL("ALK US Equity", "FA_GROWTH(CB_BS_ACCUMULATED_DEPRECIATION, YOY)", "FPT=A", "FPO=-2A", "ACT_EST_MAPPING=PRECISE", "FS=MRC", "CURRENCY=USD", "XLFILL=b")</f>
        <v>9.3741149815916174</v>
      </c>
      <c r="L266" s="9">
        <f>_xll.BQL("ALK US Equity", "FA_GROWTH(CB_BS_ACCUMULATED_DEPRECIATION, YOY)", "FPT=A", "FPO=-3A", "ACT_EST_MAPPING=PRECISE", "FS=MRC", "CURRENCY=USD", "XLFILL=b")</f>
        <v>1.2908777969018932</v>
      </c>
      <c r="M266" s="9">
        <f>_xll.BQL("ALK US Equity", "FA_GROWTH(CB_BS_ACCUMULATED_DEPRECIATION, YOY)", "FPT=A", "FPO=-4A", "ACT_EST_MAPPING=PRECISE", "FS=MRC", "CURRENCY=USD", "XLFILL=b")</f>
        <v>7.5262183837137568</v>
      </c>
      <c r="N266" s="9">
        <f>_xll.BQL("ALK US Equity", "FA_GROWTH(CB_BS_ACCUMULATED_DEPRECIATION, YOY)", "FPT=A", "FPO=-5A", "ACT_EST_MAPPING=PRECISE", "FS=MRC", "CURRENCY=USD", "XLFILL=b")</f>
        <v>8.391842193246406</v>
      </c>
    </row>
    <row r="267" spans="1:14" x14ac:dyDescent="0.2">
      <c r="A267" s="8" t="s">
        <v>275</v>
      </c>
      <c r="B267" s="4" t="s">
        <v>276</v>
      </c>
      <c r="C267" s="4"/>
      <c r="D267" s="4"/>
      <c r="E267" s="9" t="str">
        <f>_xll.BQL("ALK US Equity", "BS_OPER_LEA_RT_OF_USE_ASSETS/1M", "FPT=A", "FPO=4A", "ACT_EST_MAPPING=PRECISE", "FS=MRC", "CURRENCY=USD", "XLFILL=b")</f>
        <v/>
      </c>
      <c r="F267" s="9">
        <f>_xll.BQL("ALK US Equity", "BS_OPER_LEA_RT_OF_USE_ASSETS/1M", "FPT=A", "FPO=3A", "ACT_EST_MAPPING=PRECISE", "FS=MRC", "CURRENCY=USD", "XLFILL=b")</f>
        <v>1457.3080304017467</v>
      </c>
      <c r="G267" s="9">
        <f>_xll.BQL("ALK US Equity", "BS_OPER_LEA_RT_OF_USE_ASSETS/1M", "FPT=A", "FPO=2A", "ACT_EST_MAPPING=PRECISE", "FS=MRC", "CURRENCY=USD", "XLFILL=b")</f>
        <v>1347.572497761465</v>
      </c>
      <c r="H267" s="9">
        <f>_xll.BQL("ALK US Equity", "BS_OPER_LEA_RT_OF_USE_ASSETS/1M", "FPT=A", "FPO=1A", "ACT_EST_MAPPING=PRECISE", "FS=MRC", "CURRENCY=USD", "XLFILL=b")</f>
        <v>1247.615</v>
      </c>
      <c r="I267" s="9">
        <f>_xll.BQL("ALK US Equity", "BS_OPER_LEA_RT_OF_USE_ASSETS/1M", "FPT=A", "FPO=0A", "ACT_EST_MAPPING=PRECISE", "FS=MRC", "CURRENCY=USD", "XLFILL=b")</f>
        <v>1195</v>
      </c>
      <c r="J267" s="9">
        <f>_xll.BQL("ALK US Equity", "BS_OPER_LEA_RT_OF_USE_ASSETS/1M", "FPT=A", "FPO=-1A", "ACT_EST_MAPPING=PRECISE", "FS=MRC", "CURRENCY=USD", "XLFILL=b")</f>
        <v>1471</v>
      </c>
      <c r="K267" s="9">
        <f>_xll.BQL("ALK US Equity", "BS_OPER_LEA_RT_OF_USE_ASSETS/1M", "FPT=A", "FPO=-2A", "ACT_EST_MAPPING=PRECISE", "FS=MRC", "CURRENCY=USD", "XLFILL=b")</f>
        <v>1453</v>
      </c>
      <c r="L267" s="9">
        <f>_xll.BQL("ALK US Equity", "BS_OPER_LEA_RT_OF_USE_ASSETS/1M", "FPT=A", "FPO=-3A", "ACT_EST_MAPPING=PRECISE", "FS=MRC", "CURRENCY=USD", "XLFILL=b")</f>
        <v>1400</v>
      </c>
      <c r="M267" s="9">
        <f>_xll.BQL("ALK US Equity", "BS_OPER_LEA_RT_OF_USE_ASSETS/1M", "FPT=A", "FPO=-4A", "ACT_EST_MAPPING=PRECISE", "FS=MRC", "CURRENCY=USD", "XLFILL=b")</f>
        <v>1711</v>
      </c>
      <c r="N267" s="9">
        <f>_xll.BQL("ALK US Equity", "BS_OPER_LEA_RT_OF_USE_ASSETS/1M", "FPT=A", "FPO=-5A", "ACT_EST_MAPPING=PRECISE", "FS=MRC", "CURRENCY=USD", "XLFILL=b")</f>
        <v>0</v>
      </c>
    </row>
    <row r="268" spans="1:14" x14ac:dyDescent="0.2">
      <c r="A268" s="8" t="s">
        <v>67</v>
      </c>
      <c r="B268" s="4" t="s">
        <v>276</v>
      </c>
      <c r="C268" s="4"/>
      <c r="D268" s="4"/>
      <c r="E268" s="9" t="str">
        <f>_xll.BQL("ALK US Equity", "FA_GROWTH(BS_OPER_LEA_RT_OF_USE_ASSETS, YOY)", "FPT=A", "FPO=4A", "ACT_EST_MAPPING=PRECISE", "FS=MRC", "CURRENCY=USD", "XLFILL=b")</f>
        <v/>
      </c>
      <c r="F268" s="9">
        <f>_xll.BQL("ALK US Equity", "FA_GROWTH(BS_OPER_LEA_RT_OF_USE_ASSETS, YOY)", "FPT=A", "FPO=3A", "ACT_EST_MAPPING=PRECISE", "FS=MRC", "CURRENCY=USD", "XLFILL=b")</f>
        <v>8.1432006680583093</v>
      </c>
      <c r="G268" s="9">
        <f>_xll.BQL("ALK US Equity", "FA_GROWTH(BS_OPER_LEA_RT_OF_USE_ASSETS, YOY)", "FPT=A", "FPO=2A", "ACT_EST_MAPPING=PRECISE", "FS=MRC", "CURRENCY=USD", "XLFILL=b")</f>
        <v>8.0118865003598927</v>
      </c>
      <c r="H268" s="9">
        <f>_xll.BQL("ALK US Equity", "FA_GROWTH(BS_OPER_LEA_RT_OF_USE_ASSETS, YOY)", "FPT=A", "FPO=1A", "ACT_EST_MAPPING=PRECISE", "FS=MRC", "CURRENCY=USD", "XLFILL=b")</f>
        <v>4.4029288702928868</v>
      </c>
      <c r="I268" s="9">
        <f>_xll.BQL("ALK US Equity", "FA_GROWTH(BS_OPER_LEA_RT_OF_USE_ASSETS, YOY)", "FPT=A", "FPO=0A", "ACT_EST_MAPPING=PRECISE", "FS=MRC", "CURRENCY=USD", "XLFILL=b")</f>
        <v>-18.762746430999321</v>
      </c>
      <c r="J268" s="9">
        <f>_xll.BQL("ALK US Equity", "FA_GROWTH(BS_OPER_LEA_RT_OF_USE_ASSETS, YOY)", "FPT=A", "FPO=-1A", "ACT_EST_MAPPING=PRECISE", "FS=MRC", "CURRENCY=USD", "XLFILL=b")</f>
        <v>1.2388162422573985</v>
      </c>
      <c r="K268" s="9">
        <f>_xll.BQL("ALK US Equity", "FA_GROWTH(BS_OPER_LEA_RT_OF_USE_ASSETS, YOY)", "FPT=A", "FPO=-2A", "ACT_EST_MAPPING=PRECISE", "FS=MRC", "CURRENCY=USD", "XLFILL=b")</f>
        <v>3.7857142857142856</v>
      </c>
      <c r="L268" s="9">
        <f>_xll.BQL("ALK US Equity", "FA_GROWTH(BS_OPER_LEA_RT_OF_USE_ASSETS, YOY)", "FPT=A", "FPO=-3A", "ACT_EST_MAPPING=PRECISE", "FS=MRC", "CURRENCY=USD", "XLFILL=b")</f>
        <v>-18.176504967855056</v>
      </c>
      <c r="M268" s="9" t="str">
        <f>_xll.BQL("ALK US Equity", "FA_GROWTH(BS_OPER_LEA_RT_OF_USE_ASSETS, YOY)", "FPT=A", "FPO=-4A", "ACT_EST_MAPPING=PRECISE", "FS=MRC", "CURRENCY=USD", "XLFILL=b")</f>
        <v/>
      </c>
      <c r="N268" s="9" t="str">
        <f>_xll.BQL("ALK US Equity", "FA_GROWTH(BS_OPER_LEA_RT_OF_USE_ASSETS, YOY)", "FPT=A", "FPO=-5A", "ACT_EST_MAPPING=PRECISE", "FS=MRC", "CURRENCY=USD", "XLFILL=b")</f>
        <v/>
      </c>
    </row>
    <row r="269" spans="1:14" x14ac:dyDescent="0.2">
      <c r="A269" s="8" t="s">
        <v>277</v>
      </c>
      <c r="B269" s="4" t="s">
        <v>278</v>
      </c>
      <c r="C269" s="4"/>
      <c r="D269" s="4"/>
      <c r="E269" s="9" t="str">
        <f>_xll.BQL("ALK US Equity", "BS_DISCLOSED_INTANGIBLES/1M", "FPT=A", "FPO=4A", "ACT_EST_MAPPING=PRECISE", "FS=MRC", "CURRENCY=USD", "XLFILL=b")</f>
        <v/>
      </c>
      <c r="F269" s="9">
        <f>_xll.BQL("ALK US Equity", "BS_DISCLOSED_INTANGIBLES/1M", "FPT=A", "FPO=3A", "ACT_EST_MAPPING=PRECISE", "FS=MRC", "CURRENCY=USD", "XLFILL=b")</f>
        <v>2033</v>
      </c>
      <c r="G269" s="9">
        <f>_xll.BQL("ALK US Equity", "BS_DISCLOSED_INTANGIBLES/1M", "FPT=A", "FPO=2A", "ACT_EST_MAPPING=PRECISE", "FS=MRC", "CURRENCY=USD", "XLFILL=b")</f>
        <v>2033</v>
      </c>
      <c r="H269" s="9">
        <f>_xll.BQL("ALK US Equity", "BS_DISCLOSED_INTANGIBLES/1M", "FPT=A", "FPO=1A", "ACT_EST_MAPPING=PRECISE", "FS=MRC", "CURRENCY=USD", "XLFILL=b")</f>
        <v>2033</v>
      </c>
      <c r="I269" s="9">
        <f>_xll.BQL("ALK US Equity", "BS_DISCLOSED_INTANGIBLES/1M", "FPT=A", "FPO=0A", "ACT_EST_MAPPING=PRECISE", "FS=MRC", "CURRENCY=USD", "XLFILL=b")</f>
        <v>2033</v>
      </c>
      <c r="J269" s="9">
        <f>_xll.BQL("ALK US Equity", "BS_DISCLOSED_INTANGIBLES/1M", "FPT=A", "FPO=-1A", "ACT_EST_MAPPING=PRECISE", "FS=MRC", "CURRENCY=USD", "XLFILL=b")</f>
        <v>2038</v>
      </c>
      <c r="K269" s="9">
        <f>_xll.BQL("ALK US Equity", "BS_DISCLOSED_INTANGIBLES/1M", "FPT=A", "FPO=-2A", "ACT_EST_MAPPING=PRECISE", "FS=MRC", "CURRENCY=USD", "XLFILL=b")</f>
        <v>2044</v>
      </c>
      <c r="L269" s="9">
        <f>_xll.BQL("ALK US Equity", "BS_DISCLOSED_INTANGIBLES/1M", "FPT=A", "FPO=-3A", "ACT_EST_MAPPING=PRECISE", "FS=MRC", "CURRENCY=USD", "XLFILL=b")</f>
        <v>2050</v>
      </c>
      <c r="M269" s="9">
        <f>_xll.BQL("ALK US Equity", "BS_DISCLOSED_INTANGIBLES/1M", "FPT=A", "FPO=-4A", "ACT_EST_MAPPING=PRECISE", "FS=MRC", "CURRENCY=USD", "XLFILL=b")</f>
        <v>2065</v>
      </c>
      <c r="N269" s="9">
        <f>_xll.BQL("ALK US Equity", "BS_DISCLOSED_INTANGIBLES/1M", "FPT=A", "FPO=-5A", "ACT_EST_MAPPING=PRECISE", "FS=MRC", "CURRENCY=USD", "XLFILL=b")</f>
        <v>2070</v>
      </c>
    </row>
    <row r="270" spans="1:14" x14ac:dyDescent="0.2">
      <c r="A270" s="8" t="s">
        <v>67</v>
      </c>
      <c r="B270" s="4" t="s">
        <v>278</v>
      </c>
      <c r="C270" s="4"/>
      <c r="D270" s="4"/>
      <c r="E270" s="9" t="str">
        <f>_xll.BQL("ALK US Equity", "FA_GROWTH(BS_DISCLOSED_INTANGIBLES, YOY)", "FPT=A", "FPO=4A", "ACT_EST_MAPPING=PRECISE", "FS=MRC", "CURRENCY=USD", "XLFILL=b")</f>
        <v/>
      </c>
      <c r="F270" s="9">
        <f>_xll.BQL("ALK US Equity", "FA_GROWTH(BS_DISCLOSED_INTANGIBLES, YOY)", "FPT=A", "FPO=3A", "ACT_EST_MAPPING=PRECISE", "FS=MRC", "CURRENCY=USD", "XLFILL=b")</f>
        <v>0</v>
      </c>
      <c r="G270" s="9">
        <f>_xll.BQL("ALK US Equity", "FA_GROWTH(BS_DISCLOSED_INTANGIBLES, YOY)", "FPT=A", "FPO=2A", "ACT_EST_MAPPING=PRECISE", "FS=MRC", "CURRENCY=USD", "XLFILL=b")</f>
        <v>0</v>
      </c>
      <c r="H270" s="9">
        <f>_xll.BQL("ALK US Equity", "FA_GROWTH(BS_DISCLOSED_INTANGIBLES, YOY)", "FPT=A", "FPO=1A", "ACT_EST_MAPPING=PRECISE", "FS=MRC", "CURRENCY=USD", "XLFILL=b")</f>
        <v>0</v>
      </c>
      <c r="I270" s="9">
        <f>_xll.BQL("ALK US Equity", "FA_GROWTH(BS_DISCLOSED_INTANGIBLES, YOY)", "FPT=A", "FPO=0A", "ACT_EST_MAPPING=PRECISE", "FS=MRC", "CURRENCY=USD", "XLFILL=b")</f>
        <v>-0.24533856722276742</v>
      </c>
      <c r="J270" s="9">
        <f>_xll.BQL("ALK US Equity", "FA_GROWTH(BS_DISCLOSED_INTANGIBLES, YOY)", "FPT=A", "FPO=-1A", "ACT_EST_MAPPING=PRECISE", "FS=MRC", "CURRENCY=USD", "XLFILL=b")</f>
        <v>-0.29354207436399216</v>
      </c>
      <c r="K270" s="9">
        <f>_xll.BQL("ALK US Equity", "FA_GROWTH(BS_DISCLOSED_INTANGIBLES, YOY)", "FPT=A", "FPO=-2A", "ACT_EST_MAPPING=PRECISE", "FS=MRC", "CURRENCY=USD", "XLFILL=b")</f>
        <v>-0.29268292682926828</v>
      </c>
      <c r="L270" s="9">
        <f>_xll.BQL("ALK US Equity", "FA_GROWTH(BS_DISCLOSED_INTANGIBLES, YOY)", "FPT=A", "FPO=-3A", "ACT_EST_MAPPING=PRECISE", "FS=MRC", "CURRENCY=USD", "XLFILL=b")</f>
        <v>-0.72639225181598066</v>
      </c>
      <c r="M270" s="9">
        <f>_xll.BQL("ALK US Equity", "FA_GROWTH(BS_DISCLOSED_INTANGIBLES, YOY)", "FPT=A", "FPO=-4A", "ACT_EST_MAPPING=PRECISE", "FS=MRC", "CURRENCY=USD", "XLFILL=b")</f>
        <v>-0.24154589371980675</v>
      </c>
      <c r="N270" s="9">
        <f>_xll.BQL("ALK US Equity", "FA_GROWTH(BS_DISCLOSED_INTANGIBLES, YOY)", "FPT=A", "FPO=-5A", "ACT_EST_MAPPING=PRECISE", "FS=MRC", "CURRENCY=USD", "XLFILL=b")</f>
        <v>-0.28901734104046245</v>
      </c>
    </row>
    <row r="271" spans="1:14" x14ac:dyDescent="0.2">
      <c r="A271" s="8" t="s">
        <v>279</v>
      </c>
      <c r="B271" s="4" t="s">
        <v>280</v>
      </c>
      <c r="C271" s="4"/>
      <c r="D271" s="4"/>
      <c r="E271" s="9" t="str">
        <f>_xll.BQL("ALK US Equity", "BS_OTHER_ASSETS_DEF_CHRG_OTHER/1M", "FPT=A", "FPO=4A", "ACT_EST_MAPPING=PRECISE", "FS=MRC", "CURRENCY=USD", "XLFILL=b")</f>
        <v/>
      </c>
      <c r="F271" s="9">
        <f>_xll.BQL("ALK US Equity", "BS_OTHER_ASSETS_DEF_CHRG_OTHER/1M", "FPT=A", "FPO=3A", "ACT_EST_MAPPING=PRECISE", "FS=MRC", "CURRENCY=USD", "XLFILL=b")</f>
        <v>2033</v>
      </c>
      <c r="G271" s="9">
        <f>_xll.BQL("ALK US Equity", "BS_OTHER_ASSETS_DEF_CHRG_OTHER/1M", "FPT=A", "FPO=2A", "ACT_EST_MAPPING=PRECISE", "FS=MRC", "CURRENCY=USD", "XLFILL=b")</f>
        <v>2033</v>
      </c>
      <c r="H271" s="9">
        <f>_xll.BQL("ALK US Equity", "BS_OTHER_ASSETS_DEF_CHRG_OTHER/1M", "FPT=A", "FPO=1A", "ACT_EST_MAPPING=PRECISE", "FS=MRC", "CURRENCY=USD", "XLFILL=b")</f>
        <v>2033</v>
      </c>
      <c r="I271" s="9">
        <f>_xll.BQL("ALK US Equity", "BS_OTHER_ASSETS_DEF_CHRG_OTHER/1M", "FPT=A", "FPO=0A", "ACT_EST_MAPPING=PRECISE", "FS=MRC", "CURRENCY=USD", "XLFILL=b")</f>
        <v>2325</v>
      </c>
      <c r="J271" s="9">
        <f>_xll.BQL("ALK US Equity", "BS_OTHER_ASSETS_DEF_CHRG_OTHER/1M", "FPT=A", "FPO=-1A", "ACT_EST_MAPPING=PRECISE", "FS=MRC", "CURRENCY=USD", "XLFILL=b")</f>
        <v>2418</v>
      </c>
      <c r="K271" s="9">
        <f>_xll.BQL("ALK US Equity", "BS_OTHER_ASSETS_DEF_CHRG_OTHER/1M", "FPT=A", "FPO=-2A", "ACT_EST_MAPPING=PRECISE", "FS=MRC", "CURRENCY=USD", "XLFILL=b")</f>
        <v>2440</v>
      </c>
      <c r="L271" s="9">
        <f>_xll.BQL("ALK US Equity", "BS_OTHER_ASSETS_DEF_CHRG_OTHER/1M", "FPT=A", "FPO=-3A", "ACT_EST_MAPPING=PRECISE", "FS=MRC", "CURRENCY=USD", "XLFILL=b")</f>
        <v>2429</v>
      </c>
      <c r="M271" s="9">
        <f>_xll.BQL("ALK US Equity", "BS_OTHER_ASSETS_DEF_CHRG_OTHER/1M", "FPT=A", "FPO=-4A", "ACT_EST_MAPPING=PRECISE", "FS=MRC", "CURRENCY=USD", "XLFILL=b")</f>
        <v>2343</v>
      </c>
      <c r="N271" s="9">
        <f>_xll.BQL("ALK US Equity", "BS_OTHER_ASSETS_DEF_CHRG_OTHER/1M", "FPT=A", "FPO=-5A", "ACT_EST_MAPPING=PRECISE", "FS=MRC", "CURRENCY=USD", "XLFILL=b")</f>
        <v>2344</v>
      </c>
    </row>
    <row r="272" spans="1:14" x14ac:dyDescent="0.2">
      <c r="A272" s="8" t="s">
        <v>67</v>
      </c>
      <c r="B272" s="4" t="s">
        <v>280</v>
      </c>
      <c r="C272" s="4"/>
      <c r="D272" s="4"/>
      <c r="E272" s="9" t="str">
        <f>_xll.BQL("ALK US Equity", "FA_GROWTH(BS_OTHER_ASSETS_DEF_CHRG_OTHER, YOY)", "FPT=A", "FPO=4A", "ACT_EST_MAPPING=PRECISE", "FS=MRC", "CURRENCY=USD", "XLFILL=b")</f>
        <v/>
      </c>
      <c r="F272" s="9">
        <f>_xll.BQL("ALK US Equity", "FA_GROWTH(BS_OTHER_ASSETS_DEF_CHRG_OTHER, YOY)", "FPT=A", "FPO=3A", "ACT_EST_MAPPING=PRECISE", "FS=MRC", "CURRENCY=USD", "XLFILL=b")</f>
        <v>0</v>
      </c>
      <c r="G272" s="9">
        <f>_xll.BQL("ALK US Equity", "FA_GROWTH(BS_OTHER_ASSETS_DEF_CHRG_OTHER, YOY)", "FPT=A", "FPO=2A", "ACT_EST_MAPPING=PRECISE", "FS=MRC", "CURRENCY=USD", "XLFILL=b")</f>
        <v>0</v>
      </c>
      <c r="H272" s="9">
        <f>_xll.BQL("ALK US Equity", "FA_GROWTH(BS_OTHER_ASSETS_DEF_CHRG_OTHER, YOY)", "FPT=A", "FPO=1A", "ACT_EST_MAPPING=PRECISE", "FS=MRC", "CURRENCY=USD", "XLFILL=b")</f>
        <v>-12.559139784946236</v>
      </c>
      <c r="I272" s="9">
        <f>_xll.BQL("ALK US Equity", "FA_GROWTH(BS_OTHER_ASSETS_DEF_CHRG_OTHER, YOY)", "FPT=A", "FPO=0A", "ACT_EST_MAPPING=PRECISE", "FS=MRC", "CURRENCY=USD", "XLFILL=b")</f>
        <v>-3.8461538461538463</v>
      </c>
      <c r="J272" s="9">
        <f>_xll.BQL("ALK US Equity", "FA_GROWTH(BS_OTHER_ASSETS_DEF_CHRG_OTHER, YOY)", "FPT=A", "FPO=-1A", "ACT_EST_MAPPING=PRECISE", "FS=MRC", "CURRENCY=USD", "XLFILL=b")</f>
        <v>-0.90163934426229508</v>
      </c>
      <c r="K272" s="9">
        <f>_xll.BQL("ALK US Equity", "FA_GROWTH(BS_OTHER_ASSETS_DEF_CHRG_OTHER, YOY)", "FPT=A", "FPO=-2A", "ACT_EST_MAPPING=PRECISE", "FS=MRC", "CURRENCY=USD", "XLFILL=b")</f>
        <v>0.45286125977768626</v>
      </c>
      <c r="L272" s="9">
        <f>_xll.BQL("ALK US Equity", "FA_GROWTH(BS_OTHER_ASSETS_DEF_CHRG_OTHER, YOY)", "FPT=A", "FPO=-3A", "ACT_EST_MAPPING=PRECISE", "FS=MRC", "CURRENCY=USD", "XLFILL=b")</f>
        <v>3.6705078958600086</v>
      </c>
      <c r="M272" s="9">
        <f>_xll.BQL("ALK US Equity", "FA_GROWTH(BS_OTHER_ASSETS_DEF_CHRG_OTHER, YOY)", "FPT=A", "FPO=-4A", "ACT_EST_MAPPING=PRECISE", "FS=MRC", "CURRENCY=USD", "XLFILL=b")</f>
        <v>-4.2662116040955635E-2</v>
      </c>
      <c r="N272" s="9">
        <f>_xll.BQL("ALK US Equity", "FA_GROWTH(BS_OTHER_ASSETS_DEF_CHRG_OTHER, YOY)", "FPT=A", "FPO=-5A", "ACT_EST_MAPPING=PRECISE", "FS=MRC", "CURRENCY=USD", "XLFILL=b")</f>
        <v>1.4718614718614718</v>
      </c>
    </row>
    <row r="273" spans="1:14" x14ac:dyDescent="0.2">
      <c r="A273" s="8" t="s">
        <v>281</v>
      </c>
      <c r="B273" s="4" t="s">
        <v>282</v>
      </c>
      <c r="C273" s="4"/>
      <c r="D273" s="4"/>
      <c r="E273" s="9" t="str">
        <f>_xll.BQL("ALK US Equity", "CB_BS_OTHER_NONCURRENT_ASSETS/1M", "FPT=A", "FPO=4A", "ACT_EST_MAPPING=PRECISE", "FS=MRC", "CURRENCY=USD", "XLFILL=b")</f>
        <v/>
      </c>
      <c r="F273" s="9">
        <f>_xll.BQL("ALK US Equity", "CB_BS_OTHER_NONCURRENT_ASSETS/1M", "FPT=A", "FPO=3A", "ACT_EST_MAPPING=PRECISE", "FS=MRC", "CURRENCY=USD", "XLFILL=b")</f>
        <v>270</v>
      </c>
      <c r="G273" s="9">
        <f>_xll.BQL("ALK US Equity", "CB_BS_OTHER_NONCURRENT_ASSETS/1M", "FPT=A", "FPO=2A", "ACT_EST_MAPPING=PRECISE", "FS=MRC", "CURRENCY=USD", "XLFILL=b")</f>
        <v>275.5</v>
      </c>
      <c r="H273" s="9">
        <f>_xll.BQL("ALK US Equity", "CB_BS_OTHER_NONCURRENT_ASSETS/1M", "FPT=A", "FPO=1A", "ACT_EST_MAPPING=PRECISE", "FS=MRC", "CURRENCY=USD", "XLFILL=b")</f>
        <v>275.5</v>
      </c>
      <c r="I273" s="9">
        <f>_xll.BQL("ALK US Equity", "CB_BS_OTHER_NONCURRENT_ASSETS/1M", "FPT=A", "FPO=0A", "ACT_EST_MAPPING=PRECISE", "FS=MRC", "CURRENCY=USD", "XLFILL=b")</f>
        <v>292</v>
      </c>
      <c r="J273" s="9">
        <f>_xll.BQL("ALK US Equity", "CB_BS_OTHER_NONCURRENT_ASSETS/1M", "FPT=A", "FPO=-1A", "ACT_EST_MAPPING=PRECISE", "FS=MRC", "CURRENCY=USD", "XLFILL=b")</f>
        <v>380</v>
      </c>
      <c r="K273" s="9">
        <f>_xll.BQL("ALK US Equity", "CB_BS_OTHER_NONCURRENT_ASSETS/1M", "FPT=A", "FPO=-2A", "ACT_EST_MAPPING=PRECISE", "FS=MRC", "CURRENCY=USD", "XLFILL=b")</f>
        <v>396</v>
      </c>
      <c r="L273" s="9">
        <f>_xll.BQL("ALK US Equity", "CB_BS_OTHER_NONCURRENT_ASSETS/1M", "FPT=A", "FPO=-3A", "ACT_EST_MAPPING=PRECISE", "FS=MRC", "CURRENCY=USD", "XLFILL=b")</f>
        <v>379</v>
      </c>
      <c r="M273" s="9">
        <f>_xll.BQL("ALK US Equity", "CB_BS_OTHER_NONCURRENT_ASSETS/1M", "FPT=A", "FPO=-4A", "ACT_EST_MAPPING=PRECISE", "FS=MRC", "CURRENCY=USD", "XLFILL=b")</f>
        <v>278</v>
      </c>
      <c r="N273" s="9">
        <f>_xll.BQL("ALK US Equity", "CB_BS_OTHER_NONCURRENT_ASSETS/1M", "FPT=A", "FPO=-5A", "ACT_EST_MAPPING=PRECISE", "FS=MRC", "CURRENCY=USD", "XLFILL=b")</f>
        <v>274</v>
      </c>
    </row>
    <row r="274" spans="1:14" x14ac:dyDescent="0.2">
      <c r="A274" s="8" t="s">
        <v>67</v>
      </c>
      <c r="B274" s="4" t="s">
        <v>282</v>
      </c>
      <c r="C274" s="4"/>
      <c r="D274" s="4"/>
      <c r="E274" s="9" t="str">
        <f>_xll.BQL("ALK US Equity", "FA_GROWTH(CB_BS_OTHER_NONCURRENT_ASSETS, YOY)", "FPT=A", "FPO=4A", "ACT_EST_MAPPING=PRECISE", "FS=MRC", "CURRENCY=USD", "XLFILL=b")</f>
        <v/>
      </c>
      <c r="F274" s="9">
        <f>_xll.BQL("ALK US Equity", "FA_GROWTH(CB_BS_OTHER_NONCURRENT_ASSETS, YOY)", "FPT=A", "FPO=3A", "ACT_EST_MAPPING=PRECISE", "FS=MRC", "CURRENCY=USD", "XLFILL=b")</f>
        <v>-1.9963702359346642</v>
      </c>
      <c r="G274" s="9">
        <f>_xll.BQL("ALK US Equity", "FA_GROWTH(CB_BS_OTHER_NONCURRENT_ASSETS, YOY)", "FPT=A", "FPO=2A", "ACT_EST_MAPPING=PRECISE", "FS=MRC", "CURRENCY=USD", "XLFILL=b")</f>
        <v>0</v>
      </c>
      <c r="H274" s="9">
        <f>_xll.BQL("ALK US Equity", "FA_GROWTH(CB_BS_OTHER_NONCURRENT_ASSETS, YOY)", "FPT=A", "FPO=1A", "ACT_EST_MAPPING=PRECISE", "FS=MRC", "CURRENCY=USD", "XLFILL=b")</f>
        <v>-5.6506849315068495</v>
      </c>
      <c r="I274" s="9">
        <f>_xll.BQL("ALK US Equity", "FA_GROWTH(CB_BS_OTHER_NONCURRENT_ASSETS, YOY)", "FPT=A", "FPO=0A", "ACT_EST_MAPPING=PRECISE", "FS=MRC", "CURRENCY=USD", "XLFILL=b")</f>
        <v>-23.157894736842106</v>
      </c>
      <c r="J274" s="9">
        <f>_xll.BQL("ALK US Equity", "FA_GROWTH(CB_BS_OTHER_NONCURRENT_ASSETS, YOY)", "FPT=A", "FPO=-1A", "ACT_EST_MAPPING=PRECISE", "FS=MRC", "CURRENCY=USD", "XLFILL=b")</f>
        <v>-4.0404040404040407</v>
      </c>
      <c r="K274" s="9">
        <f>_xll.BQL("ALK US Equity", "FA_GROWTH(CB_BS_OTHER_NONCURRENT_ASSETS, YOY)", "FPT=A", "FPO=-2A", "ACT_EST_MAPPING=PRECISE", "FS=MRC", "CURRENCY=USD", "XLFILL=b")</f>
        <v>4.4854881266490763</v>
      </c>
      <c r="L274" s="9">
        <f>_xll.BQL("ALK US Equity", "FA_GROWTH(CB_BS_OTHER_NONCURRENT_ASSETS, YOY)", "FPT=A", "FPO=-3A", "ACT_EST_MAPPING=PRECISE", "FS=MRC", "CURRENCY=USD", "XLFILL=b")</f>
        <v>36.330935251798564</v>
      </c>
      <c r="M274" s="9">
        <f>_xll.BQL("ALK US Equity", "FA_GROWTH(CB_BS_OTHER_NONCURRENT_ASSETS, YOY)", "FPT=A", "FPO=-4A", "ACT_EST_MAPPING=PRECISE", "FS=MRC", "CURRENCY=USD", "XLFILL=b")</f>
        <v>1.4598540145985401</v>
      </c>
      <c r="N274" s="9">
        <f>_xll.BQL("ALK US Equity", "FA_GROWTH(CB_BS_OTHER_NONCURRENT_ASSETS, YOY)", "FPT=A", "FPO=-5A", "ACT_EST_MAPPING=PRECISE", "FS=MRC", "CURRENCY=USD", "XLFILL=b")</f>
        <v>17.094017094017094</v>
      </c>
    </row>
    <row r="275" spans="1:14" x14ac:dyDescent="0.2">
      <c r="A275" s="8" t="s">
        <v>283</v>
      </c>
      <c r="B275" s="4" t="s">
        <v>284</v>
      </c>
      <c r="C275" s="4" t="s">
        <v>285</v>
      </c>
      <c r="D275" s="4"/>
      <c r="E275" s="9" t="str">
        <f>_xll.BQL("ALK US Equity", "BS_TOT_ASSET/1M", "FPT=A", "FPO=4A", "ACT_EST_MAPPING=PRECISE", "FS=MRC", "CURRENCY=USD", "XLFILL=b")</f>
        <v/>
      </c>
      <c r="F275" s="9">
        <f>_xll.BQL("ALK US Equity", "BS_TOT_ASSET/1M", "FPT=A", "FPO=3A", "ACT_EST_MAPPING=PRECISE", "FS=MRC", "CURRENCY=USD", "XLFILL=b")</f>
        <v>18409.382116184541</v>
      </c>
      <c r="G275" s="9">
        <f>_xll.BQL("ALK US Equity", "BS_TOT_ASSET/1M", "FPT=A", "FPO=2A", "ACT_EST_MAPPING=PRECISE", "FS=MRC", "CURRENCY=USD", "XLFILL=b")</f>
        <v>15923.584342488195</v>
      </c>
      <c r="H275" s="9">
        <f>_xll.BQL("ALK US Equity", "BS_TOT_ASSET/1M", "FPT=A", "FPO=1A", "ACT_EST_MAPPING=PRECISE", "FS=MRC", "CURRENCY=USD", "XLFILL=b")</f>
        <v>14937.850721215042</v>
      </c>
      <c r="I275" s="9">
        <f>_xll.BQL("ALK US Equity", "BS_TOT_ASSET/1M", "FPT=A", "FPO=0A", "ACT_EST_MAPPING=PRECISE", "FS=MRC", "CURRENCY=USD", "XLFILL=b")</f>
        <v>14613</v>
      </c>
      <c r="J275" s="9">
        <f>_xll.BQL("ALK US Equity", "BS_TOT_ASSET/1M", "FPT=A", "FPO=-1A", "ACT_EST_MAPPING=PRECISE", "FS=MRC", "CURRENCY=USD", "XLFILL=b")</f>
        <v>14186</v>
      </c>
      <c r="K275" s="9">
        <f>_xll.BQL("ALK US Equity", "BS_TOT_ASSET/1M", "FPT=A", "FPO=-2A", "ACT_EST_MAPPING=PRECISE", "FS=MRC", "CURRENCY=USD", "XLFILL=b")</f>
        <v>13951</v>
      </c>
      <c r="L275" s="9">
        <f>_xll.BQL("ALK US Equity", "BS_TOT_ASSET/1M", "FPT=A", "FPO=-3A", "ACT_EST_MAPPING=PRECISE", "FS=MRC", "CURRENCY=USD", "XLFILL=b")</f>
        <v>14046</v>
      </c>
      <c r="M275" s="9">
        <f>_xll.BQL("ALK US Equity", "BS_TOT_ASSET/1M", "FPT=A", "FPO=-4A", "ACT_EST_MAPPING=PRECISE", "FS=MRC", "CURRENCY=USD", "XLFILL=b")</f>
        <v>12993</v>
      </c>
      <c r="N275" s="9">
        <f>_xll.BQL("ALK US Equity", "BS_TOT_ASSET/1M", "FPT=A", "FPO=-5A", "ACT_EST_MAPPING=PRECISE", "FS=MRC", "CURRENCY=USD", "XLFILL=b")</f>
        <v>10912</v>
      </c>
    </row>
    <row r="276" spans="1:14" x14ac:dyDescent="0.2">
      <c r="A276" s="8" t="s">
        <v>64</v>
      </c>
      <c r="B276" s="4" t="s">
        <v>284</v>
      </c>
      <c r="C276" s="4" t="s">
        <v>285</v>
      </c>
      <c r="D276" s="4"/>
      <c r="E276" s="9" t="str">
        <f>_xll.BQL("ALK US Equity", "FA_GROWTH(BS_TOT_ASSET, YOY)", "FPT=A", "FPO=4A", "ACT_EST_MAPPING=PRECISE", "FS=MRC", "CURRENCY=USD", "XLFILL=b")</f>
        <v/>
      </c>
      <c r="F276" s="9">
        <f>_xll.BQL("ALK US Equity", "FA_GROWTH(BS_TOT_ASSET, YOY)", "FPT=A", "FPO=3A", "ACT_EST_MAPPING=PRECISE", "FS=MRC", "CURRENCY=USD", "XLFILL=b")</f>
        <v>15.610792898327546</v>
      </c>
      <c r="G276" s="9">
        <f>_xll.BQL("ALK US Equity", "FA_GROWTH(BS_TOT_ASSET, YOY)", "FPT=A", "FPO=2A", "ACT_EST_MAPPING=PRECISE", "FS=MRC", "CURRENCY=USD", "XLFILL=b")</f>
        <v>6.5988985943820841</v>
      </c>
      <c r="H276" s="9">
        <f>_xll.BQL("ALK US Equity", "FA_GROWTH(BS_TOT_ASSET, YOY)", "FPT=A", "FPO=1A", "ACT_EST_MAPPING=PRECISE", "FS=MRC", "CURRENCY=USD", "XLFILL=b")</f>
        <v>2.2230255335320748</v>
      </c>
      <c r="I276" s="9">
        <f>_xll.BQL("ALK US Equity", "FA_GROWTH(BS_TOT_ASSET, YOY)", "FPT=A", "FPO=0A", "ACT_EST_MAPPING=PRECISE", "FS=MRC", "CURRENCY=USD", "XLFILL=b")</f>
        <v>3.0100098688848158</v>
      </c>
      <c r="J276" s="9">
        <f>_xll.BQL("ALK US Equity", "FA_GROWTH(BS_TOT_ASSET, YOY)", "FPT=A", "FPO=-1A", "ACT_EST_MAPPING=PRECISE", "FS=MRC", "CURRENCY=USD", "XLFILL=b")</f>
        <v>1.6844670632929539</v>
      </c>
      <c r="K276" s="9">
        <f>_xll.BQL("ALK US Equity", "FA_GROWTH(BS_TOT_ASSET, YOY)", "FPT=A", "FPO=-2A", "ACT_EST_MAPPING=PRECISE", "FS=MRC", "CURRENCY=USD", "XLFILL=b")</f>
        <v>-0.6763491385447814</v>
      </c>
      <c r="L276" s="9">
        <f>_xll.BQL("ALK US Equity", "FA_GROWTH(BS_TOT_ASSET, YOY)", "FPT=A", "FPO=-3A", "ACT_EST_MAPPING=PRECISE", "FS=MRC", "CURRENCY=USD", "XLFILL=b")</f>
        <v>8.1043638882475175</v>
      </c>
      <c r="M276" s="9">
        <f>_xll.BQL("ALK US Equity", "FA_GROWTH(BS_TOT_ASSET, YOY)", "FPT=A", "FPO=-4A", "ACT_EST_MAPPING=PRECISE", "FS=MRC", "CURRENCY=USD", "XLFILL=b")</f>
        <v>19.07074780058651</v>
      </c>
      <c r="N276" s="9">
        <f>_xll.BQL("ALK US Equity", "FA_GROWTH(BS_TOT_ASSET, YOY)", "FPT=A", "FPO=-5A", "ACT_EST_MAPPING=PRECISE", "FS=MRC", "CURRENCY=USD", "XLFILL=b")</f>
        <v>1.5447608412432534</v>
      </c>
    </row>
    <row r="277" spans="1:14" x14ac:dyDescent="0.2">
      <c r="A277" s="8" t="s">
        <v>16</v>
      </c>
      <c r="B277" s="4"/>
      <c r="C277" s="4"/>
      <c r="D277" s="4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x14ac:dyDescent="0.2">
      <c r="A278" s="8" t="s">
        <v>286</v>
      </c>
      <c r="B278" s="4"/>
      <c r="C278" s="4" t="s">
        <v>287</v>
      </c>
      <c r="D278" s="4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x14ac:dyDescent="0.2">
      <c r="A279" s="8" t="s">
        <v>288</v>
      </c>
      <c r="B279" s="4" t="s">
        <v>289</v>
      </c>
      <c r="C279" s="4" t="s">
        <v>290</v>
      </c>
      <c r="D279" s="4"/>
      <c r="E279" s="9" t="str">
        <f>_xll.BQL("ALK US Equity", "BS_CUR_LIAB/1M", "FPT=A", "FPO=4A", "ACT_EST_MAPPING=PRECISE", "FS=MRC", "CURRENCY=USD", "XLFILL=b")</f>
        <v/>
      </c>
      <c r="F279" s="9">
        <f>_xll.BQL("ALK US Equity", "BS_CUR_LIAB/1M", "FPT=A", "FPO=3A", "ACT_EST_MAPPING=PRECISE", "FS=MRC", "CURRENCY=USD", "XLFILL=b")</f>
        <v>5122.8330903908945</v>
      </c>
      <c r="G279" s="9">
        <f>_xll.BQL("ALK US Equity", "BS_CUR_LIAB/1M", "FPT=A", "FPO=2A", "ACT_EST_MAPPING=PRECISE", "FS=MRC", "CURRENCY=USD", "XLFILL=b")</f>
        <v>4418.5255782629401</v>
      </c>
      <c r="H279" s="9">
        <f>_xll.BQL("ALK US Equity", "BS_CUR_LIAB/1M", "FPT=A", "FPO=1A", "ACT_EST_MAPPING=PRECISE", "FS=MRC", "CURRENCY=USD", "XLFILL=b")</f>
        <v>4267.754213517167</v>
      </c>
      <c r="I279" s="9">
        <f>_xll.BQL("ALK US Equity", "BS_CUR_LIAB/1M", "FPT=A", "FPO=0A", "ACT_EST_MAPPING=PRECISE", "FS=MRC", "CURRENCY=USD", "XLFILL=b")</f>
        <v>4459</v>
      </c>
      <c r="J279" s="9">
        <f>_xll.BQL("ALK US Equity", "BS_CUR_LIAB/1M", "FPT=A", "FPO=-1A", "ACT_EST_MAPPING=PRECISE", "FS=MRC", "CURRENCY=USD", "XLFILL=b")</f>
        <v>4493</v>
      </c>
      <c r="K279" s="9">
        <f>_xll.BQL("ALK US Equity", "BS_CUR_LIAB/1M", "FPT=A", "FPO=-2A", "ACT_EST_MAPPING=PRECISE", "FS=MRC", "CURRENCY=USD", "XLFILL=b")</f>
        <v>3991</v>
      </c>
      <c r="L279" s="9">
        <f>_xll.BQL("ALK US Equity", "BS_CUR_LIAB/1M", "FPT=A", "FPO=-3A", "ACT_EST_MAPPING=PRECISE", "FS=MRC", "CURRENCY=USD", "XLFILL=b")</f>
        <v>4293</v>
      </c>
      <c r="M279" s="9">
        <f>_xll.BQL("ALK US Equity", "BS_CUR_LIAB/1M", "FPT=A", "FPO=-4A", "ACT_EST_MAPPING=PRECISE", "FS=MRC", "CURRENCY=USD", "XLFILL=b")</f>
        <v>3201</v>
      </c>
      <c r="N279" s="9">
        <f>_xll.BQL("ALK US Equity", "BS_CUR_LIAB/1M", "FPT=A", "FPO=-5A", "ACT_EST_MAPPING=PRECISE", "FS=MRC", "CURRENCY=USD", "XLFILL=b")</f>
        <v>2942</v>
      </c>
    </row>
    <row r="280" spans="1:14" x14ac:dyDescent="0.2">
      <c r="A280" s="8" t="s">
        <v>64</v>
      </c>
      <c r="B280" s="4" t="s">
        <v>289</v>
      </c>
      <c r="C280" s="4" t="s">
        <v>290</v>
      </c>
      <c r="D280" s="4"/>
      <c r="E280" s="9" t="str">
        <f>_xll.BQL("ALK US Equity", "FA_GROWTH(BS_CUR_LIAB, YOY)", "FPT=A", "FPO=4A", "ACT_EST_MAPPING=PRECISE", "FS=MRC", "CURRENCY=USD", "XLFILL=b")</f>
        <v/>
      </c>
      <c r="F280" s="9">
        <f>_xll.BQL("ALK US Equity", "FA_GROWTH(BS_CUR_LIAB, YOY)", "FPT=A", "FPO=3A", "ACT_EST_MAPPING=PRECISE", "FS=MRC", "CURRENCY=USD", "XLFILL=b")</f>
        <v>15.93987631514039</v>
      </c>
      <c r="G280" s="9">
        <f>_xll.BQL("ALK US Equity", "FA_GROWTH(BS_CUR_LIAB, YOY)", "FPT=A", "FPO=2A", "ACT_EST_MAPPING=PRECISE", "FS=MRC", "CURRENCY=USD", "XLFILL=b")</f>
        <v>3.5328033715774652</v>
      </c>
      <c r="H280" s="9">
        <f>_xll.BQL("ALK US Equity", "FA_GROWTH(BS_CUR_LIAB, YOY)", "FPT=A", "FPO=1A", "ACT_EST_MAPPING=PRECISE", "FS=MRC", "CURRENCY=USD", "XLFILL=b")</f>
        <v>-4.2889837740038885</v>
      </c>
      <c r="I280" s="9">
        <f>_xll.BQL("ALK US Equity", "FA_GROWTH(BS_CUR_LIAB, YOY)", "FPT=A", "FPO=0A", "ACT_EST_MAPPING=PRECISE", "FS=MRC", "CURRENCY=USD", "XLFILL=b")</f>
        <v>-0.75673269530380594</v>
      </c>
      <c r="J280" s="9">
        <f>_xll.BQL("ALK US Equity", "FA_GROWTH(BS_CUR_LIAB, YOY)", "FPT=A", "FPO=-1A", "ACT_EST_MAPPING=PRECISE", "FS=MRC", "CURRENCY=USD", "XLFILL=b")</f>
        <v>12.578301177649712</v>
      </c>
      <c r="K280" s="9">
        <f>_xll.BQL("ALK US Equity", "FA_GROWTH(BS_CUR_LIAB, YOY)", "FPT=A", "FPO=-2A", "ACT_EST_MAPPING=PRECISE", "FS=MRC", "CURRENCY=USD", "XLFILL=b")</f>
        <v>-7.0347076636384811</v>
      </c>
      <c r="L280" s="9">
        <f>_xll.BQL("ALK US Equity", "FA_GROWTH(BS_CUR_LIAB, YOY)", "FPT=A", "FPO=-3A", "ACT_EST_MAPPING=PRECISE", "FS=MRC", "CURRENCY=USD", "XLFILL=b")</f>
        <v>34.114339268978448</v>
      </c>
      <c r="M280" s="9">
        <f>_xll.BQL("ALK US Equity", "FA_GROWTH(BS_CUR_LIAB, YOY)", "FPT=A", "FPO=-4A", "ACT_EST_MAPPING=PRECISE", "FS=MRC", "CURRENCY=USD", "XLFILL=b")</f>
        <v>8.8035350101971446</v>
      </c>
      <c r="N280" s="9">
        <f>_xll.BQL("ALK US Equity", "FA_GROWTH(BS_CUR_LIAB, YOY)", "FPT=A", "FPO=-5A", "ACT_EST_MAPPING=PRECISE", "FS=MRC", "CURRENCY=USD", "XLFILL=b")</f>
        <v>9.530900967982129</v>
      </c>
    </row>
    <row r="281" spans="1:14" x14ac:dyDescent="0.2">
      <c r="A281" s="8" t="s">
        <v>291</v>
      </c>
      <c r="B281" s="4" t="s">
        <v>292</v>
      </c>
      <c r="C281" s="4" t="s">
        <v>293</v>
      </c>
      <c r="D281" s="4"/>
      <c r="E281" s="9" t="str">
        <f>_xll.BQL("ALK US Equity", "BS_ACCT_PAYABLE/1M", "FPT=A", "FPO=4A", "ACT_EST_MAPPING=PRECISE", "FS=MRC", "CURRENCY=USD", "XLFILL=b")</f>
        <v/>
      </c>
      <c r="F281" s="9">
        <f>_xll.BQL("ALK US Equity", "BS_ACCT_PAYABLE/1M", "FPT=A", "FPO=3A", "ACT_EST_MAPPING=PRECISE", "FS=MRC", "CURRENCY=USD", "XLFILL=b")</f>
        <v>242.25386773355237</v>
      </c>
      <c r="G281" s="9">
        <f>_xll.BQL("ALK US Equity", "BS_ACCT_PAYABLE/1M", "FPT=A", "FPO=2A", "ACT_EST_MAPPING=PRECISE", "FS=MRC", "CURRENCY=USD", "XLFILL=b")</f>
        <v>212.98955004226443</v>
      </c>
      <c r="H281" s="9">
        <f>_xll.BQL("ALK US Equity", "BS_ACCT_PAYABLE/1M", "FPT=A", "FPO=1A", "ACT_EST_MAPPING=PRECISE", "FS=MRC", "CURRENCY=USD", "XLFILL=b")</f>
        <v>210.43589063632419</v>
      </c>
      <c r="I281" s="9">
        <f>_xll.BQL("ALK US Equity", "BS_ACCT_PAYABLE/1M", "FPT=A", "FPO=0A", "ACT_EST_MAPPING=PRECISE", "FS=MRC", "CURRENCY=USD", "XLFILL=b")</f>
        <v>207</v>
      </c>
      <c r="J281" s="9">
        <f>_xll.BQL("ALK US Equity", "BS_ACCT_PAYABLE/1M", "FPT=A", "FPO=-1A", "ACT_EST_MAPPING=PRECISE", "FS=MRC", "CURRENCY=USD", "XLFILL=b")</f>
        <v>221</v>
      </c>
      <c r="K281" s="9">
        <f>_xll.BQL("ALK US Equity", "BS_ACCT_PAYABLE/1M", "FPT=A", "FPO=-2A", "ACT_EST_MAPPING=PRECISE", "FS=MRC", "CURRENCY=USD", "XLFILL=b")</f>
        <v>200</v>
      </c>
      <c r="L281" s="9">
        <f>_xll.BQL("ALK US Equity", "BS_ACCT_PAYABLE/1M", "FPT=A", "FPO=-3A", "ACT_EST_MAPPING=PRECISE", "FS=MRC", "CURRENCY=USD", "XLFILL=b")</f>
        <v>108</v>
      </c>
      <c r="M281" s="9">
        <f>_xll.BQL("ALK US Equity", "BS_ACCT_PAYABLE/1M", "FPT=A", "FPO=-4A", "ACT_EST_MAPPING=PRECISE", "FS=MRC", "CURRENCY=USD", "XLFILL=b")</f>
        <v>146</v>
      </c>
      <c r="N281" s="9">
        <f>_xll.BQL("ALK US Equity", "BS_ACCT_PAYABLE/1M", "FPT=A", "FPO=-5A", "ACT_EST_MAPPING=PRECISE", "FS=MRC", "CURRENCY=USD", "XLFILL=b")</f>
        <v>132</v>
      </c>
    </row>
    <row r="282" spans="1:14" x14ac:dyDescent="0.2">
      <c r="A282" s="8" t="s">
        <v>67</v>
      </c>
      <c r="B282" s="4" t="s">
        <v>292</v>
      </c>
      <c r="C282" s="4" t="s">
        <v>293</v>
      </c>
      <c r="D282" s="4"/>
      <c r="E282" s="9" t="str">
        <f>_xll.BQL("ALK US Equity", "FA_GROWTH(BS_ACCT_PAYABLE, YOY)", "FPT=A", "FPO=4A", "ACT_EST_MAPPING=PRECISE", "FS=MRC", "CURRENCY=USD", "XLFILL=b")</f>
        <v/>
      </c>
      <c r="F282" s="9">
        <f>_xll.BQL("ALK US Equity", "FA_GROWTH(BS_ACCT_PAYABLE, YOY)", "FPT=A", "FPO=3A", "ACT_EST_MAPPING=PRECISE", "FS=MRC", "CURRENCY=USD", "XLFILL=b")</f>
        <v>13.739790372570342</v>
      </c>
      <c r="G282" s="9">
        <f>_xll.BQL("ALK US Equity", "FA_GROWTH(BS_ACCT_PAYABLE, YOY)", "FPT=A", "FPO=2A", "ACT_EST_MAPPING=PRECISE", "FS=MRC", "CURRENCY=USD", "XLFILL=b")</f>
        <v>1.2135094437637897</v>
      </c>
      <c r="H282" s="9">
        <f>_xll.BQL("ALK US Equity", "FA_GROWTH(BS_ACCT_PAYABLE, YOY)", "FPT=A", "FPO=1A", "ACT_EST_MAPPING=PRECISE", "FS=MRC", "CURRENCY=USD", "XLFILL=b")</f>
        <v>1.6598505489488875</v>
      </c>
      <c r="I282" s="9">
        <f>_xll.BQL("ALK US Equity", "FA_GROWTH(BS_ACCT_PAYABLE, YOY)", "FPT=A", "FPO=0A", "ACT_EST_MAPPING=PRECISE", "FS=MRC", "CURRENCY=USD", "XLFILL=b")</f>
        <v>-6.3348416289592757</v>
      </c>
      <c r="J282" s="9">
        <f>_xll.BQL("ALK US Equity", "FA_GROWTH(BS_ACCT_PAYABLE, YOY)", "FPT=A", "FPO=-1A", "ACT_EST_MAPPING=PRECISE", "FS=MRC", "CURRENCY=USD", "XLFILL=b")</f>
        <v>10.5</v>
      </c>
      <c r="K282" s="9">
        <f>_xll.BQL("ALK US Equity", "FA_GROWTH(BS_ACCT_PAYABLE, YOY)", "FPT=A", "FPO=-2A", "ACT_EST_MAPPING=PRECISE", "FS=MRC", "CURRENCY=USD", "XLFILL=b")</f>
        <v>85.18518518518519</v>
      </c>
      <c r="L282" s="9">
        <f>_xll.BQL("ALK US Equity", "FA_GROWTH(BS_ACCT_PAYABLE, YOY)", "FPT=A", "FPO=-3A", "ACT_EST_MAPPING=PRECISE", "FS=MRC", "CURRENCY=USD", "XLFILL=b")</f>
        <v>-26.027397260273972</v>
      </c>
      <c r="M282" s="9">
        <f>_xll.BQL("ALK US Equity", "FA_GROWTH(BS_ACCT_PAYABLE, YOY)", "FPT=A", "FPO=-4A", "ACT_EST_MAPPING=PRECISE", "FS=MRC", "CURRENCY=USD", "XLFILL=b")</f>
        <v>10.606060606060606</v>
      </c>
      <c r="N282" s="9">
        <f>_xll.BQL("ALK US Equity", "FA_GROWTH(BS_ACCT_PAYABLE, YOY)", "FPT=A", "FPO=-5A", "ACT_EST_MAPPING=PRECISE", "FS=MRC", "CURRENCY=USD", "XLFILL=b")</f>
        <v>10</v>
      </c>
    </row>
    <row r="283" spans="1:14" x14ac:dyDescent="0.2">
      <c r="A283" s="8" t="s">
        <v>294</v>
      </c>
      <c r="B283" s="4" t="s">
        <v>295</v>
      </c>
      <c r="C283" s="4" t="s">
        <v>296</v>
      </c>
      <c r="D283" s="4"/>
      <c r="E283" s="9" t="str">
        <f>_xll.BQL("ALK US Equity", "BS_ST_ACC_CMPNSTN_POSTRET_OBLIG/1M", "FPT=A", "FPO=4A", "ACT_EST_MAPPING=PRECISE", "FS=MRC", "CURRENCY=USD", "XLFILL=b")</f>
        <v/>
      </c>
      <c r="F283" s="9">
        <f>_xll.BQL("ALK US Equity", "BS_ST_ACC_CMPNSTN_POSTRET_OBLIG/1M", "FPT=A", "FPO=3A", "ACT_EST_MAPPING=PRECISE", "FS=MRC", "CURRENCY=USD", "XLFILL=b")</f>
        <v>665.63384541081507</v>
      </c>
      <c r="G283" s="9">
        <f>_xll.BQL("ALK US Equity", "BS_ST_ACC_CMPNSTN_POSTRET_OBLIG/1M", "FPT=A", "FPO=2A", "ACT_EST_MAPPING=PRECISE", "FS=MRC", "CURRENCY=USD", "XLFILL=b")</f>
        <v>624.72615298005394</v>
      </c>
      <c r="H283" s="9">
        <f>_xll.BQL("ALK US Equity", "BS_ST_ACC_CMPNSTN_POSTRET_OBLIG/1M", "FPT=A", "FPO=1A", "ACT_EST_MAPPING=PRECISE", "FS=MRC", "CURRENCY=USD", "XLFILL=b")</f>
        <v>612.14366465869637</v>
      </c>
      <c r="I283" s="9">
        <f>_xll.BQL("ALK US Equity", "BS_ST_ACC_CMPNSTN_POSTRET_OBLIG/1M", "FPT=A", "FPO=0A", "ACT_EST_MAPPING=PRECISE", "FS=MRC", "CURRENCY=USD", "XLFILL=b")</f>
        <v>584</v>
      </c>
      <c r="J283" s="9">
        <f>_xll.BQL("ALK US Equity", "BS_ST_ACC_CMPNSTN_POSTRET_OBLIG/1M", "FPT=A", "FPO=-1A", "ACT_EST_MAPPING=PRECISE", "FS=MRC", "CURRENCY=USD", "XLFILL=b")</f>
        <v>619</v>
      </c>
      <c r="K283" s="9">
        <f>_xll.BQL("ALK US Equity", "BS_ST_ACC_CMPNSTN_POSTRET_OBLIG/1M", "FPT=A", "FPO=-2A", "ACT_EST_MAPPING=PRECISE", "FS=MRC", "CURRENCY=USD", "XLFILL=b")</f>
        <v>457</v>
      </c>
      <c r="L283" s="9">
        <f>_xll.BQL("ALK US Equity", "BS_ST_ACC_CMPNSTN_POSTRET_OBLIG/1M", "FPT=A", "FPO=-3A", "ACT_EST_MAPPING=PRECISE", "FS=MRC", "CURRENCY=USD", "XLFILL=b")</f>
        <v>527</v>
      </c>
      <c r="M283" s="9">
        <f>_xll.BQL("ALK US Equity", "BS_ST_ACC_CMPNSTN_POSTRET_OBLIG/1M", "FPT=A", "FPO=-4A", "ACT_EST_MAPPING=PRECISE", "FS=MRC", "CURRENCY=USD", "XLFILL=b")</f>
        <v>470</v>
      </c>
      <c r="N283" s="9">
        <f>_xll.BQL("ALK US Equity", "BS_ST_ACC_CMPNSTN_POSTRET_OBLIG/1M", "FPT=A", "FPO=-5A", "ACT_EST_MAPPING=PRECISE", "FS=MRC", "CURRENCY=USD", "XLFILL=b")</f>
        <v>415</v>
      </c>
    </row>
    <row r="284" spans="1:14" x14ac:dyDescent="0.2">
      <c r="A284" s="8" t="s">
        <v>67</v>
      </c>
      <c r="B284" s="4" t="s">
        <v>295</v>
      </c>
      <c r="C284" s="4" t="s">
        <v>296</v>
      </c>
      <c r="D284" s="4"/>
      <c r="E284" s="9" t="str">
        <f>_xll.BQL("ALK US Equity", "FA_GROWTH(BS_ST_ACC_CMPNSTN_POSTRET_OBLIG, YOY)", "FPT=A", "FPO=4A", "ACT_EST_MAPPING=PRECISE", "FS=MRC", "CURRENCY=USD", "XLFILL=b")</f>
        <v/>
      </c>
      <c r="F284" s="9">
        <f>_xll.BQL("ALK US Equity", "FA_GROWTH(BS_ST_ACC_CMPNSTN_POSTRET_OBLIG, YOY)", "FPT=A", "FPO=3A", "ACT_EST_MAPPING=PRECISE", "FS=MRC", "CURRENCY=USD", "XLFILL=b")</f>
        <v>6.5480998731403055</v>
      </c>
      <c r="G284" s="9">
        <f>_xll.BQL("ALK US Equity", "FA_GROWTH(BS_ST_ACC_CMPNSTN_POSTRET_OBLIG, YOY)", "FPT=A", "FPO=2A", "ACT_EST_MAPPING=PRECISE", "FS=MRC", "CURRENCY=USD", "XLFILL=b")</f>
        <v>2.0554796280335457</v>
      </c>
      <c r="H284" s="9">
        <f>_xll.BQL("ALK US Equity", "FA_GROWTH(BS_ST_ACC_CMPNSTN_POSTRET_OBLIG, YOY)", "FPT=A", "FPO=1A", "ACT_EST_MAPPING=PRECISE", "FS=MRC", "CURRENCY=USD", "XLFILL=b")</f>
        <v>4.8191206607356873</v>
      </c>
      <c r="I284" s="9">
        <f>_xll.BQL("ALK US Equity", "FA_GROWTH(BS_ST_ACC_CMPNSTN_POSTRET_OBLIG, YOY)", "FPT=A", "FPO=0A", "ACT_EST_MAPPING=PRECISE", "FS=MRC", "CURRENCY=USD", "XLFILL=b")</f>
        <v>-5.6542810985460417</v>
      </c>
      <c r="J284" s="9">
        <f>_xll.BQL("ALK US Equity", "FA_GROWTH(BS_ST_ACC_CMPNSTN_POSTRET_OBLIG, YOY)", "FPT=A", "FPO=-1A", "ACT_EST_MAPPING=PRECISE", "FS=MRC", "CURRENCY=USD", "XLFILL=b")</f>
        <v>35.448577680525162</v>
      </c>
      <c r="K284" s="9">
        <f>_xll.BQL("ALK US Equity", "FA_GROWTH(BS_ST_ACC_CMPNSTN_POSTRET_OBLIG, YOY)", "FPT=A", "FPO=-2A", "ACT_EST_MAPPING=PRECISE", "FS=MRC", "CURRENCY=USD", "XLFILL=b")</f>
        <v>-13.282732447817837</v>
      </c>
      <c r="L284" s="9">
        <f>_xll.BQL("ALK US Equity", "FA_GROWTH(BS_ST_ACC_CMPNSTN_POSTRET_OBLIG, YOY)", "FPT=A", "FPO=-3A", "ACT_EST_MAPPING=PRECISE", "FS=MRC", "CURRENCY=USD", "XLFILL=b")</f>
        <v>12.127659574468085</v>
      </c>
      <c r="M284" s="9">
        <f>_xll.BQL("ALK US Equity", "FA_GROWTH(BS_ST_ACC_CMPNSTN_POSTRET_OBLIG, YOY)", "FPT=A", "FPO=-4A", "ACT_EST_MAPPING=PRECISE", "FS=MRC", "CURRENCY=USD", "XLFILL=b")</f>
        <v>13.253012048192771</v>
      </c>
      <c r="N284" s="9">
        <f>_xll.BQL("ALK US Equity", "FA_GROWTH(BS_ST_ACC_CMPNSTN_POSTRET_OBLIG, YOY)", "FPT=A", "FPO=-5A", "ACT_EST_MAPPING=PRECISE", "FS=MRC", "CURRENCY=USD", "XLFILL=b")</f>
        <v>-0.71770334928229662</v>
      </c>
    </row>
    <row r="285" spans="1:14" x14ac:dyDescent="0.2">
      <c r="A285" s="8" t="s">
        <v>297</v>
      </c>
      <c r="B285" s="4" t="s">
        <v>298</v>
      </c>
      <c r="C285" s="4" t="s">
        <v>299</v>
      </c>
      <c r="D285" s="4"/>
      <c r="E285" s="9" t="str">
        <f>_xll.BQL("ALK US Equity", "BS_CURR_PORTION_LT_DEBT/1M", "FPT=A", "FPO=4A", "ACT_EST_MAPPING=PRECISE", "FS=MRC", "CURRENCY=USD", "XLFILL=b")</f>
        <v/>
      </c>
      <c r="F285" s="9">
        <f>_xll.BQL("ALK US Equity", "BS_CURR_PORTION_LT_DEBT/1M", "FPT=A", "FPO=3A", "ACT_EST_MAPPING=PRECISE", "FS=MRC", "CURRENCY=USD", "XLFILL=b")</f>
        <v>409.81900518815468</v>
      </c>
      <c r="G285" s="9">
        <f>_xll.BQL("ALK US Equity", "BS_CURR_PORTION_LT_DEBT/1M", "FPT=A", "FPO=2A", "ACT_EST_MAPPING=PRECISE", "FS=MRC", "CURRENCY=USD", "XLFILL=b")</f>
        <v>411.70377941787092</v>
      </c>
      <c r="H285" s="9">
        <f>_xll.BQL("ALK US Equity", "BS_CURR_PORTION_LT_DEBT/1M", "FPT=A", "FPO=1A", "ACT_EST_MAPPING=PRECISE", "FS=MRC", "CURRENCY=USD", "XLFILL=b")</f>
        <v>432.30938709436009</v>
      </c>
      <c r="I285" s="9">
        <f>_xll.BQL("ALK US Equity", "BS_CURR_PORTION_LT_DEBT/1M", "FPT=A", "FPO=0A", "ACT_EST_MAPPING=PRECISE", "FS=MRC", "CURRENCY=USD", "XLFILL=b")</f>
        <v>353</v>
      </c>
      <c r="J285" s="9">
        <f>_xll.BQL("ALK US Equity", "BS_CURR_PORTION_LT_DEBT/1M", "FPT=A", "FPO=-1A", "ACT_EST_MAPPING=PRECISE", "FS=MRC", "CURRENCY=USD", "XLFILL=b")</f>
        <v>276</v>
      </c>
      <c r="K285" s="9">
        <f>_xll.BQL("ALK US Equity", "BS_CURR_PORTION_LT_DEBT/1M", "FPT=A", "FPO=-2A", "ACT_EST_MAPPING=PRECISE", "FS=MRC", "CURRENCY=USD", "XLFILL=b")</f>
        <v>366</v>
      </c>
      <c r="L285" s="9">
        <f>_xll.BQL("ALK US Equity", "BS_CURR_PORTION_LT_DEBT/1M", "FPT=A", "FPO=-3A", "ACT_EST_MAPPING=PRECISE", "FS=MRC", "CURRENCY=USD", "XLFILL=b")</f>
        <v>1138</v>
      </c>
      <c r="M285" s="9">
        <f>_xll.BQL("ALK US Equity", "BS_CURR_PORTION_LT_DEBT/1M", "FPT=A", "FPO=-4A", "ACT_EST_MAPPING=PRECISE", "FS=MRC", "CURRENCY=USD", "XLFILL=b")</f>
        <v>235</v>
      </c>
      <c r="N285" s="9">
        <f>_xll.BQL("ALK US Equity", "BS_CURR_PORTION_LT_DEBT/1M", "FPT=A", "FPO=-5A", "ACT_EST_MAPPING=PRECISE", "FS=MRC", "CURRENCY=USD", "XLFILL=b")</f>
        <v>486</v>
      </c>
    </row>
    <row r="286" spans="1:14" x14ac:dyDescent="0.2">
      <c r="A286" s="8" t="s">
        <v>67</v>
      </c>
      <c r="B286" s="4" t="s">
        <v>298</v>
      </c>
      <c r="C286" s="4" t="s">
        <v>299</v>
      </c>
      <c r="D286" s="4"/>
      <c r="E286" s="9" t="str">
        <f>_xll.BQL("ALK US Equity", "FA_GROWTH(BS_CURR_PORTION_LT_DEBT, YOY)", "FPT=A", "FPO=4A", "ACT_EST_MAPPING=PRECISE", "FS=MRC", "CURRENCY=USD", "XLFILL=b")</f>
        <v/>
      </c>
      <c r="F286" s="9">
        <f>_xll.BQL("ALK US Equity", "FA_GROWTH(BS_CURR_PORTION_LT_DEBT, YOY)", "FPT=A", "FPO=3A", "ACT_EST_MAPPING=PRECISE", "FS=MRC", "CURRENCY=USD", "XLFILL=b")</f>
        <v>-0.45779862219900441</v>
      </c>
      <c r="G286" s="9">
        <f>_xll.BQL("ALK US Equity", "FA_GROWTH(BS_CURR_PORTION_LT_DEBT, YOY)", "FPT=A", "FPO=2A", "ACT_EST_MAPPING=PRECISE", "FS=MRC", "CURRENCY=USD", "XLFILL=b")</f>
        <v>-4.7664030186768978</v>
      </c>
      <c r="H286" s="9">
        <f>_xll.BQL("ALK US Equity", "FA_GROWTH(BS_CURR_PORTION_LT_DEBT, YOY)", "FPT=A", "FPO=1A", "ACT_EST_MAPPING=PRECISE", "FS=MRC", "CURRENCY=USD", "XLFILL=b")</f>
        <v>22.467248468657257</v>
      </c>
      <c r="I286" s="9">
        <f>_xll.BQL("ALK US Equity", "FA_GROWTH(BS_CURR_PORTION_LT_DEBT, YOY)", "FPT=A", "FPO=0A", "ACT_EST_MAPPING=PRECISE", "FS=MRC", "CURRENCY=USD", "XLFILL=b")</f>
        <v>27.89855072463768</v>
      </c>
      <c r="J286" s="9">
        <f>_xll.BQL("ALK US Equity", "FA_GROWTH(BS_CURR_PORTION_LT_DEBT, YOY)", "FPT=A", "FPO=-1A", "ACT_EST_MAPPING=PRECISE", "FS=MRC", "CURRENCY=USD", "XLFILL=b")</f>
        <v>-24.590163934426229</v>
      </c>
      <c r="K286" s="9">
        <f>_xll.BQL("ALK US Equity", "FA_GROWTH(BS_CURR_PORTION_LT_DEBT, YOY)", "FPT=A", "FPO=-2A", "ACT_EST_MAPPING=PRECISE", "FS=MRC", "CURRENCY=USD", "XLFILL=b")</f>
        <v>-67.838312829525478</v>
      </c>
      <c r="L286" s="9">
        <f>_xll.BQL("ALK US Equity", "FA_GROWTH(BS_CURR_PORTION_LT_DEBT, YOY)", "FPT=A", "FPO=-3A", "ACT_EST_MAPPING=PRECISE", "FS=MRC", "CURRENCY=USD", "XLFILL=b")</f>
        <v>384.25531914893617</v>
      </c>
      <c r="M286" s="9">
        <f>_xll.BQL("ALK US Equity", "FA_GROWTH(BS_CURR_PORTION_LT_DEBT, YOY)", "FPT=A", "FPO=-4A", "ACT_EST_MAPPING=PRECISE", "FS=MRC", "CURRENCY=USD", "XLFILL=b")</f>
        <v>-51.646090534979422</v>
      </c>
      <c r="N286" s="9">
        <f>_xll.BQL("ALK US Equity", "FA_GROWTH(BS_CURR_PORTION_LT_DEBT, YOY)", "FPT=A", "FPO=-5A", "ACT_EST_MAPPING=PRECISE", "FS=MRC", "CURRENCY=USD", "XLFILL=b")</f>
        <v>58.306188925081436</v>
      </c>
    </row>
    <row r="287" spans="1:14" x14ac:dyDescent="0.2">
      <c r="A287" s="8" t="s">
        <v>300</v>
      </c>
      <c r="B287" s="4" t="s">
        <v>301</v>
      </c>
      <c r="C287" s="4"/>
      <c r="D287" s="4"/>
      <c r="E287" s="9" t="str">
        <f>_xll.BQL("ALK US Equity", "BS_ST_PORTION_OF_LT_DEBT/1M", "FPT=A", "FPO=4A", "ACT_EST_MAPPING=PRECISE", "FS=MRC", "CURRENCY=USD", "XLFILL=b")</f>
        <v/>
      </c>
      <c r="F287" s="9" t="str">
        <f>_xll.BQL("ALK US Equity", "BS_ST_PORTION_OF_LT_DEBT/1M", "FPT=A", "FPO=3A", "ACT_EST_MAPPING=PRECISE", "FS=MRC", "CURRENCY=USD", "XLFILL=b")</f>
        <v/>
      </c>
      <c r="G287" s="9" t="str">
        <f>_xll.BQL("ALK US Equity", "BS_ST_PORTION_OF_LT_DEBT/1M", "FPT=A", "FPO=2A", "ACT_EST_MAPPING=PRECISE", "FS=MRC", "CURRENCY=USD", "XLFILL=b")</f>
        <v/>
      </c>
      <c r="H287" s="9" t="str">
        <f>_xll.BQL("ALK US Equity", "BS_ST_PORTION_OF_LT_DEBT/1M", "FPT=A", "FPO=1A", "ACT_EST_MAPPING=PRECISE", "FS=MRC", "CURRENCY=USD", "XLFILL=b")</f>
        <v/>
      </c>
      <c r="I287" s="9">
        <f>_xll.BQL("ALK US Equity", "BS_ST_PORTION_OF_LT_DEBT/1M", "FPT=A", "FPO=0A", "ACT_EST_MAPPING=PRECISE", "FS=MRC", "CURRENCY=USD", "XLFILL=b")</f>
        <v>511</v>
      </c>
      <c r="J287" s="9">
        <f>_xll.BQL("ALK US Equity", "BS_ST_PORTION_OF_LT_DEBT/1M", "FPT=A", "FPO=-1A", "ACT_EST_MAPPING=PRECISE", "FS=MRC", "CURRENCY=USD", "XLFILL=b")</f>
        <v>504</v>
      </c>
      <c r="K287" s="9">
        <f>_xll.BQL("ALK US Equity", "BS_ST_PORTION_OF_LT_DEBT/1M", "FPT=A", "FPO=-2A", "ACT_EST_MAPPING=PRECISE", "FS=MRC", "CURRENCY=USD", "XLFILL=b")</f>
        <v>634</v>
      </c>
      <c r="L287" s="9">
        <f>_xll.BQL("ALK US Equity", "BS_ST_PORTION_OF_LT_DEBT/1M", "FPT=A", "FPO=-3A", "ACT_EST_MAPPING=PRECISE", "FS=MRC", "CURRENCY=USD", "XLFILL=b")</f>
        <v>1428</v>
      </c>
      <c r="M287" s="9">
        <f>_xll.BQL("ALK US Equity", "BS_ST_PORTION_OF_LT_DEBT/1M", "FPT=A", "FPO=-4A", "ACT_EST_MAPPING=PRECISE", "FS=MRC", "CURRENCY=USD", "XLFILL=b")</f>
        <v>504</v>
      </c>
      <c r="N287" s="9">
        <f>_xll.BQL("ALK US Equity", "BS_ST_PORTION_OF_LT_DEBT/1M", "FPT=A", "FPO=-5A", "ACT_EST_MAPPING=PRECISE", "FS=MRC", "CURRENCY=USD", "XLFILL=b")</f>
        <v>486</v>
      </c>
    </row>
    <row r="288" spans="1:14" x14ac:dyDescent="0.2">
      <c r="A288" s="8" t="s">
        <v>67</v>
      </c>
      <c r="B288" s="4" t="s">
        <v>301</v>
      </c>
      <c r="C288" s="4"/>
      <c r="D288" s="4"/>
      <c r="E288" s="9" t="str">
        <f>_xll.BQL("ALK US Equity", "FA_GROWTH(BS_ST_PORTION_OF_LT_DEBT, YOY)", "FPT=A", "FPO=4A", "ACT_EST_MAPPING=PRECISE", "FS=MRC", "CURRENCY=USD", "XLFILL=b")</f>
        <v/>
      </c>
      <c r="F288" s="9" t="str">
        <f>_xll.BQL("ALK US Equity", "FA_GROWTH(BS_ST_PORTION_OF_LT_DEBT, YOY)", "FPT=A", "FPO=3A", "ACT_EST_MAPPING=PRECISE", "FS=MRC", "CURRENCY=USD", "XLFILL=b")</f>
        <v/>
      </c>
      <c r="G288" s="9" t="str">
        <f>_xll.BQL("ALK US Equity", "FA_GROWTH(BS_ST_PORTION_OF_LT_DEBT, YOY)", "FPT=A", "FPO=2A", "ACT_EST_MAPPING=PRECISE", "FS=MRC", "CURRENCY=USD", "XLFILL=b")</f>
        <v/>
      </c>
      <c r="H288" s="9" t="str">
        <f>_xll.BQL("ALK US Equity", "FA_GROWTH(BS_ST_PORTION_OF_LT_DEBT, YOY)", "FPT=A", "FPO=1A", "ACT_EST_MAPPING=PRECISE", "FS=MRC", "CURRENCY=USD", "XLFILL=b")</f>
        <v/>
      </c>
      <c r="I288" s="9">
        <f>_xll.BQL("ALK US Equity", "FA_GROWTH(BS_ST_PORTION_OF_LT_DEBT, YOY)", "FPT=A", "FPO=0A", "ACT_EST_MAPPING=PRECISE", "FS=MRC", "CURRENCY=USD", "XLFILL=b")</f>
        <v>1.3888888888888888</v>
      </c>
      <c r="J288" s="9">
        <f>_xll.BQL("ALK US Equity", "FA_GROWTH(BS_ST_PORTION_OF_LT_DEBT, YOY)", "FPT=A", "FPO=-1A", "ACT_EST_MAPPING=PRECISE", "FS=MRC", "CURRENCY=USD", "XLFILL=b")</f>
        <v>-20.504731861198739</v>
      </c>
      <c r="K288" s="9">
        <f>_xll.BQL("ALK US Equity", "FA_GROWTH(BS_ST_PORTION_OF_LT_DEBT, YOY)", "FPT=A", "FPO=-2A", "ACT_EST_MAPPING=PRECISE", "FS=MRC", "CURRENCY=USD", "XLFILL=b")</f>
        <v>-55.602240896358545</v>
      </c>
      <c r="L288" s="9">
        <f>_xll.BQL("ALK US Equity", "FA_GROWTH(BS_ST_PORTION_OF_LT_DEBT, YOY)", "FPT=A", "FPO=-3A", "ACT_EST_MAPPING=PRECISE", "FS=MRC", "CURRENCY=USD", "XLFILL=b")</f>
        <v>183.33333333333334</v>
      </c>
      <c r="M288" s="9">
        <f>_xll.BQL("ALK US Equity", "FA_GROWTH(BS_ST_PORTION_OF_LT_DEBT, YOY)", "FPT=A", "FPO=-4A", "ACT_EST_MAPPING=PRECISE", "FS=MRC", "CURRENCY=USD", "XLFILL=b")</f>
        <v>3.7037037037037037</v>
      </c>
      <c r="N288" s="9">
        <f>_xll.BQL("ALK US Equity", "FA_GROWTH(BS_ST_PORTION_OF_LT_DEBT, YOY)", "FPT=A", "FPO=-5A", "ACT_EST_MAPPING=PRECISE", "FS=MRC", "CURRENCY=USD", "XLFILL=b")</f>
        <v>58.306188925081436</v>
      </c>
    </row>
    <row r="289" spans="1:14" x14ac:dyDescent="0.2">
      <c r="A289" s="8" t="s">
        <v>302</v>
      </c>
      <c r="B289" s="4" t="s">
        <v>303</v>
      </c>
      <c r="C289" s="4"/>
      <c r="D289" s="4"/>
      <c r="E289" s="9" t="str">
        <f>_xll.BQL("ALK US Equity", "BS_ST_OPERATING_LEASE_LIABS/1M", "FPT=A", "FPO=4A", "ACT_EST_MAPPING=PRECISE", "FS=MRC", "CURRENCY=USD", "XLFILL=b")</f>
        <v/>
      </c>
      <c r="F289" s="9">
        <f>_xll.BQL("ALK US Equity", "BS_ST_OPERATING_LEASE_LIABS/1M", "FPT=A", "FPO=3A", "ACT_EST_MAPPING=PRECISE", "FS=MRC", "CURRENCY=USD", "XLFILL=b")</f>
        <v>162.40483238836791</v>
      </c>
      <c r="G289" s="9">
        <f>_xll.BQL("ALK US Equity", "BS_ST_OPERATING_LEASE_LIABS/1M", "FPT=A", "FPO=2A", "ACT_EST_MAPPING=PRECISE", "FS=MRC", "CURRENCY=USD", "XLFILL=b")</f>
        <v>155.93133451750478</v>
      </c>
      <c r="H289" s="9">
        <f>_xll.BQL("ALK US Equity", "BS_ST_OPERATING_LEASE_LIABS/1M", "FPT=A", "FPO=1A", "ACT_EST_MAPPING=PRECISE", "FS=MRC", "CURRENCY=USD", "XLFILL=b")</f>
        <v>155.18397776853189</v>
      </c>
      <c r="I289" s="9">
        <f>_xll.BQL("ALK US Equity", "BS_ST_OPERATING_LEASE_LIABS/1M", "FPT=A", "FPO=0A", "ACT_EST_MAPPING=PRECISE", "FS=MRC", "CURRENCY=USD", "XLFILL=b")</f>
        <v>158</v>
      </c>
      <c r="J289" s="9">
        <f>_xll.BQL("ALK US Equity", "BS_ST_OPERATING_LEASE_LIABS/1M", "FPT=A", "FPO=-1A", "ACT_EST_MAPPING=PRECISE", "FS=MRC", "CURRENCY=USD", "XLFILL=b")</f>
        <v>228</v>
      </c>
      <c r="K289" s="9">
        <f>_xll.BQL("ALK US Equity", "BS_ST_OPERATING_LEASE_LIABS/1M", "FPT=A", "FPO=-2A", "ACT_EST_MAPPING=PRECISE", "FS=MRC", "CURRENCY=USD", "XLFILL=b")</f>
        <v>268</v>
      </c>
      <c r="L289" s="9">
        <f>_xll.BQL("ALK US Equity", "BS_ST_OPERATING_LEASE_LIABS/1M", "FPT=A", "FPO=-3A", "ACT_EST_MAPPING=PRECISE", "FS=MRC", "CURRENCY=USD", "XLFILL=b")</f>
        <v>290</v>
      </c>
      <c r="M289" s="9">
        <f>_xll.BQL("ALK US Equity", "BS_ST_OPERATING_LEASE_LIABS/1M", "FPT=A", "FPO=-4A", "ACT_EST_MAPPING=PRECISE", "FS=MRC", "CURRENCY=USD", "XLFILL=b")</f>
        <v>269</v>
      </c>
      <c r="N289" s="9">
        <f>_xll.BQL("ALK US Equity", "BS_ST_OPERATING_LEASE_LIABS/1M", "FPT=A", "FPO=-5A", "ACT_EST_MAPPING=PRECISE", "FS=MRC", "CURRENCY=USD", "XLFILL=b")</f>
        <v>0</v>
      </c>
    </row>
    <row r="290" spans="1:14" x14ac:dyDescent="0.2">
      <c r="A290" s="8" t="s">
        <v>67</v>
      </c>
      <c r="B290" s="4" t="s">
        <v>303</v>
      </c>
      <c r="C290" s="4"/>
      <c r="D290" s="4"/>
      <c r="E290" s="9" t="str">
        <f>_xll.BQL("ALK US Equity", "FA_GROWTH(BS_ST_OPERATING_LEASE_LIABS, YOY)", "FPT=A", "FPO=4A", "ACT_EST_MAPPING=PRECISE", "FS=MRC", "CURRENCY=USD", "XLFILL=b")</f>
        <v/>
      </c>
      <c r="F290" s="9">
        <f>_xll.BQL("ALK US Equity", "FA_GROWTH(BS_ST_OPERATING_LEASE_LIABS, YOY)", "FPT=A", "FPO=3A", "ACT_EST_MAPPING=PRECISE", "FS=MRC", "CURRENCY=USD", "XLFILL=b")</f>
        <v>4.1515054628974699</v>
      </c>
      <c r="G290" s="9">
        <f>_xll.BQL("ALK US Equity", "FA_GROWTH(BS_ST_OPERATING_LEASE_LIABS, YOY)", "FPT=A", "FPO=2A", "ACT_EST_MAPPING=PRECISE", "FS=MRC", "CURRENCY=USD", "XLFILL=b")</f>
        <v>0.48159401487157993</v>
      </c>
      <c r="H290" s="9">
        <f>_xll.BQL("ALK US Equity", "FA_GROWTH(BS_ST_OPERATING_LEASE_LIABS, YOY)", "FPT=A", "FPO=1A", "ACT_EST_MAPPING=PRECISE", "FS=MRC", "CURRENCY=USD", "XLFILL=b")</f>
        <v>-1.7822925515620958</v>
      </c>
      <c r="I290" s="9">
        <f>_xll.BQL("ALK US Equity", "FA_GROWTH(BS_ST_OPERATING_LEASE_LIABS, YOY)", "FPT=A", "FPO=0A", "ACT_EST_MAPPING=PRECISE", "FS=MRC", "CURRENCY=USD", "XLFILL=b")</f>
        <v>-30.701754385964911</v>
      </c>
      <c r="J290" s="9">
        <f>_xll.BQL("ALK US Equity", "FA_GROWTH(BS_ST_OPERATING_LEASE_LIABS, YOY)", "FPT=A", "FPO=-1A", "ACT_EST_MAPPING=PRECISE", "FS=MRC", "CURRENCY=USD", "XLFILL=b")</f>
        <v>-14.925373134328359</v>
      </c>
      <c r="K290" s="9">
        <f>_xll.BQL("ALK US Equity", "FA_GROWTH(BS_ST_OPERATING_LEASE_LIABS, YOY)", "FPT=A", "FPO=-2A", "ACT_EST_MAPPING=PRECISE", "FS=MRC", "CURRENCY=USD", "XLFILL=b")</f>
        <v>-7.5862068965517242</v>
      </c>
      <c r="L290" s="9">
        <f>_xll.BQL("ALK US Equity", "FA_GROWTH(BS_ST_OPERATING_LEASE_LIABS, YOY)", "FPT=A", "FPO=-3A", "ACT_EST_MAPPING=PRECISE", "FS=MRC", "CURRENCY=USD", "XLFILL=b")</f>
        <v>7.8066914498141262</v>
      </c>
      <c r="M290" s="9" t="str">
        <f>_xll.BQL("ALK US Equity", "FA_GROWTH(BS_ST_OPERATING_LEASE_LIABS, YOY)", "FPT=A", "FPO=-4A", "ACT_EST_MAPPING=PRECISE", "FS=MRC", "CURRENCY=USD", "XLFILL=b")</f>
        <v/>
      </c>
      <c r="N290" s="9" t="str">
        <f>_xll.BQL("ALK US Equity", "FA_GROWTH(BS_ST_OPERATING_LEASE_LIABS, YOY)", "FPT=A", "FPO=-5A", "ACT_EST_MAPPING=PRECISE", "FS=MRC", "CURRENCY=USD", "XLFILL=b")</f>
        <v/>
      </c>
    </row>
    <row r="291" spans="1:14" x14ac:dyDescent="0.2">
      <c r="A291" s="8" t="s">
        <v>304</v>
      </c>
      <c r="B291" s="4" t="s">
        <v>305</v>
      </c>
      <c r="C291" s="4"/>
      <c r="D291" s="4"/>
      <c r="E291" s="9" t="str">
        <f>_xll.BQL("ALK US Equity", "CB_BS_ST_DEFER_REVENUE/1M", "FPT=A", "FPO=4A", "ACT_EST_MAPPING=PRECISE", "FS=MRC", "CURRENCY=USD", "XLFILL=b")</f>
        <v/>
      </c>
      <c r="F291" s="9" t="str">
        <f>_xll.BQL("ALK US Equity", "CB_BS_ST_DEFER_REVENUE/1M", "FPT=A", "FPO=3A", "ACT_EST_MAPPING=PRECISE", "FS=MRC", "CURRENCY=USD", "XLFILL=b")</f>
        <v/>
      </c>
      <c r="G291" s="9">
        <f>_xll.BQL("ALK US Equity", "CB_BS_ST_DEFER_REVENUE/1M", "FPT=A", "FPO=2A", "ACT_EST_MAPPING=PRECISE", "FS=MRC", "CURRENCY=USD", "XLFILL=b")</f>
        <v>1589.6197363263987</v>
      </c>
      <c r="H291" s="9">
        <f>_xll.BQL("ALK US Equity", "CB_BS_ST_DEFER_REVENUE/1M", "FPT=A", "FPO=1A", "ACT_EST_MAPPING=PRECISE", "FS=MRC", "CURRENCY=USD", "XLFILL=b")</f>
        <v>1432.8876855452606</v>
      </c>
      <c r="I291" s="9">
        <f>_xll.BQL("ALK US Equity", "CB_BS_ST_DEFER_REVENUE/1M", "FPT=A", "FPO=0A", "ACT_EST_MAPPING=PRECISE", "FS=MRC", "CURRENCY=USD", "XLFILL=b")</f>
        <v>1221</v>
      </c>
      <c r="J291" s="9">
        <f>_xll.BQL("ALK US Equity", "CB_BS_ST_DEFER_REVENUE/1M", "FPT=A", "FPO=-1A", "ACT_EST_MAPPING=PRECISE", "FS=MRC", "CURRENCY=USD", "XLFILL=b")</f>
        <v>1123</v>
      </c>
      <c r="K291" s="9">
        <f>_xll.BQL("ALK US Equity", "CB_BS_ST_DEFER_REVENUE/1M", "FPT=A", "FPO=-2A", "ACT_EST_MAPPING=PRECISE", "FS=MRC", "CURRENCY=USD", "XLFILL=b")</f>
        <v>912</v>
      </c>
      <c r="L291" s="9">
        <f>_xll.BQL("ALK US Equity", "CB_BS_ST_DEFER_REVENUE/1M", "FPT=A", "FPO=-3A", "ACT_EST_MAPPING=PRECISE", "FS=MRC", "CURRENCY=USD", "XLFILL=b")</f>
        <v>733</v>
      </c>
      <c r="M291" s="9">
        <f>_xll.BQL("ALK US Equity", "CB_BS_ST_DEFER_REVENUE/1M", "FPT=A", "FPO=-4A", "ACT_EST_MAPPING=PRECISE", "FS=MRC", "CURRENCY=USD", "XLFILL=b")</f>
        <v>750</v>
      </c>
      <c r="N291" s="9">
        <f>_xll.BQL("ALK US Equity", "CB_BS_ST_DEFER_REVENUE/1M", "FPT=A", "FPO=-5A", "ACT_EST_MAPPING=PRECISE", "FS=MRC", "CURRENCY=USD", "XLFILL=b")</f>
        <v>705</v>
      </c>
    </row>
    <row r="292" spans="1:14" x14ac:dyDescent="0.2">
      <c r="A292" s="8" t="s">
        <v>67</v>
      </c>
      <c r="B292" s="4" t="s">
        <v>305</v>
      </c>
      <c r="C292" s="4"/>
      <c r="D292" s="4"/>
      <c r="E292" s="9" t="str">
        <f>_xll.BQL("ALK US Equity", "FA_GROWTH(CB_BS_ST_DEFER_REVENUE, YOY)", "FPT=A", "FPO=4A", "ACT_EST_MAPPING=PRECISE", "FS=MRC", "CURRENCY=USD", "XLFILL=b")</f>
        <v/>
      </c>
      <c r="F292" s="9" t="str">
        <f>_xll.BQL("ALK US Equity", "FA_GROWTH(CB_BS_ST_DEFER_REVENUE, YOY)", "FPT=A", "FPO=3A", "ACT_EST_MAPPING=PRECISE", "FS=MRC", "CURRENCY=USD", "XLFILL=b")</f>
        <v/>
      </c>
      <c r="G292" s="9">
        <f>_xll.BQL("ALK US Equity", "FA_GROWTH(CB_BS_ST_DEFER_REVENUE, YOY)", "FPT=A", "FPO=2A", "ACT_EST_MAPPING=PRECISE", "FS=MRC", "CURRENCY=USD", "XLFILL=b")</f>
        <v>10.938195112026262</v>
      </c>
      <c r="H292" s="9">
        <f>_xll.BQL("ALK US Equity", "FA_GROWTH(CB_BS_ST_DEFER_REVENUE, YOY)", "FPT=A", "FPO=1A", "ACT_EST_MAPPING=PRECISE", "FS=MRC", "CURRENCY=USD", "XLFILL=b")</f>
        <v>17.353618799775649</v>
      </c>
      <c r="I292" s="9">
        <f>_xll.BQL("ALK US Equity", "FA_GROWTH(CB_BS_ST_DEFER_REVENUE, YOY)", "FPT=A", "FPO=0A", "ACT_EST_MAPPING=PRECISE", "FS=MRC", "CURRENCY=USD", "XLFILL=b")</f>
        <v>8.7266251113089943</v>
      </c>
      <c r="J292" s="9">
        <f>_xll.BQL("ALK US Equity", "FA_GROWTH(CB_BS_ST_DEFER_REVENUE, YOY)", "FPT=A", "FPO=-1A", "ACT_EST_MAPPING=PRECISE", "FS=MRC", "CURRENCY=USD", "XLFILL=b")</f>
        <v>23.135964912280702</v>
      </c>
      <c r="K292" s="9">
        <f>_xll.BQL("ALK US Equity", "FA_GROWTH(CB_BS_ST_DEFER_REVENUE, YOY)", "FPT=A", "FPO=-2A", "ACT_EST_MAPPING=PRECISE", "FS=MRC", "CURRENCY=USD", "XLFILL=b")</f>
        <v>24.42019099590723</v>
      </c>
      <c r="L292" s="9">
        <f>_xll.BQL("ALK US Equity", "FA_GROWTH(CB_BS_ST_DEFER_REVENUE, YOY)", "FPT=A", "FPO=-3A", "ACT_EST_MAPPING=PRECISE", "FS=MRC", "CURRENCY=USD", "XLFILL=b")</f>
        <v>-2.2666666666666666</v>
      </c>
      <c r="M292" s="9">
        <f>_xll.BQL("ALK US Equity", "FA_GROWTH(CB_BS_ST_DEFER_REVENUE, YOY)", "FPT=A", "FPO=-4A", "ACT_EST_MAPPING=PRECISE", "FS=MRC", "CURRENCY=USD", "XLFILL=b")</f>
        <v>6.3829787234042552</v>
      </c>
      <c r="N292" s="9">
        <f>_xll.BQL("ALK US Equity", "FA_GROWTH(CB_BS_ST_DEFER_REVENUE, YOY)", "FPT=A", "FPO=-5A", "ACT_EST_MAPPING=PRECISE", "FS=MRC", "CURRENCY=USD", "XLFILL=b")</f>
        <v>11.023622047244094</v>
      </c>
    </row>
    <row r="293" spans="1:14" x14ac:dyDescent="0.2">
      <c r="A293" s="8" t="s">
        <v>306</v>
      </c>
      <c r="B293" s="4" t="s">
        <v>307</v>
      </c>
      <c r="C293" s="4"/>
      <c r="D293" s="4"/>
      <c r="E293" s="9" t="str">
        <f>_xll.BQL("ALK US Equity", "BS_ST_AIR_TRAFFC_LIBLTS/1M", "FPT=A", "FPO=4A", "ACT_EST_MAPPING=PRECISE", "FS=MRC", "CURRENCY=USD", "XLFILL=b")</f>
        <v/>
      </c>
      <c r="F293" s="9">
        <f>_xll.BQL("ALK US Equity", "BS_ST_AIR_TRAFFC_LIBLTS/1M", "FPT=A", "FPO=3A", "ACT_EST_MAPPING=PRECISE", "FS=MRC", "CURRENCY=USD", "XLFILL=b")</f>
        <v>1525.1598344456145</v>
      </c>
      <c r="G293" s="9">
        <f>_xll.BQL("ALK US Equity", "BS_ST_AIR_TRAFFC_LIBLTS/1M", "FPT=A", "FPO=2A", "ACT_EST_MAPPING=PRECISE", "FS=MRC", "CURRENCY=USD", "XLFILL=b")</f>
        <v>1492.5965896331861</v>
      </c>
      <c r="H293" s="9">
        <f>_xll.BQL("ALK US Equity", "BS_ST_AIR_TRAFFC_LIBLTS/1M", "FPT=A", "FPO=1A", "ACT_EST_MAPPING=PRECISE", "FS=MRC", "CURRENCY=USD", "XLFILL=b")</f>
        <v>1303.014976913106</v>
      </c>
      <c r="I293" s="9">
        <f>_xll.BQL("ALK US Equity", "BS_ST_AIR_TRAFFC_LIBLTS/1M", "FPT=A", "FPO=0A", "ACT_EST_MAPPING=PRECISE", "FS=MRC", "CURRENCY=USD", "XLFILL=b")</f>
        <v>1136</v>
      </c>
      <c r="J293" s="9">
        <f>_xll.BQL("ALK US Equity", "BS_ST_AIR_TRAFFC_LIBLTS/1M", "FPT=A", "FPO=-1A", "ACT_EST_MAPPING=PRECISE", "FS=MRC", "CURRENCY=USD", "XLFILL=b")</f>
        <v>1180</v>
      </c>
      <c r="K293" s="9">
        <f>_xll.BQL("ALK US Equity", "BS_ST_AIR_TRAFFC_LIBLTS/1M", "FPT=A", "FPO=-2A", "ACT_EST_MAPPING=PRECISE", "FS=MRC", "CURRENCY=USD", "XLFILL=b")</f>
        <v>1163</v>
      </c>
      <c r="L293" s="9">
        <f>_xll.BQL("ALK US Equity", "BS_ST_AIR_TRAFFC_LIBLTS/1M", "FPT=A", "FPO=-3A", "ACT_EST_MAPPING=PRECISE", "FS=MRC", "CURRENCY=USD", "XLFILL=b")</f>
        <v>1073</v>
      </c>
      <c r="M293" s="9">
        <f>_xll.BQL("ALK US Equity", "BS_ST_AIR_TRAFFC_LIBLTS/1M", "FPT=A", "FPO=-4A", "ACT_EST_MAPPING=PRECISE", "FS=MRC", "CURRENCY=USD", "XLFILL=b")</f>
        <v>900</v>
      </c>
      <c r="N293" s="9">
        <f>_xll.BQL("ALK US Equity", "BS_ST_AIR_TRAFFC_LIBLTS/1M", "FPT=A", "FPO=-5A", "ACT_EST_MAPPING=PRECISE", "FS=MRC", "CURRENCY=USD", "XLFILL=b")</f>
        <v>788</v>
      </c>
    </row>
    <row r="294" spans="1:14" x14ac:dyDescent="0.2">
      <c r="A294" s="8" t="s">
        <v>67</v>
      </c>
      <c r="B294" s="4" t="s">
        <v>307</v>
      </c>
      <c r="C294" s="4"/>
      <c r="D294" s="4"/>
      <c r="E294" s="9" t="str">
        <f>_xll.BQL("ALK US Equity", "FA_GROWTH(BS_ST_AIR_TRAFFC_LIBLTS, YOY)", "FPT=A", "FPO=4A", "ACT_EST_MAPPING=PRECISE", "FS=MRC", "CURRENCY=USD", "XLFILL=b")</f>
        <v/>
      </c>
      <c r="F294" s="9">
        <f>_xll.BQL("ALK US Equity", "FA_GROWTH(BS_ST_AIR_TRAFFC_LIBLTS, YOY)", "FPT=A", "FPO=3A", "ACT_EST_MAPPING=PRECISE", "FS=MRC", "CURRENCY=USD", "XLFILL=b")</f>
        <v>2.1816507580545306</v>
      </c>
      <c r="G294" s="9">
        <f>_xll.BQL("ALK US Equity", "FA_GROWTH(BS_ST_AIR_TRAFFC_LIBLTS, YOY)", "FPT=A", "FPO=2A", "ACT_EST_MAPPING=PRECISE", "FS=MRC", "CURRENCY=USD", "XLFILL=b")</f>
        <v>14.549457686910591</v>
      </c>
      <c r="H294" s="9">
        <f>_xll.BQL("ALK US Equity", "FA_GROWTH(BS_ST_AIR_TRAFFC_LIBLTS, YOY)", "FPT=A", "FPO=1A", "ACT_EST_MAPPING=PRECISE", "FS=MRC", "CURRENCY=USD", "XLFILL=b")</f>
        <v>14.702022615590314</v>
      </c>
      <c r="I294" s="9">
        <f>_xll.BQL("ALK US Equity", "FA_GROWTH(BS_ST_AIR_TRAFFC_LIBLTS, YOY)", "FPT=A", "FPO=0A", "ACT_EST_MAPPING=PRECISE", "FS=MRC", "CURRENCY=USD", "XLFILL=b")</f>
        <v>-3.7288135593220337</v>
      </c>
      <c r="J294" s="9">
        <f>_xll.BQL("ALK US Equity", "FA_GROWTH(BS_ST_AIR_TRAFFC_LIBLTS, YOY)", "FPT=A", "FPO=-1A", "ACT_EST_MAPPING=PRECISE", "FS=MRC", "CURRENCY=USD", "XLFILL=b")</f>
        <v>1.4617368873602752</v>
      </c>
      <c r="K294" s="9">
        <f>_xll.BQL("ALK US Equity", "FA_GROWTH(BS_ST_AIR_TRAFFC_LIBLTS, YOY)", "FPT=A", "FPO=-2A", "ACT_EST_MAPPING=PRECISE", "FS=MRC", "CURRENCY=USD", "XLFILL=b")</f>
        <v>8.387698042870456</v>
      </c>
      <c r="L294" s="9">
        <f>_xll.BQL("ALK US Equity", "FA_GROWTH(BS_ST_AIR_TRAFFC_LIBLTS, YOY)", "FPT=A", "FPO=-3A", "ACT_EST_MAPPING=PRECISE", "FS=MRC", "CURRENCY=USD", "XLFILL=b")</f>
        <v>19.222222222222221</v>
      </c>
      <c r="M294" s="9">
        <f>_xll.BQL("ALK US Equity", "FA_GROWTH(BS_ST_AIR_TRAFFC_LIBLTS, YOY)", "FPT=A", "FPO=-4A", "ACT_EST_MAPPING=PRECISE", "FS=MRC", "CURRENCY=USD", "XLFILL=b")</f>
        <v>14.213197969543147</v>
      </c>
      <c r="N294" s="9">
        <f>_xll.BQL("ALK US Equity", "FA_GROWTH(BS_ST_AIR_TRAFFC_LIBLTS, YOY)", "FPT=A", "FPO=-5A", "ACT_EST_MAPPING=PRECISE", "FS=MRC", "CURRENCY=USD", "XLFILL=b")</f>
        <v>-2.2332506203473947</v>
      </c>
    </row>
    <row r="295" spans="1:14" x14ac:dyDescent="0.2">
      <c r="A295" s="8" t="s">
        <v>308</v>
      </c>
      <c r="B295" s="4" t="s">
        <v>309</v>
      </c>
      <c r="C295" s="4"/>
      <c r="D295" s="4"/>
      <c r="E295" s="9" t="str">
        <f>_xll.BQL("ALK US Equity", "BS_SHORTTERM_ACCRUD_EXPNSS/1M", "FPT=A", "FPO=4A", "ACT_EST_MAPPING=PRECISE", "FS=MRC", "CURRENCY=USD", "XLFILL=b")</f>
        <v/>
      </c>
      <c r="F295" s="9" t="str">
        <f>_xll.BQL("ALK US Equity", "BS_SHORTTERM_ACCRUD_EXPNSS/1M", "FPT=A", "FPO=3A", "ACT_EST_MAPPING=PRECISE", "FS=MRC", "CURRENCY=USD", "XLFILL=b")</f>
        <v/>
      </c>
      <c r="G295" s="9">
        <f>_xll.BQL("ALK US Equity", "BS_SHORTTERM_ACCRUD_EXPNSS/1M", "FPT=A", "FPO=2A", "ACT_EST_MAPPING=PRECISE", "FS=MRC", "CURRENCY=USD", "XLFILL=b")</f>
        <v>809.69545402343056</v>
      </c>
      <c r="H295" s="9">
        <f>_xll.BQL("ALK US Equity", "BS_SHORTTERM_ACCRUD_EXPNSS/1M", "FPT=A", "FPO=1A", "ACT_EST_MAPPING=PRECISE", "FS=MRC", "CURRENCY=USD", "XLFILL=b")</f>
        <v>711.90163690640441</v>
      </c>
      <c r="I295" s="9">
        <f>_xll.BQL("ALK US Equity", "BS_SHORTTERM_ACCRUD_EXPNSS/1M", "FPT=A", "FPO=0A", "ACT_EST_MAPPING=PRECISE", "FS=MRC", "CURRENCY=USD", "XLFILL=b")</f>
        <v>800</v>
      </c>
      <c r="J295" s="9">
        <f>_xll.BQL("ALK US Equity", "BS_SHORTTERM_ACCRUD_EXPNSS/1M", "FPT=A", "FPO=-1A", "ACT_EST_MAPPING=PRECISE", "FS=MRC", "CURRENCY=USD", "XLFILL=b")</f>
        <v>846</v>
      </c>
      <c r="K295" s="9">
        <f>_xll.BQL("ALK US Equity", "BS_SHORTTERM_ACCRUD_EXPNSS/1M", "FPT=A", "FPO=-2A", "ACT_EST_MAPPING=PRECISE", "FS=MRC", "CURRENCY=USD", "XLFILL=b")</f>
        <v>625</v>
      </c>
      <c r="L295" s="9">
        <f>_xll.BQL("ALK US Equity", "BS_SHORTTERM_ACCRUD_EXPNSS/1M", "FPT=A", "FPO=-3A", "ACT_EST_MAPPING=PRECISE", "FS=MRC", "CURRENCY=USD", "XLFILL=b")</f>
        <v>424</v>
      </c>
      <c r="M295" s="9">
        <f>_xll.BQL("ALK US Equity", "BS_SHORTTERM_ACCRUD_EXPNSS/1M", "FPT=A", "FPO=-4A", "ACT_EST_MAPPING=PRECISE", "FS=MRC", "CURRENCY=USD", "XLFILL=b")</f>
        <v>431</v>
      </c>
      <c r="N295" s="9">
        <f>_xll.BQL("ALK US Equity", "BS_SHORTTERM_ACCRUD_EXPNSS/1M", "FPT=A", "FPO=-5A", "ACT_EST_MAPPING=PRECISE", "FS=MRC", "CURRENCY=USD", "XLFILL=b")</f>
        <v>416</v>
      </c>
    </row>
    <row r="296" spans="1:14" x14ac:dyDescent="0.2">
      <c r="A296" s="8" t="s">
        <v>67</v>
      </c>
      <c r="B296" s="4" t="s">
        <v>309</v>
      </c>
      <c r="C296" s="4"/>
      <c r="D296" s="4"/>
      <c r="E296" s="9" t="str">
        <f>_xll.BQL("ALK US Equity", "FA_GROWTH(BS_SHORTTERM_ACCRUD_EXPNSS, YOY)", "FPT=A", "FPO=4A", "ACT_EST_MAPPING=PRECISE", "FS=MRC", "CURRENCY=USD", "XLFILL=b")</f>
        <v/>
      </c>
      <c r="F296" s="9" t="str">
        <f>_xll.BQL("ALK US Equity", "FA_GROWTH(BS_SHORTTERM_ACCRUD_EXPNSS, YOY)", "FPT=A", "FPO=3A", "ACT_EST_MAPPING=PRECISE", "FS=MRC", "CURRENCY=USD", "XLFILL=b")</f>
        <v/>
      </c>
      <c r="G296" s="9">
        <f>_xll.BQL("ALK US Equity", "FA_GROWTH(BS_SHORTTERM_ACCRUD_EXPNSS, YOY)", "FPT=A", "FPO=2A", "ACT_EST_MAPPING=PRECISE", "FS=MRC", "CURRENCY=USD", "XLFILL=b")</f>
        <v>13.73698444380504</v>
      </c>
      <c r="H296" s="9">
        <f>_xll.BQL("ALK US Equity", "FA_GROWTH(BS_SHORTTERM_ACCRUD_EXPNSS, YOY)", "FPT=A", "FPO=1A", "ACT_EST_MAPPING=PRECISE", "FS=MRC", "CURRENCY=USD", "XLFILL=b")</f>
        <v>-11.012295386699453</v>
      </c>
      <c r="I296" s="9">
        <f>_xll.BQL("ALK US Equity", "FA_GROWTH(BS_SHORTTERM_ACCRUD_EXPNSS, YOY)", "FPT=A", "FPO=0A", "ACT_EST_MAPPING=PRECISE", "FS=MRC", "CURRENCY=USD", "XLFILL=b")</f>
        <v>-5.4373522458628845</v>
      </c>
      <c r="J296" s="9">
        <f>_xll.BQL("ALK US Equity", "FA_GROWTH(BS_SHORTTERM_ACCRUD_EXPNSS, YOY)", "FPT=A", "FPO=-1A", "ACT_EST_MAPPING=PRECISE", "FS=MRC", "CURRENCY=USD", "XLFILL=b")</f>
        <v>35.36</v>
      </c>
      <c r="K296" s="9">
        <f>_xll.BQL("ALK US Equity", "FA_GROWTH(BS_SHORTTERM_ACCRUD_EXPNSS, YOY)", "FPT=A", "FPO=-2A", "ACT_EST_MAPPING=PRECISE", "FS=MRC", "CURRENCY=USD", "XLFILL=b")</f>
        <v>47.405660377358494</v>
      </c>
      <c r="L296" s="9">
        <f>_xll.BQL("ALK US Equity", "FA_GROWTH(BS_SHORTTERM_ACCRUD_EXPNSS, YOY)", "FPT=A", "FPO=-3A", "ACT_EST_MAPPING=PRECISE", "FS=MRC", "CURRENCY=USD", "XLFILL=b")</f>
        <v>-1.6241299303944317</v>
      </c>
      <c r="M296" s="9">
        <f>_xll.BQL("ALK US Equity", "FA_GROWTH(BS_SHORTTERM_ACCRUD_EXPNSS, YOY)", "FPT=A", "FPO=-4A", "ACT_EST_MAPPING=PRECISE", "FS=MRC", "CURRENCY=USD", "XLFILL=b")</f>
        <v>3.6057692307692308</v>
      </c>
      <c r="N296" s="9">
        <f>_xll.BQL("ALK US Equity", "FA_GROWTH(BS_SHORTTERM_ACCRUD_EXPNSS, YOY)", "FPT=A", "FPO=-5A", "ACT_EST_MAPPING=PRECISE", "FS=MRC", "CURRENCY=USD", "XLFILL=b")</f>
        <v>4</v>
      </c>
    </row>
    <row r="297" spans="1:14" x14ac:dyDescent="0.2">
      <c r="A297" s="8" t="s">
        <v>310</v>
      </c>
      <c r="B297" s="4" t="s">
        <v>311</v>
      </c>
      <c r="C297" s="4"/>
      <c r="D297" s="4"/>
      <c r="E297" s="9" t="str">
        <f>_xll.BQL("ALK US Equity", "BS_ADJ_TOTAL_LT_LIABILITIES/1M", "FPT=A", "FPO=4A", "ACT_EST_MAPPING=PRECISE", "FS=MRC", "CURRENCY=USD", "XLFILL=b")</f>
        <v/>
      </c>
      <c r="F297" s="9" t="str">
        <f>_xll.BQL("ALK US Equity", "BS_ADJ_TOTAL_LT_LIABILITIES/1M", "FPT=A", "FPO=3A", "ACT_EST_MAPPING=PRECISE", "FS=MRC", "CURRENCY=USD", "XLFILL=b")</f>
        <v/>
      </c>
      <c r="G297" s="9">
        <f>_xll.BQL("ALK US Equity", "BS_ADJ_TOTAL_LT_LIABILITIES/1M", "FPT=A", "FPO=2A", "ACT_EST_MAPPING=PRECISE", "FS=MRC", "CURRENCY=USD", "XLFILL=b")</f>
        <v>3848</v>
      </c>
      <c r="H297" s="9">
        <f>_xll.BQL("ALK US Equity", "BS_ADJ_TOTAL_LT_LIABILITIES/1M", "FPT=A", "FPO=1A", "ACT_EST_MAPPING=PRECISE", "FS=MRC", "CURRENCY=USD", "XLFILL=b")</f>
        <v>3715</v>
      </c>
      <c r="I297" s="9">
        <f>_xll.BQL("ALK US Equity", "BS_ADJ_TOTAL_LT_LIABILITIES/1M", "FPT=A", "FPO=0A", "ACT_EST_MAPPING=PRECISE", "FS=MRC", "CURRENCY=USD", "XLFILL=b")</f>
        <v>6041</v>
      </c>
      <c r="J297" s="9">
        <f>_xll.BQL("ALK US Equity", "BS_ADJ_TOTAL_LT_LIABILITIES/1M", "FPT=A", "FPO=-1A", "ACT_EST_MAPPING=PRECISE", "FS=MRC", "CURRENCY=USD", "XLFILL=b")</f>
        <v>5877</v>
      </c>
      <c r="K297" s="9">
        <f>_xll.BQL("ALK US Equity", "BS_ADJ_TOTAL_LT_LIABILITIES/1M", "FPT=A", "FPO=-2A", "ACT_EST_MAPPING=PRECISE", "FS=MRC", "CURRENCY=USD", "XLFILL=b")</f>
        <v>6159</v>
      </c>
      <c r="L297" s="9">
        <f>_xll.BQL("ALK US Equity", "BS_ADJ_TOTAL_LT_LIABILITIES/1M", "FPT=A", "FPO=-3A", "ACT_EST_MAPPING=PRECISE", "FS=MRC", "CURRENCY=USD", "XLFILL=b")</f>
        <v>6765</v>
      </c>
      <c r="M297" s="9">
        <f>_xll.BQL("ALK US Equity", "BS_ADJ_TOTAL_LT_LIABILITIES/1M", "FPT=A", "FPO=-4A", "ACT_EST_MAPPING=PRECISE", "FS=MRC", "CURRENCY=USD", "XLFILL=b")</f>
        <v>5461</v>
      </c>
      <c r="N297" s="9">
        <f>_xll.BQL("ALK US Equity", "BS_ADJ_TOTAL_LT_LIABILITIES/1M", "FPT=A", "FPO=-5A", "ACT_EST_MAPPING=PRECISE", "FS=MRC", "CURRENCY=USD", "XLFILL=b")</f>
        <v>4219</v>
      </c>
    </row>
    <row r="298" spans="1:14" x14ac:dyDescent="0.2">
      <c r="A298" s="8" t="s">
        <v>64</v>
      </c>
      <c r="B298" s="4" t="s">
        <v>311</v>
      </c>
      <c r="C298" s="4"/>
      <c r="D298" s="4"/>
      <c r="E298" s="9" t="str">
        <f>_xll.BQL("ALK US Equity", "FA_GROWTH(BS_ADJ_TOTAL_LT_LIABILITIES, YOY)", "FPT=A", "FPO=4A", "ACT_EST_MAPPING=PRECISE", "FS=MRC", "CURRENCY=USD", "XLFILL=b")</f>
        <v/>
      </c>
      <c r="F298" s="9" t="str">
        <f>_xll.BQL("ALK US Equity", "FA_GROWTH(BS_ADJ_TOTAL_LT_LIABILITIES, YOY)", "FPT=A", "FPO=3A", "ACT_EST_MAPPING=PRECISE", "FS=MRC", "CURRENCY=USD", "XLFILL=b")</f>
        <v/>
      </c>
      <c r="G298" s="9">
        <f>_xll.BQL("ALK US Equity", "FA_GROWTH(BS_ADJ_TOTAL_LT_LIABILITIES, YOY)", "FPT=A", "FPO=2A", "ACT_EST_MAPPING=PRECISE", "FS=MRC", "CURRENCY=USD", "XLFILL=b")</f>
        <v>3.5800807537012114</v>
      </c>
      <c r="H298" s="9">
        <f>_xll.BQL("ALK US Equity", "FA_GROWTH(BS_ADJ_TOTAL_LT_LIABILITIES, YOY)", "FPT=A", "FPO=1A", "ACT_EST_MAPPING=PRECISE", "FS=MRC", "CURRENCY=USD", "XLFILL=b")</f>
        <v>-38.503559013408378</v>
      </c>
      <c r="I298" s="9">
        <f>_xll.BQL("ALK US Equity", "FA_GROWTH(BS_ADJ_TOTAL_LT_LIABILITIES, YOY)", "FPT=A", "FPO=0A", "ACT_EST_MAPPING=PRECISE", "FS=MRC", "CURRENCY=USD", "XLFILL=b")</f>
        <v>2.7905393908456695</v>
      </c>
      <c r="J298" s="9">
        <f>_xll.BQL("ALK US Equity", "FA_GROWTH(BS_ADJ_TOTAL_LT_LIABILITIES, YOY)", "FPT=A", "FPO=-1A", "ACT_EST_MAPPING=PRECISE", "FS=MRC", "CURRENCY=USD", "XLFILL=b")</f>
        <v>-4.5786653677545059</v>
      </c>
      <c r="K298" s="9">
        <f>_xll.BQL("ALK US Equity", "FA_GROWTH(BS_ADJ_TOTAL_LT_LIABILITIES, YOY)", "FPT=A", "FPO=-2A", "ACT_EST_MAPPING=PRECISE", "FS=MRC", "CURRENCY=USD", "XLFILL=b")</f>
        <v>-8.9578713968957864</v>
      </c>
      <c r="L298" s="9">
        <f>_xll.BQL("ALK US Equity", "FA_GROWTH(BS_ADJ_TOTAL_LT_LIABILITIES, YOY)", "FPT=A", "FPO=-3A", "ACT_EST_MAPPING=PRECISE", "FS=MRC", "CURRENCY=USD", "XLFILL=b")</f>
        <v>23.878410547518769</v>
      </c>
      <c r="M298" s="9">
        <f>_xll.BQL("ALK US Equity", "FA_GROWTH(BS_ADJ_TOTAL_LT_LIABILITIES, YOY)", "FPT=A", "FPO=-4A", "ACT_EST_MAPPING=PRECISE", "FS=MRC", "CURRENCY=USD", "XLFILL=b")</f>
        <v>29.438255510784547</v>
      </c>
      <c r="N298" s="9">
        <f>_xll.BQL("ALK US Equity", "FA_GROWTH(BS_ADJ_TOTAL_LT_LIABILITIES, YOY)", "FPT=A", "FPO=-5A", "ACT_EST_MAPPING=PRECISE", "FS=MRC", "CURRENCY=USD", "XLFILL=b")</f>
        <v>-8.2826086956521738</v>
      </c>
    </row>
    <row r="299" spans="1:14" x14ac:dyDescent="0.2">
      <c r="A299" s="8" t="s">
        <v>312</v>
      </c>
      <c r="B299" s="4" t="s">
        <v>313</v>
      </c>
      <c r="C299" s="4" t="s">
        <v>314</v>
      </c>
      <c r="D299" s="4"/>
      <c r="E299" s="9" t="str">
        <f>_xll.BQL("ALK US Equity", "BS_LONG_TERM_BORROWINGS/1M", "FPT=A", "FPO=4A", "ACT_EST_MAPPING=PRECISE", "FS=MRC", "CURRENCY=USD", "XLFILL=b")</f>
        <v/>
      </c>
      <c r="F299" s="9">
        <f>_xll.BQL("ALK US Equity", "BS_LONG_TERM_BORROWINGS/1M", "FPT=A", "FPO=3A", "ACT_EST_MAPPING=PRECISE", "FS=MRC", "CURRENCY=USD", "XLFILL=b")</f>
        <v>1668</v>
      </c>
      <c r="G299" s="9">
        <f>_xll.BQL("ALK US Equity", "BS_LONG_TERM_BORROWINGS/1M", "FPT=A", "FPO=2A", "ACT_EST_MAPPING=PRECISE", "FS=MRC", "CURRENCY=USD", "XLFILL=b")</f>
        <v>2050.8000000000002</v>
      </c>
      <c r="H299" s="9">
        <f>_xll.BQL("ALK US Equity", "BS_LONG_TERM_BORROWINGS/1M", "FPT=A", "FPO=1A", "ACT_EST_MAPPING=PRECISE", "FS=MRC", "CURRENCY=USD", "XLFILL=b")</f>
        <v>2225.9</v>
      </c>
      <c r="I299" s="9">
        <f>_xll.BQL("ALK US Equity", "BS_LONG_TERM_BORROWINGS/1M", "FPT=A", "FPO=0A", "ACT_EST_MAPPING=PRECISE", "FS=MRC", "CURRENCY=USD", "XLFILL=b")</f>
        <v>2182</v>
      </c>
      <c r="J299" s="9">
        <f>_xll.BQL("ALK US Equity", "BS_LONG_TERM_BORROWINGS/1M", "FPT=A", "FPO=-1A", "ACT_EST_MAPPING=PRECISE", "FS=MRC", "CURRENCY=USD", "XLFILL=b")</f>
        <v>1883</v>
      </c>
      <c r="K299" s="9">
        <f>_xll.BQL("ALK US Equity", "BS_LONG_TERM_BORROWINGS/1M", "FPT=A", "FPO=-2A", "ACT_EST_MAPPING=PRECISE", "FS=MRC", "CURRENCY=USD", "XLFILL=b")</f>
        <v>2173</v>
      </c>
      <c r="L299" s="9">
        <f>_xll.BQL("ALK US Equity", "BS_LONG_TERM_BORROWINGS/1M", "FPT=A", "FPO=-3A", "ACT_EST_MAPPING=PRECISE", "FS=MRC", "CURRENCY=USD", "XLFILL=b")</f>
        <v>2357</v>
      </c>
      <c r="M299" s="9">
        <f>_xll.BQL("ALK US Equity", "BS_LONG_TERM_BORROWINGS/1M", "FPT=A", "FPO=-4A", "ACT_EST_MAPPING=PRECISE", "FS=MRC", "CURRENCY=USD", "XLFILL=b")</f>
        <v>1264</v>
      </c>
      <c r="N299" s="9">
        <f>_xll.BQL("ALK US Equity", "BS_LONG_TERM_BORROWINGS/1M", "FPT=A", "FPO=-5A", "ACT_EST_MAPPING=PRECISE", "FS=MRC", "CURRENCY=USD", "XLFILL=b")</f>
        <v>1617</v>
      </c>
    </row>
    <row r="300" spans="1:14" x14ac:dyDescent="0.2">
      <c r="A300" s="8" t="s">
        <v>67</v>
      </c>
      <c r="B300" s="4" t="s">
        <v>313</v>
      </c>
      <c r="C300" s="4" t="s">
        <v>314</v>
      </c>
      <c r="D300" s="4"/>
      <c r="E300" s="9" t="str">
        <f>_xll.BQL("ALK US Equity", "FA_GROWTH(BS_LONG_TERM_BORROWINGS, YOY)", "FPT=A", "FPO=4A", "ACT_EST_MAPPING=PRECISE", "FS=MRC", "CURRENCY=USD", "XLFILL=b")</f>
        <v/>
      </c>
      <c r="F300" s="9">
        <f>_xll.BQL("ALK US Equity", "FA_GROWTH(BS_LONG_TERM_BORROWINGS, YOY)", "FPT=A", "FPO=3A", "ACT_EST_MAPPING=PRECISE", "FS=MRC", "CURRENCY=USD", "XLFILL=b")</f>
        <v>-18.665886483323582</v>
      </c>
      <c r="G300" s="9">
        <f>_xll.BQL("ALK US Equity", "FA_GROWTH(BS_LONG_TERM_BORROWINGS, YOY)", "FPT=A", "FPO=2A", "ACT_EST_MAPPING=PRECISE", "FS=MRC", "CURRENCY=USD", "XLFILL=b")</f>
        <v>-7.8664809739880495</v>
      </c>
      <c r="H300" s="9">
        <f>_xll.BQL("ALK US Equity", "FA_GROWTH(BS_LONG_TERM_BORROWINGS, YOY)", "FPT=A", "FPO=1A", "ACT_EST_MAPPING=PRECISE", "FS=MRC", "CURRENCY=USD", "XLFILL=b")</f>
        <v>2.011915673693859</v>
      </c>
      <c r="I300" s="9">
        <f>_xll.BQL("ALK US Equity", "FA_GROWTH(BS_LONG_TERM_BORROWINGS, YOY)", "FPT=A", "FPO=0A", "ACT_EST_MAPPING=PRECISE", "FS=MRC", "CURRENCY=USD", "XLFILL=b")</f>
        <v>15.878916622411046</v>
      </c>
      <c r="J300" s="9">
        <f>_xll.BQL("ALK US Equity", "FA_GROWTH(BS_LONG_TERM_BORROWINGS, YOY)", "FPT=A", "FPO=-1A", "ACT_EST_MAPPING=PRECISE", "FS=MRC", "CURRENCY=USD", "XLFILL=b")</f>
        <v>-13.345605154164749</v>
      </c>
      <c r="K300" s="9">
        <f>_xll.BQL("ALK US Equity", "FA_GROWTH(BS_LONG_TERM_BORROWINGS, YOY)", "FPT=A", "FPO=-2A", "ACT_EST_MAPPING=PRECISE", "FS=MRC", "CURRENCY=USD", "XLFILL=b")</f>
        <v>-7.8065337293169286</v>
      </c>
      <c r="L300" s="9">
        <f>_xll.BQL("ALK US Equity", "FA_GROWTH(BS_LONG_TERM_BORROWINGS, YOY)", "FPT=A", "FPO=-3A", "ACT_EST_MAPPING=PRECISE", "FS=MRC", "CURRENCY=USD", "XLFILL=b")</f>
        <v>86.471518987341767</v>
      </c>
      <c r="M300" s="9">
        <f>_xll.BQL("ALK US Equity", "FA_GROWTH(BS_LONG_TERM_BORROWINGS, YOY)", "FPT=A", "FPO=-4A", "ACT_EST_MAPPING=PRECISE", "FS=MRC", "CURRENCY=USD", "XLFILL=b")</f>
        <v>-21.830550401978975</v>
      </c>
      <c r="N300" s="9">
        <f>_xll.BQL("ALK US Equity", "FA_GROWTH(BS_LONG_TERM_BORROWINGS, YOY)", "FPT=A", "FPO=-5A", "ACT_EST_MAPPING=PRECISE", "FS=MRC", "CURRENCY=USD", "XLFILL=b")</f>
        <v>-28.514588859416445</v>
      </c>
    </row>
    <row r="301" spans="1:14" x14ac:dyDescent="0.2">
      <c r="A301" s="8" t="s">
        <v>315</v>
      </c>
      <c r="B301" s="4" t="s">
        <v>316</v>
      </c>
      <c r="C301" s="4"/>
      <c r="D301" s="4"/>
      <c r="E301" s="9" t="str">
        <f>_xll.BQL("ALK US Equity", "BS_LT_CPTL_LEA_AND_OP_LEA_LIABS/1M", "FPT=A", "FPO=4A", "ACT_EST_MAPPING=PRECISE", "FS=MRC", "CURRENCY=USD", "XLFILL=b")</f>
        <v/>
      </c>
      <c r="F301" s="9">
        <f>_xll.BQL("ALK US Equity", "BS_LT_CPTL_LEA_AND_OP_LEA_LIABS/1M", "FPT=A", "FPO=3A", "ACT_EST_MAPPING=PRECISE", "FS=MRC", "CURRENCY=USD", "XLFILL=b")</f>
        <v>1050</v>
      </c>
      <c r="G301" s="9">
        <f>_xll.BQL("ALK US Equity", "BS_LT_CPTL_LEA_AND_OP_LEA_LIABS/1M", "FPT=A", "FPO=2A", "ACT_EST_MAPPING=PRECISE", "FS=MRC", "CURRENCY=USD", "XLFILL=b")</f>
        <v>988.8732</v>
      </c>
      <c r="H301" s="9">
        <f>_xll.BQL("ALK US Equity", "BS_LT_CPTL_LEA_AND_OP_LEA_LIABS/1M", "FPT=A", "FPO=1A", "ACT_EST_MAPPING=PRECISE", "FS=MRC", "CURRENCY=USD", "XLFILL=b")</f>
        <v>1029.21</v>
      </c>
      <c r="I301" s="9">
        <f>_xll.BQL("ALK US Equity", "BS_LT_CPTL_LEA_AND_OP_LEA_LIABS/1M", "FPT=A", "FPO=0A", "ACT_EST_MAPPING=PRECISE", "FS=MRC", "CURRENCY=USD", "XLFILL=b")</f>
        <v>1125</v>
      </c>
      <c r="J301" s="9">
        <f>_xll.BQL("ALK US Equity", "BS_LT_CPTL_LEA_AND_OP_LEA_LIABS/1M", "FPT=A", "FPO=-1A", "ACT_EST_MAPPING=PRECISE", "FS=MRC", "CURRENCY=USD", "XLFILL=b")</f>
        <v>1393</v>
      </c>
      <c r="K301" s="9">
        <f>_xll.BQL("ALK US Equity", "BS_LT_CPTL_LEA_AND_OP_LEA_LIABS/1M", "FPT=A", "FPO=-2A", "ACT_EST_MAPPING=PRECISE", "FS=MRC", "CURRENCY=USD", "XLFILL=b")</f>
        <v>1279</v>
      </c>
      <c r="L301" s="9">
        <f>_xll.BQL("ALK US Equity", "BS_LT_CPTL_LEA_AND_OP_LEA_LIABS/1M", "FPT=A", "FPO=-3A", "ACT_EST_MAPPING=PRECISE", "FS=MRC", "CURRENCY=USD", "XLFILL=b")</f>
        <v>1268</v>
      </c>
      <c r="M301" s="9">
        <f>_xll.BQL("ALK US Equity", "BS_LT_CPTL_LEA_AND_OP_LEA_LIABS/1M", "FPT=A", "FPO=-4A", "ACT_EST_MAPPING=PRECISE", "FS=MRC", "CURRENCY=USD", "XLFILL=b")</f>
        <v>1439</v>
      </c>
      <c r="N301" s="9" t="str">
        <f>_xll.BQL("ALK US Equity", "BS_LT_CPTL_LEA_AND_OP_LEA_LIABS/1M", "FPT=A", "FPO=-5A", "ACT_EST_MAPPING=PRECISE", "FS=MRC", "CURRENCY=USD", "XLFILL=b")</f>
        <v/>
      </c>
    </row>
    <row r="302" spans="1:14" x14ac:dyDescent="0.2">
      <c r="A302" s="8" t="s">
        <v>67</v>
      </c>
      <c r="B302" s="4" t="s">
        <v>316</v>
      </c>
      <c r="C302" s="4"/>
      <c r="D302" s="4"/>
      <c r="E302" s="9" t="str">
        <f>_xll.BQL("ALK US Equity", "FA_GROWTH(BS_LT_CPTL_LEA_AND_OP_LEA_LIABS, YOY)", "FPT=A", "FPO=4A", "ACT_EST_MAPPING=PRECISE", "FS=MRC", "CURRENCY=USD", "XLFILL=b")</f>
        <v/>
      </c>
      <c r="F302" s="9">
        <f>_xll.BQL("ALK US Equity", "FA_GROWTH(BS_LT_CPTL_LEA_AND_OP_LEA_LIABS, YOY)", "FPT=A", "FPO=3A", "ACT_EST_MAPPING=PRECISE", "FS=MRC", "CURRENCY=USD", "XLFILL=b")</f>
        <v>6.1814598676554287</v>
      </c>
      <c r="G302" s="9">
        <f>_xll.BQL("ALK US Equity", "FA_GROWTH(BS_LT_CPTL_LEA_AND_OP_LEA_LIABS, YOY)", "FPT=A", "FPO=2A", "ACT_EST_MAPPING=PRECISE", "FS=MRC", "CURRENCY=USD", "XLFILL=b")</f>
        <v>-3.9192001632319933</v>
      </c>
      <c r="H302" s="9">
        <f>_xll.BQL("ALK US Equity", "FA_GROWTH(BS_LT_CPTL_LEA_AND_OP_LEA_LIABS, YOY)", "FPT=A", "FPO=1A", "ACT_EST_MAPPING=PRECISE", "FS=MRC", "CURRENCY=USD", "XLFILL=b")</f>
        <v>-8.5146666666666668</v>
      </c>
      <c r="I302" s="9">
        <f>_xll.BQL("ALK US Equity", "FA_GROWTH(BS_LT_CPTL_LEA_AND_OP_LEA_LIABS, YOY)", "FPT=A", "FPO=0A", "ACT_EST_MAPPING=PRECISE", "FS=MRC", "CURRENCY=USD", "XLFILL=b")</f>
        <v>-19.239052404881551</v>
      </c>
      <c r="J302" s="9">
        <f>_xll.BQL("ALK US Equity", "FA_GROWTH(BS_LT_CPTL_LEA_AND_OP_LEA_LIABS, YOY)", "FPT=A", "FPO=-1A", "ACT_EST_MAPPING=PRECISE", "FS=MRC", "CURRENCY=USD", "XLFILL=b")</f>
        <v>8.913213448006255</v>
      </c>
      <c r="K302" s="9">
        <f>_xll.BQL("ALK US Equity", "FA_GROWTH(BS_LT_CPTL_LEA_AND_OP_LEA_LIABS, YOY)", "FPT=A", "FPO=-2A", "ACT_EST_MAPPING=PRECISE", "FS=MRC", "CURRENCY=USD", "XLFILL=b")</f>
        <v>0.86750788643533128</v>
      </c>
      <c r="L302" s="9">
        <f>_xll.BQL("ALK US Equity", "FA_GROWTH(BS_LT_CPTL_LEA_AND_OP_LEA_LIABS, YOY)", "FPT=A", "FPO=-3A", "ACT_EST_MAPPING=PRECISE", "FS=MRC", "CURRENCY=USD", "XLFILL=b")</f>
        <v>-11.883252258512856</v>
      </c>
      <c r="M302" s="9" t="str">
        <f>_xll.BQL("ALK US Equity", "FA_GROWTH(BS_LT_CPTL_LEA_AND_OP_LEA_LIABS, YOY)", "FPT=A", "FPO=-4A", "ACT_EST_MAPPING=PRECISE", "FS=MRC", "CURRENCY=USD", "XLFILL=b")</f>
        <v/>
      </c>
      <c r="N302" s="9" t="str">
        <f>_xll.BQL("ALK US Equity", "FA_GROWTH(BS_LT_CPTL_LEA_AND_OP_LEA_LIABS, YOY)", "FPT=A", "FPO=-5A", "ACT_EST_MAPPING=PRECISE", "FS=MRC", "CURRENCY=USD", "XLFILL=b")</f>
        <v/>
      </c>
    </row>
    <row r="303" spans="1:14" x14ac:dyDescent="0.2">
      <c r="A303" s="8" t="s">
        <v>317</v>
      </c>
      <c r="B303" s="4" t="s">
        <v>318</v>
      </c>
      <c r="C303" s="4"/>
      <c r="D303" s="4"/>
      <c r="E303" s="9" t="str">
        <f>_xll.BQL("ALK US Equity", "BS_LT_OPERATING_LEASE_LIABS/1M", "FPT=A", "FPO=4A", "ACT_EST_MAPPING=PRECISE", "FS=MRC", "CURRENCY=USD", "XLFILL=b")</f>
        <v/>
      </c>
      <c r="F303" s="9">
        <f>_xll.BQL("ALK US Equity", "BS_LT_OPERATING_LEASE_LIABS/1M", "FPT=A", "FPO=3A", "ACT_EST_MAPPING=PRECISE", "FS=MRC", "CURRENCY=USD", "XLFILL=b")</f>
        <v>1050</v>
      </c>
      <c r="G303" s="9">
        <f>_xll.BQL("ALK US Equity", "BS_LT_OPERATING_LEASE_LIABS/1M", "FPT=A", "FPO=2A", "ACT_EST_MAPPING=PRECISE", "FS=MRC", "CURRENCY=USD", "XLFILL=b")</f>
        <v>1068.75</v>
      </c>
      <c r="H303" s="9">
        <f>_xll.BQL("ALK US Equity", "BS_LT_OPERATING_LEASE_LIABS/1M", "FPT=A", "FPO=1A", "ACT_EST_MAPPING=PRECISE", "FS=MRC", "CURRENCY=USD", "XLFILL=b")</f>
        <v>1068.75</v>
      </c>
      <c r="I303" s="9">
        <f>_xll.BQL("ALK US Equity", "BS_LT_OPERATING_LEASE_LIABS/1M", "FPT=A", "FPO=0A", "ACT_EST_MAPPING=PRECISE", "FS=MRC", "CURRENCY=USD", "XLFILL=b")</f>
        <v>1125</v>
      </c>
      <c r="J303" s="9">
        <f>_xll.BQL("ALK US Equity", "BS_LT_OPERATING_LEASE_LIABS/1M", "FPT=A", "FPO=-1A", "ACT_EST_MAPPING=PRECISE", "FS=MRC", "CURRENCY=USD", "XLFILL=b")</f>
        <v>1393</v>
      </c>
      <c r="K303" s="9">
        <f>_xll.BQL("ALK US Equity", "BS_LT_OPERATING_LEASE_LIABS/1M", "FPT=A", "FPO=-2A", "ACT_EST_MAPPING=PRECISE", "FS=MRC", "CURRENCY=USD", "XLFILL=b")</f>
        <v>1279</v>
      </c>
      <c r="L303" s="9">
        <f>_xll.BQL("ALK US Equity", "BS_LT_OPERATING_LEASE_LIABS/1M", "FPT=A", "FPO=-3A", "ACT_EST_MAPPING=PRECISE", "FS=MRC", "CURRENCY=USD", "XLFILL=b")</f>
        <v>1268</v>
      </c>
      <c r="M303" s="9">
        <f>_xll.BQL("ALK US Equity", "BS_LT_OPERATING_LEASE_LIABS/1M", "FPT=A", "FPO=-4A", "ACT_EST_MAPPING=PRECISE", "FS=MRC", "CURRENCY=USD", "XLFILL=b")</f>
        <v>1439</v>
      </c>
      <c r="N303" s="9">
        <f>_xll.BQL("ALK US Equity", "BS_LT_OPERATING_LEASE_LIABS/1M", "FPT=A", "FPO=-5A", "ACT_EST_MAPPING=PRECISE", "FS=MRC", "CURRENCY=USD", "XLFILL=b")</f>
        <v>0</v>
      </c>
    </row>
    <row r="304" spans="1:14" x14ac:dyDescent="0.2">
      <c r="A304" s="8" t="s">
        <v>319</v>
      </c>
      <c r="B304" s="4" t="s">
        <v>318</v>
      </c>
      <c r="C304" s="4"/>
      <c r="D304" s="4"/>
      <c r="E304" s="9" t="str">
        <f>_xll.BQL("ALK US Equity", "FA_GROWTH(BS_LT_OPERATING_LEASE_LIABS, YOY)", "FPT=A", "FPO=4A", "ACT_EST_MAPPING=PRECISE", "FS=MRC", "CURRENCY=USD", "XLFILL=b")</f>
        <v/>
      </c>
      <c r="F304" s="9">
        <f>_xll.BQL("ALK US Equity", "FA_GROWTH(BS_LT_OPERATING_LEASE_LIABS, YOY)", "FPT=A", "FPO=3A", "ACT_EST_MAPPING=PRECISE", "FS=MRC", "CURRENCY=USD", "XLFILL=b")</f>
        <v>-1.7543859649122806</v>
      </c>
      <c r="G304" s="9">
        <f>_xll.BQL("ALK US Equity", "FA_GROWTH(BS_LT_OPERATING_LEASE_LIABS, YOY)", "FPT=A", "FPO=2A", "ACT_EST_MAPPING=PRECISE", "FS=MRC", "CURRENCY=USD", "XLFILL=b")</f>
        <v>0</v>
      </c>
      <c r="H304" s="9">
        <f>_xll.BQL("ALK US Equity", "FA_GROWTH(BS_LT_OPERATING_LEASE_LIABS, YOY)", "FPT=A", "FPO=1A", "ACT_EST_MAPPING=PRECISE", "FS=MRC", "CURRENCY=USD", "XLFILL=b")</f>
        <v>-5</v>
      </c>
      <c r="I304" s="9">
        <f>_xll.BQL("ALK US Equity", "FA_GROWTH(BS_LT_OPERATING_LEASE_LIABS, YOY)", "FPT=A", "FPO=0A", "ACT_EST_MAPPING=PRECISE", "FS=MRC", "CURRENCY=USD", "XLFILL=b")</f>
        <v>-19.239052404881551</v>
      </c>
      <c r="J304" s="9">
        <f>_xll.BQL("ALK US Equity", "FA_GROWTH(BS_LT_OPERATING_LEASE_LIABS, YOY)", "FPT=A", "FPO=-1A", "ACT_EST_MAPPING=PRECISE", "FS=MRC", "CURRENCY=USD", "XLFILL=b")</f>
        <v>8.913213448006255</v>
      </c>
      <c r="K304" s="9">
        <f>_xll.BQL("ALK US Equity", "FA_GROWTH(BS_LT_OPERATING_LEASE_LIABS, YOY)", "FPT=A", "FPO=-2A", "ACT_EST_MAPPING=PRECISE", "FS=MRC", "CURRENCY=USD", "XLFILL=b")</f>
        <v>0.86750788643533128</v>
      </c>
      <c r="L304" s="9">
        <f>_xll.BQL("ALK US Equity", "FA_GROWTH(BS_LT_OPERATING_LEASE_LIABS, YOY)", "FPT=A", "FPO=-3A", "ACT_EST_MAPPING=PRECISE", "FS=MRC", "CURRENCY=USD", "XLFILL=b")</f>
        <v>-11.883252258512856</v>
      </c>
      <c r="M304" s="9" t="str">
        <f>_xll.BQL("ALK US Equity", "FA_GROWTH(BS_LT_OPERATING_LEASE_LIABS, YOY)", "FPT=A", "FPO=-4A", "ACT_EST_MAPPING=PRECISE", "FS=MRC", "CURRENCY=USD", "XLFILL=b")</f>
        <v/>
      </c>
      <c r="N304" s="9" t="str">
        <f>_xll.BQL("ALK US Equity", "FA_GROWTH(BS_LT_OPERATING_LEASE_LIABS, YOY)", "FPT=A", "FPO=-5A", "ACT_EST_MAPPING=PRECISE", "FS=MRC", "CURRENCY=USD", "XLFILL=b")</f>
        <v/>
      </c>
    </row>
    <row r="305" spans="1:14" x14ac:dyDescent="0.2">
      <c r="A305" s="8" t="s">
        <v>320</v>
      </c>
      <c r="B305" s="4" t="s">
        <v>321</v>
      </c>
      <c r="C305" s="4"/>
      <c r="D305" s="4"/>
      <c r="E305" s="9" t="str">
        <f>_xll.BQL("ALK US Equity", "BS_TOTAL_OPERATING_LEASE_LIABS/1M", "FPT=A", "FPO=4A", "ACT_EST_MAPPING=PRECISE", "FS=MRC", "CURRENCY=USD", "XLFILL=b")</f>
        <v/>
      </c>
      <c r="F305" s="9">
        <f>_xll.BQL("ALK US Equity", "BS_TOTAL_OPERATING_LEASE_LIABS/1M", "FPT=A", "FPO=3A", "ACT_EST_MAPPING=PRECISE", "FS=MRC", "CURRENCY=USD", "XLFILL=b")</f>
        <v>1326.4181657217014</v>
      </c>
      <c r="G305" s="9">
        <f>_xll.BQL("ALK US Equity", "BS_TOTAL_OPERATING_LEASE_LIABS/1M", "FPT=A", "FPO=2A", "ACT_EST_MAPPING=PRECISE", "FS=MRC", "CURRENCY=USD", "XLFILL=b")</f>
        <v>1261.0936017762569</v>
      </c>
      <c r="H305" s="9">
        <f>_xll.BQL("ALK US Equity", "BS_TOTAL_OPERATING_LEASE_LIABS/1M", "FPT=A", "FPO=1A", "ACT_EST_MAPPING=PRECISE", "FS=MRC", "CURRENCY=USD", "XLFILL=b")</f>
        <v>1280.1409666527977</v>
      </c>
      <c r="I305" s="9">
        <f>_xll.BQL("ALK US Equity", "BS_TOTAL_OPERATING_LEASE_LIABS/1M", "FPT=A", "FPO=0A", "ACT_EST_MAPPING=PRECISE", "FS=MRC", "CURRENCY=USD", "XLFILL=b")</f>
        <v>1283</v>
      </c>
      <c r="J305" s="9">
        <f>_xll.BQL("ALK US Equity", "BS_TOTAL_OPERATING_LEASE_LIABS/1M", "FPT=A", "FPO=-1A", "ACT_EST_MAPPING=PRECISE", "FS=MRC", "CURRENCY=USD", "XLFILL=b")</f>
        <v>1616</v>
      </c>
      <c r="K305" s="9">
        <f>_xll.BQL("ALK US Equity", "BS_TOTAL_OPERATING_LEASE_LIABS/1M", "FPT=A", "FPO=-2A", "ACT_EST_MAPPING=PRECISE", "FS=MRC", "CURRENCY=USD", "XLFILL=b")</f>
        <v>1547</v>
      </c>
      <c r="L305" s="9">
        <f>_xll.BQL("ALK US Equity", "BS_TOTAL_OPERATING_LEASE_LIABS/1M", "FPT=A", "FPO=-3A", "ACT_EST_MAPPING=PRECISE", "FS=MRC", "CURRENCY=USD", "XLFILL=b")</f>
        <v>1558</v>
      </c>
      <c r="M305" s="9">
        <f>_xll.BQL("ALK US Equity", "BS_TOTAL_OPERATING_LEASE_LIABS/1M", "FPT=A", "FPO=-4A", "ACT_EST_MAPPING=PRECISE", "FS=MRC", "CURRENCY=USD", "XLFILL=b")</f>
        <v>1708</v>
      </c>
      <c r="N305" s="9">
        <f>_xll.BQL("ALK US Equity", "BS_TOTAL_OPERATING_LEASE_LIABS/1M", "FPT=A", "FPO=-5A", "ACT_EST_MAPPING=PRECISE", "FS=MRC", "CURRENCY=USD", "XLFILL=b")</f>
        <v>0</v>
      </c>
    </row>
    <row r="306" spans="1:14" x14ac:dyDescent="0.2">
      <c r="A306" s="8" t="s">
        <v>319</v>
      </c>
      <c r="B306" s="4" t="s">
        <v>321</v>
      </c>
      <c r="C306" s="4"/>
      <c r="D306" s="4"/>
      <c r="E306" s="9" t="str">
        <f>_xll.BQL("ALK US Equity", "FA_GROWTH(BS_TOTAL_OPERATING_LEASE_LIABS, YOY)", "FPT=A", "FPO=4A", "ACT_EST_MAPPING=PRECISE", "FS=MRC", "CURRENCY=USD", "XLFILL=b")</f>
        <v/>
      </c>
      <c r="F306" s="9">
        <f>_xll.BQL("ALK US Equity", "FA_GROWTH(BS_TOTAL_OPERATING_LEASE_LIABS, YOY)", "FPT=A", "FPO=3A", "ACT_EST_MAPPING=PRECISE", "FS=MRC", "CURRENCY=USD", "XLFILL=b")</f>
        <v>5.1799932894302492</v>
      </c>
      <c r="G306" s="9">
        <f>_xll.BQL("ALK US Equity", "FA_GROWTH(BS_TOTAL_OPERATING_LEASE_LIABS, YOY)", "FPT=A", "FPO=2A", "ACT_EST_MAPPING=PRECISE", "FS=MRC", "CURRENCY=USD", "XLFILL=b")</f>
        <v>-1.4879115169905131</v>
      </c>
      <c r="H306" s="9">
        <f>_xll.BQL("ALK US Equity", "FA_GROWTH(BS_TOTAL_OPERATING_LEASE_LIABS, YOY)", "FPT=A", "FPO=1A", "ACT_EST_MAPPING=PRECISE", "FS=MRC", "CURRENCY=USD", "XLFILL=b")</f>
        <v>-0.22283969970399853</v>
      </c>
      <c r="I306" s="9">
        <f>_xll.BQL("ALK US Equity", "FA_GROWTH(BS_TOTAL_OPERATING_LEASE_LIABS, YOY)", "FPT=A", "FPO=0A", "ACT_EST_MAPPING=PRECISE", "FS=MRC", "CURRENCY=USD", "XLFILL=b")</f>
        <v>-20.606435643564357</v>
      </c>
      <c r="J306" s="9">
        <f>_xll.BQL("ALK US Equity", "FA_GROWTH(BS_TOTAL_OPERATING_LEASE_LIABS, YOY)", "FPT=A", "FPO=-1A", "ACT_EST_MAPPING=PRECISE", "FS=MRC", "CURRENCY=USD", "XLFILL=b")</f>
        <v>4.4602456367162251</v>
      </c>
      <c r="K306" s="9">
        <f>_xll.BQL("ALK US Equity", "FA_GROWTH(BS_TOTAL_OPERATING_LEASE_LIABS, YOY)", "FPT=A", "FPO=-2A", "ACT_EST_MAPPING=PRECISE", "FS=MRC", "CURRENCY=USD", "XLFILL=b")</f>
        <v>-0.70603337612323491</v>
      </c>
      <c r="L306" s="9">
        <f>_xll.BQL("ALK US Equity", "FA_GROWTH(BS_TOTAL_OPERATING_LEASE_LIABS, YOY)", "FPT=A", "FPO=-3A", "ACT_EST_MAPPING=PRECISE", "FS=MRC", "CURRENCY=USD", "XLFILL=b")</f>
        <v>-8.7822014051522252</v>
      </c>
      <c r="M306" s="9" t="str">
        <f>_xll.BQL("ALK US Equity", "FA_GROWTH(BS_TOTAL_OPERATING_LEASE_LIABS, YOY)", "FPT=A", "FPO=-4A", "ACT_EST_MAPPING=PRECISE", "FS=MRC", "CURRENCY=USD", "XLFILL=b")</f>
        <v/>
      </c>
      <c r="N306" s="9" t="str">
        <f>_xll.BQL("ALK US Equity", "FA_GROWTH(BS_TOTAL_OPERATING_LEASE_LIABS, YOY)", "FPT=A", "FPO=-5A", "ACT_EST_MAPPING=PRECISE", "FS=MRC", "CURRENCY=USD", "XLFILL=b")</f>
        <v/>
      </c>
    </row>
    <row r="307" spans="1:14" x14ac:dyDescent="0.2">
      <c r="A307" s="8" t="s">
        <v>322</v>
      </c>
      <c r="B307" s="4" t="s">
        <v>323</v>
      </c>
      <c r="C307" s="4" t="s">
        <v>324</v>
      </c>
      <c r="D307" s="4"/>
      <c r="E307" s="9" t="str">
        <f>_xll.BQL("ALK US Equity", "LT_DEFERRED_REVENUE/1M", "FPT=A", "FPO=4A", "ACT_EST_MAPPING=PRECISE", "FS=MRC", "CURRENCY=USD", "XLFILL=b")</f>
        <v/>
      </c>
      <c r="F307" s="9">
        <f>_xll.BQL("ALK US Equity", "LT_DEFERRED_REVENUE/1M", "FPT=A", "FPO=3A", "ACT_EST_MAPPING=PRECISE", "FS=MRC", "CURRENCY=USD", "XLFILL=b")</f>
        <v>1467.0219758141568</v>
      </c>
      <c r="G307" s="9">
        <f>_xll.BQL("ALK US Equity", "LT_DEFERRED_REVENUE/1M", "FPT=A", "FPO=2A", "ACT_EST_MAPPING=PRECISE", "FS=MRC", "CURRENCY=USD", "XLFILL=b")</f>
        <v>1425.5538476423696</v>
      </c>
      <c r="H307" s="9">
        <f>_xll.BQL("ALK US Equity", "LT_DEFERRED_REVENUE/1M", "FPT=A", "FPO=1A", "ACT_EST_MAPPING=PRECISE", "FS=MRC", "CURRENCY=USD", "XLFILL=b")</f>
        <v>1384.8779106825248</v>
      </c>
      <c r="I307" s="9">
        <f>_xll.BQL("ALK US Equity", "LT_DEFERRED_REVENUE/1M", "FPT=A", "FPO=0A", "ACT_EST_MAPPING=PRECISE", "FS=MRC", "CURRENCY=USD", "XLFILL=b")</f>
        <v>1382</v>
      </c>
      <c r="J307" s="9">
        <f>_xll.BQL("ALK US Equity", "LT_DEFERRED_REVENUE/1M", "FPT=A", "FPO=-1A", "ACT_EST_MAPPING=PRECISE", "FS=MRC", "CURRENCY=USD", "XLFILL=b")</f>
        <v>1374</v>
      </c>
      <c r="K307" s="9">
        <f>_xll.BQL("ALK US Equity", "LT_DEFERRED_REVENUE/1M", "FPT=A", "FPO=-2A", "ACT_EST_MAPPING=PRECISE", "FS=MRC", "CURRENCY=USD", "XLFILL=b")</f>
        <v>1446</v>
      </c>
      <c r="L307" s="9">
        <f>_xll.BQL("ALK US Equity", "LT_DEFERRED_REVENUE/1M", "FPT=A", "FPO=-3A", "ACT_EST_MAPPING=PRECISE", "FS=MRC", "CURRENCY=USD", "XLFILL=b")</f>
        <v>1544</v>
      </c>
      <c r="M307" s="9">
        <f>_xll.BQL("ALK US Equity", "LT_DEFERRED_REVENUE/1M", "FPT=A", "FPO=-4A", "ACT_EST_MAPPING=PRECISE", "FS=MRC", "CURRENCY=USD", "XLFILL=b")</f>
        <v>1240</v>
      </c>
      <c r="N307" s="9">
        <f>_xll.BQL("ALK US Equity", "LT_DEFERRED_REVENUE/1M", "FPT=A", "FPO=-5A", "ACT_EST_MAPPING=PRECISE", "FS=MRC", "CURRENCY=USD", "XLFILL=b")</f>
        <v>1169</v>
      </c>
    </row>
    <row r="308" spans="1:14" x14ac:dyDescent="0.2">
      <c r="A308" s="8" t="s">
        <v>67</v>
      </c>
      <c r="B308" s="4" t="s">
        <v>323</v>
      </c>
      <c r="C308" s="4" t="s">
        <v>324</v>
      </c>
      <c r="D308" s="4"/>
      <c r="E308" s="9" t="str">
        <f>_xll.BQL("ALK US Equity", "FA_GROWTH(LT_DEFERRED_REVENUE, YOY)", "FPT=A", "FPO=4A", "ACT_EST_MAPPING=PRECISE", "FS=MRC", "CURRENCY=USD", "XLFILL=b")</f>
        <v/>
      </c>
      <c r="F308" s="9">
        <f>_xll.BQL("ALK US Equity", "FA_GROWTH(LT_DEFERRED_REVENUE, YOY)", "FPT=A", "FPO=3A", "ACT_EST_MAPPING=PRECISE", "FS=MRC", "CURRENCY=USD", "XLFILL=b")</f>
        <v>2.9089134893338788</v>
      </c>
      <c r="G308" s="9">
        <f>_xll.BQL("ALK US Equity", "FA_GROWTH(LT_DEFERRED_REVENUE, YOY)", "FPT=A", "FPO=2A", "ACT_EST_MAPPING=PRECISE", "FS=MRC", "CURRENCY=USD", "XLFILL=b")</f>
        <v>2.9371496682908527</v>
      </c>
      <c r="H308" s="9">
        <f>_xll.BQL("ALK US Equity", "FA_GROWTH(LT_DEFERRED_REVENUE, YOY)", "FPT=A", "FPO=1A", "ACT_EST_MAPPING=PRECISE", "FS=MRC", "CURRENCY=USD", "XLFILL=b")</f>
        <v>0.20824245170222005</v>
      </c>
      <c r="I308" s="9">
        <f>_xll.BQL("ALK US Equity", "FA_GROWTH(LT_DEFERRED_REVENUE, YOY)", "FPT=A", "FPO=0A", "ACT_EST_MAPPING=PRECISE", "FS=MRC", "CURRENCY=USD", "XLFILL=b")</f>
        <v>0.58224163027656473</v>
      </c>
      <c r="J308" s="9">
        <f>_xll.BQL("ALK US Equity", "FA_GROWTH(LT_DEFERRED_REVENUE, YOY)", "FPT=A", "FPO=-1A", "ACT_EST_MAPPING=PRECISE", "FS=MRC", "CURRENCY=USD", "XLFILL=b")</f>
        <v>-4.9792531120331951</v>
      </c>
      <c r="K308" s="9">
        <f>_xll.BQL("ALK US Equity", "FA_GROWTH(LT_DEFERRED_REVENUE, YOY)", "FPT=A", "FPO=-2A", "ACT_EST_MAPPING=PRECISE", "FS=MRC", "CURRENCY=USD", "XLFILL=b")</f>
        <v>-6.3471502590673579</v>
      </c>
      <c r="L308" s="9">
        <f>_xll.BQL("ALK US Equity", "FA_GROWTH(LT_DEFERRED_REVENUE, YOY)", "FPT=A", "FPO=-3A", "ACT_EST_MAPPING=PRECISE", "FS=MRC", "CURRENCY=USD", "XLFILL=b")</f>
        <v>24.516129032258064</v>
      </c>
      <c r="M308" s="9">
        <f>_xll.BQL("ALK US Equity", "FA_GROWTH(LT_DEFERRED_REVENUE, YOY)", "FPT=A", "FPO=-4A", "ACT_EST_MAPPING=PRECISE", "FS=MRC", "CURRENCY=USD", "XLFILL=b")</f>
        <v>6.0735671514114626</v>
      </c>
      <c r="N308" s="9">
        <f>_xll.BQL("ALK US Equity", "FA_GROWTH(LT_DEFERRED_REVENUE, YOY)", "FPT=A", "FPO=-5A", "ACT_EST_MAPPING=PRECISE", "FS=MRC", "CURRENCY=USD", "XLFILL=b")</f>
        <v>7.2477064220183482</v>
      </c>
    </row>
    <row r="309" spans="1:14" x14ac:dyDescent="0.2">
      <c r="A309" s="8" t="s">
        <v>325</v>
      </c>
      <c r="B309" s="4" t="s">
        <v>326</v>
      </c>
      <c r="C309" s="4"/>
      <c r="D309" s="4"/>
      <c r="E309" s="9" t="str">
        <f>_xll.BQL("ALK US Equity", "PENSION_LIABILITIES/1M", "FPT=A", "FPO=4A", "ACT_EST_MAPPING=PRECISE", "FS=MRC", "CURRENCY=USD", "XLFILL=b")</f>
        <v/>
      </c>
      <c r="F309" s="9">
        <f>_xll.BQL("ALK US Equity", "PENSION_LIABILITIES/1M", "FPT=A", "FPO=3A", "ACT_EST_MAPPING=PRECISE", "FS=MRC", "CURRENCY=USD", "XLFILL=b")</f>
        <v>350.62408881562976</v>
      </c>
      <c r="G309" s="9">
        <f>_xll.BQL("ALK US Equity", "PENSION_LIABILITIES/1M", "FPT=A", "FPO=2A", "ACT_EST_MAPPING=PRECISE", "FS=MRC", "CURRENCY=USD", "XLFILL=b")</f>
        <v>350.49723386023845</v>
      </c>
      <c r="H309" s="9">
        <f>_xll.BQL("ALK US Equity", "PENSION_LIABILITIES/1M", "FPT=A", "FPO=1A", "ACT_EST_MAPPING=PRECISE", "FS=MRC", "CURRENCY=USD", "XLFILL=b")</f>
        <v>347.84653487281798</v>
      </c>
      <c r="I309" s="9">
        <f>_xll.BQL("ALK US Equity", "PENSION_LIABILITIES/1M", "FPT=A", "FPO=0A", "ACT_EST_MAPPING=PRECISE", "FS=MRC", "CURRENCY=USD", "XLFILL=b")</f>
        <v>362</v>
      </c>
      <c r="J309" s="9">
        <f>_xll.BQL("ALK US Equity", "PENSION_LIABILITIES/1M", "FPT=A", "FPO=-1A", "ACT_EST_MAPPING=PRECISE", "FS=MRC", "CURRENCY=USD", "XLFILL=b")</f>
        <v>348</v>
      </c>
      <c r="K309" s="9">
        <f>_xll.BQL("ALK US Equity", "PENSION_LIABILITIES/1M", "FPT=A", "FPO=-2A", "ACT_EST_MAPPING=PRECISE", "FS=MRC", "CURRENCY=USD", "XLFILL=b")</f>
        <v>305</v>
      </c>
      <c r="L309" s="9">
        <f>_xll.BQL("ALK US Equity", "PENSION_LIABILITIES/1M", "FPT=A", "FPO=-3A", "ACT_EST_MAPPING=PRECISE", "FS=MRC", "CURRENCY=USD", "XLFILL=b")</f>
        <v>665</v>
      </c>
      <c r="M309" s="9">
        <f>_xll.BQL("ALK US Equity", "PENSION_LIABILITIES/1M", "FPT=A", "FPO=-4A", "ACT_EST_MAPPING=PRECISE", "FS=MRC", "CURRENCY=USD", "XLFILL=b")</f>
        <v>571</v>
      </c>
      <c r="N309" s="9">
        <f>_xll.BQL("ALK US Equity", "PENSION_LIABILITIES/1M", "FPT=A", "FPO=-5A", "ACT_EST_MAPPING=PRECISE", "FS=MRC", "CURRENCY=USD", "XLFILL=b")</f>
        <v>503</v>
      </c>
    </row>
    <row r="310" spans="1:14" x14ac:dyDescent="0.2">
      <c r="A310" s="8" t="s">
        <v>67</v>
      </c>
      <c r="B310" s="4" t="s">
        <v>326</v>
      </c>
      <c r="C310" s="4"/>
      <c r="D310" s="4"/>
      <c r="E310" s="9" t="str">
        <f>_xll.BQL("ALK US Equity", "FA_GROWTH(PENSION_LIABILITIES, YOY)", "FPT=A", "FPO=4A", "ACT_EST_MAPPING=PRECISE", "FS=MRC", "CURRENCY=USD", "XLFILL=b")</f>
        <v/>
      </c>
      <c r="F310" s="9">
        <f>_xll.BQL("ALK US Equity", "FA_GROWTH(PENSION_LIABILITIES, YOY)", "FPT=A", "FPO=3A", "ACT_EST_MAPPING=PRECISE", "FS=MRC", "CURRENCY=USD", "XLFILL=b")</f>
        <v>3.6192854931896869E-2</v>
      </c>
      <c r="G310" s="9">
        <f>_xll.BQL("ALK US Equity", "FA_GROWTH(PENSION_LIABILITIES, YOY)", "FPT=A", "FPO=2A", "ACT_EST_MAPPING=PRECISE", "FS=MRC", "CURRENCY=USD", "XLFILL=b")</f>
        <v>0.762031160778878</v>
      </c>
      <c r="H310" s="9">
        <f>_xll.BQL("ALK US Equity", "FA_GROWTH(PENSION_LIABILITIES, YOY)", "FPT=A", "FPO=1A", "ACT_EST_MAPPING=PRECISE", "FS=MRC", "CURRENCY=USD", "XLFILL=b")</f>
        <v>-3.9097969964591179</v>
      </c>
      <c r="I310" s="9">
        <f>_xll.BQL("ALK US Equity", "FA_GROWTH(PENSION_LIABILITIES, YOY)", "FPT=A", "FPO=0A", "ACT_EST_MAPPING=PRECISE", "FS=MRC", "CURRENCY=USD", "XLFILL=b")</f>
        <v>4.0229885057471266</v>
      </c>
      <c r="J310" s="9">
        <f>_xll.BQL("ALK US Equity", "FA_GROWTH(PENSION_LIABILITIES, YOY)", "FPT=A", "FPO=-1A", "ACT_EST_MAPPING=PRECISE", "FS=MRC", "CURRENCY=USD", "XLFILL=b")</f>
        <v>14.098360655737705</v>
      </c>
      <c r="K310" s="9">
        <f>_xll.BQL("ALK US Equity", "FA_GROWTH(PENSION_LIABILITIES, YOY)", "FPT=A", "FPO=-2A", "ACT_EST_MAPPING=PRECISE", "FS=MRC", "CURRENCY=USD", "XLFILL=b")</f>
        <v>-54.13533834586466</v>
      </c>
      <c r="L310" s="9">
        <f>_xll.BQL("ALK US Equity", "FA_GROWTH(PENSION_LIABILITIES, YOY)", "FPT=A", "FPO=-3A", "ACT_EST_MAPPING=PRECISE", "FS=MRC", "CURRENCY=USD", "XLFILL=b")</f>
        <v>16.462346760070051</v>
      </c>
      <c r="M310" s="9">
        <f>_xll.BQL("ALK US Equity", "FA_GROWTH(PENSION_LIABILITIES, YOY)", "FPT=A", "FPO=-4A", "ACT_EST_MAPPING=PRECISE", "FS=MRC", "CURRENCY=USD", "XLFILL=b")</f>
        <v>13.518886679920477</v>
      </c>
      <c r="N310" s="9">
        <f>_xll.BQL("ALK US Equity", "FA_GROWTH(PENSION_LIABILITIES, YOY)", "FPT=A", "FPO=-5A", "ACT_EST_MAPPING=PRECISE", "FS=MRC", "CURRENCY=USD", "XLFILL=b")</f>
        <v>11.037527593818984</v>
      </c>
    </row>
    <row r="311" spans="1:14" x14ac:dyDescent="0.2">
      <c r="A311" s="8" t="s">
        <v>327</v>
      </c>
      <c r="B311" s="4" t="s">
        <v>328</v>
      </c>
      <c r="C311" s="4" t="s">
        <v>329</v>
      </c>
      <c r="D311" s="4"/>
      <c r="E311" s="9" t="str">
        <f>_xll.BQL("ALK US Equity", "BS_DEFERRED_TAX_LIABILITIES_LT/1M", "FPT=A", "FPO=4A", "ACT_EST_MAPPING=PRECISE", "FS=MRC", "CURRENCY=USD", "XLFILL=b")</f>
        <v/>
      </c>
      <c r="F311" s="9">
        <f>_xll.BQL("ALK US Equity", "BS_DEFERRED_TAX_LIABILITIES_LT/1M", "FPT=A", "FPO=3A", "ACT_EST_MAPPING=PRECISE", "FS=MRC", "CURRENCY=USD", "XLFILL=b")</f>
        <v>698.44601863771209</v>
      </c>
      <c r="G311" s="9">
        <f>_xll.BQL("ALK US Equity", "BS_DEFERRED_TAX_LIABILITIES_LT/1M", "FPT=A", "FPO=2A", "ACT_EST_MAPPING=PRECISE", "FS=MRC", "CURRENCY=USD", "XLFILL=b")</f>
        <v>830.74383166950543</v>
      </c>
      <c r="H311" s="9">
        <f>_xll.BQL("ALK US Equity", "BS_DEFERRED_TAX_LIABILITIES_LT/1M", "FPT=A", "FPO=1A", "ACT_EST_MAPPING=PRECISE", "FS=MRC", "CURRENCY=USD", "XLFILL=b")</f>
        <v>776.7589234909841</v>
      </c>
      <c r="I311" s="9">
        <f>_xll.BQL("ALK US Equity", "BS_DEFERRED_TAX_LIABILITIES_LT/1M", "FPT=A", "FPO=0A", "ACT_EST_MAPPING=PRECISE", "FS=MRC", "CURRENCY=USD", "XLFILL=b")</f>
        <v>695</v>
      </c>
      <c r="J311" s="9">
        <f>_xll.BQL("ALK US Equity", "BS_DEFERRED_TAX_LIABILITIES_LT/1M", "FPT=A", "FPO=-1A", "ACT_EST_MAPPING=PRECISE", "FS=MRC", "CURRENCY=USD", "XLFILL=b")</f>
        <v>574</v>
      </c>
      <c r="K311" s="9">
        <f>_xll.BQL("ALK US Equity", "BS_DEFERRED_TAX_LIABILITIES_LT/1M", "FPT=A", "FPO=-2A", "ACT_EST_MAPPING=PRECISE", "FS=MRC", "CURRENCY=USD", "XLFILL=b")</f>
        <v>578</v>
      </c>
      <c r="L311" s="9">
        <f>_xll.BQL("ALK US Equity", "BS_DEFERRED_TAX_LIABILITIES_LT/1M", "FPT=A", "FPO=-3A", "ACT_EST_MAPPING=PRECISE", "FS=MRC", "CURRENCY=USD", "XLFILL=b")</f>
        <v>407</v>
      </c>
      <c r="M311" s="9">
        <f>_xll.BQL("ALK US Equity", "BS_DEFERRED_TAX_LIABILITIES_LT/1M", "FPT=A", "FPO=-4A", "ACT_EST_MAPPING=PRECISE", "FS=MRC", "CURRENCY=USD", "XLFILL=b")</f>
        <v>715</v>
      </c>
      <c r="N311" s="9">
        <f>_xll.BQL("ALK US Equity", "BS_DEFERRED_TAX_LIABILITIES_LT/1M", "FPT=A", "FPO=-5A", "ACT_EST_MAPPING=PRECISE", "FS=MRC", "CURRENCY=USD", "XLFILL=b")</f>
        <v>512</v>
      </c>
    </row>
    <row r="312" spans="1:14" x14ac:dyDescent="0.2">
      <c r="A312" s="8" t="s">
        <v>67</v>
      </c>
      <c r="B312" s="4" t="s">
        <v>328</v>
      </c>
      <c r="C312" s="4" t="s">
        <v>329</v>
      </c>
      <c r="D312" s="4"/>
      <c r="E312" s="9" t="str">
        <f>_xll.BQL("ALK US Equity", "FA_GROWTH(BS_DEFERRED_TAX_LIABILITIES_LT, YOY)", "FPT=A", "FPO=4A", "ACT_EST_MAPPING=PRECISE", "FS=MRC", "CURRENCY=USD", "XLFILL=b")</f>
        <v/>
      </c>
      <c r="F312" s="9">
        <f>_xll.BQL("ALK US Equity", "FA_GROWTH(BS_DEFERRED_TAX_LIABILITIES_LT, YOY)", "FPT=A", "FPO=3A", "ACT_EST_MAPPING=PRECISE", "FS=MRC", "CURRENCY=USD", "XLFILL=b")</f>
        <v>-15.925223635536467</v>
      </c>
      <c r="G312" s="9">
        <f>_xll.BQL("ALK US Equity", "FA_GROWTH(BS_DEFERRED_TAX_LIABILITIES_LT, YOY)", "FPT=A", "FPO=2A", "ACT_EST_MAPPING=PRECISE", "FS=MRC", "CURRENCY=USD", "XLFILL=b")</f>
        <v>6.9500209841036993</v>
      </c>
      <c r="H312" s="9">
        <f>_xll.BQL("ALK US Equity", "FA_GROWTH(BS_DEFERRED_TAX_LIABILITIES_LT, YOY)", "FPT=A", "FPO=1A", "ACT_EST_MAPPING=PRECISE", "FS=MRC", "CURRENCY=USD", "XLFILL=b")</f>
        <v>11.763873883594831</v>
      </c>
      <c r="I312" s="9">
        <f>_xll.BQL("ALK US Equity", "FA_GROWTH(BS_DEFERRED_TAX_LIABILITIES_LT, YOY)", "FPT=A", "FPO=0A", "ACT_EST_MAPPING=PRECISE", "FS=MRC", "CURRENCY=USD", "XLFILL=b")</f>
        <v>21.080139372822298</v>
      </c>
      <c r="J312" s="9">
        <f>_xll.BQL("ALK US Equity", "FA_GROWTH(BS_DEFERRED_TAX_LIABILITIES_LT, YOY)", "FPT=A", "FPO=-1A", "ACT_EST_MAPPING=PRECISE", "FS=MRC", "CURRENCY=USD", "XLFILL=b")</f>
        <v>-0.69204152249134943</v>
      </c>
      <c r="K312" s="9">
        <f>_xll.BQL("ALK US Equity", "FA_GROWTH(BS_DEFERRED_TAX_LIABILITIES_LT, YOY)", "FPT=A", "FPO=-2A", "ACT_EST_MAPPING=PRECISE", "FS=MRC", "CURRENCY=USD", "XLFILL=b")</f>
        <v>42.014742014742012</v>
      </c>
      <c r="L312" s="9">
        <f>_xll.BQL("ALK US Equity", "FA_GROWTH(BS_DEFERRED_TAX_LIABILITIES_LT, YOY)", "FPT=A", "FPO=-3A", "ACT_EST_MAPPING=PRECISE", "FS=MRC", "CURRENCY=USD", "XLFILL=b")</f>
        <v>-43.07692307692308</v>
      </c>
      <c r="M312" s="9">
        <f>_xll.BQL("ALK US Equity", "FA_GROWTH(BS_DEFERRED_TAX_LIABILITIES_LT, YOY)", "FPT=A", "FPO=-4A", "ACT_EST_MAPPING=PRECISE", "FS=MRC", "CURRENCY=USD", "XLFILL=b")</f>
        <v>39.6484375</v>
      </c>
      <c r="N312" s="9">
        <f>_xll.BQL("ALK US Equity", "FA_GROWTH(BS_DEFERRED_TAX_LIABILITIES_LT, YOY)", "FPT=A", "FPO=-5A", "ACT_EST_MAPPING=PRECISE", "FS=MRC", "CURRENCY=USD", "XLFILL=b")</f>
        <v>38.378378378378379</v>
      </c>
    </row>
    <row r="313" spans="1:14" x14ac:dyDescent="0.2">
      <c r="A313" s="8" t="s">
        <v>330</v>
      </c>
      <c r="B313" s="4" t="s">
        <v>331</v>
      </c>
      <c r="C313" s="4"/>
      <c r="D313" s="4"/>
      <c r="E313" s="9" t="str">
        <f>_xll.BQL("ALK US Equity", "CB_BS_OTHER_NONCURRENT_LIABS/1M", "FPT=A", "FPO=4A", "ACT_EST_MAPPING=PRECISE", "FS=MRC", "CURRENCY=USD", "XLFILL=b")</f>
        <v/>
      </c>
      <c r="F313" s="9">
        <f>_xll.BQL("ALK US Equity", "CB_BS_OTHER_NONCURRENT_LIABS/1M", "FPT=A", "FPO=3A", "ACT_EST_MAPPING=PRECISE", "FS=MRC", "CURRENCY=USD", "XLFILL=b")</f>
        <v>383.33547554037619</v>
      </c>
      <c r="G313" s="9">
        <f>_xll.BQL("ALK US Equity", "CB_BS_OTHER_NONCURRENT_LIABS/1M", "FPT=A", "FPO=2A", "ACT_EST_MAPPING=PRECISE", "FS=MRC", "CURRENCY=USD", "XLFILL=b")</f>
        <v>366.84574444913295</v>
      </c>
      <c r="H313" s="9">
        <f>_xll.BQL("ALK US Equity", "CB_BS_OTHER_NONCURRENT_LIABS/1M", "FPT=A", "FPO=1A", "ACT_EST_MAPPING=PRECISE", "FS=MRC", "CURRENCY=USD", "XLFILL=b")</f>
        <v>362.32501080030585</v>
      </c>
      <c r="I313" s="9">
        <f>_xll.BQL("ALK US Equity", "CB_BS_OTHER_NONCURRENT_LIABS/1M", "FPT=A", "FPO=0A", "ACT_EST_MAPPING=PRECISE", "FS=MRC", "CURRENCY=USD", "XLFILL=b")</f>
        <v>295</v>
      </c>
      <c r="J313" s="9">
        <f>_xll.BQL("ALK US Equity", "CB_BS_OTHER_NONCURRENT_LIABS/1M", "FPT=A", "FPO=-1A", "ACT_EST_MAPPING=PRECISE", "FS=MRC", "CURRENCY=USD", "XLFILL=b")</f>
        <v>305</v>
      </c>
      <c r="K313" s="9">
        <f>_xll.BQL("ALK US Equity", "CB_BS_OTHER_NONCURRENT_LIABS/1M", "FPT=A", "FPO=-2A", "ACT_EST_MAPPING=PRECISE", "FS=MRC", "CURRENCY=USD", "XLFILL=b")</f>
        <v>378</v>
      </c>
      <c r="L313" s="9">
        <f>_xll.BQL("ALK US Equity", "CB_BS_OTHER_NONCURRENT_LIABS/1M", "FPT=A", "FPO=-3A", "ACT_EST_MAPPING=PRECISE", "FS=MRC", "CURRENCY=USD", "XLFILL=b")</f>
        <v>524</v>
      </c>
      <c r="M313" s="9">
        <f>_xll.BQL("ALK US Equity", "CB_BS_OTHER_NONCURRENT_LIABS/1M", "FPT=A", "FPO=-4A", "ACT_EST_MAPPING=PRECISE", "FS=MRC", "CURRENCY=USD", "XLFILL=b")</f>
        <v>232</v>
      </c>
      <c r="N313" s="9">
        <f>_xll.BQL("ALK US Equity", "CB_BS_OTHER_NONCURRENT_LIABS/1M", "FPT=A", "FPO=-5A", "ACT_EST_MAPPING=PRECISE", "FS=MRC", "CURRENCY=USD", "XLFILL=b")</f>
        <v>418</v>
      </c>
    </row>
    <row r="314" spans="1:14" x14ac:dyDescent="0.2">
      <c r="A314" s="8" t="s">
        <v>67</v>
      </c>
      <c r="B314" s="4" t="s">
        <v>331</v>
      </c>
      <c r="C314" s="4"/>
      <c r="D314" s="4"/>
      <c r="E314" s="9" t="str">
        <f>_xll.BQL("ALK US Equity", "FA_GROWTH(CB_BS_OTHER_NONCURRENT_LIABS, YOY)", "FPT=A", "FPO=4A", "ACT_EST_MAPPING=PRECISE", "FS=MRC", "CURRENCY=USD", "XLFILL=b")</f>
        <v/>
      </c>
      <c r="F314" s="9">
        <f>_xll.BQL("ALK US Equity", "FA_GROWTH(CB_BS_OTHER_NONCURRENT_LIABS, YOY)", "FPT=A", "FPO=3A", "ACT_EST_MAPPING=PRECISE", "FS=MRC", "CURRENCY=USD", "XLFILL=b")</f>
        <v>4.4950040557250306</v>
      </c>
      <c r="G314" s="9">
        <f>_xll.BQL("ALK US Equity", "FA_GROWTH(CB_BS_OTHER_NONCURRENT_LIABS, YOY)", "FPT=A", "FPO=2A", "ACT_EST_MAPPING=PRECISE", "FS=MRC", "CURRENCY=USD", "XLFILL=b")</f>
        <v>1.2477012389626954</v>
      </c>
      <c r="H314" s="9">
        <f>_xll.BQL("ALK US Equity", "FA_GROWTH(CB_BS_OTHER_NONCURRENT_LIABS, YOY)", "FPT=A", "FPO=1A", "ACT_EST_MAPPING=PRECISE", "FS=MRC", "CURRENCY=USD", "XLFILL=b")</f>
        <v>22.822037559425709</v>
      </c>
      <c r="I314" s="9">
        <f>_xll.BQL("ALK US Equity", "FA_GROWTH(CB_BS_OTHER_NONCURRENT_LIABS, YOY)", "FPT=A", "FPO=0A", "ACT_EST_MAPPING=PRECISE", "FS=MRC", "CURRENCY=USD", "XLFILL=b")</f>
        <v>-3.278688524590164</v>
      </c>
      <c r="J314" s="9">
        <f>_xll.BQL("ALK US Equity", "FA_GROWTH(CB_BS_OTHER_NONCURRENT_LIABS, YOY)", "FPT=A", "FPO=-1A", "ACT_EST_MAPPING=PRECISE", "FS=MRC", "CURRENCY=USD", "XLFILL=b")</f>
        <v>-19.312169312169313</v>
      </c>
      <c r="K314" s="9">
        <f>_xll.BQL("ALK US Equity", "FA_GROWTH(CB_BS_OTHER_NONCURRENT_LIABS, YOY)", "FPT=A", "FPO=-2A", "ACT_EST_MAPPING=PRECISE", "FS=MRC", "CURRENCY=USD", "XLFILL=b")</f>
        <v>-27.862595419847327</v>
      </c>
      <c r="L314" s="9">
        <f>_xll.BQL("ALK US Equity", "FA_GROWTH(CB_BS_OTHER_NONCURRENT_LIABS, YOY)", "FPT=A", "FPO=-3A", "ACT_EST_MAPPING=PRECISE", "FS=MRC", "CURRENCY=USD", "XLFILL=b")</f>
        <v>125.86206896551724</v>
      </c>
      <c r="M314" s="9">
        <f>_xll.BQL("ALK US Equity", "FA_GROWTH(CB_BS_OTHER_NONCURRENT_LIABS, YOY)", "FPT=A", "FPO=-4A", "ACT_EST_MAPPING=PRECISE", "FS=MRC", "CURRENCY=USD", "XLFILL=b")</f>
        <v>-44.497607655502392</v>
      </c>
      <c r="N314" s="9">
        <f>_xll.BQL("ALK US Equity", "FA_GROWTH(CB_BS_OTHER_NONCURRENT_LIABS, YOY)", "FPT=A", "FPO=-5A", "ACT_EST_MAPPING=PRECISE", "FS=MRC", "CURRENCY=USD", "XLFILL=b")</f>
        <v>-1.6470588235294117</v>
      </c>
    </row>
    <row r="315" spans="1:14" x14ac:dyDescent="0.2">
      <c r="A315" s="8" t="s">
        <v>332</v>
      </c>
      <c r="B315" s="4" t="s">
        <v>333</v>
      </c>
      <c r="C315" s="4"/>
      <c r="D315" s="4"/>
      <c r="E315" s="9" t="str">
        <f>_xll.BQL("ALK US Equity", "BS_OTHER_LT_LIABILITIES/1M", "FPT=A", "FPO=4A", "ACT_EST_MAPPING=PRECISE", "FS=MRC", "CURRENCY=USD", "XLFILL=b")</f>
        <v/>
      </c>
      <c r="F315" s="9">
        <f>_xll.BQL("ALK US Equity", "BS_OTHER_LT_LIABILITIES/1M", "FPT=A", "FPO=3A", "ACT_EST_MAPPING=PRECISE", "FS=MRC", "CURRENCY=USD", "XLFILL=b")</f>
        <v>3170.0192961325783</v>
      </c>
      <c r="G315" s="9">
        <f>_xll.BQL("ALK US Equity", "BS_OTHER_LT_LIABILITIES/1M", "FPT=A", "FPO=2A", "ACT_EST_MAPPING=PRECISE", "FS=MRC", "CURRENCY=USD", "XLFILL=b")</f>
        <v>2911.9515599550023</v>
      </c>
      <c r="H315" s="9">
        <f>_xll.BQL("ALK US Equity", "BS_OTHER_LT_LIABILITIES/1M", "FPT=A", "FPO=1A", "ACT_EST_MAPPING=PRECISE", "FS=MRC", "CURRENCY=USD", "XLFILL=b")</f>
        <v>2867.0855312883141</v>
      </c>
      <c r="I315" s="9">
        <f>_xll.BQL("ALK US Equity", "BS_OTHER_LT_LIABILITIES/1M", "FPT=A", "FPO=0A", "ACT_EST_MAPPING=PRECISE", "FS=MRC", "CURRENCY=USD", "XLFILL=b")</f>
        <v>2734</v>
      </c>
      <c r="J315" s="9">
        <f>_xll.BQL("ALK US Equity", "BS_OTHER_LT_LIABILITIES/1M", "FPT=A", "FPO=-1A", "ACT_EST_MAPPING=PRECISE", "FS=MRC", "CURRENCY=USD", "XLFILL=b")</f>
        <v>2601</v>
      </c>
      <c r="K315" s="9">
        <f>_xll.BQL("ALK US Equity", "BS_OTHER_LT_LIABILITIES/1M", "FPT=A", "FPO=-2A", "ACT_EST_MAPPING=PRECISE", "FS=MRC", "CURRENCY=USD", "XLFILL=b")</f>
        <v>2707</v>
      </c>
      <c r="L315" s="9">
        <f>_xll.BQL("ALK US Equity", "BS_OTHER_LT_LIABILITIES/1M", "FPT=A", "FPO=-3A", "ACT_EST_MAPPING=PRECISE", "FS=MRC", "CURRENCY=USD", "XLFILL=b")</f>
        <v>3140</v>
      </c>
      <c r="M315" s="9">
        <f>_xll.BQL("ALK US Equity", "BS_OTHER_LT_LIABILITIES/1M", "FPT=A", "FPO=-4A", "ACT_EST_MAPPING=PRECISE", "FS=MRC", "CURRENCY=USD", "XLFILL=b")</f>
        <v>2758</v>
      </c>
      <c r="N315" s="9">
        <f>_xll.BQL("ALK US Equity", "BS_OTHER_LT_LIABILITIES/1M", "FPT=A", "FPO=-5A", "ACT_EST_MAPPING=PRECISE", "FS=MRC", "CURRENCY=USD", "XLFILL=b")</f>
        <v>2602</v>
      </c>
    </row>
    <row r="316" spans="1:14" x14ac:dyDescent="0.2">
      <c r="A316" s="8" t="s">
        <v>67</v>
      </c>
      <c r="B316" s="4" t="s">
        <v>333</v>
      </c>
      <c r="C316" s="4"/>
      <c r="D316" s="4"/>
      <c r="E316" s="9" t="str">
        <f>_xll.BQL("ALK US Equity", "FA_GROWTH(BS_OTHER_LT_LIABILITIES, YOY)", "FPT=A", "FPO=4A", "ACT_EST_MAPPING=PRECISE", "FS=MRC", "CURRENCY=USD", "XLFILL=b")</f>
        <v/>
      </c>
      <c r="F316" s="9">
        <f>_xll.BQL("ALK US Equity", "FA_GROWTH(BS_OTHER_LT_LIABILITIES, YOY)", "FPT=A", "FPO=3A", "ACT_EST_MAPPING=PRECISE", "FS=MRC", "CURRENCY=USD", "XLFILL=b")</f>
        <v>8.8623636370367347</v>
      </c>
      <c r="G316" s="9">
        <f>_xll.BQL("ALK US Equity", "FA_GROWTH(BS_OTHER_LT_LIABILITIES, YOY)", "FPT=A", "FPO=2A", "ACT_EST_MAPPING=PRECISE", "FS=MRC", "CURRENCY=USD", "XLFILL=b")</f>
        <v>1.5648653720675039</v>
      </c>
      <c r="H316" s="9">
        <f>_xll.BQL("ALK US Equity", "FA_GROWTH(BS_OTHER_LT_LIABILITIES, YOY)", "FPT=A", "FPO=1A", "ACT_EST_MAPPING=PRECISE", "FS=MRC", "CURRENCY=USD", "XLFILL=b")</f>
        <v>4.8677955847956786</v>
      </c>
      <c r="I316" s="9">
        <f>_xll.BQL("ALK US Equity", "FA_GROWTH(BS_OTHER_LT_LIABILITIES, YOY)", "FPT=A", "FPO=0A", "ACT_EST_MAPPING=PRECISE", "FS=MRC", "CURRENCY=USD", "XLFILL=b")</f>
        <v>5.1134179161860827</v>
      </c>
      <c r="J316" s="9">
        <f>_xll.BQL("ALK US Equity", "FA_GROWTH(BS_OTHER_LT_LIABILITIES, YOY)", "FPT=A", "FPO=-1A", "ACT_EST_MAPPING=PRECISE", "FS=MRC", "CURRENCY=USD", "XLFILL=b")</f>
        <v>-3.9157739194680459</v>
      </c>
      <c r="K316" s="9">
        <f>_xll.BQL("ALK US Equity", "FA_GROWTH(BS_OTHER_LT_LIABILITIES, YOY)", "FPT=A", "FPO=-2A", "ACT_EST_MAPPING=PRECISE", "FS=MRC", "CURRENCY=USD", "XLFILL=b")</f>
        <v>-13.789808917197453</v>
      </c>
      <c r="L316" s="9">
        <f>_xll.BQL("ALK US Equity", "FA_GROWTH(BS_OTHER_LT_LIABILITIES, YOY)", "FPT=A", "FPO=-3A", "ACT_EST_MAPPING=PRECISE", "FS=MRC", "CURRENCY=USD", "XLFILL=b")</f>
        <v>13.850616388687454</v>
      </c>
      <c r="M316" s="9">
        <f>_xll.BQL("ALK US Equity", "FA_GROWTH(BS_OTHER_LT_LIABILITIES, YOY)", "FPT=A", "FPO=-4A", "ACT_EST_MAPPING=PRECISE", "FS=MRC", "CURRENCY=USD", "XLFILL=b")</f>
        <v>5.9953881629515759</v>
      </c>
      <c r="N316" s="9">
        <f>_xll.BQL("ALK US Equity", "FA_GROWTH(BS_OTHER_LT_LIABILITIES, YOY)", "FPT=A", "FPO=-5A", "ACT_EST_MAPPING=PRECISE", "FS=MRC", "CURRENCY=USD", "XLFILL=b")</f>
        <v>11.291702309666382</v>
      </c>
    </row>
    <row r="317" spans="1:14" x14ac:dyDescent="0.2">
      <c r="A317" s="8" t="s">
        <v>334</v>
      </c>
      <c r="B317" s="4" t="s">
        <v>335</v>
      </c>
      <c r="C317" s="4" t="s">
        <v>336</v>
      </c>
      <c r="D317" s="4"/>
      <c r="E317" s="9" t="str">
        <f>_xll.BQL("ALK US Equity", "BS_TOTAL_LIABILITIES/1M", "FPT=A", "FPO=4A", "ACT_EST_MAPPING=PRECISE", "FS=MRC", "CURRENCY=USD", "XLFILL=b")</f>
        <v/>
      </c>
      <c r="F317" s="9">
        <f>_xll.BQL("ALK US Equity", "BS_TOTAL_LIABILITIES/1M", "FPT=A", "FPO=3A", "ACT_EST_MAPPING=PRECISE", "FS=MRC", "CURRENCY=USD", "XLFILL=b")</f>
        <v>10740.26064919877</v>
      </c>
      <c r="G317" s="9">
        <f>_xll.BQL("ALK US Equity", "BS_TOTAL_LIABILITIES/1M", "FPT=A", "FPO=2A", "ACT_EST_MAPPING=PRECISE", "FS=MRC", "CURRENCY=USD", "XLFILL=b")</f>
        <v>9490.8963360710532</v>
      </c>
      <c r="H317" s="9">
        <f>_xll.BQL("ALK US Equity", "BS_TOTAL_LIABILITIES/1M", "FPT=A", "FPO=1A", "ACT_EST_MAPPING=PRECISE", "FS=MRC", "CURRENCY=USD", "XLFILL=b")</f>
        <v>9615.6354097249114</v>
      </c>
      <c r="I317" s="9">
        <f>_xll.BQL("ALK US Equity", "BS_TOTAL_LIABILITIES/1M", "FPT=A", "FPO=0A", "ACT_EST_MAPPING=PRECISE", "FS=MRC", "CURRENCY=USD", "XLFILL=b")</f>
        <v>10500</v>
      </c>
      <c r="J317" s="9">
        <f>_xll.BQL("ALK US Equity", "BS_TOTAL_LIABILITIES/1M", "FPT=A", "FPO=-1A", "ACT_EST_MAPPING=PRECISE", "FS=MRC", "CURRENCY=USD", "XLFILL=b")</f>
        <v>10370</v>
      </c>
      <c r="K317" s="9">
        <f>_xll.BQL("ALK US Equity", "BS_TOTAL_LIABILITIES/1M", "FPT=A", "FPO=-2A", "ACT_EST_MAPPING=PRECISE", "FS=MRC", "CURRENCY=USD", "XLFILL=b")</f>
        <v>10150</v>
      </c>
      <c r="L317" s="9">
        <f>_xll.BQL("ALK US Equity", "BS_TOTAL_LIABILITIES/1M", "FPT=A", "FPO=-3A", "ACT_EST_MAPPING=PRECISE", "FS=MRC", "CURRENCY=USD", "XLFILL=b")</f>
        <v>11058</v>
      </c>
      <c r="M317" s="9">
        <f>_xll.BQL("ALK US Equity", "BS_TOTAL_LIABILITIES/1M", "FPT=A", "FPO=-4A", "ACT_EST_MAPPING=PRECISE", "FS=MRC", "CURRENCY=USD", "XLFILL=b")</f>
        <v>8662</v>
      </c>
      <c r="N317" s="9">
        <f>_xll.BQL("ALK US Equity", "BS_TOTAL_LIABILITIES/1M", "FPT=A", "FPO=-5A", "ACT_EST_MAPPING=PRECISE", "FS=MRC", "CURRENCY=USD", "XLFILL=b")</f>
        <v>7161</v>
      </c>
    </row>
    <row r="318" spans="1:14" x14ac:dyDescent="0.2">
      <c r="A318" s="8" t="s">
        <v>64</v>
      </c>
      <c r="B318" s="4" t="s">
        <v>335</v>
      </c>
      <c r="C318" s="4" t="s">
        <v>336</v>
      </c>
      <c r="D318" s="4"/>
      <c r="E318" s="9" t="str">
        <f>_xll.BQL("ALK US Equity", "FA_GROWTH(BS_TOTAL_LIABILITIES, YOY)", "FPT=A", "FPO=4A", "ACT_EST_MAPPING=PRECISE", "FS=MRC", "CURRENCY=USD", "XLFILL=b")</f>
        <v/>
      </c>
      <c r="F318" s="9">
        <f>_xll.BQL("ALK US Equity", "FA_GROWTH(BS_TOTAL_LIABILITIES, YOY)", "FPT=A", "FPO=3A", "ACT_EST_MAPPING=PRECISE", "FS=MRC", "CURRENCY=USD", "XLFILL=b")</f>
        <v>13.163817924966583</v>
      </c>
      <c r="G318" s="9">
        <f>_xll.BQL("ALK US Equity", "FA_GROWTH(BS_TOTAL_LIABILITIES, YOY)", "FPT=A", "FPO=2A", "ACT_EST_MAPPING=PRECISE", "FS=MRC", "CURRENCY=USD", "XLFILL=b")</f>
        <v>-1.2972525302665026</v>
      </c>
      <c r="H318" s="9">
        <f>_xll.BQL("ALK US Equity", "FA_GROWTH(BS_TOTAL_LIABILITIES, YOY)", "FPT=A", "FPO=1A", "ACT_EST_MAPPING=PRECISE", "FS=MRC", "CURRENCY=USD", "XLFILL=b")</f>
        <v>-8.4225199073818029</v>
      </c>
      <c r="I318" s="9">
        <f>_xll.BQL("ALK US Equity", "FA_GROWTH(BS_TOTAL_LIABILITIES, YOY)", "FPT=A", "FPO=0A", "ACT_EST_MAPPING=PRECISE", "FS=MRC", "CURRENCY=USD", "XLFILL=b")</f>
        <v>1.253616200578592</v>
      </c>
      <c r="J318" s="9">
        <f>_xll.BQL("ALK US Equity", "FA_GROWTH(BS_TOTAL_LIABILITIES, YOY)", "FPT=A", "FPO=-1A", "ACT_EST_MAPPING=PRECISE", "FS=MRC", "CURRENCY=USD", "XLFILL=b")</f>
        <v>2.1674876847290641</v>
      </c>
      <c r="K318" s="9">
        <f>_xll.BQL("ALK US Equity", "FA_GROWTH(BS_TOTAL_LIABILITIES, YOY)", "FPT=A", "FPO=-2A", "ACT_EST_MAPPING=PRECISE", "FS=MRC", "CURRENCY=USD", "XLFILL=b")</f>
        <v>-8.2112497739193344</v>
      </c>
      <c r="L318" s="9">
        <f>_xll.BQL("ALK US Equity", "FA_GROWTH(BS_TOTAL_LIABILITIES, YOY)", "FPT=A", "FPO=-3A", "ACT_EST_MAPPING=PRECISE", "FS=MRC", "CURRENCY=USD", "XLFILL=b")</f>
        <v>27.661048256753638</v>
      </c>
      <c r="M318" s="9">
        <f>_xll.BQL("ALK US Equity", "FA_GROWTH(BS_TOTAL_LIABILITIES, YOY)", "FPT=A", "FPO=-4A", "ACT_EST_MAPPING=PRECISE", "FS=MRC", "CURRENCY=USD", "XLFILL=b")</f>
        <v>20.960759670437088</v>
      </c>
      <c r="N318" s="9">
        <f>_xll.BQL("ALK US Equity", "FA_GROWTH(BS_TOTAL_LIABILITIES, YOY)", "FPT=A", "FPO=-5A", "ACT_EST_MAPPING=PRECISE", "FS=MRC", "CURRENCY=USD", "XLFILL=b")</f>
        <v>-1.7156189953335164</v>
      </c>
    </row>
    <row r="319" spans="1:14" x14ac:dyDescent="0.2">
      <c r="A319" s="8" t="s">
        <v>337</v>
      </c>
      <c r="B319" s="4" t="s">
        <v>338</v>
      </c>
      <c r="C319" s="4" t="s">
        <v>339</v>
      </c>
      <c r="D319" s="4"/>
      <c r="E319" s="9" t="str">
        <f>_xll.BQL("ALK US Equity", "HEADLINE_NAV/1M", "FPT=A", "FPO=4A", "ACT_EST_MAPPING=PRECISE", "FS=MRC", "CURRENCY=USD", "XLFILL=b")</f>
        <v/>
      </c>
      <c r="F319" s="9">
        <f>_xll.BQL("ALK US Equity", "HEADLINE_NAV/1M", "FPT=A", "FPO=3A", "ACT_EST_MAPPING=PRECISE", "FS=MRC", "CURRENCY=USD", "XLFILL=b")</f>
        <v>7255.75</v>
      </c>
      <c r="G319" s="9">
        <f>_xll.BQL("ALK US Equity", "HEADLINE_NAV/1M", "FPT=A", "FPO=2A", "ACT_EST_MAPPING=PRECISE", "FS=MRC", "CURRENCY=USD", "XLFILL=b")</f>
        <v>5697.7142857142862</v>
      </c>
      <c r="H319" s="9">
        <f>_xll.BQL("ALK US Equity", "HEADLINE_NAV/1M", "FPT=A", "FPO=1A", "ACT_EST_MAPPING=PRECISE", "FS=MRC", "CURRENCY=USD", "XLFILL=b")</f>
        <v>4736.7142857142862</v>
      </c>
      <c r="I319" s="9">
        <f>_xll.BQL("ALK US Equity", "HEADLINE_NAV/1M", "FPT=A", "FPO=0A", "ACT_EST_MAPPING=PRECISE", "FS=MRC", "CURRENCY=USD", "XLFILL=b")</f>
        <v>4113</v>
      </c>
      <c r="J319" s="9">
        <f>_xll.BQL("ALK US Equity", "HEADLINE_NAV/1M", "FPT=A", "FPO=-1A", "ACT_EST_MAPPING=PRECISE", "FS=MRC", "CURRENCY=USD", "XLFILL=b")</f>
        <v>3816</v>
      </c>
      <c r="K319" s="9">
        <f>_xll.BQL("ALK US Equity", "HEADLINE_NAV/1M", "FPT=A", "FPO=-2A", "ACT_EST_MAPPING=PRECISE", "FS=MRC", "CURRENCY=USD", "XLFILL=b")</f>
        <v>3801</v>
      </c>
      <c r="L319" s="9">
        <f>_xll.BQL("ALK US Equity", "HEADLINE_NAV/1M", "FPT=A", "FPO=-3A", "ACT_EST_MAPPING=PRECISE", "FS=MRC", "CURRENCY=USD", "XLFILL=b")</f>
        <v>2988</v>
      </c>
      <c r="M319" s="9">
        <f>_xll.BQL("ALK US Equity", "HEADLINE_NAV/1M", "FPT=A", "FPO=-4A", "ACT_EST_MAPPING=PRECISE", "FS=MRC", "CURRENCY=USD", "XLFILL=b")</f>
        <v>4331</v>
      </c>
      <c r="N319" s="9">
        <f>_xll.BQL("ALK US Equity", "HEADLINE_NAV/1M", "FPT=A", "FPO=-5A", "ACT_EST_MAPPING=PRECISE", "FS=MRC", "CURRENCY=USD", "XLFILL=b")</f>
        <v>3751</v>
      </c>
    </row>
    <row r="320" spans="1:14" x14ac:dyDescent="0.2">
      <c r="A320" s="8" t="s">
        <v>64</v>
      </c>
      <c r="B320" s="4" t="s">
        <v>338</v>
      </c>
      <c r="C320" s="4" t="s">
        <v>339</v>
      </c>
      <c r="D320" s="4"/>
      <c r="E320" s="9" t="str">
        <f>_xll.BQL("ALK US Equity", "FA_GROWTH(HEADLINE_NAV, YOY)", "FPT=A", "FPO=4A", "ACT_EST_MAPPING=PRECISE", "FS=MRC", "CURRENCY=USD", "XLFILL=b")</f>
        <v/>
      </c>
      <c r="F320" s="9">
        <f>_xll.BQL("ALK US Equity", "FA_GROWTH(HEADLINE_NAV, YOY)", "FPT=A", "FPO=3A", "ACT_EST_MAPPING=PRECISE", "FS=MRC", "CURRENCY=USD", "XLFILL=b")</f>
        <v>27.344925283321629</v>
      </c>
      <c r="G320" s="9">
        <f>_xll.BQL("ALK US Equity", "FA_GROWTH(HEADLINE_NAV, YOY)", "FPT=A", "FPO=2A", "ACT_EST_MAPPING=PRECISE", "FS=MRC", "CURRENCY=USD", "XLFILL=b")</f>
        <v>20.288325240522362</v>
      </c>
      <c r="H320" s="9">
        <f>_xll.BQL("ALK US Equity", "FA_GROWTH(HEADLINE_NAV, YOY)", "FPT=A", "FPO=1A", "ACT_EST_MAPPING=PRECISE", "FS=MRC", "CURRENCY=USD", "XLFILL=b")</f>
        <v>15.164461116321077</v>
      </c>
      <c r="I320" s="9">
        <f>_xll.BQL("ALK US Equity", "FA_GROWTH(HEADLINE_NAV, YOY)", "FPT=A", "FPO=0A", "ACT_EST_MAPPING=PRECISE", "FS=MRC", "CURRENCY=USD", "XLFILL=b")</f>
        <v>7.783018867924528</v>
      </c>
      <c r="J320" s="9">
        <f>_xll.BQL("ALK US Equity", "FA_GROWTH(HEADLINE_NAV, YOY)", "FPT=A", "FPO=-1A", "ACT_EST_MAPPING=PRECISE", "FS=MRC", "CURRENCY=USD", "XLFILL=b")</f>
        <v>0.39463299131807417</v>
      </c>
      <c r="K320" s="9">
        <f>_xll.BQL("ALK US Equity", "FA_GROWTH(HEADLINE_NAV, YOY)", "FPT=A", "FPO=-2A", "ACT_EST_MAPPING=PRECISE", "FS=MRC", "CURRENCY=USD", "XLFILL=b")</f>
        <v>27.208835341365461</v>
      </c>
      <c r="L320" s="9">
        <f>_xll.BQL("ALK US Equity", "FA_GROWTH(HEADLINE_NAV, YOY)", "FPT=A", "FPO=-3A", "ACT_EST_MAPPING=PRECISE", "FS=MRC", "CURRENCY=USD", "XLFILL=b")</f>
        <v>-31.009004848764718</v>
      </c>
      <c r="M320" s="9">
        <f>_xll.BQL("ALK US Equity", "FA_GROWTH(HEADLINE_NAV, YOY)", "FPT=A", "FPO=-4A", "ACT_EST_MAPPING=PRECISE", "FS=MRC", "CURRENCY=USD", "XLFILL=b")</f>
        <v>15.462543321780858</v>
      </c>
      <c r="N320" s="9">
        <f>_xll.BQL("ALK US Equity", "FA_GROWTH(HEADLINE_NAV, YOY)", "FPT=A", "FPO=-5A", "ACT_EST_MAPPING=PRECISE", "FS=MRC", "CURRENCY=USD", "XLFILL=b")</f>
        <v>8.4104046242774562</v>
      </c>
    </row>
    <row r="321" spans="1:14" x14ac:dyDescent="0.2">
      <c r="A321" s="8" t="s">
        <v>340</v>
      </c>
      <c r="B321" s="4" t="s">
        <v>341</v>
      </c>
      <c r="C321" s="4"/>
      <c r="D321" s="4"/>
      <c r="E321" s="9" t="str">
        <f>_xll.BQL("ALK US Equity", "CB_BS_SHARE_CAPITAL/1M", "FPT=A", "FPO=4A", "ACT_EST_MAPPING=PRECISE", "FS=MRC", "CURRENCY=USD", "XLFILL=b")</f>
        <v/>
      </c>
      <c r="F321" s="9">
        <f>_xll.BQL("ALK US Equity", "CB_BS_SHARE_CAPITAL/1M", "FPT=A", "FPO=3A", "ACT_EST_MAPPING=PRECISE", "FS=MRC", "CURRENCY=USD", "XLFILL=b")</f>
        <v>1</v>
      </c>
      <c r="G321" s="9">
        <f>_xll.BQL("ALK US Equity", "CB_BS_SHARE_CAPITAL/1M", "FPT=A", "FPO=2A", "ACT_EST_MAPPING=PRECISE", "FS=MRC", "CURRENCY=USD", "XLFILL=b")</f>
        <v>1</v>
      </c>
      <c r="H321" s="9">
        <f>_xll.BQL("ALK US Equity", "CB_BS_SHARE_CAPITAL/1M", "FPT=A", "FPO=1A", "ACT_EST_MAPPING=PRECISE", "FS=MRC", "CURRENCY=USD", "XLFILL=b")</f>
        <v>1</v>
      </c>
      <c r="I321" s="9">
        <f>_xll.BQL("ALK US Equity", "CB_BS_SHARE_CAPITAL/1M", "FPT=A", "FPO=0A", "ACT_EST_MAPPING=PRECISE", "FS=MRC", "CURRENCY=USD", "XLFILL=b")</f>
        <v>1</v>
      </c>
      <c r="J321" s="9">
        <f>_xll.BQL("ALK US Equity", "CB_BS_SHARE_CAPITAL/1M", "FPT=A", "FPO=-1A", "ACT_EST_MAPPING=PRECISE", "FS=MRC", "CURRENCY=USD", "XLFILL=b")</f>
        <v>1</v>
      </c>
      <c r="K321" s="9">
        <f>_xll.BQL("ALK US Equity", "CB_BS_SHARE_CAPITAL/1M", "FPT=A", "FPO=-2A", "ACT_EST_MAPPING=PRECISE", "FS=MRC", "CURRENCY=USD", "XLFILL=b")</f>
        <v>1</v>
      </c>
      <c r="L321" s="9">
        <f>_xll.BQL("ALK US Equity", "CB_BS_SHARE_CAPITAL/1M", "FPT=A", "FPO=-3A", "ACT_EST_MAPPING=PRECISE", "FS=MRC", "CURRENCY=USD", "XLFILL=b")</f>
        <v>1</v>
      </c>
      <c r="M321" s="9">
        <f>_xll.BQL("ALK US Equity", "CB_BS_SHARE_CAPITAL/1M", "FPT=A", "FPO=-4A", "ACT_EST_MAPPING=PRECISE", "FS=MRC", "CURRENCY=USD", "XLFILL=b")</f>
        <v>1</v>
      </c>
      <c r="N321" s="9">
        <f>_xll.BQL("ALK US Equity", "CB_BS_SHARE_CAPITAL/1M", "FPT=A", "FPO=-5A", "ACT_EST_MAPPING=PRECISE", "FS=MRC", "CURRENCY=USD", "XLFILL=b")</f>
        <v>1</v>
      </c>
    </row>
    <row r="322" spans="1:14" x14ac:dyDescent="0.2">
      <c r="A322" s="8" t="s">
        <v>67</v>
      </c>
      <c r="B322" s="4" t="s">
        <v>341</v>
      </c>
      <c r="C322" s="4"/>
      <c r="D322" s="4"/>
      <c r="E322" s="9" t="str">
        <f>_xll.BQL("ALK US Equity", "FA_GROWTH(CB_BS_SHARE_CAPITAL, YOY)", "FPT=A", "FPO=4A", "ACT_EST_MAPPING=PRECISE", "FS=MRC", "CURRENCY=USD", "XLFILL=b")</f>
        <v/>
      </c>
      <c r="F322" s="9">
        <f>_xll.BQL("ALK US Equity", "FA_GROWTH(CB_BS_SHARE_CAPITAL, YOY)", "FPT=A", "FPO=3A", "ACT_EST_MAPPING=PRECISE", "FS=MRC", "CURRENCY=USD", "XLFILL=b")</f>
        <v>0</v>
      </c>
      <c r="G322" s="9">
        <f>_xll.BQL("ALK US Equity", "FA_GROWTH(CB_BS_SHARE_CAPITAL, YOY)", "FPT=A", "FPO=2A", "ACT_EST_MAPPING=PRECISE", "FS=MRC", "CURRENCY=USD", "XLFILL=b")</f>
        <v>0</v>
      </c>
      <c r="H322" s="9">
        <f>_xll.BQL("ALK US Equity", "FA_GROWTH(CB_BS_SHARE_CAPITAL, YOY)", "FPT=A", "FPO=1A", "ACT_EST_MAPPING=PRECISE", "FS=MRC", "CURRENCY=USD", "XLFILL=b")</f>
        <v>0</v>
      </c>
      <c r="I322" s="9">
        <f>_xll.BQL("ALK US Equity", "FA_GROWTH(CB_BS_SHARE_CAPITAL, YOY)", "FPT=A", "FPO=0A", "ACT_EST_MAPPING=PRECISE", "FS=MRC", "CURRENCY=USD", "XLFILL=b")</f>
        <v>0</v>
      </c>
      <c r="J322" s="9">
        <f>_xll.BQL("ALK US Equity", "FA_GROWTH(CB_BS_SHARE_CAPITAL, YOY)", "FPT=A", "FPO=-1A", "ACT_EST_MAPPING=PRECISE", "FS=MRC", "CURRENCY=USD", "XLFILL=b")</f>
        <v>0</v>
      </c>
      <c r="K322" s="9">
        <f>_xll.BQL("ALK US Equity", "FA_GROWTH(CB_BS_SHARE_CAPITAL, YOY)", "FPT=A", "FPO=-2A", "ACT_EST_MAPPING=PRECISE", "FS=MRC", "CURRENCY=USD", "XLFILL=b")</f>
        <v>0</v>
      </c>
      <c r="L322" s="9">
        <f>_xll.BQL("ALK US Equity", "FA_GROWTH(CB_BS_SHARE_CAPITAL, YOY)", "FPT=A", "FPO=-3A", "ACT_EST_MAPPING=PRECISE", "FS=MRC", "CURRENCY=USD", "XLFILL=b")</f>
        <v>0</v>
      </c>
      <c r="M322" s="9">
        <f>_xll.BQL("ALK US Equity", "FA_GROWTH(CB_BS_SHARE_CAPITAL, YOY)", "FPT=A", "FPO=-4A", "ACT_EST_MAPPING=PRECISE", "FS=MRC", "CURRENCY=USD", "XLFILL=b")</f>
        <v>0</v>
      </c>
      <c r="N322" s="9">
        <f>_xll.BQL("ALK US Equity", "FA_GROWTH(CB_BS_SHARE_CAPITAL, YOY)", "FPT=A", "FPO=-5A", "ACT_EST_MAPPING=PRECISE", "FS=MRC", "CURRENCY=USD", "XLFILL=b")</f>
        <v>0</v>
      </c>
    </row>
    <row r="323" spans="1:14" x14ac:dyDescent="0.2">
      <c r="A323" s="8" t="s">
        <v>342</v>
      </c>
      <c r="B323" s="4" t="s">
        <v>343</v>
      </c>
      <c r="C323" s="4"/>
      <c r="D323" s="4"/>
      <c r="E323" s="9" t="str">
        <f>_xll.BQL("ALK US Equity", "CB_BS_APIC/1M", "FPT=A", "FPO=4A", "ACT_EST_MAPPING=PRECISE", "FS=MRC", "CURRENCY=USD", "XLFILL=b")</f>
        <v/>
      </c>
      <c r="F323" s="9">
        <f>_xll.BQL("ALK US Equity", "CB_BS_APIC/1M", "FPT=A", "FPO=3A", "ACT_EST_MAPPING=PRECISE", "FS=MRC", "CURRENCY=USD", "XLFILL=b")</f>
        <v>2898.5793522514314</v>
      </c>
      <c r="G323" s="9">
        <f>_xll.BQL("ALK US Equity", "CB_BS_APIC/1M", "FPT=A", "FPO=2A", "ACT_EST_MAPPING=PRECISE", "FS=MRC", "CURRENCY=USD", "XLFILL=b")</f>
        <v>1618.4488161670713</v>
      </c>
      <c r="H323" s="9">
        <f>_xll.BQL("ALK US Equity", "CB_BS_APIC/1M", "FPT=A", "FPO=1A", "ACT_EST_MAPPING=PRECISE", "FS=MRC", "CURRENCY=USD", "XLFILL=b")</f>
        <v>990.22067193118539</v>
      </c>
      <c r="I323" s="9">
        <f>_xll.BQL("ALK US Equity", "CB_BS_APIC/1M", "FPT=A", "FPO=0A", "ACT_EST_MAPPING=PRECISE", "FS=MRC", "CURRENCY=USD", "XLFILL=b")</f>
        <v>695</v>
      </c>
      <c r="J323" s="9">
        <f>_xll.BQL("ALK US Equity", "CB_BS_APIC/1M", "FPT=A", "FPO=-1A", "ACT_EST_MAPPING=PRECISE", "FS=MRC", "CURRENCY=USD", "XLFILL=b")</f>
        <v>577</v>
      </c>
      <c r="K323" s="9">
        <f>_xll.BQL("ALK US Equity", "CB_BS_APIC/1M", "FPT=A", "FPO=-2A", "ACT_EST_MAPPING=PRECISE", "FS=MRC", "CURRENCY=USD", "XLFILL=b")</f>
        <v>494</v>
      </c>
      <c r="L323" s="9">
        <f>_xll.BQL("ALK US Equity", "CB_BS_APIC/1M", "FPT=A", "FPO=-3A", "ACT_EST_MAPPING=PRECISE", "FS=MRC", "CURRENCY=USD", "XLFILL=b")</f>
        <v>391</v>
      </c>
      <c r="M323" s="9">
        <f>_xll.BQL("ALK US Equity", "CB_BS_APIC/1M", "FPT=A", "FPO=-4A", "ACT_EST_MAPPING=PRECISE", "FS=MRC", "CURRENCY=USD", "XLFILL=b")</f>
        <v>305</v>
      </c>
      <c r="N323" s="9">
        <f>_xll.BQL("ALK US Equity", "CB_BS_APIC/1M", "FPT=A", "FPO=-5A", "ACT_EST_MAPPING=PRECISE", "FS=MRC", "CURRENCY=USD", "XLFILL=b")</f>
        <v>232</v>
      </c>
    </row>
    <row r="324" spans="1:14" x14ac:dyDescent="0.2">
      <c r="A324" s="8" t="s">
        <v>67</v>
      </c>
      <c r="B324" s="4" t="s">
        <v>343</v>
      </c>
      <c r="C324" s="4"/>
      <c r="D324" s="4"/>
      <c r="E324" s="9" t="str">
        <f>_xll.BQL("ALK US Equity", "FA_GROWTH(CB_BS_APIC, YOY)", "FPT=A", "FPO=4A", "ACT_EST_MAPPING=PRECISE", "FS=MRC", "CURRENCY=USD", "XLFILL=b")</f>
        <v/>
      </c>
      <c r="F324" s="9">
        <f>_xll.BQL("ALK US Equity", "FA_GROWTH(CB_BS_APIC, YOY)", "FPT=A", "FPO=3A", "ACT_EST_MAPPING=PRECISE", "FS=MRC", "CURRENCY=USD", "XLFILL=b")</f>
        <v>79.096139667614494</v>
      </c>
      <c r="G324" s="9">
        <f>_xll.BQL("ALK US Equity", "FA_GROWTH(CB_BS_APIC, YOY)", "FPT=A", "FPO=2A", "ACT_EST_MAPPING=PRECISE", "FS=MRC", "CURRENCY=USD", "XLFILL=b")</f>
        <v>63.443246747281016</v>
      </c>
      <c r="H324" s="9">
        <f>_xll.BQL("ALK US Equity", "FA_GROWTH(CB_BS_APIC, YOY)", "FPT=A", "FPO=1A", "ACT_EST_MAPPING=PRECISE", "FS=MRC", "CURRENCY=USD", "XLFILL=b")</f>
        <v>42.477794522472713</v>
      </c>
      <c r="I324" s="9">
        <f>_xll.BQL("ALK US Equity", "FA_GROWTH(CB_BS_APIC, YOY)", "FPT=A", "FPO=0A", "ACT_EST_MAPPING=PRECISE", "FS=MRC", "CURRENCY=USD", "XLFILL=b")</f>
        <v>20.450606585788563</v>
      </c>
      <c r="J324" s="9">
        <f>_xll.BQL("ALK US Equity", "FA_GROWTH(CB_BS_APIC, YOY)", "FPT=A", "FPO=-1A", "ACT_EST_MAPPING=PRECISE", "FS=MRC", "CURRENCY=USD", "XLFILL=b")</f>
        <v>16.801619433198379</v>
      </c>
      <c r="K324" s="9">
        <f>_xll.BQL("ALK US Equity", "FA_GROWTH(CB_BS_APIC, YOY)", "FPT=A", "FPO=-2A", "ACT_EST_MAPPING=PRECISE", "FS=MRC", "CURRENCY=USD", "XLFILL=b")</f>
        <v>26.342710997442456</v>
      </c>
      <c r="L324" s="9">
        <f>_xll.BQL("ALK US Equity", "FA_GROWTH(CB_BS_APIC, YOY)", "FPT=A", "FPO=-3A", "ACT_EST_MAPPING=PRECISE", "FS=MRC", "CURRENCY=USD", "XLFILL=b")</f>
        <v>28.196721311475411</v>
      </c>
      <c r="M324" s="9">
        <f>_xll.BQL("ALK US Equity", "FA_GROWTH(CB_BS_APIC, YOY)", "FPT=A", "FPO=-4A", "ACT_EST_MAPPING=PRECISE", "FS=MRC", "CURRENCY=USD", "XLFILL=b")</f>
        <v>31.46551724137931</v>
      </c>
      <c r="N324" s="9">
        <f>_xll.BQL("ALK US Equity", "FA_GROWTH(CB_BS_APIC, YOY)", "FPT=A", "FPO=-5A", "ACT_EST_MAPPING=PRECISE", "FS=MRC", "CURRENCY=USD", "XLFILL=b")</f>
        <v>41.463414634146339</v>
      </c>
    </row>
    <row r="325" spans="1:14" x14ac:dyDescent="0.2">
      <c r="A325" s="8" t="s">
        <v>344</v>
      </c>
      <c r="B325" s="4" t="s">
        <v>345</v>
      </c>
      <c r="C325" s="4"/>
      <c r="D325" s="4"/>
      <c r="E325" s="9" t="str">
        <f>_xll.BQL("ALK US Equity", "BS_PURE_RETAINED_EARNINGS/1M", "FPT=A", "FPO=4A", "ACT_EST_MAPPING=PRECISE", "FS=MRC", "CURRENCY=USD", "XLFILL=b")</f>
        <v/>
      </c>
      <c r="F325" s="9">
        <f>_xll.BQL("ALK US Equity", "BS_PURE_RETAINED_EARNINGS/1M", "FPT=A", "FPO=3A", "ACT_EST_MAPPING=PRECISE", "FS=MRC", "CURRENCY=USD", "XLFILL=b")</f>
        <v>6638.4018988181497</v>
      </c>
      <c r="G325" s="9">
        <f>_xll.BQL("ALK US Equity", "BS_PURE_RETAINED_EARNINGS/1M", "FPT=A", "FPO=2A", "ACT_EST_MAPPING=PRECISE", "FS=MRC", "CURRENCY=USD", "XLFILL=b")</f>
        <v>5978.7543958381575</v>
      </c>
      <c r="H325" s="9">
        <f>_xll.BQL("ALK US Equity", "BS_PURE_RETAINED_EARNINGS/1M", "FPT=A", "FPO=1A", "ACT_EST_MAPPING=PRECISE", "FS=MRC", "CURRENCY=USD", "XLFILL=b")</f>
        <v>5153.443795854334</v>
      </c>
      <c r="I325" s="9">
        <f>_xll.BQL("ALK US Equity", "BS_PURE_RETAINED_EARNINGS/1M", "FPT=A", "FPO=0A", "ACT_EST_MAPPING=PRECISE", "FS=MRC", "CURRENCY=USD", "XLFILL=b")</f>
        <v>4535</v>
      </c>
      <c r="J325" s="9">
        <f>_xll.BQL("ALK US Equity", "BS_PURE_RETAINED_EARNINGS/1M", "FPT=A", "FPO=-1A", "ACT_EST_MAPPING=PRECISE", "FS=MRC", "CURRENCY=USD", "XLFILL=b")</f>
        <v>4300</v>
      </c>
      <c r="K325" s="9">
        <f>_xll.BQL("ALK US Equity", "BS_PURE_RETAINED_EARNINGS/1M", "FPT=A", "FPO=-2A", "ACT_EST_MAPPING=PRECISE", "FS=MRC", "CURRENCY=USD", "XLFILL=b")</f>
        <v>4242</v>
      </c>
      <c r="L325" s="9">
        <f>_xll.BQL("ALK US Equity", "BS_PURE_RETAINED_EARNINGS/1M", "FPT=A", "FPO=-3A", "ACT_EST_MAPPING=PRECISE", "FS=MRC", "CURRENCY=USD", "XLFILL=b")</f>
        <v>3764</v>
      </c>
      <c r="M325" s="9">
        <f>_xll.BQL("ALK US Equity", "BS_PURE_RETAINED_EARNINGS/1M", "FPT=A", "FPO=-4A", "ACT_EST_MAPPING=PRECISE", "FS=MRC", "CURRENCY=USD", "XLFILL=b")</f>
        <v>5133</v>
      </c>
      <c r="N325" s="9">
        <f>_xll.BQL("ALK US Equity", "BS_PURE_RETAINED_EARNINGS/1M", "FPT=A", "FPO=-5A", "ACT_EST_MAPPING=PRECISE", "FS=MRC", "CURRENCY=USD", "XLFILL=b")</f>
        <v>4534</v>
      </c>
    </row>
    <row r="326" spans="1:14" x14ac:dyDescent="0.2">
      <c r="A326" s="8" t="s">
        <v>67</v>
      </c>
      <c r="B326" s="4" t="s">
        <v>345</v>
      </c>
      <c r="C326" s="4"/>
      <c r="D326" s="4"/>
      <c r="E326" s="9" t="str">
        <f>_xll.BQL("ALK US Equity", "FA_GROWTH(BS_PURE_RETAINED_EARNINGS, YOY)", "FPT=A", "FPO=4A", "ACT_EST_MAPPING=PRECISE", "FS=MRC", "CURRENCY=USD", "XLFILL=b")</f>
        <v/>
      </c>
      <c r="F326" s="9">
        <f>_xll.BQL("ALK US Equity", "FA_GROWTH(BS_PURE_RETAINED_EARNINGS, YOY)", "FPT=A", "FPO=3A", "ACT_EST_MAPPING=PRECISE", "FS=MRC", "CURRENCY=USD", "XLFILL=b")</f>
        <v>11.033192857682463</v>
      </c>
      <c r="G326" s="9">
        <f>_xll.BQL("ALK US Equity", "FA_GROWTH(BS_PURE_RETAINED_EARNINGS, YOY)", "FPT=A", "FPO=2A", "ACT_EST_MAPPING=PRECISE", "FS=MRC", "CURRENCY=USD", "XLFILL=b")</f>
        <v>16.014739515501102</v>
      </c>
      <c r="H326" s="9">
        <f>_xll.BQL("ALK US Equity", "FA_GROWTH(BS_PURE_RETAINED_EARNINGS, YOY)", "FPT=A", "FPO=1A", "ACT_EST_MAPPING=PRECISE", "FS=MRC", "CURRENCY=USD", "XLFILL=b")</f>
        <v>13.637128905277484</v>
      </c>
      <c r="I326" s="9">
        <f>_xll.BQL("ALK US Equity", "FA_GROWTH(BS_PURE_RETAINED_EARNINGS, YOY)", "FPT=A", "FPO=0A", "ACT_EST_MAPPING=PRECISE", "FS=MRC", "CURRENCY=USD", "XLFILL=b")</f>
        <v>5.4651162790697674</v>
      </c>
      <c r="J326" s="9">
        <f>_xll.BQL("ALK US Equity", "FA_GROWTH(BS_PURE_RETAINED_EARNINGS, YOY)", "FPT=A", "FPO=-1A", "ACT_EST_MAPPING=PRECISE", "FS=MRC", "CURRENCY=USD", "XLFILL=b")</f>
        <v>1.3672795851013673</v>
      </c>
      <c r="K326" s="9">
        <f>_xll.BQL("ALK US Equity", "FA_GROWTH(BS_PURE_RETAINED_EARNINGS, YOY)", "FPT=A", "FPO=-2A", "ACT_EST_MAPPING=PRECISE", "FS=MRC", "CURRENCY=USD", "XLFILL=b")</f>
        <v>12.699256110520723</v>
      </c>
      <c r="L326" s="9">
        <f>_xll.BQL("ALK US Equity", "FA_GROWTH(BS_PURE_RETAINED_EARNINGS, YOY)", "FPT=A", "FPO=-3A", "ACT_EST_MAPPING=PRECISE", "FS=MRC", "CURRENCY=USD", "XLFILL=b")</f>
        <v>-26.67056302357296</v>
      </c>
      <c r="M326" s="9">
        <f>_xll.BQL("ALK US Equity", "FA_GROWTH(BS_PURE_RETAINED_EARNINGS, YOY)", "FPT=A", "FPO=-4A", "ACT_EST_MAPPING=PRECISE", "FS=MRC", "CURRENCY=USD", "XLFILL=b")</f>
        <v>13.211292456991618</v>
      </c>
      <c r="N326" s="9">
        <f>_xll.BQL("ALK US Equity", "FA_GROWTH(BS_PURE_RETAINED_EARNINGS, YOY)", "FPT=A", "FPO=-5A", "ACT_EST_MAPPING=PRECISE", "FS=MRC", "CURRENCY=USD", "XLFILL=b")</f>
        <v>8.1326019556403537</v>
      </c>
    </row>
    <row r="327" spans="1:14" x14ac:dyDescent="0.2">
      <c r="A327" s="8" t="s">
        <v>346</v>
      </c>
      <c r="B327" s="4" t="s">
        <v>347</v>
      </c>
      <c r="C327" s="4"/>
      <c r="D327" s="4"/>
      <c r="E327" s="9" t="str">
        <f>_xll.BQL("ALK US Equity", "BS_AMT_OF_TSY_STOCK/1M", "FPT=A", "FPO=4A", "ACT_EST_MAPPING=PRECISE", "FS=MRC", "CURRENCY=USD", "XLFILL=b")</f>
        <v/>
      </c>
      <c r="F327" s="9">
        <f>_xll.BQL("ALK US Equity", "BS_AMT_OF_TSY_STOCK/1M", "FPT=A", "FPO=3A", "ACT_EST_MAPPING=PRECISE", "FS=MRC", "CURRENCY=USD", "XLFILL=b")</f>
        <v>868</v>
      </c>
      <c r="G327" s="9">
        <f>_xll.BQL("ALK US Equity", "BS_AMT_OF_TSY_STOCK/1M", "FPT=A", "FPO=2A", "ACT_EST_MAPPING=PRECISE", "FS=MRC", "CURRENCY=USD", "XLFILL=b")</f>
        <v>868</v>
      </c>
      <c r="H327" s="9">
        <f>_xll.BQL("ALK US Equity", "BS_AMT_OF_TSY_STOCK/1M", "FPT=A", "FPO=1A", "ACT_EST_MAPPING=PRECISE", "FS=MRC", "CURRENCY=USD", "XLFILL=b")</f>
        <v>868</v>
      </c>
      <c r="I327" s="9">
        <f>_xll.BQL("ALK US Equity", "BS_AMT_OF_TSY_STOCK/1M", "FPT=A", "FPO=0A", "ACT_EST_MAPPING=PRECISE", "FS=MRC", "CURRENCY=USD", "XLFILL=b")</f>
        <v>819</v>
      </c>
      <c r="J327" s="9">
        <f>_xll.BQL("ALK US Equity", "BS_AMT_OF_TSY_STOCK/1M", "FPT=A", "FPO=-1A", "ACT_EST_MAPPING=PRECISE", "FS=MRC", "CURRENCY=USD", "XLFILL=b")</f>
        <v>674</v>
      </c>
      <c r="K327" s="9">
        <f>_xll.BQL("ALK US Equity", "BS_AMT_OF_TSY_STOCK/1M", "FPT=A", "FPO=-2A", "ACT_EST_MAPPING=PRECISE", "FS=MRC", "CURRENCY=USD", "XLFILL=b")</f>
        <v>674</v>
      </c>
      <c r="L327" s="9">
        <f>_xll.BQL("ALK US Equity", "BS_AMT_OF_TSY_STOCK/1M", "FPT=A", "FPO=-3A", "ACT_EST_MAPPING=PRECISE", "FS=MRC", "CURRENCY=USD", "XLFILL=b")</f>
        <v>674</v>
      </c>
      <c r="M327" s="9">
        <f>_xll.BQL("ALK US Equity", "BS_AMT_OF_TSY_STOCK/1M", "FPT=A", "FPO=-4A", "ACT_EST_MAPPING=PRECISE", "FS=MRC", "CURRENCY=USD", "XLFILL=b")</f>
        <v>643</v>
      </c>
      <c r="N327" s="9">
        <f>_xll.BQL("ALK US Equity", "BS_AMT_OF_TSY_STOCK/1M", "FPT=A", "FPO=-5A", "ACT_EST_MAPPING=PRECISE", "FS=MRC", "CURRENCY=USD", "XLFILL=b")</f>
        <v>568</v>
      </c>
    </row>
    <row r="328" spans="1:14" x14ac:dyDescent="0.2">
      <c r="A328" s="8" t="s">
        <v>67</v>
      </c>
      <c r="B328" s="4" t="s">
        <v>347</v>
      </c>
      <c r="C328" s="4"/>
      <c r="D328" s="4"/>
      <c r="E328" s="9" t="str">
        <f>_xll.BQL("ALK US Equity", "FA_GROWTH(BS_AMT_OF_TSY_STOCK, YOY)", "FPT=A", "FPO=4A", "ACT_EST_MAPPING=PRECISE", "FS=MRC", "CURRENCY=USD", "XLFILL=b")</f>
        <v/>
      </c>
      <c r="F328" s="9">
        <f>_xll.BQL("ALK US Equity", "FA_GROWTH(BS_AMT_OF_TSY_STOCK, YOY)", "FPT=A", "FPO=3A", "ACT_EST_MAPPING=PRECISE", "FS=MRC", "CURRENCY=USD", "XLFILL=b")</f>
        <v>0</v>
      </c>
      <c r="G328" s="9">
        <f>_xll.BQL("ALK US Equity", "FA_GROWTH(BS_AMT_OF_TSY_STOCK, YOY)", "FPT=A", "FPO=2A", "ACT_EST_MAPPING=PRECISE", "FS=MRC", "CURRENCY=USD", "XLFILL=b")</f>
        <v>0</v>
      </c>
      <c r="H328" s="9">
        <f>_xll.BQL("ALK US Equity", "FA_GROWTH(BS_AMT_OF_TSY_STOCK, YOY)", "FPT=A", "FPO=1A", "ACT_EST_MAPPING=PRECISE", "FS=MRC", "CURRENCY=USD", "XLFILL=b")</f>
        <v>5.982905982905983</v>
      </c>
      <c r="I328" s="9">
        <f>_xll.BQL("ALK US Equity", "FA_GROWTH(BS_AMT_OF_TSY_STOCK, YOY)", "FPT=A", "FPO=0A", "ACT_EST_MAPPING=PRECISE", "FS=MRC", "CURRENCY=USD", "XLFILL=b")</f>
        <v>21.513353115727003</v>
      </c>
      <c r="J328" s="9">
        <f>_xll.BQL("ALK US Equity", "FA_GROWTH(BS_AMT_OF_TSY_STOCK, YOY)", "FPT=A", "FPO=-1A", "ACT_EST_MAPPING=PRECISE", "FS=MRC", "CURRENCY=USD", "XLFILL=b")</f>
        <v>0</v>
      </c>
      <c r="K328" s="9">
        <f>_xll.BQL("ALK US Equity", "FA_GROWTH(BS_AMT_OF_TSY_STOCK, YOY)", "FPT=A", "FPO=-2A", "ACT_EST_MAPPING=PRECISE", "FS=MRC", "CURRENCY=USD", "XLFILL=b")</f>
        <v>0</v>
      </c>
      <c r="L328" s="9">
        <f>_xll.BQL("ALK US Equity", "FA_GROWTH(BS_AMT_OF_TSY_STOCK, YOY)", "FPT=A", "FPO=-3A", "ACT_EST_MAPPING=PRECISE", "FS=MRC", "CURRENCY=USD", "XLFILL=b")</f>
        <v>4.8211508553654747</v>
      </c>
      <c r="M328" s="9">
        <f>_xll.BQL("ALK US Equity", "FA_GROWTH(BS_AMT_OF_TSY_STOCK, YOY)", "FPT=A", "FPO=-4A", "ACT_EST_MAPPING=PRECISE", "FS=MRC", "CURRENCY=USD", "XLFILL=b")</f>
        <v>13.204225352112676</v>
      </c>
      <c r="N328" s="9">
        <f>_xll.BQL("ALK US Equity", "FA_GROWTH(BS_AMT_OF_TSY_STOCK, YOY)", "FPT=A", "FPO=-5A", "ACT_EST_MAPPING=PRECISE", "FS=MRC", "CURRENCY=USD", "XLFILL=b")</f>
        <v>9.6525096525096519</v>
      </c>
    </row>
    <row r="329" spans="1:14" x14ac:dyDescent="0.2">
      <c r="A329" s="8" t="s">
        <v>348</v>
      </c>
      <c r="B329" s="4" t="s">
        <v>349</v>
      </c>
      <c r="C329" s="4"/>
      <c r="D329" s="4"/>
      <c r="E329" s="9" t="str">
        <f>_xll.BQL("ALK US Equity", "BS_ACCUMULATED_OTHER_COMP_INC/1M", "FPT=A", "FPO=4A", "ACT_EST_MAPPING=PRECISE", "FS=MRC", "CURRENCY=USD", "XLFILL=b")</f>
        <v/>
      </c>
      <c r="F329" s="9">
        <f>_xll.BQL("ALK US Equity", "BS_ACCUMULATED_OTHER_COMP_INC/1M", "FPT=A", "FPO=3A", "ACT_EST_MAPPING=PRECISE", "FS=MRC", "CURRENCY=USD", "XLFILL=b")</f>
        <v>-287</v>
      </c>
      <c r="G329" s="9">
        <f>_xll.BQL("ALK US Equity", "BS_ACCUMULATED_OTHER_COMP_INC/1M", "FPT=A", "FPO=2A", "ACT_EST_MAPPING=PRECISE", "FS=MRC", "CURRENCY=USD", "XLFILL=b")</f>
        <v>-287</v>
      </c>
      <c r="H329" s="9">
        <f>_xll.BQL("ALK US Equity", "BS_ACCUMULATED_OTHER_COMP_INC/1M", "FPT=A", "FPO=1A", "ACT_EST_MAPPING=PRECISE", "FS=MRC", "CURRENCY=USD", "XLFILL=b")</f>
        <v>-287</v>
      </c>
      <c r="I329" s="9">
        <f>_xll.BQL("ALK US Equity", "BS_ACCUMULATED_OTHER_COMP_INC/1M", "FPT=A", "FPO=0A", "ACT_EST_MAPPING=PRECISE", "FS=MRC", "CURRENCY=USD", "XLFILL=b")</f>
        <v>-299</v>
      </c>
      <c r="J329" s="9">
        <f>_xll.BQL("ALK US Equity", "BS_ACCUMULATED_OTHER_COMP_INC/1M", "FPT=A", "FPO=-1A", "ACT_EST_MAPPING=PRECISE", "FS=MRC", "CURRENCY=USD", "XLFILL=b")</f>
        <v>-388</v>
      </c>
      <c r="K329" s="9">
        <f>_xll.BQL("ALK US Equity", "BS_ACCUMULATED_OTHER_COMP_INC/1M", "FPT=A", "FPO=-2A", "ACT_EST_MAPPING=PRECISE", "FS=MRC", "CURRENCY=USD", "XLFILL=b")</f>
        <v>-262</v>
      </c>
      <c r="L329" s="9">
        <f>_xll.BQL("ALK US Equity", "BS_ACCUMULATED_OTHER_COMP_INC/1M", "FPT=A", "FPO=-3A", "ACT_EST_MAPPING=PRECISE", "FS=MRC", "CURRENCY=USD", "XLFILL=b")</f>
        <v>-494</v>
      </c>
      <c r="M329" s="9">
        <f>_xll.BQL("ALK US Equity", "BS_ACCUMULATED_OTHER_COMP_INC/1M", "FPT=A", "FPO=-4A", "ACT_EST_MAPPING=PRECISE", "FS=MRC", "CURRENCY=USD", "XLFILL=b")</f>
        <v>-465</v>
      </c>
      <c r="N329" s="9">
        <f>_xll.BQL("ALK US Equity", "BS_ACCUMULATED_OTHER_COMP_INC/1M", "FPT=A", "FPO=-5A", "ACT_EST_MAPPING=PRECISE", "FS=MRC", "CURRENCY=USD", "XLFILL=b")</f>
        <v>-448</v>
      </c>
    </row>
    <row r="330" spans="1:14" x14ac:dyDescent="0.2">
      <c r="A330" s="8" t="s">
        <v>67</v>
      </c>
      <c r="B330" s="4" t="s">
        <v>349</v>
      </c>
      <c r="C330" s="4"/>
      <c r="D330" s="4"/>
      <c r="E330" s="9" t="str">
        <f>_xll.BQL("ALK US Equity", "FA_GROWTH(BS_ACCUMULATED_OTHER_COMP_INC, YOY)", "FPT=A", "FPO=4A", "ACT_EST_MAPPING=PRECISE", "FS=MRC", "CURRENCY=USD", "XLFILL=b")</f>
        <v/>
      </c>
      <c r="F330" s="9">
        <f>_xll.BQL("ALK US Equity", "FA_GROWTH(BS_ACCUMULATED_OTHER_COMP_INC, YOY)", "FPT=A", "FPO=3A", "ACT_EST_MAPPING=PRECISE", "FS=MRC", "CURRENCY=USD", "XLFILL=b")</f>
        <v>0</v>
      </c>
      <c r="G330" s="9">
        <f>_xll.BQL("ALK US Equity", "FA_GROWTH(BS_ACCUMULATED_OTHER_COMP_INC, YOY)", "FPT=A", "FPO=2A", "ACT_EST_MAPPING=PRECISE", "FS=MRC", "CURRENCY=USD", "XLFILL=b")</f>
        <v>0</v>
      </c>
      <c r="H330" s="9">
        <f>_xll.BQL("ALK US Equity", "FA_GROWTH(BS_ACCUMULATED_OTHER_COMP_INC, YOY)", "FPT=A", "FPO=1A", "ACT_EST_MAPPING=PRECISE", "FS=MRC", "CURRENCY=USD", "XLFILL=b")</f>
        <v>4.0133779264214047</v>
      </c>
      <c r="I330" s="9">
        <f>_xll.BQL("ALK US Equity", "FA_GROWTH(BS_ACCUMULATED_OTHER_COMP_INC, YOY)", "FPT=A", "FPO=0A", "ACT_EST_MAPPING=PRECISE", "FS=MRC", "CURRENCY=USD", "XLFILL=b")</f>
        <v>22.938144329896907</v>
      </c>
      <c r="J330" s="9">
        <f>_xll.BQL("ALK US Equity", "FA_GROWTH(BS_ACCUMULATED_OTHER_COMP_INC, YOY)", "FPT=A", "FPO=-1A", "ACT_EST_MAPPING=PRECISE", "FS=MRC", "CURRENCY=USD", "XLFILL=b")</f>
        <v>-48.091603053435115</v>
      </c>
      <c r="K330" s="9">
        <f>_xll.BQL("ALK US Equity", "FA_GROWTH(BS_ACCUMULATED_OTHER_COMP_INC, YOY)", "FPT=A", "FPO=-2A", "ACT_EST_MAPPING=PRECISE", "FS=MRC", "CURRENCY=USD", "XLFILL=b")</f>
        <v>46.963562753036435</v>
      </c>
      <c r="L330" s="9">
        <f>_xll.BQL("ALK US Equity", "FA_GROWTH(BS_ACCUMULATED_OTHER_COMP_INC, YOY)", "FPT=A", "FPO=-3A", "ACT_EST_MAPPING=PRECISE", "FS=MRC", "CURRENCY=USD", "XLFILL=b")</f>
        <v>-6.236559139784946</v>
      </c>
      <c r="M330" s="9">
        <f>_xll.BQL("ALK US Equity", "FA_GROWTH(BS_ACCUMULATED_OTHER_COMP_INC, YOY)", "FPT=A", "FPO=-4A", "ACT_EST_MAPPING=PRECISE", "FS=MRC", "CURRENCY=USD", "XLFILL=b")</f>
        <v>-3.7946428571428572</v>
      </c>
      <c r="N330" s="9">
        <f>_xll.BQL("ALK US Equity", "FA_GROWTH(BS_ACCUMULATED_OTHER_COMP_INC, YOY)", "FPT=A", "FPO=-5A", "ACT_EST_MAPPING=PRECISE", "FS=MRC", "CURRENCY=USD", "XLFILL=b")</f>
        <v>-17.894736842105264</v>
      </c>
    </row>
    <row r="331" spans="1:14" x14ac:dyDescent="0.2">
      <c r="A331" s="8" t="s">
        <v>350</v>
      </c>
      <c r="B331" s="4" t="s">
        <v>284</v>
      </c>
      <c r="C331" s="4" t="s">
        <v>351</v>
      </c>
      <c r="D331" s="4"/>
      <c r="E331" s="9" t="str">
        <f>_xll.BQL("ALK US Equity", "BS_TOT_ASSET/1M", "FPT=A", "FPO=4A", "ACT_EST_MAPPING=PRECISE", "FS=MRC", "CURRENCY=USD", "XLFILL=b")</f>
        <v/>
      </c>
      <c r="F331" s="9">
        <f>_xll.BQL("ALK US Equity", "BS_TOT_ASSET/1M", "FPT=A", "FPO=3A", "ACT_EST_MAPPING=PRECISE", "FS=MRC", "CURRENCY=USD", "XLFILL=b")</f>
        <v>18409.382116184541</v>
      </c>
      <c r="G331" s="9">
        <f>_xll.BQL("ALK US Equity", "BS_TOT_ASSET/1M", "FPT=A", "FPO=2A", "ACT_EST_MAPPING=PRECISE", "FS=MRC", "CURRENCY=USD", "XLFILL=b")</f>
        <v>15923.584342488195</v>
      </c>
      <c r="H331" s="9">
        <f>_xll.BQL("ALK US Equity", "BS_TOT_ASSET/1M", "FPT=A", "FPO=1A", "ACT_EST_MAPPING=PRECISE", "FS=MRC", "CURRENCY=USD", "XLFILL=b")</f>
        <v>14937.850721215042</v>
      </c>
      <c r="I331" s="9">
        <f>_xll.BQL("ALK US Equity", "BS_TOT_ASSET/1M", "FPT=A", "FPO=0A", "ACT_EST_MAPPING=PRECISE", "FS=MRC", "CURRENCY=USD", "XLFILL=b")</f>
        <v>14613</v>
      </c>
      <c r="J331" s="9">
        <f>_xll.BQL("ALK US Equity", "BS_TOT_ASSET/1M", "FPT=A", "FPO=-1A", "ACT_EST_MAPPING=PRECISE", "FS=MRC", "CURRENCY=USD", "XLFILL=b")</f>
        <v>14186</v>
      </c>
      <c r="K331" s="9">
        <f>_xll.BQL("ALK US Equity", "BS_TOT_ASSET/1M", "FPT=A", "FPO=-2A", "ACT_EST_MAPPING=PRECISE", "FS=MRC", "CURRENCY=USD", "XLFILL=b")</f>
        <v>13951</v>
      </c>
      <c r="L331" s="9">
        <f>_xll.BQL("ALK US Equity", "BS_TOT_ASSET/1M", "FPT=A", "FPO=-3A", "ACT_EST_MAPPING=PRECISE", "FS=MRC", "CURRENCY=USD", "XLFILL=b")</f>
        <v>14046</v>
      </c>
      <c r="M331" s="9">
        <f>_xll.BQL("ALK US Equity", "BS_TOT_ASSET/1M", "FPT=A", "FPO=-4A", "ACT_EST_MAPPING=PRECISE", "FS=MRC", "CURRENCY=USD", "XLFILL=b")</f>
        <v>12993</v>
      </c>
      <c r="N331" s="9">
        <f>_xll.BQL("ALK US Equity", "BS_TOT_ASSET/1M", "FPT=A", "FPO=-5A", "ACT_EST_MAPPING=PRECISE", "FS=MRC", "CURRENCY=USD", "XLFILL=b")</f>
        <v>10912</v>
      </c>
    </row>
    <row r="332" spans="1:14" x14ac:dyDescent="0.2">
      <c r="A332" s="8" t="s">
        <v>64</v>
      </c>
      <c r="B332" s="4" t="s">
        <v>284</v>
      </c>
      <c r="C332" s="4" t="s">
        <v>351</v>
      </c>
      <c r="D332" s="4"/>
      <c r="E332" s="9" t="str">
        <f>_xll.BQL("ALK US Equity", "FA_GROWTH(BS_TOT_ASSET, YOY)", "FPT=A", "FPO=4A", "ACT_EST_MAPPING=PRECISE", "FS=MRC", "CURRENCY=USD", "XLFILL=b")</f>
        <v/>
      </c>
      <c r="F332" s="9">
        <f>_xll.BQL("ALK US Equity", "FA_GROWTH(BS_TOT_ASSET, YOY)", "FPT=A", "FPO=3A", "ACT_EST_MAPPING=PRECISE", "FS=MRC", "CURRENCY=USD", "XLFILL=b")</f>
        <v>15.610792898327546</v>
      </c>
      <c r="G332" s="9">
        <f>_xll.BQL("ALK US Equity", "FA_GROWTH(BS_TOT_ASSET, YOY)", "FPT=A", "FPO=2A", "ACT_EST_MAPPING=PRECISE", "FS=MRC", "CURRENCY=USD", "XLFILL=b")</f>
        <v>6.5988985943820841</v>
      </c>
      <c r="H332" s="9">
        <f>_xll.BQL("ALK US Equity", "FA_GROWTH(BS_TOT_ASSET, YOY)", "FPT=A", "FPO=1A", "ACT_EST_MAPPING=PRECISE", "FS=MRC", "CURRENCY=USD", "XLFILL=b")</f>
        <v>2.2230255335320748</v>
      </c>
      <c r="I332" s="9">
        <f>_xll.BQL("ALK US Equity", "FA_GROWTH(BS_TOT_ASSET, YOY)", "FPT=A", "FPO=0A", "ACT_EST_MAPPING=PRECISE", "FS=MRC", "CURRENCY=USD", "XLFILL=b")</f>
        <v>3.0100098688848158</v>
      </c>
      <c r="J332" s="9">
        <f>_xll.BQL("ALK US Equity", "FA_GROWTH(BS_TOT_ASSET, YOY)", "FPT=A", "FPO=-1A", "ACT_EST_MAPPING=PRECISE", "FS=MRC", "CURRENCY=USD", "XLFILL=b")</f>
        <v>1.6844670632929539</v>
      </c>
      <c r="K332" s="9">
        <f>_xll.BQL("ALK US Equity", "FA_GROWTH(BS_TOT_ASSET, YOY)", "FPT=A", "FPO=-2A", "ACT_EST_MAPPING=PRECISE", "FS=MRC", "CURRENCY=USD", "XLFILL=b")</f>
        <v>-0.6763491385447814</v>
      </c>
      <c r="L332" s="9">
        <f>_xll.BQL("ALK US Equity", "FA_GROWTH(BS_TOT_ASSET, YOY)", "FPT=A", "FPO=-3A", "ACT_EST_MAPPING=PRECISE", "FS=MRC", "CURRENCY=USD", "XLFILL=b")</f>
        <v>8.1043638882475175</v>
      </c>
      <c r="M332" s="9">
        <f>_xll.BQL("ALK US Equity", "FA_GROWTH(BS_TOT_ASSET, YOY)", "FPT=A", "FPO=-4A", "ACT_EST_MAPPING=PRECISE", "FS=MRC", "CURRENCY=USD", "XLFILL=b")</f>
        <v>19.07074780058651</v>
      </c>
      <c r="N332" s="9">
        <f>_xll.BQL("ALK US Equity", "FA_GROWTH(BS_TOT_ASSET, YOY)", "FPT=A", "FPO=-5A", "ACT_EST_MAPPING=PRECISE", "FS=MRC", "CURRENCY=USD", "XLFILL=b")</f>
        <v>1.5447608412432534</v>
      </c>
    </row>
    <row r="333" spans="1:14" x14ac:dyDescent="0.2">
      <c r="A333" s="8" t="s">
        <v>16</v>
      </c>
      <c r="B333" s="4"/>
      <c r="C333" s="4"/>
      <c r="D333" s="4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x14ac:dyDescent="0.2">
      <c r="A334" s="8" t="s">
        <v>352</v>
      </c>
      <c r="B334" s="4"/>
      <c r="C334" s="4" t="s">
        <v>353</v>
      </c>
      <c r="D334" s="4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x14ac:dyDescent="0.2">
      <c r="A335" s="8" t="s">
        <v>354</v>
      </c>
      <c r="B335" s="4" t="s">
        <v>355</v>
      </c>
      <c r="C335" s="4"/>
      <c r="D335" s="4"/>
      <c r="E335" s="9" t="str">
        <f>_xll.BQL("ALK US Equity", "NET_DEBT/1M", "FPT=A", "FPO=4A", "ACT_EST_MAPPING=PRECISE", "FS=MRC", "CURRENCY=USD", "XLFILL=b")</f>
        <v/>
      </c>
      <c r="F335" s="9" t="str">
        <f>_xll.BQL("ALK US Equity", "NET_DEBT/1M", "FPT=A", "FPO=3A", "ACT_EST_MAPPING=PRECISE", "FS=MRC", "CURRENCY=USD", "XLFILL=b")</f>
        <v/>
      </c>
      <c r="G335" s="9">
        <f>_xll.BQL("ALK US Equity", "NET_DEBT/1M", "FPT=A", "FPO=2A", "ACT_EST_MAPPING=PRECISE", "FS=MRC", "CURRENCY=USD", "XLFILL=b")</f>
        <v>2677.0727957790168</v>
      </c>
      <c r="H335" s="9">
        <f>_xll.BQL("ALK US Equity", "NET_DEBT/1M", "FPT=A", "FPO=1A", "ACT_EST_MAPPING=PRECISE", "FS=MRC", "CURRENCY=USD", "XLFILL=b")</f>
        <v>2009.9919142892516</v>
      </c>
      <c r="I335" s="9">
        <f>_xll.BQL("ALK US Equity", "NET_DEBT/1M", "FPT=A", "FPO=0A", "ACT_EST_MAPPING=PRECISE", "FS=MRC", "CURRENCY=USD", "XLFILL=b")</f>
        <v>2027</v>
      </c>
      <c r="J335" s="9">
        <f>_xll.BQL("ALK US Equity", "NET_DEBT/1M", "FPT=A", "FPO=-1A", "ACT_EST_MAPPING=PRECISE", "FS=MRC", "CURRENCY=USD", "XLFILL=b")</f>
        <v>1363</v>
      </c>
      <c r="K335" s="9">
        <f>_xll.BQL("ALK US Equity", "NET_DEBT/1M", "FPT=A", "FPO=-2A", "ACT_EST_MAPPING=PRECISE", "FS=MRC", "CURRENCY=USD", "XLFILL=b")</f>
        <v>970</v>
      </c>
      <c r="L335" s="9">
        <f>_xll.BQL("ALK US Equity", "NET_DEBT/1M", "FPT=A", "FPO=-3A", "ACT_EST_MAPPING=PRECISE", "FS=MRC", "CURRENCY=USD", "XLFILL=b")</f>
        <v>1707</v>
      </c>
      <c r="M335" s="9">
        <f>_xll.BQL("ALK US Equity", "NET_DEBT/1M", "FPT=A", "FPO=-4A", "ACT_EST_MAPPING=PRECISE", "FS=MRC", "CURRENCY=USD", "XLFILL=b")</f>
        <v>1686</v>
      </c>
      <c r="N335" s="9">
        <f>_xll.BQL("ALK US Equity", "NET_DEBT/1M", "FPT=A", "FPO=-5A", "ACT_EST_MAPPING=PRECISE", "FS=MRC", "CURRENCY=USD", "XLFILL=b")</f>
        <v>867</v>
      </c>
    </row>
    <row r="336" spans="1:14" x14ac:dyDescent="0.2">
      <c r="A336" s="8" t="s">
        <v>64</v>
      </c>
      <c r="B336" s="4" t="s">
        <v>355</v>
      </c>
      <c r="C336" s="4"/>
      <c r="D336" s="4"/>
      <c r="E336" s="9" t="str">
        <f>_xll.BQL("ALK US Equity", "FA_GROWTH(NET_DEBT, YOY)", "FPT=A", "FPO=4A", "ACT_EST_MAPPING=PRECISE", "FS=MRC", "CURRENCY=USD", "XLFILL=b")</f>
        <v/>
      </c>
      <c r="F336" s="9" t="str">
        <f>_xll.BQL("ALK US Equity", "FA_GROWTH(NET_DEBT, YOY)", "FPT=A", "FPO=3A", "ACT_EST_MAPPING=PRECISE", "FS=MRC", "CURRENCY=USD", "XLFILL=b")</f>
        <v/>
      </c>
      <c r="G336" s="9">
        <f>_xll.BQL("ALK US Equity", "FA_GROWTH(NET_DEBT, YOY)", "FPT=A", "FPO=2A", "ACT_EST_MAPPING=PRECISE", "FS=MRC", "CURRENCY=USD", "XLFILL=b")</f>
        <v>33.188237064408803</v>
      </c>
      <c r="H336" s="9">
        <f>_xll.BQL("ALK US Equity", "FA_GROWTH(NET_DEBT, YOY)", "FPT=A", "FPO=1A", "ACT_EST_MAPPING=PRECISE", "FS=MRC", "CURRENCY=USD", "XLFILL=b")</f>
        <v>-0.83907674942024835</v>
      </c>
      <c r="I336" s="9">
        <f>_xll.BQL("ALK US Equity", "FA_GROWTH(NET_DEBT, YOY)", "FPT=A", "FPO=0A", "ACT_EST_MAPPING=PRECISE", "FS=MRC", "CURRENCY=USD", "XLFILL=b")</f>
        <v>48.716067498165813</v>
      </c>
      <c r="J336" s="9">
        <f>_xll.BQL("ALK US Equity", "FA_GROWTH(NET_DEBT, YOY)", "FPT=A", "FPO=-1A", "ACT_EST_MAPPING=PRECISE", "FS=MRC", "CURRENCY=USD", "XLFILL=b")</f>
        <v>40.515463917525771</v>
      </c>
      <c r="K336" s="9">
        <f>_xll.BQL("ALK US Equity", "FA_GROWTH(NET_DEBT, YOY)", "FPT=A", "FPO=-2A", "ACT_EST_MAPPING=PRECISE", "FS=MRC", "CURRENCY=USD", "XLFILL=b")</f>
        <v>-43.175161101347392</v>
      </c>
      <c r="L336" s="9">
        <f>_xll.BQL("ALK US Equity", "FA_GROWTH(NET_DEBT, YOY)", "FPT=A", "FPO=-3A", "ACT_EST_MAPPING=PRECISE", "FS=MRC", "CURRENCY=USD", "XLFILL=b")</f>
        <v>1.2455516014234875</v>
      </c>
      <c r="M336" s="9">
        <f>_xll.BQL("ALK US Equity", "FA_GROWTH(NET_DEBT, YOY)", "FPT=A", "FPO=-4A", "ACT_EST_MAPPING=PRECISE", "FS=MRC", "CURRENCY=USD", "XLFILL=b")</f>
        <v>94.463667820069205</v>
      </c>
      <c r="N336" s="9">
        <f>_xll.BQL("ALK US Equity", "FA_GROWTH(NET_DEBT, YOY)", "FPT=A", "FPO=-5A", "ACT_EST_MAPPING=PRECISE", "FS=MRC", "CURRENCY=USD", "XLFILL=b")</f>
        <v>-8.5443037974683538</v>
      </c>
    </row>
    <row r="337" spans="1:14" x14ac:dyDescent="0.2">
      <c r="A337" s="8" t="s">
        <v>356</v>
      </c>
      <c r="B337" s="4" t="s">
        <v>357</v>
      </c>
      <c r="C337" s="4"/>
      <c r="D337" s="4"/>
      <c r="E337" s="9" t="str">
        <f>_xll.BQL("ALK US Equity", "CB_BS_TOTAL_DEBT_FROM_SCHEDULE/1M", "FPT=A", "FPO=4A", "ACT_EST_MAPPING=PRECISE", "FS=MRC", "CURRENCY=USD", "XLFILL=b")</f>
        <v/>
      </c>
      <c r="F337" s="9">
        <f>_xll.BQL("ALK US Equity", "CB_BS_TOTAL_DEBT_FROM_SCHEDULE/1M", "FPT=A", "FPO=3A", "ACT_EST_MAPPING=PRECISE", "FS=MRC", "CURRENCY=USD", "XLFILL=b")</f>
        <v>1583</v>
      </c>
      <c r="G337" s="9">
        <f>_xll.BQL("ALK US Equity", "CB_BS_TOTAL_DEBT_FROM_SCHEDULE/1M", "FPT=A", "FPO=2A", "ACT_EST_MAPPING=PRECISE", "FS=MRC", "CURRENCY=USD", "XLFILL=b")</f>
        <v>2126</v>
      </c>
      <c r="H337" s="9">
        <f>_xll.BQL("ALK US Equity", "CB_BS_TOTAL_DEBT_FROM_SCHEDULE/1M", "FPT=A", "FPO=1A", "ACT_EST_MAPPING=PRECISE", "FS=MRC", "CURRENCY=USD", "XLFILL=b")</f>
        <v>2376.5</v>
      </c>
      <c r="I337" s="9">
        <f>_xll.BQL("ALK US Equity", "CB_BS_TOTAL_DEBT_FROM_SCHEDULE/1M", "FPT=A", "FPO=0A", "ACT_EST_MAPPING=PRECISE", "FS=MRC", "CURRENCY=USD", "XLFILL=b")</f>
        <v>2471</v>
      </c>
      <c r="J337" s="9">
        <f>_xll.BQL("ALK US Equity", "CB_BS_TOTAL_DEBT_FROM_SCHEDULE/1M", "FPT=A", "FPO=-1A", "ACT_EST_MAPPING=PRECISE", "FS=MRC", "CURRENCY=USD", "XLFILL=b")</f>
        <v>2159</v>
      </c>
      <c r="K337" s="9">
        <f>_xll.BQL("ALK US Equity", "CB_BS_TOTAL_DEBT_FROM_SCHEDULE/1M", "FPT=A", "FPO=-2A", "ACT_EST_MAPPING=PRECISE", "FS=MRC", "CURRENCY=USD", "XLFILL=b")</f>
        <v>2539</v>
      </c>
      <c r="L337" s="9">
        <f>_xll.BQL("ALK US Equity", "CB_BS_TOTAL_DEBT_FROM_SCHEDULE/1M", "FPT=A", "FPO=-3A", "ACT_EST_MAPPING=PRECISE", "FS=MRC", "CURRENCY=USD", "XLFILL=b")</f>
        <v>3495</v>
      </c>
      <c r="M337" s="9">
        <f>_xll.BQL("ALK US Equity", "CB_BS_TOTAL_DEBT_FROM_SCHEDULE/1M", "FPT=A", "FPO=-4A", "ACT_EST_MAPPING=PRECISE", "FS=MRC", "CURRENCY=USD", "XLFILL=b")</f>
        <v>1499</v>
      </c>
      <c r="N337" s="9">
        <f>_xll.BQL("ALK US Equity", "CB_BS_TOTAL_DEBT_FROM_SCHEDULE/1M", "FPT=A", "FPO=-5A", "ACT_EST_MAPPING=PRECISE", "FS=MRC", "CURRENCY=USD", "XLFILL=b")</f>
        <v>2103</v>
      </c>
    </row>
    <row r="338" spans="1:14" x14ac:dyDescent="0.2">
      <c r="A338" s="8" t="s">
        <v>64</v>
      </c>
      <c r="B338" s="4" t="s">
        <v>357</v>
      </c>
      <c r="C338" s="4"/>
      <c r="D338" s="4"/>
      <c r="E338" s="9" t="str">
        <f>_xll.BQL("ALK US Equity", "FA_GROWTH(CB_BS_TOTAL_DEBT_FROM_SCHEDULE, YOY)", "FPT=A", "FPO=4A", "ACT_EST_MAPPING=PRECISE", "FS=MRC", "CURRENCY=USD", "XLFILL=b")</f>
        <v/>
      </c>
      <c r="F338" s="9">
        <f>_xll.BQL("ALK US Equity", "FA_GROWTH(CB_BS_TOTAL_DEBT_FROM_SCHEDULE, YOY)", "FPT=A", "FPO=3A", "ACT_EST_MAPPING=PRECISE", "FS=MRC", "CURRENCY=USD", "XLFILL=b")</f>
        <v>-25.540921919096895</v>
      </c>
      <c r="G338" s="9">
        <f>_xll.BQL("ALK US Equity", "FA_GROWTH(CB_BS_TOTAL_DEBT_FROM_SCHEDULE, YOY)", "FPT=A", "FPO=2A", "ACT_EST_MAPPING=PRECISE", "FS=MRC", "CURRENCY=USD", "XLFILL=b")</f>
        <v>-10.540711129812751</v>
      </c>
      <c r="H338" s="9">
        <f>_xll.BQL("ALK US Equity", "FA_GROWTH(CB_BS_TOTAL_DEBT_FROM_SCHEDULE, YOY)", "FPT=A", "FPO=1A", "ACT_EST_MAPPING=PRECISE", "FS=MRC", "CURRENCY=USD", "XLFILL=b")</f>
        <v>-3.8243626062322944</v>
      </c>
      <c r="I338" s="9">
        <f>_xll.BQL("ALK US Equity", "FA_GROWTH(CB_BS_TOTAL_DEBT_FROM_SCHEDULE, YOY)", "FPT=A", "FPO=0A", "ACT_EST_MAPPING=PRECISE", "FS=MRC", "CURRENCY=USD", "XLFILL=b")</f>
        <v>14.451134784622511</v>
      </c>
      <c r="J338" s="9">
        <f>_xll.BQL("ALK US Equity", "FA_GROWTH(CB_BS_TOTAL_DEBT_FROM_SCHEDULE, YOY)", "FPT=A", "FPO=-1A", "ACT_EST_MAPPING=PRECISE", "FS=MRC", "CURRENCY=USD", "XLFILL=b")</f>
        <v>-14.966522252855455</v>
      </c>
      <c r="K338" s="9">
        <f>_xll.BQL("ALK US Equity", "FA_GROWTH(CB_BS_TOTAL_DEBT_FROM_SCHEDULE, YOY)", "FPT=A", "FPO=-2A", "ACT_EST_MAPPING=PRECISE", "FS=MRC", "CURRENCY=USD", "XLFILL=b")</f>
        <v>-27.353361945636625</v>
      </c>
      <c r="L338" s="9">
        <f>_xll.BQL("ALK US Equity", "FA_GROWTH(CB_BS_TOTAL_DEBT_FROM_SCHEDULE, YOY)", "FPT=A", "FPO=-3A", "ACT_EST_MAPPING=PRECISE", "FS=MRC", "CURRENCY=USD", "XLFILL=b")</f>
        <v>133.15543695797197</v>
      </c>
      <c r="M338" s="9">
        <f>_xll.BQL("ALK US Equity", "FA_GROWTH(CB_BS_TOTAL_DEBT_FROM_SCHEDULE, YOY)", "FPT=A", "FPO=-4A", "ACT_EST_MAPPING=PRECISE", "FS=MRC", "CURRENCY=USD", "XLFILL=b")</f>
        <v>-28.720874940561103</v>
      </c>
      <c r="N338" s="9">
        <f>_xll.BQL("ALK US Equity", "FA_GROWTH(CB_BS_TOTAL_DEBT_FROM_SCHEDULE, YOY)", "FPT=A", "FPO=-5A", "ACT_EST_MAPPING=PRECISE", "FS=MRC", "CURRENCY=USD", "XLFILL=b")</f>
        <v>-18.139353834176724</v>
      </c>
    </row>
    <row r="339" spans="1:14" x14ac:dyDescent="0.2">
      <c r="A339" s="8" t="s">
        <v>358</v>
      </c>
      <c r="B339" s="4" t="s">
        <v>359</v>
      </c>
      <c r="C339" s="4"/>
      <c r="D339" s="4"/>
      <c r="E339" s="9" t="str">
        <f>_xll.BQL("ALK US Equity", "SHORT_AND_LONG_TERM_DEBT/1M", "FPT=A", "FPO=4A", "ACT_EST_MAPPING=PRECISE", "FS=MRC", "CURRENCY=USD", "XLFILL=b")</f>
        <v/>
      </c>
      <c r="F339" s="9">
        <f>_xll.BQL("ALK US Equity", "SHORT_AND_LONG_TERM_DEBT/1M", "FPT=A", "FPO=3A", "ACT_EST_MAPPING=PRECISE", "FS=MRC", "CURRENCY=USD", "XLFILL=b")</f>
        <v>3150.3357563647842</v>
      </c>
      <c r="G339" s="9">
        <f>_xll.BQL("ALK US Equity", "SHORT_AND_LONG_TERM_DEBT/1M", "FPT=A", "FPO=2A", "ACT_EST_MAPPING=PRECISE", "FS=MRC", "CURRENCY=USD", "XLFILL=b")</f>
        <v>3604.7873811941281</v>
      </c>
      <c r="H339" s="9">
        <f>_xll.BQL("ALK US Equity", "SHORT_AND_LONG_TERM_DEBT/1M", "FPT=A", "FPO=1A", "ACT_EST_MAPPING=PRECISE", "FS=MRC", "CURRENCY=USD", "XLFILL=b")</f>
        <v>3829.940353747158</v>
      </c>
      <c r="I339" s="9">
        <f>_xll.BQL("ALK US Equity", "SHORT_AND_LONG_TERM_DEBT/1M", "FPT=A", "FPO=0A", "ACT_EST_MAPPING=PRECISE", "FS=MRC", "CURRENCY=USD", "XLFILL=b")</f>
        <v>3818</v>
      </c>
      <c r="J339" s="9">
        <f>_xll.BQL("ALK US Equity", "SHORT_AND_LONG_TERM_DEBT/1M", "FPT=A", "FPO=-1A", "ACT_EST_MAPPING=PRECISE", "FS=MRC", "CURRENCY=USD", "XLFILL=b")</f>
        <v>3780</v>
      </c>
      <c r="K339" s="9">
        <f>_xll.BQL("ALK US Equity", "SHORT_AND_LONG_TERM_DEBT/1M", "FPT=A", "FPO=-2A", "ACT_EST_MAPPING=PRECISE", "FS=MRC", "CURRENCY=USD", "XLFILL=b")</f>
        <v>4086</v>
      </c>
      <c r="L339" s="9">
        <f>_xll.BQL("ALK US Equity", "SHORT_AND_LONG_TERM_DEBT/1M", "FPT=A", "FPO=-3A", "ACT_EST_MAPPING=PRECISE", "FS=MRC", "CURRENCY=USD", "XLFILL=b")</f>
        <v>5053</v>
      </c>
      <c r="M339" s="9">
        <f>_xll.BQL("ALK US Equity", "SHORT_AND_LONG_TERM_DEBT/1M", "FPT=A", "FPO=-4A", "ACT_EST_MAPPING=PRECISE", "FS=MRC", "CURRENCY=USD", "XLFILL=b")</f>
        <v>3207</v>
      </c>
      <c r="N339" s="9">
        <f>_xll.BQL("ALK US Equity", "SHORT_AND_LONG_TERM_DEBT/1M", "FPT=A", "FPO=-5A", "ACT_EST_MAPPING=PRECISE", "FS=MRC", "CURRENCY=USD", "XLFILL=b")</f>
        <v>2103</v>
      </c>
    </row>
    <row r="340" spans="1:14" x14ac:dyDescent="0.2">
      <c r="A340" s="8" t="s">
        <v>64</v>
      </c>
      <c r="B340" s="4" t="s">
        <v>359</v>
      </c>
      <c r="C340" s="4"/>
      <c r="D340" s="4"/>
      <c r="E340" s="9" t="str">
        <f>_xll.BQL("ALK US Equity", "FA_GROWTH(SHORT_AND_LONG_TERM_DEBT, YOY)", "FPT=A", "FPO=4A", "ACT_EST_MAPPING=PRECISE", "FS=MRC", "CURRENCY=USD", "XLFILL=b")</f>
        <v/>
      </c>
      <c r="F340" s="9">
        <f>_xll.BQL("ALK US Equity", "FA_GROWTH(SHORT_AND_LONG_TERM_DEBT, YOY)", "FPT=A", "FPO=3A", "ACT_EST_MAPPING=PRECISE", "FS=MRC", "CURRENCY=USD", "XLFILL=b")</f>
        <v>-12.606891246906256</v>
      </c>
      <c r="G340" s="9">
        <f>_xll.BQL("ALK US Equity", "FA_GROWTH(SHORT_AND_LONG_TERM_DEBT, YOY)", "FPT=A", "FPO=2A", "ACT_EST_MAPPING=PRECISE", "FS=MRC", "CURRENCY=USD", "XLFILL=b")</f>
        <v>-5.8787592431496645</v>
      </c>
      <c r="H340" s="9">
        <f>_xll.BQL("ALK US Equity", "FA_GROWTH(SHORT_AND_LONG_TERM_DEBT, YOY)", "FPT=A", "FPO=1A", "ACT_EST_MAPPING=PRECISE", "FS=MRC", "CURRENCY=USD", "XLFILL=b")</f>
        <v>0.31273844282760738</v>
      </c>
      <c r="I340" s="9">
        <f>_xll.BQL("ALK US Equity", "FA_GROWTH(SHORT_AND_LONG_TERM_DEBT, YOY)", "FPT=A", "FPO=0A", "ACT_EST_MAPPING=PRECISE", "FS=MRC", "CURRENCY=USD", "XLFILL=b")</f>
        <v>1.0052910052910053</v>
      </c>
      <c r="J340" s="9">
        <f>_xll.BQL("ALK US Equity", "FA_GROWTH(SHORT_AND_LONG_TERM_DEBT, YOY)", "FPT=A", "FPO=-1A", "ACT_EST_MAPPING=PRECISE", "FS=MRC", "CURRENCY=USD", "XLFILL=b")</f>
        <v>-7.4889867841409687</v>
      </c>
      <c r="K340" s="9">
        <f>_xll.BQL("ALK US Equity", "FA_GROWTH(SHORT_AND_LONG_TERM_DEBT, YOY)", "FPT=A", "FPO=-2A", "ACT_EST_MAPPING=PRECISE", "FS=MRC", "CURRENCY=USD", "XLFILL=b")</f>
        <v>-19.137146249752622</v>
      </c>
      <c r="L340" s="9">
        <f>_xll.BQL("ALK US Equity", "FA_GROWTH(SHORT_AND_LONG_TERM_DEBT, YOY)", "FPT=A", "FPO=-3A", "ACT_EST_MAPPING=PRECISE", "FS=MRC", "CURRENCY=USD", "XLFILL=b")</f>
        <v>57.561584034923605</v>
      </c>
      <c r="M340" s="9">
        <f>_xll.BQL("ALK US Equity", "FA_GROWTH(SHORT_AND_LONG_TERM_DEBT, YOY)", "FPT=A", "FPO=-4A", "ACT_EST_MAPPING=PRECISE", "FS=MRC", "CURRENCY=USD", "XLFILL=b")</f>
        <v>52.496433666191159</v>
      </c>
      <c r="N340" s="9">
        <f>_xll.BQL("ALK US Equity", "FA_GROWTH(SHORT_AND_LONG_TERM_DEBT, YOY)", "FPT=A", "FPO=-5A", "ACT_EST_MAPPING=PRECISE", "FS=MRC", "CURRENCY=USD", "XLFILL=b")</f>
        <v>-18.139353834176724</v>
      </c>
    </row>
    <row r="341" spans="1:14" x14ac:dyDescent="0.2">
      <c r="A341" s="8" t="s">
        <v>360</v>
      </c>
      <c r="B341" s="4"/>
      <c r="C341" s="4"/>
      <c r="D341" s="4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x14ac:dyDescent="0.2">
      <c r="A342" s="8" t="s">
        <v>361</v>
      </c>
      <c r="B342" s="4" t="s">
        <v>362</v>
      </c>
      <c r="C342" s="4"/>
      <c r="D342" s="4"/>
      <c r="E342" s="9" t="str">
        <f>_xll.BQL("ALK US Equity", "RETURN_COM_EQY", "FPT=A", "FPO=4A", "ACT_EST_MAPPING=PRECISE", "FS=MRC", "CURRENCY=USD", "XLFILL=b")</f>
        <v/>
      </c>
      <c r="F342" s="9">
        <f>_xll.BQL("ALK US Equity", "RETURN_COM_EQY", "FPT=A", "FPO=3A", "ACT_EST_MAPPING=PRECISE", "FS=MRC", "CURRENCY=USD", "XLFILL=b")</f>
        <v>7.4780553085743646</v>
      </c>
      <c r="G342" s="9">
        <f>_xll.BQL("ALK US Equity", "RETURN_COM_EQY", "FPT=A", "FPO=2A", "ACT_EST_MAPPING=PRECISE", "FS=MRC", "CURRENCY=USD", "XLFILL=b")</f>
        <v>8.6747601636041978</v>
      </c>
      <c r="H342" s="9">
        <f>_xll.BQL("ALK US Equity", "RETURN_COM_EQY", "FPT=A", "FPO=1A", "ACT_EST_MAPPING=PRECISE", "FS=MRC", "CURRENCY=USD", "XLFILL=b")</f>
        <v>6.5217665954405772</v>
      </c>
      <c r="I342" s="9">
        <f>_xll.BQL("ALK US Equity", "RETURN_COM_EQY", "FPT=A", "FPO=0A", "ACT_EST_MAPPING=PRECISE", "FS=MRC", "CURRENCY=USD", "XLFILL=b")</f>
        <v>5.9276075167108084</v>
      </c>
      <c r="J342" s="9">
        <f>_xll.BQL("ALK US Equity", "RETURN_COM_EQY", "FPT=A", "FPO=-1A", "ACT_EST_MAPPING=PRECISE", "FS=MRC", "CURRENCY=USD", "XLFILL=b")</f>
        <v>1.5229092818695025</v>
      </c>
      <c r="K342" s="9">
        <f>_xll.BQL("ALK US Equity", "RETURN_COM_EQY", "FPT=A", "FPO=-2A", "ACT_EST_MAPPING=PRECISE", "FS=MRC", "CURRENCY=USD", "XLFILL=b")</f>
        <v>14.081602592428929</v>
      </c>
      <c r="L342" s="9">
        <f>_xll.BQL("ALK US Equity", "RETURN_COM_EQY", "FPT=A", "FPO=-3A", "ACT_EST_MAPPING=PRECISE", "FS=MRC", "CURRENCY=USD", "XLFILL=b")</f>
        <v>-36.1798059844241</v>
      </c>
      <c r="M342" s="9">
        <f>_xll.BQL("ALK US Equity", "RETURN_COM_EQY", "FPT=A", "FPO=-4A", "ACT_EST_MAPPING=PRECISE", "FS=MRC", "CURRENCY=USD", "XLFILL=b")</f>
        <v>19.029943083395199</v>
      </c>
      <c r="N342" s="9">
        <f>_xll.BQL("ALK US Equity", "RETURN_COM_EQY", "FPT=A", "FPO=-5A", "ACT_EST_MAPPING=PRECISE", "FS=MRC", "CURRENCY=USD", "XLFILL=b")</f>
        <v>12.120371654416862</v>
      </c>
    </row>
    <row r="343" spans="1:14" x14ac:dyDescent="0.2">
      <c r="A343" s="8" t="s">
        <v>64</v>
      </c>
      <c r="B343" s="4" t="s">
        <v>362</v>
      </c>
      <c r="C343" s="4"/>
      <c r="D343" s="4"/>
      <c r="E343" s="9" t="str">
        <f>_xll.BQL("ALK US Equity", "FA_GROWTH(RETURN_COM_EQY, YOY)", "FPT=A", "FPO=4A", "ACT_EST_MAPPING=PRECISE", "FS=MRC", "CURRENCY=USD", "XLFILL=b")</f>
        <v/>
      </c>
      <c r="F343" s="9">
        <f>_xll.BQL("ALK US Equity", "FA_GROWTH(RETURN_COM_EQY, YOY)", "FPT=A", "FPO=3A", "ACT_EST_MAPPING=PRECISE", "FS=MRC", "CURRENCY=USD", "XLFILL=b")</f>
        <v>-13.795250041041193</v>
      </c>
      <c r="G343" s="9">
        <f>_xll.BQL("ALK US Equity", "FA_GROWTH(RETURN_COM_EQY, YOY)", "FPT=A", "FPO=2A", "ACT_EST_MAPPING=PRECISE", "FS=MRC", "CURRENCY=USD", "XLFILL=b")</f>
        <v>33.012429019903855</v>
      </c>
      <c r="H343" s="9" t="str">
        <f>_xll.BQL("ALK US Equity", "FA_GROWTH(RETURN_COM_EQY, YOY)", "FPT=A", "FPO=1A", "ACT_EST_MAPPING=PRECISE", "FS=MRC", "CURRENCY=USD", "XLFILL=b")</f>
        <v/>
      </c>
      <c r="I343" s="9">
        <f>_xll.BQL("ALK US Equity", "FA_GROWTH(RETURN_COM_EQY, YOY)", "FPT=A", "FPO=0A", "ACT_EST_MAPPING=PRECISE", "FS=MRC", "CURRENCY=USD", "XLFILL=b")</f>
        <v>289.22919357574335</v>
      </c>
      <c r="J343" s="9">
        <f>_xll.BQL("ALK US Equity", "FA_GROWTH(RETURN_COM_EQY, YOY)", "FPT=A", "FPO=-1A", "ACT_EST_MAPPING=PRECISE", "FS=MRC", "CURRENCY=USD", "XLFILL=b")</f>
        <v>-89.185113896849316</v>
      </c>
      <c r="K343" s="9">
        <f>_xll.BQL("ALK US Equity", "FA_GROWTH(RETURN_COM_EQY, YOY)", "FPT=A", "FPO=-2A", "ACT_EST_MAPPING=PRECISE", "FS=MRC", "CURRENCY=USD", "XLFILL=b")</f>
        <v>138.92116668201939</v>
      </c>
      <c r="L343" s="9">
        <f>_xll.BQL("ALK US Equity", "FA_GROWTH(RETURN_COM_EQY, YOY)", "FPT=A", "FPO=-3A", "ACT_EST_MAPPING=PRECISE", "FS=MRC", "CURRENCY=USD", "XLFILL=b")</f>
        <v>-290.12041090124552</v>
      </c>
      <c r="M343" s="9">
        <f>_xll.BQL("ALK US Equity", "FA_GROWTH(RETURN_COM_EQY, YOY)", "FPT=A", "FPO=-4A", "ACT_EST_MAPPING=PRECISE", "FS=MRC", "CURRENCY=USD", "XLFILL=b")</f>
        <v>57.007917133138207</v>
      </c>
      <c r="N343" s="9">
        <f>_xll.BQL("ALK US Equity", "FA_GROWTH(RETURN_COM_EQY, YOY)", "FPT=A", "FPO=-5A", "ACT_EST_MAPPING=PRECISE", "FS=MRC", "CURRENCY=USD", "XLFILL=b")</f>
        <v>-59.655575394073878</v>
      </c>
    </row>
    <row r="344" spans="1:14" x14ac:dyDescent="0.2">
      <c r="A344" s="8" t="s">
        <v>363</v>
      </c>
      <c r="B344" s="4" t="s">
        <v>364</v>
      </c>
      <c r="C344" s="4"/>
      <c r="D344" s="4"/>
      <c r="E344" s="9" t="str">
        <f>_xll.BQL("ALK US Equity", "INVENT_TO_SALES", "FPT=A", "FPO=4A", "ACT_EST_MAPPING=PRECISE", "FS=MRC", "CURRENCY=USD", "XLFILL=b")</f>
        <v/>
      </c>
      <c r="F344" s="9">
        <f>_xll.BQL("ALK US Equity", "INVENT_TO_SALES", "FPT=A", "FPO=3A", "ACT_EST_MAPPING=PRECISE", "FS=MRC", "CURRENCY=USD", "XLFILL=b")</f>
        <v>0.94989653690778253</v>
      </c>
      <c r="G344" s="9">
        <f>_xll.BQL("ALK US Equity", "INVENT_TO_SALES", "FPT=A", "FPO=2A", "ACT_EST_MAPPING=PRECISE", "FS=MRC", "CURRENCY=USD", "XLFILL=b")</f>
        <v>1.0346647032291412</v>
      </c>
      <c r="H344" s="9">
        <f>_xll.BQL("ALK US Equity", "INVENT_TO_SALES", "FPT=A", "FPO=1A", "ACT_EST_MAPPING=PRECISE", "FS=MRC", "CURRENCY=USD", "XLFILL=b")</f>
        <v>1.0317950372530902</v>
      </c>
      <c r="I344" s="9">
        <f>_xll.BQL("ALK US Equity", "INVENT_TO_SALES", "FPT=A", "FPO=0A", "ACT_EST_MAPPING=PRECISE", "FS=MRC", "CURRENCY=USD", "XLFILL=b")</f>
        <v>1.1025567911795457</v>
      </c>
      <c r="J344" s="9">
        <f>_xll.BQL("ALK US Equity", "INVENT_TO_SALES", "FPT=A", "FPO=-1A", "ACT_EST_MAPPING=PRECISE", "FS=MRC", "CURRENCY=USD", "XLFILL=b")</f>
        <v>1.005705444347742</v>
      </c>
      <c r="K344" s="9">
        <f>_xll.BQL("ALK US Equity", "INVENT_TO_SALES", "FPT=A", "FPO=-2A", "ACT_EST_MAPPING=PRECISE", "FS=MRC", "CURRENCY=USD", "XLFILL=b")</f>
        <v>0.75692833597851306</v>
      </c>
      <c r="L344" s="9">
        <f>_xll.BQL("ALK US Equity", "INVENT_TO_SALES", "FPT=A", "FPO=-3A", "ACT_EST_MAPPING=PRECISE", "FS=MRC", "CURRENCY=USD", "XLFILL=b")</f>
        <v>1.4870858335507435</v>
      </c>
      <c r="M344" s="9">
        <f>_xll.BQL("ALK US Equity", "INVENT_TO_SALES", "FPT=A", "FPO=-4A", "ACT_EST_MAPPING=PRECISE", "FS=MRC", "CURRENCY=USD", "XLFILL=b")</f>
        <v>1.0788133053640994</v>
      </c>
      <c r="N344" s="9">
        <f>_xll.BQL("ALK US Equity", "INVENT_TO_SALES", "FPT=A", "FPO=-5A", "ACT_EST_MAPPING=PRECISE", "FS=MRC", "CURRENCY=USD", "XLFILL=b")</f>
        <v>0.7109004739336493</v>
      </c>
    </row>
    <row r="345" spans="1:14" x14ac:dyDescent="0.2">
      <c r="A345" s="8" t="s">
        <v>64</v>
      </c>
      <c r="B345" s="4" t="s">
        <v>364</v>
      </c>
      <c r="C345" s="4"/>
      <c r="D345" s="4"/>
      <c r="E345" s="9" t="str">
        <f>_xll.BQL("ALK US Equity", "FA_GROWTH(INVENT_TO_SALES, YOY)", "FPT=A", "FPO=4A", "ACT_EST_MAPPING=PRECISE", "FS=MRC", "CURRENCY=USD", "XLFILL=b")</f>
        <v/>
      </c>
      <c r="F345" s="9">
        <f>_xll.BQL("ALK US Equity", "FA_GROWTH(INVENT_TO_SALES, YOY)", "FPT=A", "FPO=3A", "ACT_EST_MAPPING=PRECISE", "FS=MRC", "CURRENCY=USD", "XLFILL=b")</f>
        <v>-8.1928151271422607</v>
      </c>
      <c r="G345" s="9">
        <f>_xll.BQL("ALK US Equity", "FA_GROWTH(INVENT_TO_SALES, YOY)", "FPT=A", "FPO=2A", "ACT_EST_MAPPING=PRECISE", "FS=MRC", "CURRENCY=USD", "XLFILL=b")</f>
        <v>0.27812364592204175</v>
      </c>
      <c r="H345" s="9">
        <f>_xll.BQL("ALK US Equity", "FA_GROWTH(INVENT_TO_SALES, YOY)", "FPT=A", "FPO=1A", "ACT_EST_MAPPING=PRECISE", "FS=MRC", "CURRENCY=USD", "XLFILL=b")</f>
        <v>-6.4179690781055081</v>
      </c>
      <c r="I345" s="9">
        <f>_xll.BQL("ALK US Equity", "FA_GROWTH(INVENT_TO_SALES, YOY)", "FPT=A", "FPO=0A", "ACT_EST_MAPPING=PRECISE", "FS=MRC", "CURRENCY=USD", "XLFILL=b")</f>
        <v>9.6301901691123319</v>
      </c>
      <c r="J345" s="9">
        <f>_xll.BQL("ALK US Equity", "FA_GROWTH(INVENT_TO_SALES, YOY)", "FPT=A", "FPO=-1A", "ACT_EST_MAPPING=PRECISE", "FS=MRC", "CURRENCY=USD", "XLFILL=b")</f>
        <v>32.866666042779904</v>
      </c>
      <c r="K345" s="9">
        <f>_xll.BQL("ALK US Equity", "FA_GROWTH(INVENT_TO_SALES, YOY)", "FPT=A", "FPO=-2A", "ACT_EST_MAPPING=PRECISE", "FS=MRC", "CURRENCY=USD", "XLFILL=b")</f>
        <v>-49.099889266567708</v>
      </c>
      <c r="L345" s="9">
        <f>_xll.BQL("ALK US Equity", "FA_GROWTH(INVENT_TO_SALES, YOY)", "FPT=A", "FPO=-3A", "ACT_EST_MAPPING=PRECISE", "FS=MRC", "CURRENCY=USD", "XLFILL=b")</f>
        <v>37.844595182189771</v>
      </c>
      <c r="M345" s="9">
        <f>_xll.BQL("ALK US Equity", "FA_GROWTH(INVENT_TO_SALES, YOY)", "FPT=A", "FPO=-4A", "ACT_EST_MAPPING=PRECISE", "FS=MRC", "CURRENCY=USD", "XLFILL=b")</f>
        <v>51.753071621216641</v>
      </c>
      <c r="N345" s="9">
        <f>_xll.BQL("ALK US Equity", "FA_GROWTH(INVENT_TO_SALES, YOY)", "FPT=A", "FPO=-5A", "ACT_EST_MAPPING=PRECISE", "FS=MRC", "CURRENCY=USD", "XLFILL=b")</f>
        <v>0.27438263906210525</v>
      </c>
    </row>
    <row r="346" spans="1:14" x14ac:dyDescent="0.2">
      <c r="A346" s="8" t="s">
        <v>365</v>
      </c>
      <c r="B346" s="4" t="s">
        <v>366</v>
      </c>
      <c r="C346" s="4"/>
      <c r="D346" s="4"/>
      <c r="E346" s="9" t="str">
        <f>_xll.BQL("ALK US Equity", "BS_TOTAL_AVAIL_LINE_OF_CREDIT/1M", "FPT=A", "FPO=4A", "ACT_EST_MAPPING=PRECISE", "FS=MRC", "CURRENCY=USD", "XLFILL=b")</f>
        <v/>
      </c>
      <c r="F346" s="9" t="str">
        <f>_xll.BQL("ALK US Equity", "BS_TOTAL_AVAIL_LINE_OF_CREDIT/1M", "FPT=A", "FPO=3A", "ACT_EST_MAPPING=PRECISE", "FS=MRC", "CURRENCY=USD", "XLFILL=b")</f>
        <v/>
      </c>
      <c r="G346" s="9" t="str">
        <f>_xll.BQL("ALK US Equity", "BS_TOTAL_AVAIL_LINE_OF_CREDIT/1M", "FPT=A", "FPO=2A", "ACT_EST_MAPPING=PRECISE", "FS=MRC", "CURRENCY=USD", "XLFILL=b")</f>
        <v/>
      </c>
      <c r="H346" s="9" t="str">
        <f>_xll.BQL("ALK US Equity", "BS_TOTAL_AVAIL_LINE_OF_CREDIT/1M", "FPT=A", "FPO=1A", "ACT_EST_MAPPING=PRECISE", "FS=MRC", "CURRENCY=USD", "XLFILL=b")</f>
        <v/>
      </c>
      <c r="I346" s="9">
        <f>_xll.BQL("ALK US Equity", "BS_TOTAL_AVAIL_LINE_OF_CREDIT/1M", "FPT=A", "FPO=0A", "ACT_EST_MAPPING=PRECISE", "FS=MRC", "CURRENCY=USD", "XLFILL=b")</f>
        <v>626</v>
      </c>
      <c r="J346" s="9">
        <f>_xll.BQL("ALK US Equity", "BS_TOTAL_AVAIL_LINE_OF_CREDIT/1M", "FPT=A", "FPO=-1A", "ACT_EST_MAPPING=PRECISE", "FS=MRC", "CURRENCY=USD", "XLFILL=b")</f>
        <v>486</v>
      </c>
      <c r="K346" s="9">
        <f>_xll.BQL("ALK US Equity", "BS_TOTAL_AVAIL_LINE_OF_CREDIT/1M", "FPT=A", "FPO=-2A", "ACT_EST_MAPPING=PRECISE", "FS=MRC", "CURRENCY=USD", "XLFILL=b")</f>
        <v>486</v>
      </c>
      <c r="L346" s="9">
        <f>_xll.BQL("ALK US Equity", "BS_TOTAL_AVAIL_LINE_OF_CREDIT/1M", "FPT=A", "FPO=-3A", "ACT_EST_MAPPING=PRECISE", "FS=MRC", "CURRENCY=USD", "XLFILL=b")</f>
        <v>461</v>
      </c>
      <c r="M346" s="9">
        <f>_xll.BQL("ALK US Equity", "BS_TOTAL_AVAIL_LINE_OF_CREDIT/1M", "FPT=A", "FPO=-4A", "ACT_EST_MAPPING=PRECISE", "FS=MRC", "CURRENCY=USD", "XLFILL=b")</f>
        <v>516</v>
      </c>
      <c r="N346" s="9">
        <f>_xll.BQL("ALK US Equity", "BS_TOTAL_AVAIL_LINE_OF_CREDIT/1M", "FPT=A", "FPO=-5A", "ACT_EST_MAPPING=PRECISE", "FS=MRC", "CURRENCY=USD", "XLFILL=b")</f>
        <v>516</v>
      </c>
    </row>
    <row r="347" spans="1:14" x14ac:dyDescent="0.2">
      <c r="A347" s="8" t="s">
        <v>64</v>
      </c>
      <c r="B347" s="4" t="s">
        <v>366</v>
      </c>
      <c r="C347" s="4"/>
      <c r="D347" s="4"/>
      <c r="E347" s="9" t="str">
        <f>_xll.BQL("ALK US Equity", "FA_GROWTH(BS_TOTAL_AVAIL_LINE_OF_CREDIT, YOY)", "FPT=A", "FPO=4A", "ACT_EST_MAPPING=PRECISE", "FS=MRC", "CURRENCY=USD", "XLFILL=b")</f>
        <v/>
      </c>
      <c r="F347" s="9" t="str">
        <f>_xll.BQL("ALK US Equity", "FA_GROWTH(BS_TOTAL_AVAIL_LINE_OF_CREDIT, YOY)", "FPT=A", "FPO=3A", "ACT_EST_MAPPING=PRECISE", "FS=MRC", "CURRENCY=USD", "XLFILL=b")</f>
        <v/>
      </c>
      <c r="G347" s="9" t="str">
        <f>_xll.BQL("ALK US Equity", "FA_GROWTH(BS_TOTAL_AVAIL_LINE_OF_CREDIT, YOY)", "FPT=A", "FPO=2A", "ACT_EST_MAPPING=PRECISE", "FS=MRC", "CURRENCY=USD", "XLFILL=b")</f>
        <v/>
      </c>
      <c r="H347" s="9" t="str">
        <f>_xll.BQL("ALK US Equity", "FA_GROWTH(BS_TOTAL_AVAIL_LINE_OF_CREDIT, YOY)", "FPT=A", "FPO=1A", "ACT_EST_MAPPING=PRECISE", "FS=MRC", "CURRENCY=USD", "XLFILL=b")</f>
        <v/>
      </c>
      <c r="I347" s="9">
        <f>_xll.BQL("ALK US Equity", "FA_GROWTH(BS_TOTAL_AVAIL_LINE_OF_CREDIT, YOY)", "FPT=A", "FPO=0A", "ACT_EST_MAPPING=PRECISE", "FS=MRC", "CURRENCY=USD", "XLFILL=b")</f>
        <v>28.806584362139919</v>
      </c>
      <c r="J347" s="9">
        <f>_xll.BQL("ALK US Equity", "FA_GROWTH(BS_TOTAL_AVAIL_LINE_OF_CREDIT, YOY)", "FPT=A", "FPO=-1A", "ACT_EST_MAPPING=PRECISE", "FS=MRC", "CURRENCY=USD", "XLFILL=b")</f>
        <v>0</v>
      </c>
      <c r="K347" s="9">
        <f>_xll.BQL("ALK US Equity", "FA_GROWTH(BS_TOTAL_AVAIL_LINE_OF_CREDIT, YOY)", "FPT=A", "FPO=-2A", "ACT_EST_MAPPING=PRECISE", "FS=MRC", "CURRENCY=USD", "XLFILL=b")</f>
        <v>5.4229934924078087</v>
      </c>
      <c r="L347" s="9">
        <f>_xll.BQL("ALK US Equity", "FA_GROWTH(BS_TOTAL_AVAIL_LINE_OF_CREDIT, YOY)", "FPT=A", "FPO=-3A", "ACT_EST_MAPPING=PRECISE", "FS=MRC", "CURRENCY=USD", "XLFILL=b")</f>
        <v>-10.65891472868217</v>
      </c>
      <c r="M347" s="9">
        <f>_xll.BQL("ALK US Equity", "FA_GROWTH(BS_TOTAL_AVAIL_LINE_OF_CREDIT, YOY)", "FPT=A", "FPO=-4A", "ACT_EST_MAPPING=PRECISE", "FS=MRC", "CURRENCY=USD", "XLFILL=b")</f>
        <v>0</v>
      </c>
      <c r="N347" s="9">
        <f>_xll.BQL("ALK US Equity", "FA_GROWTH(BS_TOTAL_AVAIL_LINE_OF_CREDIT, YOY)", "FPT=A", "FPO=-5A", "ACT_EST_MAPPING=PRECISE", "FS=MRC", "CURRENCY=USD", "XLFILL=b")</f>
        <v>8.6315789473684212</v>
      </c>
    </row>
    <row r="348" spans="1:14" x14ac:dyDescent="0.2">
      <c r="A348" s="8" t="s">
        <v>367</v>
      </c>
      <c r="B348" s="4" t="s">
        <v>368</v>
      </c>
      <c r="C348" s="4"/>
      <c r="D348" s="4"/>
      <c r="E348" s="9" t="str">
        <f>_xll.BQL("ALK US Equity", "TOT_ASSET_TO_TOT_ASSET", "FPT=A", "FPO=4A", "ACT_EST_MAPPING=PRECISE", "FS=MRC", "CURRENCY=USD", "XLFILL=b")</f>
        <v/>
      </c>
      <c r="F348" s="9">
        <f>_xll.BQL("ALK US Equity", "TOT_ASSET_TO_TOT_ASSET", "FPT=A", "FPO=3A", "ACT_EST_MAPPING=PRECISE", "FS=MRC", "CURRENCY=USD", "XLFILL=b")</f>
        <v>100</v>
      </c>
      <c r="G348" s="9">
        <f>_xll.BQL("ALK US Equity", "TOT_ASSET_TO_TOT_ASSET", "FPT=A", "FPO=2A", "ACT_EST_MAPPING=PRECISE", "FS=MRC", "CURRENCY=USD", "XLFILL=b")</f>
        <v>100</v>
      </c>
      <c r="H348" s="9">
        <f>_xll.BQL("ALK US Equity", "TOT_ASSET_TO_TOT_ASSET", "FPT=A", "FPO=1A", "ACT_EST_MAPPING=PRECISE", "FS=MRC", "CURRENCY=USD", "XLFILL=b")</f>
        <v>100</v>
      </c>
      <c r="I348" s="9">
        <f>_xll.BQL("ALK US Equity", "TOT_ASSET_TO_TOT_ASSET", "FPT=A", "FPO=0A", "ACT_EST_MAPPING=PRECISE", "FS=MRC", "CURRENCY=USD", "XLFILL=b")</f>
        <v>100</v>
      </c>
      <c r="J348" s="9">
        <f>_xll.BQL("ALK US Equity", "TOT_ASSET_TO_TOT_ASSET", "FPT=A", "FPO=-1A", "ACT_EST_MAPPING=PRECISE", "FS=MRC", "CURRENCY=USD", "XLFILL=b")</f>
        <v>100</v>
      </c>
      <c r="K348" s="9">
        <f>_xll.BQL("ALK US Equity", "TOT_ASSET_TO_TOT_ASSET", "FPT=A", "FPO=-2A", "ACT_EST_MAPPING=PRECISE", "FS=MRC", "CURRENCY=USD", "XLFILL=b")</f>
        <v>100</v>
      </c>
      <c r="L348" s="9">
        <f>_xll.BQL("ALK US Equity", "TOT_ASSET_TO_TOT_ASSET", "FPT=A", "FPO=-3A", "ACT_EST_MAPPING=PRECISE", "FS=MRC", "CURRENCY=USD", "XLFILL=b")</f>
        <v>100</v>
      </c>
      <c r="M348" s="9">
        <f>_xll.BQL("ALK US Equity", "TOT_ASSET_TO_TOT_ASSET", "FPT=A", "FPO=-4A", "ACT_EST_MAPPING=PRECISE", "FS=MRC", "CURRENCY=USD", "XLFILL=b")</f>
        <v>100</v>
      </c>
      <c r="N348" s="9">
        <f>_xll.BQL("ALK US Equity", "TOT_ASSET_TO_TOT_ASSET", "FPT=A", "FPO=-5A", "ACT_EST_MAPPING=PRECISE", "FS=MRC", "CURRENCY=USD", "XLFILL=b")</f>
        <v>100</v>
      </c>
    </row>
    <row r="349" spans="1:14" x14ac:dyDescent="0.2">
      <c r="A349" s="8" t="s">
        <v>64</v>
      </c>
      <c r="B349" s="4" t="s">
        <v>368</v>
      </c>
      <c r="C349" s="4"/>
      <c r="D349" s="4"/>
      <c r="E349" s="9" t="str">
        <f>_xll.BQL("ALK US Equity", "FA_GROWTH(TOT_ASSET_TO_TOT_ASSET, YOY)", "FPT=A", "FPO=4A", "ACT_EST_MAPPING=PRECISE", "FS=MRC", "CURRENCY=USD", "XLFILL=b")</f>
        <v/>
      </c>
      <c r="F349" s="9">
        <f>_xll.BQL("ALK US Equity", "FA_GROWTH(TOT_ASSET_TO_TOT_ASSET, YOY)", "FPT=A", "FPO=3A", "ACT_EST_MAPPING=PRECISE", "FS=MRC", "CURRENCY=USD", "XLFILL=b")</f>
        <v>0</v>
      </c>
      <c r="G349" s="9">
        <f>_xll.BQL("ALK US Equity", "FA_GROWTH(TOT_ASSET_TO_TOT_ASSET, YOY)", "FPT=A", "FPO=2A", "ACT_EST_MAPPING=PRECISE", "FS=MRC", "CURRENCY=USD", "XLFILL=b")</f>
        <v>0</v>
      </c>
      <c r="H349" s="9">
        <f>_xll.BQL("ALK US Equity", "FA_GROWTH(TOT_ASSET_TO_TOT_ASSET, YOY)", "FPT=A", "FPO=1A", "ACT_EST_MAPPING=PRECISE", "FS=MRC", "CURRENCY=USD", "XLFILL=b")</f>
        <v>0</v>
      </c>
      <c r="I349" s="9">
        <f>_xll.BQL("ALK US Equity", "FA_GROWTH(TOT_ASSET_TO_TOT_ASSET, YOY)", "FPT=A", "FPO=0A", "ACT_EST_MAPPING=PRECISE", "FS=MRC", "CURRENCY=USD", "XLFILL=b")</f>
        <v>0</v>
      </c>
      <c r="J349" s="9">
        <f>_xll.BQL("ALK US Equity", "FA_GROWTH(TOT_ASSET_TO_TOT_ASSET, YOY)", "FPT=A", "FPO=-1A", "ACT_EST_MAPPING=PRECISE", "FS=MRC", "CURRENCY=USD", "XLFILL=b")</f>
        <v>0</v>
      </c>
      <c r="K349" s="9">
        <f>_xll.BQL("ALK US Equity", "FA_GROWTH(TOT_ASSET_TO_TOT_ASSET, YOY)", "FPT=A", "FPO=-2A", "ACT_EST_MAPPING=PRECISE", "FS=MRC", "CURRENCY=USD", "XLFILL=b")</f>
        <v>0</v>
      </c>
      <c r="L349" s="9">
        <f>_xll.BQL("ALK US Equity", "FA_GROWTH(TOT_ASSET_TO_TOT_ASSET, YOY)", "FPT=A", "FPO=-3A", "ACT_EST_MAPPING=PRECISE", "FS=MRC", "CURRENCY=USD", "XLFILL=b")</f>
        <v>0</v>
      </c>
      <c r="M349" s="9">
        <f>_xll.BQL("ALK US Equity", "FA_GROWTH(TOT_ASSET_TO_TOT_ASSET, YOY)", "FPT=A", "FPO=-4A", "ACT_EST_MAPPING=PRECISE", "FS=MRC", "CURRENCY=USD", "XLFILL=b")</f>
        <v>0</v>
      </c>
      <c r="N349" s="9">
        <f>_xll.BQL("ALK US Equity", "FA_GROWTH(TOT_ASSET_TO_TOT_ASSET, YOY)", "FPT=A", "FPO=-5A", "ACT_EST_MAPPING=PRECISE", "FS=MRC", "CURRENCY=USD", "XLFILL=b")</f>
        <v>0</v>
      </c>
    </row>
    <row r="350" spans="1:14" x14ac:dyDescent="0.2">
      <c r="A350" s="8" t="s">
        <v>369</v>
      </c>
      <c r="B350" s="4" t="s">
        <v>370</v>
      </c>
      <c r="C350" s="4"/>
      <c r="D350" s="4"/>
      <c r="E350" s="9" t="str">
        <f>_xll.BQL("ALK US Equity", "CUR_RATIO", "FPT=A", "FPO=4A", "ACT_EST_MAPPING=PRECISE", "FS=MRC", "CURRENCY=USD", "XLFILL=b")</f>
        <v/>
      </c>
      <c r="F350" s="9">
        <f>_xll.BQL("ALK US Equity", "CUR_RATIO", "FPT=A", "FPO=3A", "ACT_EST_MAPPING=PRECISE", "FS=MRC", "CURRENCY=USD", "XLFILL=b")</f>
        <v>0.51789507230529108</v>
      </c>
      <c r="G350" s="9">
        <f>_xll.BQL("ALK US Equity", "CUR_RATIO", "FPT=A", "FPO=2A", "ACT_EST_MAPPING=PRECISE", "FS=MRC", "CURRENCY=USD", "XLFILL=b")</f>
        <v>0.62177250801372175</v>
      </c>
      <c r="H350" s="9">
        <f>_xll.BQL("ALK US Equity", "CUR_RATIO", "FPT=A", "FPO=1A", "ACT_EST_MAPPING=PRECISE", "FS=MRC", "CURRENCY=USD", "XLFILL=b")</f>
        <v>0.65753968658892514</v>
      </c>
      <c r="I350" s="9">
        <f>_xll.BQL("ALK US Equity", "CUR_RATIO", "FPT=A", "FPO=0A", "ACT_EST_MAPPING=PRECISE", "FS=MRC", "CURRENCY=USD", "XLFILL=b")</f>
        <v>0.60663825969948415</v>
      </c>
      <c r="J350" s="9">
        <f>_xll.BQL("ALK US Equity", "CUR_RATIO", "FPT=A", "FPO=-1A", "ACT_EST_MAPPING=PRECISE", "FS=MRC", "CURRENCY=USD", "XLFILL=b")</f>
        <v>0.67660805697752058</v>
      </c>
      <c r="K350" s="9">
        <f>_xll.BQL("ALK US Equity", "CUR_RATIO", "FPT=A", "FPO=-2A", "ACT_EST_MAPPING=PRECISE", "FS=MRC", "CURRENCY=USD", "XLFILL=b")</f>
        <v>0.98220997243798547</v>
      </c>
      <c r="L350" s="9">
        <f>_xll.BQL("ALK US Equity", "CUR_RATIO", "FPT=A", "FPO=-3A", "ACT_EST_MAPPING=PRECISE", "FS=MRC", "CURRENCY=USD", "XLFILL=b")</f>
        <v>0.93314698346144886</v>
      </c>
      <c r="M350" s="9">
        <f>_xll.BQL("ALK US Equity", "CUR_RATIO", "FPT=A", "FPO=-4A", "ACT_EST_MAPPING=PRECISE", "FS=MRC", "CURRENCY=USD", "XLFILL=b")</f>
        <v>0.63636363636363635</v>
      </c>
      <c r="N350" s="9">
        <f>_xll.BQL("ALK US Equity", "CUR_RATIO", "FPT=A", "FPO=-5A", "ACT_EST_MAPPING=PRECISE", "FS=MRC", "CURRENCY=USD", "XLFILL=b")</f>
        <v>0.60740992522093817</v>
      </c>
    </row>
    <row r="351" spans="1:14" x14ac:dyDescent="0.2">
      <c r="A351" s="8" t="s">
        <v>64</v>
      </c>
      <c r="B351" s="4" t="s">
        <v>370</v>
      </c>
      <c r="C351" s="4"/>
      <c r="D351" s="4"/>
      <c r="E351" s="9" t="str">
        <f>_xll.BQL("ALK US Equity", "FA_GROWTH(CUR_RATIO, YOY)", "FPT=A", "FPO=4A", "ACT_EST_MAPPING=PRECISE", "FS=MRC", "CURRENCY=USD", "XLFILL=b")</f>
        <v/>
      </c>
      <c r="F351" s="9">
        <f>_xll.BQL("ALK US Equity", "FA_GROWTH(CUR_RATIO, YOY)", "FPT=A", "FPO=3A", "ACT_EST_MAPPING=PRECISE", "FS=MRC", "CURRENCY=USD", "XLFILL=b")</f>
        <v>-16.706662705347249</v>
      </c>
      <c r="G351" s="9">
        <f>_xll.BQL("ALK US Equity", "FA_GROWTH(CUR_RATIO, YOY)", "FPT=A", "FPO=2A", "ACT_EST_MAPPING=PRECISE", "FS=MRC", "CURRENCY=USD", "XLFILL=b")</f>
        <v>-5.4395467383498035</v>
      </c>
      <c r="H351" s="9">
        <f>_xll.BQL("ALK US Equity", "FA_GROWTH(CUR_RATIO, YOY)", "FPT=A", "FPO=1A", "ACT_EST_MAPPING=PRECISE", "FS=MRC", "CURRENCY=USD", "XLFILL=b")</f>
        <v>8.390737985213212</v>
      </c>
      <c r="I351" s="9">
        <f>_xll.BQL("ALK US Equity", "FA_GROWTH(CUR_RATIO, YOY)", "FPT=A", "FPO=0A", "ACT_EST_MAPPING=PRECISE", "FS=MRC", "CURRENCY=USD", "XLFILL=b")</f>
        <v>-10.341259841125581</v>
      </c>
      <c r="J351" s="9">
        <f>_xll.BQL("ALK US Equity", "FA_GROWTH(CUR_RATIO, YOY)", "FPT=A", "FPO=-1A", "ACT_EST_MAPPING=PRECISE", "FS=MRC", "CURRENCY=USD", "XLFILL=b")</f>
        <v>-31.113705219457024</v>
      </c>
      <c r="K351" s="9">
        <f>_xll.BQL("ALK US Equity", "FA_GROWTH(CUR_RATIO, YOY)", "FPT=A", "FPO=-2A", "ACT_EST_MAPPING=PRECISE", "FS=MRC", "CURRENCY=USD", "XLFILL=b")</f>
        <v>5.2577985940157674</v>
      </c>
      <c r="L351" s="9">
        <f>_xll.BQL("ALK US Equity", "FA_GROWTH(CUR_RATIO, YOY)", "FPT=A", "FPO=-3A", "ACT_EST_MAPPING=PRECISE", "FS=MRC", "CURRENCY=USD", "XLFILL=b")</f>
        <v>46.63738311537054</v>
      </c>
      <c r="M351" s="9">
        <f>_xll.BQL("ALK US Equity", "FA_GROWTH(CUR_RATIO, YOY)", "FPT=A", "FPO=-4A", "ACT_EST_MAPPING=PRECISE", "FS=MRC", "CURRENCY=USD", "XLFILL=b")</f>
        <v>4.7667497583557941</v>
      </c>
      <c r="N351" s="9">
        <f>_xll.BQL("ALK US Equity", "FA_GROWTH(CUR_RATIO, YOY)", "FPT=A", "FPO=-5A", "ACT_EST_MAPPING=PRECISE", "FS=MRC", "CURRENCY=USD", "XLFILL=b")</f>
        <v>-24.186660820472124</v>
      </c>
    </row>
    <row r="352" spans="1:14" x14ac:dyDescent="0.2">
      <c r="A352" s="8" t="s">
        <v>371</v>
      </c>
      <c r="B352" s="4" t="s">
        <v>372</v>
      </c>
      <c r="C352" s="4" t="s">
        <v>373</v>
      </c>
      <c r="D352" s="4"/>
      <c r="E352" s="9" t="str">
        <f>_xll.BQL("ALK US Equity", "HEADLINE_BVPS", "FPT=A", "FPO=4A", "ACT_EST_MAPPING=PRECISE", "FS=MRC", "CURRENCY=USD", "XLFILL=b")</f>
        <v/>
      </c>
      <c r="F352" s="9">
        <f>_xll.BQL("ALK US Equity", "HEADLINE_BVPS", "FPT=A", "FPO=3A", "ACT_EST_MAPPING=PRECISE", "FS=MRC", "CURRENCY=USD", "XLFILL=b")</f>
        <v>52.354999999999997</v>
      </c>
      <c r="G352" s="9">
        <f>_xll.BQL("ALK US Equity", "HEADLINE_BVPS", "FPT=A", "FPO=2A", "ACT_EST_MAPPING=PRECISE", "FS=MRC", "CURRENCY=USD", "XLFILL=b")</f>
        <v>43.016000000000005</v>
      </c>
      <c r="H352" s="9">
        <f>_xll.BQL("ALK US Equity", "HEADLINE_BVPS", "FPT=A", "FPO=1A", "ACT_EST_MAPPING=PRECISE", "FS=MRC", "CURRENCY=USD", "XLFILL=b")</f>
        <v>36.835999999999999</v>
      </c>
      <c r="I352" s="9">
        <f>_xll.BQL("ALK US Equity", "HEADLINE_BVPS", "FPT=A", "FPO=0A", "ACT_EST_MAPPING=PRECISE", "FS=MRC", "CURRENCY=USD", "XLFILL=b")</f>
        <v>32.619466137905093</v>
      </c>
      <c r="J352" s="9">
        <f>_xll.BQL("ALK US Equity", "HEADLINE_BVPS", "FPT=A", "FPO=-1A", "ACT_EST_MAPPING=PRECISE", "FS=MRC", "CURRENCY=USD", "XLFILL=b")</f>
        <v>29.92164434051465</v>
      </c>
      <c r="K352" s="9">
        <f>_xll.BQL("ALK US Equity", "HEADLINE_BVPS", "FPT=A", "FPO=-2A", "ACT_EST_MAPPING=PRECISE", "FS=MRC", "CURRENCY=USD", "XLFILL=b")</f>
        <v>30.189221369387532</v>
      </c>
      <c r="L352" s="9">
        <f>_xll.BQL("ALK US Equity", "HEADLINE_BVPS", "FPT=A", "FPO=-3A", "ACT_EST_MAPPING=PRECISE", "FS=MRC", "CURRENCY=USD", "XLFILL=b")</f>
        <v>24.054564252937123</v>
      </c>
      <c r="M352" s="9">
        <f>_xll.BQL("ALK US Equity", "HEADLINE_BVPS", "FPT=A", "FPO=-4A", "ACT_EST_MAPPING=PRECISE", "FS=MRC", "CURRENCY=USD", "XLFILL=b")</f>
        <v>35.211294228720909</v>
      </c>
      <c r="N352" s="9">
        <f>_xll.BQL("ALK US Equity", "HEADLINE_BVPS", "FPT=A", "FPO=-5A", "ACT_EST_MAPPING=PRECISE", "FS=MRC", "CURRENCY=USD", "XLFILL=b")</f>
        <v>30.447805148333412</v>
      </c>
    </row>
    <row r="353" spans="1:14" x14ac:dyDescent="0.2">
      <c r="A353" s="8" t="s">
        <v>64</v>
      </c>
      <c r="B353" s="4" t="s">
        <v>372</v>
      </c>
      <c r="C353" s="4" t="s">
        <v>373</v>
      </c>
      <c r="D353" s="4"/>
      <c r="E353" s="9" t="str">
        <f>_xll.BQL("ALK US Equity", "FA_GROWTH(HEADLINE_BVPS, YOY)", "FPT=A", "FPO=4A", "ACT_EST_MAPPING=PRECISE", "FS=MRC", "CURRENCY=USD", "XLFILL=b")</f>
        <v/>
      </c>
      <c r="F353" s="9">
        <f>_xll.BQL("ALK US Equity", "FA_GROWTH(HEADLINE_BVPS, YOY)", "FPT=A", "FPO=3A", "ACT_EST_MAPPING=PRECISE", "FS=MRC", "CURRENCY=USD", "XLFILL=b")</f>
        <v>21.710526315789451</v>
      </c>
      <c r="G353" s="9">
        <f>_xll.BQL("ALK US Equity", "FA_GROWTH(HEADLINE_BVPS, YOY)", "FPT=A", "FPO=2A", "ACT_EST_MAPPING=PRECISE", "FS=MRC", "CURRENCY=USD", "XLFILL=b")</f>
        <v>16.777065913780017</v>
      </c>
      <c r="H353" s="9">
        <f>_xll.BQL("ALK US Equity", "FA_GROWTH(HEADLINE_BVPS, YOY)", "FPT=A", "FPO=1A", "ACT_EST_MAPPING=PRECISE", "FS=MRC", "CURRENCY=USD", "XLFILL=b")</f>
        <v>12.926434308485291</v>
      </c>
      <c r="I353" s="9">
        <f>_xll.BQL("ALK US Equity", "FA_GROWTH(HEADLINE_BVPS, YOY)", "FPT=A", "FPO=0A", "ACT_EST_MAPPING=PRECISE", "FS=MRC", "CURRENCY=USD", "XLFILL=b")</f>
        <v>9.0162885658577441</v>
      </c>
      <c r="J353" s="9">
        <f>_xll.BQL("ALK US Equity", "FA_GROWTH(HEADLINE_BVPS, YOY)", "FPT=A", "FPO=-1A", "ACT_EST_MAPPING=PRECISE", "FS=MRC", "CURRENCY=USD", "XLFILL=b")</f>
        <v>-0.88633299149679445</v>
      </c>
      <c r="K353" s="9">
        <f>_xll.BQL("ALK US Equity", "FA_GROWTH(HEADLINE_BVPS, YOY)", "FPT=A", "FPO=-2A", "ACT_EST_MAPPING=PRECISE", "FS=MRC", "CURRENCY=USD", "XLFILL=b")</f>
        <v>25.503089775161286</v>
      </c>
      <c r="L353" s="9">
        <f>_xll.BQL("ALK US Equity", "FA_GROWTH(HEADLINE_BVPS, YOY)", "FPT=A", "FPO=-3A", "ACT_EST_MAPPING=PRECISE", "FS=MRC", "CURRENCY=USD", "XLFILL=b")</f>
        <v>-31.685089174267105</v>
      </c>
      <c r="M353" s="9">
        <f>_xll.BQL("ALK US Equity", "FA_GROWTH(HEADLINE_BVPS, YOY)", "FPT=A", "FPO=-4A", "ACT_EST_MAPPING=PRECISE", "FS=MRC", "CURRENCY=USD", "XLFILL=b")</f>
        <v>15.6447699831928</v>
      </c>
      <c r="N353" s="9">
        <f>_xll.BQL("ALK US Equity", "FA_GROWTH(HEADLINE_BVPS, YOY)", "FPT=A", "FPO=-5A", "ACT_EST_MAPPING=PRECISE", "FS=MRC", "CURRENCY=USD", "XLFILL=b")</f>
        <v>8.2926684177339443</v>
      </c>
    </row>
    <row r="354" spans="1:14" x14ac:dyDescent="0.2">
      <c r="A354" s="8" t="s">
        <v>16</v>
      </c>
      <c r="B354" s="4"/>
      <c r="C354" s="4"/>
      <c r="D354" s="4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x14ac:dyDescent="0.2">
      <c r="A355" s="8" t="s">
        <v>374</v>
      </c>
      <c r="B355" s="4"/>
      <c r="C355" s="4" t="s">
        <v>375</v>
      </c>
      <c r="D355" s="4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x14ac:dyDescent="0.2">
      <c r="A356" s="8" t="s">
        <v>376</v>
      </c>
      <c r="B356" s="4"/>
      <c r="C356" s="4" t="s">
        <v>377</v>
      </c>
      <c r="D356" s="4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x14ac:dyDescent="0.2">
      <c r="A357" s="8" t="s">
        <v>232</v>
      </c>
      <c r="B357" s="4" t="s">
        <v>43</v>
      </c>
      <c r="C357" s="4" t="s">
        <v>202</v>
      </c>
      <c r="D357" s="4"/>
      <c r="E357" s="9" t="str">
        <f>_xll.BQL("ALK US Equity", "IS_COMP_NET_INCOME_ADJUST_OLD/1M", "FPT=A", "FPO=4A", "ACT_EST_MAPPING=PRECISE", "FS=MRC", "CURRENCY=USD", "XLFILL=b")</f>
        <v/>
      </c>
      <c r="F357" s="9">
        <f>_xll.BQL("ALK US Equity", "IS_COMP_NET_INCOME_ADJUST_OLD/1M", "FPT=A", "FPO=3A", "ACT_EST_MAPPING=PRECISE", "FS=MRC", "CURRENCY=USD", "XLFILL=b")</f>
        <v>855</v>
      </c>
      <c r="G357" s="9">
        <f>_xll.BQL("ALK US Equity", "IS_COMP_NET_INCOME_ADJUST_OLD/1M", "FPT=A", "FPO=2A", "ACT_EST_MAPPING=PRECISE", "FS=MRC", "CURRENCY=USD", "XLFILL=b")</f>
        <v>746.16666666666663</v>
      </c>
      <c r="H357" s="9">
        <f>_xll.BQL("ALK US Equity", "IS_COMP_NET_INCOME_ADJUST_OLD/1M", "FPT=A", "FPO=1A", "ACT_EST_MAPPING=PRECISE", "FS=MRC", "CURRENCY=USD", "XLFILL=b")</f>
        <v>585.66666666666663</v>
      </c>
      <c r="I357" s="9">
        <f>_xll.BQL("ALK US Equity", "IS_COMP_NET_INCOME_ADJUST_OLD/1M", "FPT=A", "FPO=0A", "ACT_EST_MAPPING=PRECISE", "FS=MRC", "CURRENCY=USD", "XLFILL=b")</f>
        <v>583</v>
      </c>
      <c r="J357" s="9">
        <f>_xll.BQL("ALK US Equity", "IS_COMP_NET_INCOME_ADJUST_OLD/1M", "FPT=A", "FPO=-1A", "ACT_EST_MAPPING=PRECISE", "FS=MRC", "CURRENCY=USD", "XLFILL=b")</f>
        <v>556</v>
      </c>
      <c r="K357" s="9">
        <f>_xll.BQL("ALK US Equity", "IS_COMP_NET_INCOME_ADJUST_OLD/1M", "FPT=A", "FPO=-2A", "ACT_EST_MAPPING=PRECISE", "FS=MRC", "CURRENCY=USD", "XLFILL=b")</f>
        <v>-256</v>
      </c>
      <c r="L357" s="9">
        <f>_xll.BQL("ALK US Equity", "IS_COMP_NET_INCOME_ADJUST_OLD/1M", "FPT=A", "FPO=-3A", "ACT_EST_MAPPING=PRECISE", "FS=MRC", "CURRENCY=USD", "XLFILL=b")</f>
        <v>-1256</v>
      </c>
      <c r="M357" s="9">
        <f>_xll.BQL("ALK US Equity", "IS_COMP_NET_INCOME_ADJUST_OLD/1M", "FPT=A", "FPO=-4A", "ACT_EST_MAPPING=PRECISE", "FS=MRC", "CURRENCY=USD", "XLFILL=b")</f>
        <v>798</v>
      </c>
      <c r="N357" s="9">
        <f>_xll.BQL("ALK US Equity", "IS_COMP_NET_INCOME_ADJUST_OLD/1M", "FPT=A", "FPO=-5A", "ACT_EST_MAPPING=PRECISE", "FS=MRC", "CURRENCY=USD", "XLFILL=b")</f>
        <v>554</v>
      </c>
    </row>
    <row r="358" spans="1:14" x14ac:dyDescent="0.2">
      <c r="A358" s="8" t="s">
        <v>64</v>
      </c>
      <c r="B358" s="4" t="s">
        <v>43</v>
      </c>
      <c r="C358" s="4" t="s">
        <v>202</v>
      </c>
      <c r="D358" s="4"/>
      <c r="E358" s="9" t="str">
        <f>_xll.BQL("ALK US Equity", "FA_GROWTH(IS_COMP_NET_INCOME_ADJUST_OLD, YOY)", "FPT=A", "FPO=4A", "ACT_EST_MAPPING=PRECISE", "FS=MRC", "CURRENCY=USD", "XLFILL=b")</f>
        <v/>
      </c>
      <c r="F358" s="9">
        <f>_xll.BQL("ALK US Equity", "FA_GROWTH(IS_COMP_NET_INCOME_ADJUST_OLD, YOY)", "FPT=A", "FPO=3A", "ACT_EST_MAPPING=PRECISE", "FS=MRC", "CURRENCY=USD", "XLFILL=b")</f>
        <v>14.585660040205502</v>
      </c>
      <c r="G358" s="9">
        <f>_xll.BQL("ALK US Equity", "FA_GROWTH(IS_COMP_NET_INCOME_ADJUST_OLD, YOY)", "FPT=A", "FPO=2A", "ACT_EST_MAPPING=PRECISE", "FS=MRC", "CURRENCY=USD", "XLFILL=b")</f>
        <v>27.404667046101309</v>
      </c>
      <c r="H358" s="9">
        <f>_xll.BQL("ALK US Equity", "FA_GROWTH(IS_COMP_NET_INCOME_ADJUST_OLD, YOY)", "FPT=A", "FPO=1A", "ACT_EST_MAPPING=PRECISE", "FS=MRC", "CURRENCY=USD", "XLFILL=b")</f>
        <v>0.45740423098912986</v>
      </c>
      <c r="I358" s="9">
        <f>_xll.BQL("ALK US Equity", "FA_GROWTH(IS_COMP_NET_INCOME_ADJUST_OLD, YOY)", "FPT=A", "FPO=0A", "ACT_EST_MAPPING=PRECISE", "FS=MRC", "CURRENCY=USD", "XLFILL=b")</f>
        <v>4.8561151079136691</v>
      </c>
      <c r="J358" s="9">
        <f>_xll.BQL("ALK US Equity", "FA_GROWTH(IS_COMP_NET_INCOME_ADJUST_OLD, YOY)", "FPT=A", "FPO=-1A", "ACT_EST_MAPPING=PRECISE", "FS=MRC", "CURRENCY=USD", "XLFILL=b")</f>
        <v>317.1875</v>
      </c>
      <c r="K358" s="9">
        <f>_xll.BQL("ALK US Equity", "FA_GROWTH(IS_COMP_NET_INCOME_ADJUST_OLD, YOY)", "FPT=A", "FPO=-2A", "ACT_EST_MAPPING=PRECISE", "FS=MRC", "CURRENCY=USD", "XLFILL=b")</f>
        <v>79.617834394904463</v>
      </c>
      <c r="L358" s="9">
        <f>_xll.BQL("ALK US Equity", "FA_GROWTH(IS_COMP_NET_INCOME_ADJUST_OLD, YOY)", "FPT=A", "FPO=-3A", "ACT_EST_MAPPING=PRECISE", "FS=MRC", "CURRENCY=USD", "XLFILL=b")</f>
        <v>-257.3934837092732</v>
      </c>
      <c r="M358" s="9">
        <f>_xll.BQL("ALK US Equity", "FA_GROWTH(IS_COMP_NET_INCOME_ADJUST_OLD, YOY)", "FPT=A", "FPO=-4A", "ACT_EST_MAPPING=PRECISE", "FS=MRC", "CURRENCY=USD", "XLFILL=b")</f>
        <v>44.04332129963899</v>
      </c>
      <c r="N358" s="9">
        <f>_xll.BQL("ALK US Equity", "FA_GROWTH(IS_COMP_NET_INCOME_ADJUST_OLD, YOY)", "FPT=A", "FPO=-5A", "ACT_EST_MAPPING=PRECISE", "FS=MRC", "CURRENCY=USD", "XLFILL=b")</f>
        <v>-32.685297691373023</v>
      </c>
    </row>
    <row r="359" spans="1:14" x14ac:dyDescent="0.2">
      <c r="A359" s="8" t="s">
        <v>155</v>
      </c>
      <c r="B359" s="4" t="s">
        <v>156</v>
      </c>
      <c r="C359" s="4" t="s">
        <v>157</v>
      </c>
      <c r="D359" s="4"/>
      <c r="E359" s="9" t="str">
        <f>_xll.BQL("ALK US Equity", "IS_D_AND_A_GAAP/1M", "FPT=A", "FPO=4A", "ACT_EST_MAPPING=PRECISE", "FS=MRC", "CURRENCY=USD", "XLFILL=b")</f>
        <v/>
      </c>
      <c r="F359" s="9">
        <f>_xll.BQL("ALK US Equity", "IS_D_AND_A_GAAP/1M", "FPT=A", "FPO=3A", "ACT_EST_MAPPING=PRECISE", "FS=MRC", "CURRENCY=USD", "XLFILL=b")</f>
        <v>621.77941386689326</v>
      </c>
      <c r="G359" s="9">
        <f>_xll.BQL("ALK US Equity", "IS_D_AND_A_GAAP/1M", "FPT=A", "FPO=2A", "ACT_EST_MAPPING=PRECISE", "FS=MRC", "CURRENCY=USD", "XLFILL=b")</f>
        <v>548.77064786999995</v>
      </c>
      <c r="H359" s="9">
        <f>_xll.BQL("ALK US Equity", "IS_D_AND_A_GAAP/1M", "FPT=A", "FPO=1A", "ACT_EST_MAPPING=PRECISE", "FS=MRC", "CURRENCY=USD", "XLFILL=b")</f>
        <v>516.89871970000002</v>
      </c>
      <c r="I359" s="9">
        <f>_xll.BQL("ALK US Equity", "IS_D_AND_A_GAAP/1M", "FPT=A", "FPO=0A", "ACT_EST_MAPPING=PRECISE", "FS=MRC", "CURRENCY=USD", "XLFILL=b")</f>
        <v>451</v>
      </c>
      <c r="J359" s="9">
        <f>_xll.BQL("ALK US Equity", "IS_D_AND_A_GAAP/1M", "FPT=A", "FPO=-1A", "ACT_EST_MAPPING=PRECISE", "FS=MRC", "CURRENCY=USD", "XLFILL=b")</f>
        <v>415</v>
      </c>
      <c r="K359" s="9">
        <f>_xll.BQL("ALK US Equity", "IS_D_AND_A_GAAP/1M", "FPT=A", "FPO=-2A", "ACT_EST_MAPPING=PRECISE", "FS=MRC", "CURRENCY=USD", "XLFILL=b")</f>
        <v>394</v>
      </c>
      <c r="L359" s="9">
        <f>_xll.BQL("ALK US Equity", "IS_D_AND_A_GAAP/1M", "FPT=A", "FPO=-3A", "ACT_EST_MAPPING=PRECISE", "FS=MRC", "CURRENCY=USD", "XLFILL=b")</f>
        <v>420</v>
      </c>
      <c r="M359" s="9">
        <f>_xll.BQL("ALK US Equity", "IS_D_AND_A_GAAP/1M", "FPT=A", "FPO=-4A", "ACT_EST_MAPPING=PRECISE", "FS=MRC", "CURRENCY=USD", "XLFILL=b")</f>
        <v>423</v>
      </c>
      <c r="N359" s="9">
        <f>_xll.BQL("ALK US Equity", "IS_D_AND_A_GAAP/1M", "FPT=A", "FPO=-5A", "ACT_EST_MAPPING=PRECISE", "FS=MRC", "CURRENCY=USD", "XLFILL=b")</f>
        <v>398</v>
      </c>
    </row>
    <row r="360" spans="1:14" x14ac:dyDescent="0.2">
      <c r="A360" s="8" t="s">
        <v>64</v>
      </c>
      <c r="B360" s="4" t="s">
        <v>156</v>
      </c>
      <c r="C360" s="4" t="s">
        <v>157</v>
      </c>
      <c r="D360" s="4"/>
      <c r="E360" s="9" t="str">
        <f>_xll.BQL("ALK US Equity", "FA_GROWTH(IS_D_AND_A_GAAP, YOY)", "FPT=A", "FPO=4A", "ACT_EST_MAPPING=PRECISE", "FS=MRC", "CURRENCY=USD", "XLFILL=b")</f>
        <v/>
      </c>
      <c r="F360" s="9">
        <f>_xll.BQL("ALK US Equity", "FA_GROWTH(IS_D_AND_A_GAAP, YOY)", "FPT=A", "FPO=3A", "ACT_EST_MAPPING=PRECISE", "FS=MRC", "CURRENCY=USD", "XLFILL=b")</f>
        <v>13.304058130709018</v>
      </c>
      <c r="G360" s="9">
        <f>_xll.BQL("ALK US Equity", "FA_GROWTH(IS_D_AND_A_GAAP, YOY)", "FPT=A", "FPO=2A", "ACT_EST_MAPPING=PRECISE", "FS=MRC", "CURRENCY=USD", "XLFILL=b")</f>
        <v>6.1659909292284558</v>
      </c>
      <c r="H360" s="9">
        <f>_xll.BQL("ALK US Equity", "FA_GROWTH(IS_D_AND_A_GAAP, YOY)", "FPT=A", "FPO=1A", "ACT_EST_MAPPING=PRECISE", "FS=MRC", "CURRENCY=USD", "XLFILL=b")</f>
        <v>14.61168951219512</v>
      </c>
      <c r="I360" s="9">
        <f>_xll.BQL("ALK US Equity", "FA_GROWTH(IS_D_AND_A_GAAP, YOY)", "FPT=A", "FPO=0A", "ACT_EST_MAPPING=PRECISE", "FS=MRC", "CURRENCY=USD", "XLFILL=b")</f>
        <v>8.6746987951807224</v>
      </c>
      <c r="J360" s="9">
        <f>_xll.BQL("ALK US Equity", "FA_GROWTH(IS_D_AND_A_GAAP, YOY)", "FPT=A", "FPO=-1A", "ACT_EST_MAPPING=PRECISE", "FS=MRC", "CURRENCY=USD", "XLFILL=b")</f>
        <v>5.3299492385786804</v>
      </c>
      <c r="K360" s="9">
        <f>_xll.BQL("ALK US Equity", "FA_GROWTH(IS_D_AND_A_GAAP, YOY)", "FPT=A", "FPO=-2A", "ACT_EST_MAPPING=PRECISE", "FS=MRC", "CURRENCY=USD", "XLFILL=b")</f>
        <v>-6.1904761904761907</v>
      </c>
      <c r="L360" s="9">
        <f>_xll.BQL("ALK US Equity", "FA_GROWTH(IS_D_AND_A_GAAP, YOY)", "FPT=A", "FPO=-3A", "ACT_EST_MAPPING=PRECISE", "FS=MRC", "CURRENCY=USD", "XLFILL=b")</f>
        <v>-0.70921985815602839</v>
      </c>
      <c r="M360" s="9">
        <f>_xll.BQL("ALK US Equity", "FA_GROWTH(IS_D_AND_A_GAAP, YOY)", "FPT=A", "FPO=-4A", "ACT_EST_MAPPING=PRECISE", "FS=MRC", "CURRENCY=USD", "XLFILL=b")</f>
        <v>6.2814070351758797</v>
      </c>
      <c r="N360" s="9">
        <f>_xll.BQL("ALK US Equity", "FA_GROWTH(IS_D_AND_A_GAAP, YOY)", "FPT=A", "FPO=-5A", "ACT_EST_MAPPING=PRECISE", "FS=MRC", "CURRENCY=USD", "XLFILL=b")</f>
        <v>6.989247311827957</v>
      </c>
    </row>
    <row r="361" spans="1:14" x14ac:dyDescent="0.2">
      <c r="A361" s="8" t="s">
        <v>238</v>
      </c>
      <c r="B361" s="4" t="s">
        <v>239</v>
      </c>
      <c r="C361" s="4"/>
      <c r="D361" s="4"/>
      <c r="E361" s="9" t="str">
        <f>_xll.BQL("ALK US Equity", "CF_STOCK_BASED_COMPENSATION/1M", "FPT=A", "FPO=4A", "ACT_EST_MAPPING=PRECISE", "FS=MRC", "CURRENCY=USD", "XLFILL=b")</f>
        <v/>
      </c>
      <c r="F361" s="9">
        <f>_xll.BQL("ALK US Equity", "CF_STOCK_BASED_COMPENSATION/1M", "FPT=A", "FPO=3A", "ACT_EST_MAPPING=PRECISE", "FS=MRC", "CURRENCY=USD", "XLFILL=b")</f>
        <v>78.492769754779545</v>
      </c>
      <c r="G361" s="9">
        <f>_xll.BQL("ALK US Equity", "CF_STOCK_BASED_COMPENSATION/1M", "FPT=A", "FPO=2A", "ACT_EST_MAPPING=PRECISE", "FS=MRC", "CURRENCY=USD", "XLFILL=b")</f>
        <v>60.778606759626904</v>
      </c>
      <c r="H361" s="9">
        <f>_xll.BQL("ALK US Equity", "CF_STOCK_BASED_COMPENSATION/1M", "FPT=A", "FPO=1A", "ACT_EST_MAPPING=PRECISE", "FS=MRC", "CURRENCY=USD", "XLFILL=b")</f>
        <v>66.92407924501623</v>
      </c>
      <c r="I361" s="9">
        <f>_xll.BQL("ALK US Equity", "CF_STOCK_BASED_COMPENSATION/1M", "FPT=A", "FPO=0A", "ACT_EST_MAPPING=PRECISE", "FS=MRC", "CURRENCY=USD", "XLFILL=b")</f>
        <v>85</v>
      </c>
      <c r="J361" s="9">
        <f>_xll.BQL("ALK US Equity", "CF_STOCK_BASED_COMPENSATION/1M", "FPT=A", "FPO=-1A", "ACT_EST_MAPPING=PRECISE", "FS=MRC", "CURRENCY=USD", "XLFILL=b")</f>
        <v>42</v>
      </c>
      <c r="K361" s="9">
        <f>_xll.BQL("ALK US Equity", "CF_STOCK_BASED_COMPENSATION/1M", "FPT=A", "FPO=-2A", "ACT_EST_MAPPING=PRECISE", "FS=MRC", "CURRENCY=USD", "XLFILL=b")</f>
        <v>51</v>
      </c>
      <c r="L361" s="9">
        <f>_xll.BQL("ALK US Equity", "CF_STOCK_BASED_COMPENSATION/1M", "FPT=A", "FPO=-3A", "ACT_EST_MAPPING=PRECISE", "FS=MRC", "CURRENCY=USD", "XLFILL=b")</f>
        <v>24</v>
      </c>
      <c r="M361" s="9">
        <f>_xll.BQL("ALK US Equity", "CF_STOCK_BASED_COMPENSATION/1M", "FPT=A", "FPO=-4A", "ACT_EST_MAPPING=PRECISE", "FS=MRC", "CURRENCY=USD", "XLFILL=b")</f>
        <v>29</v>
      </c>
      <c r="N361" s="9">
        <f>_xll.BQL("ALK US Equity", "CF_STOCK_BASED_COMPENSATION/1M", "FPT=A", "FPO=-5A", "ACT_EST_MAPPING=PRECISE", "FS=MRC", "CURRENCY=USD", "XLFILL=b")</f>
        <v>47</v>
      </c>
    </row>
    <row r="362" spans="1:14" x14ac:dyDescent="0.2">
      <c r="A362" s="8" t="s">
        <v>64</v>
      </c>
      <c r="B362" s="4" t="s">
        <v>239</v>
      </c>
      <c r="C362" s="4"/>
      <c r="D362" s="4"/>
      <c r="E362" s="9" t="str">
        <f>_xll.BQL("ALK US Equity", "FA_GROWTH(CF_STOCK_BASED_COMPENSATION, YOY)", "FPT=A", "FPO=4A", "ACT_EST_MAPPING=PRECISE", "FS=MRC", "CURRENCY=USD", "XLFILL=b")</f>
        <v/>
      </c>
      <c r="F362" s="9">
        <f>_xll.BQL("ALK US Equity", "FA_GROWTH(CF_STOCK_BASED_COMPENSATION, YOY)", "FPT=A", "FPO=3A", "ACT_EST_MAPPING=PRECISE", "FS=MRC", "CURRENCY=USD", "XLFILL=b")</f>
        <v>29.145391675742626</v>
      </c>
      <c r="G362" s="9">
        <f>_xll.BQL("ALK US Equity", "FA_GROWTH(CF_STOCK_BASED_COMPENSATION, YOY)", "FPT=A", "FPO=2A", "ACT_EST_MAPPING=PRECISE", "FS=MRC", "CURRENCY=USD", "XLFILL=b")</f>
        <v>-9.1827523885537357</v>
      </c>
      <c r="H362" s="9">
        <f>_xll.BQL("ALK US Equity", "FA_GROWTH(CF_STOCK_BASED_COMPENSATION, YOY)", "FPT=A", "FPO=1A", "ACT_EST_MAPPING=PRECISE", "FS=MRC", "CURRENCY=USD", "XLFILL=b")</f>
        <v>-21.265789123510324</v>
      </c>
      <c r="I362" s="9">
        <f>_xll.BQL("ALK US Equity", "FA_GROWTH(CF_STOCK_BASED_COMPENSATION, YOY)", "FPT=A", "FPO=0A", "ACT_EST_MAPPING=PRECISE", "FS=MRC", "CURRENCY=USD", "XLFILL=b")</f>
        <v>102.38095238095238</v>
      </c>
      <c r="J362" s="9">
        <f>_xll.BQL("ALK US Equity", "FA_GROWTH(CF_STOCK_BASED_COMPENSATION, YOY)", "FPT=A", "FPO=-1A", "ACT_EST_MAPPING=PRECISE", "FS=MRC", "CURRENCY=USD", "XLFILL=b")</f>
        <v>-17.647058823529413</v>
      </c>
      <c r="K362" s="9">
        <f>_xll.BQL("ALK US Equity", "FA_GROWTH(CF_STOCK_BASED_COMPENSATION, YOY)", "FPT=A", "FPO=-2A", "ACT_EST_MAPPING=PRECISE", "FS=MRC", "CURRENCY=USD", "XLFILL=b")</f>
        <v>112.5</v>
      </c>
      <c r="L362" s="9">
        <f>_xll.BQL("ALK US Equity", "FA_GROWTH(CF_STOCK_BASED_COMPENSATION, YOY)", "FPT=A", "FPO=-3A", "ACT_EST_MAPPING=PRECISE", "FS=MRC", "CURRENCY=USD", "XLFILL=b")</f>
        <v>-17.241379310344829</v>
      </c>
      <c r="M362" s="9">
        <f>_xll.BQL("ALK US Equity", "FA_GROWTH(CF_STOCK_BASED_COMPENSATION, YOY)", "FPT=A", "FPO=-4A", "ACT_EST_MAPPING=PRECISE", "FS=MRC", "CURRENCY=USD", "XLFILL=b")</f>
        <v>-38.297872340425535</v>
      </c>
      <c r="N362" s="9">
        <f>_xll.BQL("ALK US Equity", "FA_GROWTH(CF_STOCK_BASED_COMPENSATION, YOY)", "FPT=A", "FPO=-5A", "ACT_EST_MAPPING=PRECISE", "FS=MRC", "CURRENCY=USD", "XLFILL=b")</f>
        <v>-14.545454545454545</v>
      </c>
    </row>
    <row r="363" spans="1:14" x14ac:dyDescent="0.2">
      <c r="A363" s="8" t="s">
        <v>378</v>
      </c>
      <c r="B363" s="4" t="s">
        <v>379</v>
      </c>
      <c r="C363" s="4"/>
      <c r="D363" s="4"/>
      <c r="E363" s="9" t="str">
        <f>_xll.BQL("ALK US Equity", "CF_DEF_INC_TAX/1M", "FPT=A", "FPO=4A", "ACT_EST_MAPPING=PRECISE", "FS=MRC", "CURRENCY=USD", "XLFILL=b")</f>
        <v/>
      </c>
      <c r="F363" s="9">
        <f>_xll.BQL("ALK US Equity", "CF_DEF_INC_TAX/1M", "FPT=A", "FPO=3A", "ACT_EST_MAPPING=PRECISE", "FS=MRC", "CURRENCY=USD", "XLFILL=b")</f>
        <v>100.82377847281808</v>
      </c>
      <c r="G363" s="9">
        <f>_xll.BQL("ALK US Equity", "CF_DEF_INC_TAX/1M", "FPT=A", "FPO=2A", "ACT_EST_MAPPING=PRECISE", "FS=MRC", "CURRENCY=USD", "XLFILL=b")</f>
        <v>139.78149844557973</v>
      </c>
      <c r="H363" s="9">
        <f>_xll.BQL("ALK US Equity", "CF_DEF_INC_TAX/1M", "FPT=A", "FPO=1A", "ACT_EST_MAPPING=PRECISE", "FS=MRC", "CURRENCY=USD", "XLFILL=b")</f>
        <v>121.25707900369297</v>
      </c>
      <c r="I363" s="9">
        <f>_xll.BQL("ALK US Equity", "CF_DEF_INC_TAX/1M", "FPT=A", "FPO=0A", "ACT_EST_MAPPING=PRECISE", "FS=MRC", "CURRENCY=USD", "XLFILL=b")</f>
        <v>81</v>
      </c>
      <c r="J363" s="9">
        <f>_xll.BQL("ALK US Equity", "CF_DEF_INC_TAX/1M", "FPT=A", "FPO=-1A", "ACT_EST_MAPPING=PRECISE", "FS=MRC", "CURRENCY=USD", "XLFILL=b")</f>
        <v>22</v>
      </c>
      <c r="K363" s="9">
        <f>_xll.BQL("ALK US Equity", "CF_DEF_INC_TAX/1M", "FPT=A", "FPO=-2A", "ACT_EST_MAPPING=PRECISE", "FS=MRC", "CURRENCY=USD", "XLFILL=b")</f>
        <v>104</v>
      </c>
      <c r="L363" s="9">
        <f>_xll.BQL("ALK US Equity", "CF_DEF_INC_TAX/1M", "FPT=A", "FPO=-3A", "ACT_EST_MAPPING=PRECISE", "FS=MRC", "CURRENCY=USD", "XLFILL=b")</f>
        <v>-300</v>
      </c>
      <c r="M363" s="9">
        <f>_xll.BQL("ALK US Equity", "CF_DEF_INC_TAX/1M", "FPT=A", "FPO=-4A", "ACT_EST_MAPPING=PRECISE", "FS=MRC", "CURRENCY=USD", "XLFILL=b")</f>
        <v>209</v>
      </c>
      <c r="N363" s="9">
        <f>_xll.BQL("ALK US Equity", "CF_DEF_INC_TAX/1M", "FPT=A", "FPO=-5A", "ACT_EST_MAPPING=PRECISE", "FS=MRC", "CURRENCY=USD", "XLFILL=b")</f>
        <v>146</v>
      </c>
    </row>
    <row r="364" spans="1:14" x14ac:dyDescent="0.2">
      <c r="A364" s="8" t="s">
        <v>64</v>
      </c>
      <c r="B364" s="4" t="s">
        <v>379</v>
      </c>
      <c r="C364" s="4"/>
      <c r="D364" s="4"/>
      <c r="E364" s="9" t="str">
        <f>_xll.BQL("ALK US Equity", "FA_GROWTH(CF_DEF_INC_TAX, YOY)", "FPT=A", "FPO=4A", "ACT_EST_MAPPING=PRECISE", "FS=MRC", "CURRENCY=USD", "XLFILL=b")</f>
        <v/>
      </c>
      <c r="F364" s="9">
        <f>_xll.BQL("ALK US Equity", "FA_GROWTH(CF_DEF_INC_TAX, YOY)", "FPT=A", "FPO=3A", "ACT_EST_MAPPING=PRECISE", "FS=MRC", "CURRENCY=USD", "XLFILL=b")</f>
        <v>-27.870440942460512</v>
      </c>
      <c r="G364" s="9">
        <f>_xll.BQL("ALK US Equity", "FA_GROWTH(CF_DEF_INC_TAX, YOY)", "FPT=A", "FPO=2A", "ACT_EST_MAPPING=PRECISE", "FS=MRC", "CURRENCY=USD", "XLFILL=b")</f>
        <v>15.276979780555818</v>
      </c>
      <c r="H364" s="9">
        <f>_xll.BQL("ALK US Equity", "FA_GROWTH(CF_DEF_INC_TAX, YOY)", "FPT=A", "FPO=1A", "ACT_EST_MAPPING=PRECISE", "FS=MRC", "CURRENCY=USD", "XLFILL=b")</f>
        <v>49.700097535423417</v>
      </c>
      <c r="I364" s="9">
        <f>_xll.BQL("ALK US Equity", "FA_GROWTH(CF_DEF_INC_TAX, YOY)", "FPT=A", "FPO=0A", "ACT_EST_MAPPING=PRECISE", "FS=MRC", "CURRENCY=USD", "XLFILL=b")</f>
        <v>268.18181818181819</v>
      </c>
      <c r="J364" s="9">
        <f>_xll.BQL("ALK US Equity", "FA_GROWTH(CF_DEF_INC_TAX, YOY)", "FPT=A", "FPO=-1A", "ACT_EST_MAPPING=PRECISE", "FS=MRC", "CURRENCY=USD", "XLFILL=b")</f>
        <v>-78.84615384615384</v>
      </c>
      <c r="K364" s="9">
        <f>_xll.BQL("ALK US Equity", "FA_GROWTH(CF_DEF_INC_TAX, YOY)", "FPT=A", "FPO=-2A", "ACT_EST_MAPPING=PRECISE", "FS=MRC", "CURRENCY=USD", "XLFILL=b")</f>
        <v>134.66666666666666</v>
      </c>
      <c r="L364" s="9">
        <f>_xll.BQL("ALK US Equity", "FA_GROWTH(CF_DEF_INC_TAX, YOY)", "FPT=A", "FPO=-3A", "ACT_EST_MAPPING=PRECISE", "FS=MRC", "CURRENCY=USD", "XLFILL=b")</f>
        <v>-243.54066985645932</v>
      </c>
      <c r="M364" s="9">
        <f>_xll.BQL("ALK US Equity", "FA_GROWTH(CF_DEF_INC_TAX, YOY)", "FPT=A", "FPO=-4A", "ACT_EST_MAPPING=PRECISE", "FS=MRC", "CURRENCY=USD", "XLFILL=b")</f>
        <v>43.150684931506852</v>
      </c>
      <c r="N364" s="9">
        <f>_xll.BQL("ALK US Equity", "FA_GROWTH(CF_DEF_INC_TAX, YOY)", "FPT=A", "FPO=-5A", "ACT_EST_MAPPING=PRECISE", "FS=MRC", "CURRENCY=USD", "XLFILL=b")</f>
        <v>224.44444444444446</v>
      </c>
    </row>
    <row r="365" spans="1:14" x14ac:dyDescent="0.2">
      <c r="A365" s="8" t="s">
        <v>380</v>
      </c>
      <c r="B365" s="4"/>
      <c r="C365" s="4"/>
      <c r="D365" s="4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x14ac:dyDescent="0.2">
      <c r="A366" s="8" t="s">
        <v>381</v>
      </c>
      <c r="B366" s="4" t="s">
        <v>382</v>
      </c>
      <c r="C366" s="4"/>
      <c r="D366" s="4"/>
      <c r="E366" s="9" t="str">
        <f>_xll.BQL("ALK US Equity", "CF_ACCT_RCV_UNBILLED_REV/1M", "FPT=A", "FPO=4A", "ACT_EST_MAPPING=PRECISE", "FS=MRC", "CURRENCY=USD", "XLFILL=b")</f>
        <v/>
      </c>
      <c r="F366" s="9" t="str">
        <f>_xll.BQL("ALK US Equity", "CF_ACCT_RCV_UNBILLED_REV/1M", "FPT=A", "FPO=3A", "ACT_EST_MAPPING=PRECISE", "FS=MRC", "CURRENCY=USD", "XLFILL=b")</f>
        <v/>
      </c>
      <c r="G366" s="9" t="str">
        <f>_xll.BQL("ALK US Equity", "CF_ACCT_RCV_UNBILLED_REV/1M", "FPT=A", "FPO=2A", "ACT_EST_MAPPING=PRECISE", "FS=MRC", "CURRENCY=USD", "XLFILL=b")</f>
        <v/>
      </c>
      <c r="H366" s="9">
        <f>_xll.BQL("ALK US Equity", "CF_ACCT_RCV_UNBILLED_REV/1M", "FPT=A", "FPO=1A", "ACT_EST_MAPPING=PRECISE", "FS=MRC", "CURRENCY=USD", "XLFILL=b")</f>
        <v>-55</v>
      </c>
      <c r="I366" s="9">
        <f>_xll.BQL("ALK US Equity", "CF_ACCT_RCV_UNBILLED_REV/1M", "FPT=A", "FPO=0A", "ACT_EST_MAPPING=PRECISE", "FS=MRC", "CURRENCY=USD", "XLFILL=b")</f>
        <v>-19</v>
      </c>
      <c r="J366" s="9">
        <f>_xll.BQL("ALK US Equity", "CF_ACCT_RCV_UNBILLED_REV/1M", "FPT=A", "FPO=-1A", "ACT_EST_MAPPING=PRECISE", "FS=MRC", "CURRENCY=USD", "XLFILL=b")</f>
        <v>-45</v>
      </c>
      <c r="K366" s="9">
        <f>_xll.BQL("ALK US Equity", "CF_ACCT_RCV_UNBILLED_REV/1M", "FPT=A", "FPO=-2A", "ACT_EST_MAPPING=PRECISE", "FS=MRC", "CURRENCY=USD", "XLFILL=b")</f>
        <v>-66</v>
      </c>
      <c r="L366" s="9">
        <f>_xll.BQL("ALK US Equity", "CF_ACCT_RCV_UNBILLED_REV/1M", "FPT=A", "FPO=-3A", "ACT_EST_MAPPING=PRECISE", "FS=MRC", "CURRENCY=USD", "XLFILL=b")</f>
        <v>-160</v>
      </c>
      <c r="M366" s="9">
        <f>_xll.BQL("ALK US Equity", "CF_ACCT_RCV_UNBILLED_REV/1M", "FPT=A", "FPO=-4A", "ACT_EST_MAPPING=PRECISE", "FS=MRC", "CURRENCY=USD", "XLFILL=b")</f>
        <v>43</v>
      </c>
      <c r="N366" s="9">
        <f>_xll.BQL("ALK US Equity", "CF_ACCT_RCV_UNBILLED_REV/1M", "FPT=A", "FPO=-5A", "ACT_EST_MAPPING=PRECISE", "FS=MRC", "CURRENCY=USD", "XLFILL=b")</f>
        <v>-25</v>
      </c>
    </row>
    <row r="367" spans="1:14" x14ac:dyDescent="0.2">
      <c r="A367" s="8" t="s">
        <v>67</v>
      </c>
      <c r="B367" s="4" t="s">
        <v>382</v>
      </c>
      <c r="C367" s="4"/>
      <c r="D367" s="4"/>
      <c r="E367" s="9" t="str">
        <f>_xll.BQL("ALK US Equity", "FA_GROWTH(CF_ACCT_RCV_UNBILLED_REV, YOY)", "FPT=A", "FPO=4A", "ACT_EST_MAPPING=PRECISE", "FS=MRC", "CURRENCY=USD", "XLFILL=b")</f>
        <v/>
      </c>
      <c r="F367" s="9" t="str">
        <f>_xll.BQL("ALK US Equity", "FA_GROWTH(CF_ACCT_RCV_UNBILLED_REV, YOY)", "FPT=A", "FPO=3A", "ACT_EST_MAPPING=PRECISE", "FS=MRC", "CURRENCY=USD", "XLFILL=b")</f>
        <v/>
      </c>
      <c r="G367" s="9" t="str">
        <f>_xll.BQL("ALK US Equity", "FA_GROWTH(CF_ACCT_RCV_UNBILLED_REV, YOY)", "FPT=A", "FPO=2A", "ACT_EST_MAPPING=PRECISE", "FS=MRC", "CURRENCY=USD", "XLFILL=b")</f>
        <v/>
      </c>
      <c r="H367" s="9">
        <f>_xll.BQL("ALK US Equity", "FA_GROWTH(CF_ACCT_RCV_UNBILLED_REV, YOY)", "FPT=A", "FPO=1A", "ACT_EST_MAPPING=PRECISE", "FS=MRC", "CURRENCY=USD", "XLFILL=b")</f>
        <v>-189.47368421052633</v>
      </c>
      <c r="I367" s="9">
        <f>_xll.BQL("ALK US Equity", "FA_GROWTH(CF_ACCT_RCV_UNBILLED_REV, YOY)", "FPT=A", "FPO=0A", "ACT_EST_MAPPING=PRECISE", "FS=MRC", "CURRENCY=USD", "XLFILL=b")</f>
        <v>57.777777777777779</v>
      </c>
      <c r="J367" s="9">
        <f>_xll.BQL("ALK US Equity", "FA_GROWTH(CF_ACCT_RCV_UNBILLED_REV, YOY)", "FPT=A", "FPO=-1A", "ACT_EST_MAPPING=PRECISE", "FS=MRC", "CURRENCY=USD", "XLFILL=b")</f>
        <v>31.818181818181817</v>
      </c>
      <c r="K367" s="9">
        <f>_xll.BQL("ALK US Equity", "FA_GROWTH(CF_ACCT_RCV_UNBILLED_REV, YOY)", "FPT=A", "FPO=-2A", "ACT_EST_MAPPING=PRECISE", "FS=MRC", "CURRENCY=USD", "XLFILL=b")</f>
        <v>58.75</v>
      </c>
      <c r="L367" s="9">
        <f>_xll.BQL("ALK US Equity", "FA_GROWTH(CF_ACCT_RCV_UNBILLED_REV, YOY)", "FPT=A", "FPO=-3A", "ACT_EST_MAPPING=PRECISE", "FS=MRC", "CURRENCY=USD", "XLFILL=b")</f>
        <v>-472.09302325581393</v>
      </c>
      <c r="M367" s="9">
        <f>_xll.BQL("ALK US Equity", "FA_GROWTH(CF_ACCT_RCV_UNBILLED_REV, YOY)", "FPT=A", "FPO=-4A", "ACT_EST_MAPPING=PRECISE", "FS=MRC", "CURRENCY=USD", "XLFILL=b")</f>
        <v>272</v>
      </c>
      <c r="N367" s="9">
        <f>_xll.BQL("ALK US Equity", "FA_GROWTH(CF_ACCT_RCV_UNBILLED_REV, YOY)", "FPT=A", "FPO=-5A", "ACT_EST_MAPPING=PRECISE", "FS=MRC", "CURRENCY=USD", "XLFILL=b")</f>
        <v>35.897435897435898</v>
      </c>
    </row>
    <row r="368" spans="1:14" x14ac:dyDescent="0.2">
      <c r="A368" s="8" t="s">
        <v>322</v>
      </c>
      <c r="B368" s="4" t="s">
        <v>383</v>
      </c>
      <c r="C368" s="4"/>
      <c r="D368" s="4"/>
      <c r="E368" s="9" t="str">
        <f>_xll.BQL("ALK US Equity", "CF_CHG_IN_DEFER_UNEARND_REV_ST/1M", "FPT=A", "FPO=4A", "ACT_EST_MAPPING=PRECISE", "FS=MRC", "CURRENCY=USD", "XLFILL=b")</f>
        <v/>
      </c>
      <c r="F368" s="9" t="str">
        <f>_xll.BQL("ALK US Equity", "CF_CHG_IN_DEFER_UNEARND_REV_ST/1M", "FPT=A", "FPO=3A", "ACT_EST_MAPPING=PRECISE", "FS=MRC", "CURRENCY=USD", "XLFILL=b")</f>
        <v/>
      </c>
      <c r="G368" s="9">
        <f>_xll.BQL("ALK US Equity", "CF_CHG_IN_DEFER_UNEARND_REV_ST/1M", "FPT=A", "FPO=2A", "ACT_EST_MAPPING=PRECISE", "FS=MRC", "CURRENCY=USD", "XLFILL=b")</f>
        <v>315.49492843977578</v>
      </c>
      <c r="H368" s="9">
        <f>_xll.BQL("ALK US Equity", "CF_CHG_IN_DEFER_UNEARND_REV_ST/1M", "FPT=A", "FPO=1A", "ACT_EST_MAPPING=PRECISE", "FS=MRC", "CURRENCY=USD", "XLFILL=b")</f>
        <v>281.34175116237293</v>
      </c>
      <c r="I368" s="9">
        <f>_xll.BQL("ALK US Equity", "CF_CHG_IN_DEFER_UNEARND_REV_ST/1M", "FPT=A", "FPO=0A", "ACT_EST_MAPPING=PRECISE", "FS=MRC", "CURRENCY=USD", "XLFILL=b")</f>
        <v>106</v>
      </c>
      <c r="J368" s="9">
        <f>_xll.BQL("ALK US Equity", "CF_CHG_IN_DEFER_UNEARND_REV_ST/1M", "FPT=A", "FPO=-1A", "ACT_EST_MAPPING=PRECISE", "FS=MRC", "CURRENCY=USD", "XLFILL=b")</f>
        <v>139</v>
      </c>
      <c r="K368" s="9">
        <f>_xll.BQL("ALK US Equity", "CF_CHG_IN_DEFER_UNEARND_REV_ST/1M", "FPT=A", "FPO=-2A", "ACT_EST_MAPPING=PRECISE", "FS=MRC", "CURRENCY=USD", "XLFILL=b")</f>
        <v>81</v>
      </c>
      <c r="L368" s="9">
        <f>_xll.BQL("ALK US Equity", "CF_CHG_IN_DEFER_UNEARND_REV_ST/1M", "FPT=A", "FPO=-3A", "ACT_EST_MAPPING=PRECISE", "FS=MRC", "CURRENCY=USD", "XLFILL=b")</f>
        <v>288</v>
      </c>
      <c r="M368" s="9">
        <f>_xll.BQL("ALK US Equity", "CF_CHG_IN_DEFER_UNEARND_REV_ST/1M", "FPT=A", "FPO=-4A", "ACT_EST_MAPPING=PRECISE", "FS=MRC", "CURRENCY=USD", "XLFILL=b")</f>
        <v>116</v>
      </c>
      <c r="N368" s="9">
        <f>_xll.BQL("ALK US Equity", "CF_CHG_IN_DEFER_UNEARND_REV_ST/1M", "FPT=A", "FPO=-5A", "ACT_EST_MAPPING=PRECISE", "FS=MRC", "CURRENCY=USD", "XLFILL=b")</f>
        <v>149</v>
      </c>
    </row>
    <row r="369" spans="1:14" x14ac:dyDescent="0.2">
      <c r="A369" s="8" t="s">
        <v>67</v>
      </c>
      <c r="B369" s="4" t="s">
        <v>383</v>
      </c>
      <c r="C369" s="4"/>
      <c r="D369" s="4"/>
      <c r="E369" s="9" t="str">
        <f>_xll.BQL("ALK US Equity", "FA_GROWTH(CF_CHG_IN_DEFER_UNEARND_REV_ST, YOY)", "FPT=A", "FPO=4A", "ACT_EST_MAPPING=PRECISE", "FS=MRC", "CURRENCY=USD", "XLFILL=b")</f>
        <v/>
      </c>
      <c r="F369" s="9" t="str">
        <f>_xll.BQL("ALK US Equity", "FA_GROWTH(CF_CHG_IN_DEFER_UNEARND_REV_ST, YOY)", "FPT=A", "FPO=3A", "ACT_EST_MAPPING=PRECISE", "FS=MRC", "CURRENCY=USD", "XLFILL=b")</f>
        <v/>
      </c>
      <c r="G369" s="9">
        <f>_xll.BQL("ALK US Equity", "FA_GROWTH(CF_CHG_IN_DEFER_UNEARND_REV_ST, YOY)", "FPT=A", "FPO=2A", "ACT_EST_MAPPING=PRECISE", "FS=MRC", "CURRENCY=USD", "XLFILL=b")</f>
        <v>12.139391731336644</v>
      </c>
      <c r="H369" s="9">
        <f>_xll.BQL("ALK US Equity", "FA_GROWTH(CF_CHG_IN_DEFER_UNEARND_REV_ST, YOY)", "FPT=A", "FPO=1A", "ACT_EST_MAPPING=PRECISE", "FS=MRC", "CURRENCY=USD", "XLFILL=b")</f>
        <v>165.4167463795971</v>
      </c>
      <c r="I369" s="9">
        <f>_xll.BQL("ALK US Equity", "FA_GROWTH(CF_CHG_IN_DEFER_UNEARND_REV_ST, YOY)", "FPT=A", "FPO=0A", "ACT_EST_MAPPING=PRECISE", "FS=MRC", "CURRENCY=USD", "XLFILL=b")</f>
        <v>-23.741007194244606</v>
      </c>
      <c r="J369" s="9">
        <f>_xll.BQL("ALK US Equity", "FA_GROWTH(CF_CHG_IN_DEFER_UNEARND_REV_ST, YOY)", "FPT=A", "FPO=-1A", "ACT_EST_MAPPING=PRECISE", "FS=MRC", "CURRENCY=USD", "XLFILL=b")</f>
        <v>71.604938271604937</v>
      </c>
      <c r="K369" s="9">
        <f>_xll.BQL("ALK US Equity", "FA_GROWTH(CF_CHG_IN_DEFER_UNEARND_REV_ST, YOY)", "FPT=A", "FPO=-2A", "ACT_EST_MAPPING=PRECISE", "FS=MRC", "CURRENCY=USD", "XLFILL=b")</f>
        <v>-71.875</v>
      </c>
      <c r="L369" s="9">
        <f>_xll.BQL("ALK US Equity", "FA_GROWTH(CF_CHG_IN_DEFER_UNEARND_REV_ST, YOY)", "FPT=A", "FPO=-3A", "ACT_EST_MAPPING=PRECISE", "FS=MRC", "CURRENCY=USD", "XLFILL=b")</f>
        <v>148.27586206896552</v>
      </c>
      <c r="M369" s="9">
        <f>_xll.BQL("ALK US Equity", "FA_GROWTH(CF_CHG_IN_DEFER_UNEARND_REV_ST, YOY)", "FPT=A", "FPO=-4A", "ACT_EST_MAPPING=PRECISE", "FS=MRC", "CURRENCY=USD", "XLFILL=b")</f>
        <v>-22.14765100671141</v>
      </c>
      <c r="N369" s="9">
        <f>_xll.BQL("ALK US Equity", "FA_GROWTH(CF_CHG_IN_DEFER_UNEARND_REV_ST, YOY)", "FPT=A", "FPO=-5A", "ACT_EST_MAPPING=PRECISE", "FS=MRC", "CURRENCY=USD", "XLFILL=b")</f>
        <v>-21.98952879581152</v>
      </c>
    </row>
    <row r="370" spans="1:14" x14ac:dyDescent="0.2">
      <c r="A370" s="8" t="s">
        <v>384</v>
      </c>
      <c r="B370" s="4" t="s">
        <v>385</v>
      </c>
      <c r="C370" s="4"/>
      <c r="D370" s="4"/>
      <c r="E370" s="9" t="str">
        <f>_xll.BQL("ALK US Equity", "CB_CF_CHG_IN_AIR_TRAFFIC_LIAB/1M", "FPT=A", "FPO=4A", "ACT_EST_MAPPING=PRECISE", "FS=MRC", "CURRENCY=USD", "XLFILL=b")</f>
        <v/>
      </c>
      <c r="F370" s="9" t="str">
        <f>_xll.BQL("ALK US Equity", "CB_CF_CHG_IN_AIR_TRAFFIC_LIAB/1M", "FPT=A", "FPO=3A", "ACT_EST_MAPPING=PRECISE", "FS=MRC", "CURRENCY=USD", "XLFILL=b")</f>
        <v/>
      </c>
      <c r="G370" s="9">
        <f>_xll.BQL("ALK US Equity", "CB_CF_CHG_IN_AIR_TRAFFIC_LIAB/1M", "FPT=A", "FPO=2A", "ACT_EST_MAPPING=PRECISE", "FS=MRC", "CURRENCY=USD", "XLFILL=b")</f>
        <v>183.91941941978004</v>
      </c>
      <c r="H370" s="9">
        <f>_xll.BQL("ALK US Equity", "CB_CF_CHG_IN_AIR_TRAFFIC_LIAB/1M", "FPT=A", "FPO=1A", "ACT_EST_MAPPING=PRECISE", "FS=MRC", "CURRENCY=USD", "XLFILL=b")</f>
        <v>291.6765165186801</v>
      </c>
      <c r="I370" s="9">
        <f>_xll.BQL("ALK US Equity", "CB_CF_CHG_IN_AIR_TRAFFIC_LIAB/1M", "FPT=A", "FPO=0A", "ACT_EST_MAPPING=PRECISE", "FS=MRC", "CURRENCY=USD", "XLFILL=b")</f>
        <v>-44</v>
      </c>
      <c r="J370" s="9">
        <f>_xll.BQL("ALK US Equity", "CB_CF_CHG_IN_AIR_TRAFFIC_LIAB/1M", "FPT=A", "FPO=-1A", "ACT_EST_MAPPING=PRECISE", "FS=MRC", "CURRENCY=USD", "XLFILL=b")</f>
        <v>17</v>
      </c>
      <c r="K370" s="9">
        <f>_xll.BQL("ALK US Equity", "CB_CF_CHG_IN_AIR_TRAFFIC_LIAB/1M", "FPT=A", "FPO=-2A", "ACT_EST_MAPPING=PRECISE", "FS=MRC", "CURRENCY=USD", "XLFILL=b")</f>
        <v>90</v>
      </c>
      <c r="L370" s="9">
        <f>_xll.BQL("ALK US Equity", "CB_CF_CHG_IN_AIR_TRAFFIC_LIAB/1M", "FPT=A", "FPO=-3A", "ACT_EST_MAPPING=PRECISE", "FS=MRC", "CURRENCY=USD", "XLFILL=b")</f>
        <v>173</v>
      </c>
      <c r="M370" s="9">
        <f>_xll.BQL("ALK US Equity", "CB_CF_CHG_IN_AIR_TRAFFIC_LIAB/1M", "FPT=A", "FPO=-4A", "ACT_EST_MAPPING=PRECISE", "FS=MRC", "CURRENCY=USD", "XLFILL=b")</f>
        <v>112</v>
      </c>
      <c r="N370" s="9">
        <f>_xll.BQL("ALK US Equity", "CB_CF_CHG_IN_AIR_TRAFFIC_LIAB/1M", "FPT=A", "FPO=-5A", "ACT_EST_MAPPING=PRECISE", "FS=MRC", "CURRENCY=USD", "XLFILL=b")</f>
        <v>-18</v>
      </c>
    </row>
    <row r="371" spans="1:14" x14ac:dyDescent="0.2">
      <c r="A371" s="8" t="s">
        <v>67</v>
      </c>
      <c r="B371" s="4" t="s">
        <v>385</v>
      </c>
      <c r="C371" s="4"/>
      <c r="D371" s="4"/>
      <c r="E371" s="9" t="str">
        <f>_xll.BQL("ALK US Equity", "FA_GROWTH(CB_CF_CHG_IN_AIR_TRAFFIC_LIAB, YOY)", "FPT=A", "FPO=4A", "ACT_EST_MAPPING=PRECISE", "FS=MRC", "CURRENCY=USD", "XLFILL=b")</f>
        <v/>
      </c>
      <c r="F371" s="9" t="str">
        <f>_xll.BQL("ALK US Equity", "FA_GROWTH(CB_CF_CHG_IN_AIR_TRAFFIC_LIAB, YOY)", "FPT=A", "FPO=3A", "ACT_EST_MAPPING=PRECISE", "FS=MRC", "CURRENCY=USD", "XLFILL=b")</f>
        <v/>
      </c>
      <c r="G371" s="9">
        <f>_xll.BQL("ALK US Equity", "FA_GROWTH(CB_CF_CHG_IN_AIR_TRAFFIC_LIAB, YOY)", "FPT=A", "FPO=2A", "ACT_EST_MAPPING=PRECISE", "FS=MRC", "CURRENCY=USD", "XLFILL=b")</f>
        <v>-36.944042799550807</v>
      </c>
      <c r="H371" s="9">
        <f>_xll.BQL("ALK US Equity", "FA_GROWTH(CB_CF_CHG_IN_AIR_TRAFFIC_LIAB, YOY)", "FPT=A", "FPO=1A", "ACT_EST_MAPPING=PRECISE", "FS=MRC", "CURRENCY=USD", "XLFILL=b")</f>
        <v>762.90117390609112</v>
      </c>
      <c r="I371" s="9">
        <f>_xll.BQL("ALK US Equity", "FA_GROWTH(CB_CF_CHG_IN_AIR_TRAFFIC_LIAB, YOY)", "FPT=A", "FPO=0A", "ACT_EST_MAPPING=PRECISE", "FS=MRC", "CURRENCY=USD", "XLFILL=b")</f>
        <v>-358.8235294117647</v>
      </c>
      <c r="J371" s="9">
        <f>_xll.BQL("ALK US Equity", "FA_GROWTH(CB_CF_CHG_IN_AIR_TRAFFIC_LIAB, YOY)", "FPT=A", "FPO=-1A", "ACT_EST_MAPPING=PRECISE", "FS=MRC", "CURRENCY=USD", "XLFILL=b")</f>
        <v>-81.111111111111114</v>
      </c>
      <c r="K371" s="9">
        <f>_xll.BQL("ALK US Equity", "FA_GROWTH(CB_CF_CHG_IN_AIR_TRAFFIC_LIAB, YOY)", "FPT=A", "FPO=-2A", "ACT_EST_MAPPING=PRECISE", "FS=MRC", "CURRENCY=USD", "XLFILL=b")</f>
        <v>-47.97687861271676</v>
      </c>
      <c r="L371" s="9">
        <f>_xll.BQL("ALK US Equity", "FA_GROWTH(CB_CF_CHG_IN_AIR_TRAFFIC_LIAB, YOY)", "FPT=A", "FPO=-3A", "ACT_EST_MAPPING=PRECISE", "FS=MRC", "CURRENCY=USD", "XLFILL=b")</f>
        <v>54.464285714285715</v>
      </c>
      <c r="M371" s="9">
        <f>_xll.BQL("ALK US Equity", "FA_GROWTH(CB_CF_CHG_IN_AIR_TRAFFIC_LIAB, YOY)", "FPT=A", "FPO=-4A", "ACT_EST_MAPPING=PRECISE", "FS=MRC", "CURRENCY=USD", "XLFILL=b")</f>
        <v>722.22222222222217</v>
      </c>
      <c r="N371" s="9">
        <f>_xll.BQL("ALK US Equity", "FA_GROWTH(CB_CF_CHG_IN_AIR_TRAFFIC_LIAB, YOY)", "FPT=A", "FPO=-5A", "ACT_EST_MAPPING=PRECISE", "FS=MRC", "CURRENCY=USD", "XLFILL=b")</f>
        <v>-140</v>
      </c>
    </row>
    <row r="372" spans="1:14" x14ac:dyDescent="0.2">
      <c r="A372" s="8" t="s">
        <v>386</v>
      </c>
      <c r="B372" s="4" t="s">
        <v>387</v>
      </c>
      <c r="C372" s="4"/>
      <c r="D372" s="4"/>
      <c r="E372" s="9" t="str">
        <f>_xll.BQL("ALK US Equity", "CF_CHG_IN_OTH_CURR_AST_LIBLTS/1M", "FPT=A", "FPO=4A", "ACT_EST_MAPPING=PRECISE", "FS=MRC", "CURRENCY=USD", "XLFILL=b")</f>
        <v/>
      </c>
      <c r="F372" s="9">
        <f>_xll.BQL("ALK US Equity", "CF_CHG_IN_OTH_CURR_AST_LIBLTS/1M", "FPT=A", "FPO=3A", "ACT_EST_MAPPING=PRECISE", "FS=MRC", "CURRENCY=USD", "XLFILL=b")</f>
        <v>80</v>
      </c>
      <c r="G372" s="9">
        <f>_xll.BQL("ALK US Equity", "CF_CHG_IN_OTH_CURR_AST_LIBLTS/1M", "FPT=A", "FPO=2A", "ACT_EST_MAPPING=PRECISE", "FS=MRC", "CURRENCY=USD", "XLFILL=b")</f>
        <v>80</v>
      </c>
      <c r="H372" s="9">
        <f>_xll.BQL("ALK US Equity", "CF_CHG_IN_OTH_CURR_AST_LIBLTS/1M", "FPT=A", "FPO=1A", "ACT_EST_MAPPING=PRECISE", "FS=MRC", "CURRENCY=USD", "XLFILL=b")</f>
        <v>62.666666666666664</v>
      </c>
      <c r="I372" s="9">
        <f>_xll.BQL("ALK US Equity", "CF_CHG_IN_OTH_CURR_AST_LIBLTS/1M", "FPT=A", "FPO=0A", "ACT_EST_MAPPING=PRECISE", "FS=MRC", "CURRENCY=USD", "XLFILL=b")</f>
        <v>0</v>
      </c>
      <c r="J372" s="9">
        <f>_xll.BQL("ALK US Equity", "CF_CHG_IN_OTH_CURR_AST_LIBLTS/1M", "FPT=A", "FPO=-1A", "ACT_EST_MAPPING=PRECISE", "FS=MRC", "CURRENCY=USD", "XLFILL=b")</f>
        <v>-21</v>
      </c>
      <c r="K372" s="9">
        <f>_xll.BQL("ALK US Equity", "CF_CHG_IN_OTH_CURR_AST_LIBLTS/1M", "FPT=A", "FPO=-2A", "ACT_EST_MAPPING=PRECISE", "FS=MRC", "CURRENCY=USD", "XLFILL=b")</f>
        <v>9</v>
      </c>
      <c r="L372" s="9">
        <f>_xll.BQL("ALK US Equity", "CF_CHG_IN_OTH_CURR_AST_LIBLTS/1M", "FPT=A", "FPO=-3A", "ACT_EST_MAPPING=PRECISE", "FS=MRC", "CURRENCY=USD", "XLFILL=b")</f>
        <v>-202</v>
      </c>
      <c r="M372" s="9">
        <f>_xll.BQL("ALK US Equity", "CF_CHG_IN_OTH_CURR_AST_LIBLTS/1M", "FPT=A", "FPO=-4A", "ACT_EST_MAPPING=PRECISE", "FS=MRC", "CURRENCY=USD", "XLFILL=b")</f>
        <v>86</v>
      </c>
      <c r="N372" s="9">
        <f>_xll.BQL("ALK US Equity", "CF_CHG_IN_OTH_CURR_AST_LIBLTS/1M", "FPT=A", "FPO=-5A", "ACT_EST_MAPPING=PRECISE", "FS=MRC", "CURRENCY=USD", "XLFILL=b")</f>
        <v>61</v>
      </c>
    </row>
    <row r="373" spans="1:14" x14ac:dyDescent="0.2">
      <c r="A373" s="8" t="s">
        <v>67</v>
      </c>
      <c r="B373" s="4" t="s">
        <v>387</v>
      </c>
      <c r="C373" s="4"/>
      <c r="D373" s="4"/>
      <c r="E373" s="9" t="str">
        <f>_xll.BQL("ALK US Equity", "FA_GROWTH(CF_CHG_IN_OTH_CURR_AST_LIBLTS, YOY)", "FPT=A", "FPO=4A", "ACT_EST_MAPPING=PRECISE", "FS=MRC", "CURRENCY=USD", "XLFILL=b")</f>
        <v/>
      </c>
      <c r="F373" s="9">
        <f>_xll.BQL("ALK US Equity", "FA_GROWTH(CF_CHG_IN_OTH_CURR_AST_LIBLTS, YOY)", "FPT=A", "FPO=3A", "ACT_EST_MAPPING=PRECISE", "FS=MRC", "CURRENCY=USD", "XLFILL=b")</f>
        <v>0</v>
      </c>
      <c r="G373" s="9">
        <f>_xll.BQL("ALK US Equity", "FA_GROWTH(CF_CHG_IN_OTH_CURR_AST_LIBLTS, YOY)", "FPT=A", "FPO=2A", "ACT_EST_MAPPING=PRECISE", "FS=MRC", "CURRENCY=USD", "XLFILL=b")</f>
        <v>27.659574468085111</v>
      </c>
      <c r="H373" s="9" t="str">
        <f>_xll.BQL("ALK US Equity", "FA_GROWTH(CF_CHG_IN_OTH_CURR_AST_LIBLTS, YOY)", "FPT=A", "FPO=1A", "ACT_EST_MAPPING=PRECISE", "FS=MRC", "CURRENCY=USD", "XLFILL=b")</f>
        <v/>
      </c>
      <c r="I373" s="9">
        <f>_xll.BQL("ALK US Equity", "FA_GROWTH(CF_CHG_IN_OTH_CURR_AST_LIBLTS, YOY)", "FPT=A", "FPO=0A", "ACT_EST_MAPPING=PRECISE", "FS=MRC", "CURRENCY=USD", "XLFILL=b")</f>
        <v>100</v>
      </c>
      <c r="J373" s="9">
        <f>_xll.BQL("ALK US Equity", "FA_GROWTH(CF_CHG_IN_OTH_CURR_AST_LIBLTS, YOY)", "FPT=A", "FPO=-1A", "ACT_EST_MAPPING=PRECISE", "FS=MRC", "CURRENCY=USD", "XLFILL=b")</f>
        <v>-333.33333333333331</v>
      </c>
      <c r="K373" s="9">
        <f>_xll.BQL("ALK US Equity", "FA_GROWTH(CF_CHG_IN_OTH_CURR_AST_LIBLTS, YOY)", "FPT=A", "FPO=-2A", "ACT_EST_MAPPING=PRECISE", "FS=MRC", "CURRENCY=USD", "XLFILL=b")</f>
        <v>104.45544554455445</v>
      </c>
      <c r="L373" s="9">
        <f>_xll.BQL("ALK US Equity", "FA_GROWTH(CF_CHG_IN_OTH_CURR_AST_LIBLTS, YOY)", "FPT=A", "FPO=-3A", "ACT_EST_MAPPING=PRECISE", "FS=MRC", "CURRENCY=USD", "XLFILL=b")</f>
        <v>-334.88372093023258</v>
      </c>
      <c r="M373" s="9">
        <f>_xll.BQL("ALK US Equity", "FA_GROWTH(CF_CHG_IN_OTH_CURR_AST_LIBLTS, YOY)", "FPT=A", "FPO=-4A", "ACT_EST_MAPPING=PRECISE", "FS=MRC", "CURRENCY=USD", "XLFILL=b")</f>
        <v>40.983606557377051</v>
      </c>
      <c r="N373" s="9">
        <f>_xll.BQL("ALK US Equity", "FA_GROWTH(CF_CHG_IN_OTH_CURR_AST_LIBLTS, YOY)", "FPT=A", "FPO=-5A", "ACT_EST_MAPPING=PRECISE", "FS=MRC", "CURRENCY=USD", "XLFILL=b")</f>
        <v>248.78048780487805</v>
      </c>
    </row>
    <row r="374" spans="1:14" x14ac:dyDescent="0.2">
      <c r="A374" s="8" t="s">
        <v>388</v>
      </c>
      <c r="B374" s="4" t="s">
        <v>389</v>
      </c>
      <c r="C374" s="4"/>
      <c r="D374" s="4"/>
      <c r="E374" s="9" t="str">
        <f>_xll.BQL("ALK US Equity", "CF_PROCDS_FROM_INVSTMNTS/1M", "FPT=A", "FPO=4A", "ACT_EST_MAPPING=PRECISE", "FS=MRC", "CURRENCY=USD", "XLFILL=b")</f>
        <v/>
      </c>
      <c r="F374" s="9">
        <f>_xll.BQL("ALK US Equity", "CF_PROCDS_FROM_INVSTMNTS/1M", "FPT=A", "FPO=3A", "ACT_EST_MAPPING=PRECISE", "FS=MRC", "CURRENCY=USD", "XLFILL=b")</f>
        <v>1465</v>
      </c>
      <c r="G374" s="9">
        <f>_xll.BQL("ALK US Equity", "CF_PROCDS_FROM_INVSTMNTS/1M", "FPT=A", "FPO=2A", "ACT_EST_MAPPING=PRECISE", "FS=MRC", "CURRENCY=USD", "XLFILL=b")</f>
        <v>1250</v>
      </c>
      <c r="H374" s="9">
        <f>_xll.BQL("ALK US Equity", "CF_PROCDS_FROM_INVSTMNTS/1M", "FPT=A", "FPO=1A", "ACT_EST_MAPPING=PRECISE", "FS=MRC", "CURRENCY=USD", "XLFILL=b")</f>
        <v>643.66666666666663</v>
      </c>
      <c r="I374" s="9">
        <f>_xll.BQL("ALK US Equity", "CF_PROCDS_FROM_INVSTMNTS/1M", "FPT=A", "FPO=0A", "ACT_EST_MAPPING=PRECISE", "FS=MRC", "CURRENCY=USD", "XLFILL=b")</f>
        <v>1152</v>
      </c>
      <c r="J374" s="9">
        <f>_xll.BQL("ALK US Equity", "CF_PROCDS_FROM_INVSTMNTS/1M", "FPT=A", "FPO=-1A", "ACT_EST_MAPPING=PRECISE", "FS=MRC", "CURRENCY=USD", "XLFILL=b")</f>
        <v>2252</v>
      </c>
      <c r="K374" s="9">
        <f>_xll.BQL("ALK US Equity", "CF_PROCDS_FROM_INVSTMNTS/1M", "FPT=A", "FPO=-2A", "ACT_EST_MAPPING=PRECISE", "FS=MRC", "CURRENCY=USD", "XLFILL=b")</f>
        <v>3595</v>
      </c>
      <c r="L374" s="9">
        <f>_xll.BQL("ALK US Equity", "CF_PROCDS_FROM_INVSTMNTS/1M", "FPT=A", "FPO=-3A", "ACT_EST_MAPPING=PRECISE", "FS=MRC", "CURRENCY=USD", "XLFILL=b")</f>
        <v>2318</v>
      </c>
      <c r="M374" s="9">
        <f>_xll.BQL("ALK US Equity", "CF_PROCDS_FROM_INVSTMNTS/1M", "FPT=A", "FPO=-4A", "ACT_EST_MAPPING=PRECISE", "FS=MRC", "CURRENCY=USD", "XLFILL=b")</f>
        <v>1674</v>
      </c>
      <c r="N374" s="9">
        <f>_xll.BQL("ALK US Equity", "CF_PROCDS_FROM_INVSTMNTS/1M", "FPT=A", "FPO=-5A", "ACT_EST_MAPPING=PRECISE", "FS=MRC", "CURRENCY=USD", "XLFILL=b")</f>
        <v>1116</v>
      </c>
    </row>
    <row r="375" spans="1:14" x14ac:dyDescent="0.2">
      <c r="A375" s="8" t="s">
        <v>67</v>
      </c>
      <c r="B375" s="4" t="s">
        <v>389</v>
      </c>
      <c r="C375" s="4"/>
      <c r="D375" s="4"/>
      <c r="E375" s="9" t="str">
        <f>_xll.BQL("ALK US Equity", "FA_GROWTH(CF_PROCDS_FROM_INVSTMNTS, YOY)", "FPT=A", "FPO=4A", "ACT_EST_MAPPING=PRECISE", "FS=MRC", "CURRENCY=USD", "XLFILL=b")</f>
        <v/>
      </c>
      <c r="F375" s="9">
        <f>_xll.BQL("ALK US Equity", "FA_GROWTH(CF_PROCDS_FROM_INVSTMNTS, YOY)", "FPT=A", "FPO=3A", "ACT_EST_MAPPING=PRECISE", "FS=MRC", "CURRENCY=USD", "XLFILL=b")</f>
        <v>17.2</v>
      </c>
      <c r="G375" s="9">
        <f>_xll.BQL("ALK US Equity", "FA_GROWTH(CF_PROCDS_FROM_INVSTMNTS, YOY)", "FPT=A", "FPO=2A", "ACT_EST_MAPPING=PRECISE", "FS=MRC", "CURRENCY=USD", "XLFILL=b")</f>
        <v>94.199896426721921</v>
      </c>
      <c r="H375" s="9">
        <f>_xll.BQL("ALK US Equity", "FA_GROWTH(CF_PROCDS_FROM_INVSTMNTS, YOY)", "FPT=A", "FPO=1A", "ACT_EST_MAPPING=PRECISE", "FS=MRC", "CURRENCY=USD", "XLFILL=b")</f>
        <v>-44.126157407407412</v>
      </c>
      <c r="I375" s="9">
        <f>_xll.BQL("ALK US Equity", "FA_GROWTH(CF_PROCDS_FROM_INVSTMNTS, YOY)", "FPT=A", "FPO=0A", "ACT_EST_MAPPING=PRECISE", "FS=MRC", "CURRENCY=USD", "XLFILL=b")</f>
        <v>-48.845470692717583</v>
      </c>
      <c r="J375" s="9">
        <f>_xll.BQL("ALK US Equity", "FA_GROWTH(CF_PROCDS_FROM_INVSTMNTS, YOY)", "FPT=A", "FPO=-1A", "ACT_EST_MAPPING=PRECISE", "FS=MRC", "CURRENCY=USD", "XLFILL=b")</f>
        <v>-37.357440890125176</v>
      </c>
      <c r="K375" s="9">
        <f>_xll.BQL("ALK US Equity", "FA_GROWTH(CF_PROCDS_FROM_INVSTMNTS, YOY)", "FPT=A", "FPO=-2A", "ACT_EST_MAPPING=PRECISE", "FS=MRC", "CURRENCY=USD", "XLFILL=b")</f>
        <v>55.090595340811042</v>
      </c>
      <c r="L375" s="9">
        <f>_xll.BQL("ALK US Equity", "FA_GROWTH(CF_PROCDS_FROM_INVSTMNTS, YOY)", "FPT=A", "FPO=-3A", "ACT_EST_MAPPING=PRECISE", "FS=MRC", "CURRENCY=USD", "XLFILL=b")</f>
        <v>38.470728793309441</v>
      </c>
      <c r="M375" s="9">
        <f>_xll.BQL("ALK US Equity", "FA_GROWTH(CF_PROCDS_FROM_INVSTMNTS, YOY)", "FPT=A", "FPO=-4A", "ACT_EST_MAPPING=PRECISE", "FS=MRC", "CURRENCY=USD", "XLFILL=b")</f>
        <v>50</v>
      </c>
      <c r="N375" s="9">
        <f>_xll.BQL("ALK US Equity", "FA_GROWTH(CF_PROCDS_FROM_INVSTMNTS, YOY)", "FPT=A", "FPO=-5A", "ACT_EST_MAPPING=PRECISE", "FS=MRC", "CURRENCY=USD", "XLFILL=b")</f>
        <v>-19.596541786743515</v>
      </c>
    </row>
    <row r="376" spans="1:14" x14ac:dyDescent="0.2">
      <c r="A376" s="8" t="s">
        <v>390</v>
      </c>
      <c r="B376" s="4" t="s">
        <v>46</v>
      </c>
      <c r="C376" s="4" t="s">
        <v>391</v>
      </c>
      <c r="D376" s="4"/>
      <c r="E376" s="9" t="str">
        <f>_xll.BQL("ALK US Equity", "CF_CASH_FROM_OPER/1M", "FPT=A", "FPO=4A", "ACT_EST_MAPPING=PRECISE", "FS=MRC", "CURRENCY=USD", "XLFILL=b")</f>
        <v/>
      </c>
      <c r="F376" s="9">
        <f>_xll.BQL("ALK US Equity", "CF_CASH_FROM_OPER/1M", "FPT=A", "FPO=3A", "ACT_EST_MAPPING=PRECISE", "FS=MRC", "CURRENCY=USD", "XLFILL=b")</f>
        <v>1684.8264204600189</v>
      </c>
      <c r="G376" s="9">
        <f>_xll.BQL("ALK US Equity", "CF_CASH_FROM_OPER/1M", "FPT=A", "FPO=2A", "ACT_EST_MAPPING=PRECISE", "FS=MRC", "CURRENCY=USD", "XLFILL=b")</f>
        <v>1640.9080927362543</v>
      </c>
      <c r="H376" s="9">
        <f>_xll.BQL("ALK US Equity", "CF_CASH_FROM_OPER/1M", "FPT=A", "FPO=1A", "ACT_EST_MAPPING=PRECISE", "FS=MRC", "CURRENCY=USD", "XLFILL=b")</f>
        <v>1469.3668325618598</v>
      </c>
      <c r="I376" s="9">
        <f>_xll.BQL("ALK US Equity", "CF_CASH_FROM_OPER/1M", "FPT=A", "FPO=0A", "ACT_EST_MAPPING=PRECISE", "FS=MRC", "CURRENCY=USD", "XLFILL=b")</f>
        <v>1050</v>
      </c>
      <c r="J376" s="9">
        <f>_xll.BQL("ALK US Equity", "CF_CASH_FROM_OPER/1M", "FPT=A", "FPO=-1A", "ACT_EST_MAPPING=PRECISE", "FS=MRC", "CURRENCY=USD", "XLFILL=b")</f>
        <v>1418</v>
      </c>
      <c r="K376" s="9">
        <f>_xll.BQL("ALK US Equity", "CF_CASH_FROM_OPER/1M", "FPT=A", "FPO=-2A", "ACT_EST_MAPPING=PRECISE", "FS=MRC", "CURRENCY=USD", "XLFILL=b")</f>
        <v>1030</v>
      </c>
      <c r="L376" s="9">
        <f>_xll.BQL("ALK US Equity", "CF_CASH_FROM_OPER/1M", "FPT=A", "FPO=-3A", "ACT_EST_MAPPING=PRECISE", "FS=MRC", "CURRENCY=USD", "XLFILL=b")</f>
        <v>-234</v>
      </c>
      <c r="M376" s="9">
        <f>_xll.BQL("ALK US Equity", "CF_CASH_FROM_OPER/1M", "FPT=A", "FPO=-4A", "ACT_EST_MAPPING=PRECISE", "FS=MRC", "CURRENCY=USD", "XLFILL=b")</f>
        <v>1722</v>
      </c>
      <c r="N376" s="9">
        <f>_xll.BQL("ALK US Equity", "CF_CASH_FROM_OPER/1M", "FPT=A", "FPO=-5A", "ACT_EST_MAPPING=PRECISE", "FS=MRC", "CURRENCY=USD", "XLFILL=b")</f>
        <v>1195</v>
      </c>
    </row>
    <row r="377" spans="1:14" x14ac:dyDescent="0.2">
      <c r="A377" s="8" t="s">
        <v>12</v>
      </c>
      <c r="B377" s="4" t="s">
        <v>46</v>
      </c>
      <c r="C377" s="4" t="s">
        <v>391</v>
      </c>
      <c r="D377" s="4"/>
      <c r="E377" s="9" t="str">
        <f>_xll.BQL("ALK US Equity", "FA_GROWTH(CF_CASH_FROM_OPER, YOY)", "FPT=A", "FPO=4A", "ACT_EST_MAPPING=PRECISE", "FS=MRC", "CURRENCY=USD", "XLFILL=b")</f>
        <v/>
      </c>
      <c r="F377" s="9">
        <f>_xll.BQL("ALK US Equity", "FA_GROWTH(CF_CASH_FROM_OPER, YOY)", "FPT=A", "FPO=3A", "ACT_EST_MAPPING=PRECISE", "FS=MRC", "CURRENCY=USD", "XLFILL=b")</f>
        <v>2.6764648134881082</v>
      </c>
      <c r="G377" s="9">
        <f>_xll.BQL("ALK US Equity", "FA_GROWTH(CF_CASH_FROM_OPER, YOY)", "FPT=A", "FPO=2A", "ACT_EST_MAPPING=PRECISE", "FS=MRC", "CURRENCY=USD", "XLFILL=b")</f>
        <v>11.674501994529848</v>
      </c>
      <c r="H377" s="9">
        <f>_xll.BQL("ALK US Equity", "FA_GROWTH(CF_CASH_FROM_OPER, YOY)", "FPT=A", "FPO=1A", "ACT_EST_MAPPING=PRECISE", "FS=MRC", "CURRENCY=USD", "XLFILL=b")</f>
        <v>39.939698339224748</v>
      </c>
      <c r="I377" s="9">
        <f>_xll.BQL("ALK US Equity", "FA_GROWTH(CF_CASH_FROM_OPER, YOY)", "FPT=A", "FPO=0A", "ACT_EST_MAPPING=PRECISE", "FS=MRC", "CURRENCY=USD", "XLFILL=b")</f>
        <v>-25.952045133991536</v>
      </c>
      <c r="J377" s="9">
        <f>_xll.BQL("ALK US Equity", "FA_GROWTH(CF_CASH_FROM_OPER, YOY)", "FPT=A", "FPO=-1A", "ACT_EST_MAPPING=PRECISE", "FS=MRC", "CURRENCY=USD", "XLFILL=b")</f>
        <v>37.66990291262136</v>
      </c>
      <c r="K377" s="9">
        <f>_xll.BQL("ALK US Equity", "FA_GROWTH(CF_CASH_FROM_OPER, YOY)", "FPT=A", "FPO=-2A", "ACT_EST_MAPPING=PRECISE", "FS=MRC", "CURRENCY=USD", "XLFILL=b")</f>
        <v>540.17094017094018</v>
      </c>
      <c r="L377" s="9">
        <f>_xll.BQL("ALK US Equity", "FA_GROWTH(CF_CASH_FROM_OPER, YOY)", "FPT=A", "FPO=-3A", "ACT_EST_MAPPING=PRECISE", "FS=MRC", "CURRENCY=USD", "XLFILL=b")</f>
        <v>-113.58885017421603</v>
      </c>
      <c r="M377" s="9">
        <f>_xll.BQL("ALK US Equity", "FA_GROWTH(CF_CASH_FROM_OPER, YOY)", "FPT=A", "FPO=-4A", "ACT_EST_MAPPING=PRECISE", "FS=MRC", "CURRENCY=USD", "XLFILL=b")</f>
        <v>44.10041841004184</v>
      </c>
      <c r="N377" s="9">
        <f>_xll.BQL("ALK US Equity", "FA_GROWTH(CF_CASH_FROM_OPER, YOY)", "FPT=A", "FPO=-5A", "ACT_EST_MAPPING=PRECISE", "FS=MRC", "CURRENCY=USD", "XLFILL=b")</f>
        <v>-24.842767295597483</v>
      </c>
    </row>
    <row r="378" spans="1:14" x14ac:dyDescent="0.2">
      <c r="A378" s="8" t="s">
        <v>16</v>
      </c>
      <c r="B378" s="4"/>
      <c r="C378" s="4"/>
      <c r="D378" s="4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x14ac:dyDescent="0.2">
      <c r="A379" s="8" t="s">
        <v>392</v>
      </c>
      <c r="B379" s="4"/>
      <c r="C379" s="4" t="s">
        <v>393</v>
      </c>
      <c r="D379" s="4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x14ac:dyDescent="0.2">
      <c r="A380" s="8" t="s">
        <v>394</v>
      </c>
      <c r="B380" s="4" t="s">
        <v>395</v>
      </c>
      <c r="C380" s="4" t="s">
        <v>396</v>
      </c>
      <c r="D380" s="4"/>
      <c r="E380" s="9" t="str">
        <f>_xll.BQL("ALK US Equity", "HEADLINE_CAPEX/1M", "FPT=A", "FPO=4A", "ACT_EST_MAPPING=PRECISE", "FS=MRC", "CURRENCY=USD", "XLFILL=b")</f>
        <v/>
      </c>
      <c r="F380" s="9">
        <f>_xll.BQL("ALK US Equity", "HEADLINE_CAPEX/1M", "FPT=A", "FPO=3A", "ACT_EST_MAPPING=PRECISE", "FS=MRC", "CURRENCY=USD", "XLFILL=b")</f>
        <v>-1304</v>
      </c>
      <c r="G380" s="9">
        <f>_xll.BQL("ALK US Equity", "HEADLINE_CAPEX/1M", "FPT=A", "FPO=2A", "ACT_EST_MAPPING=PRECISE", "FS=MRC", "CURRENCY=USD", "XLFILL=b")</f>
        <v>-1300.8</v>
      </c>
      <c r="H380" s="9">
        <f>_xll.BQL("ALK US Equity", "HEADLINE_CAPEX/1M", "FPT=A", "FPO=1A", "ACT_EST_MAPPING=PRECISE", "FS=MRC", "CURRENCY=USD", "XLFILL=b")</f>
        <v>-1319.8</v>
      </c>
      <c r="I380" s="9">
        <f>_xll.BQL("ALK US Equity", "HEADLINE_CAPEX/1M", "FPT=A", "FPO=0A", "ACT_EST_MAPPING=PRECISE", "FS=MRC", "CURRENCY=USD", "XLFILL=b")</f>
        <v>-1494</v>
      </c>
      <c r="J380" s="9">
        <f>_xll.BQL("ALK US Equity", "HEADLINE_CAPEX/1M", "FPT=A", "FPO=-1A", "ACT_EST_MAPPING=PRECISE", "FS=MRC", "CURRENCY=USD", "XLFILL=b")</f>
        <v>-1671</v>
      </c>
      <c r="K380" s="9">
        <f>_xll.BQL("ALK US Equity", "HEADLINE_CAPEX/1M", "FPT=A", "FPO=-2A", "ACT_EST_MAPPING=PRECISE", "FS=MRC", "CURRENCY=USD", "XLFILL=b")</f>
        <v>-292</v>
      </c>
      <c r="L380" s="9">
        <f>_xll.BQL("ALK US Equity", "HEADLINE_CAPEX/1M", "FPT=A", "FPO=-3A", "ACT_EST_MAPPING=PRECISE", "FS=MRC", "CURRENCY=USD", "XLFILL=b")</f>
        <v>-222</v>
      </c>
      <c r="M380" s="9">
        <f>_xll.BQL("ALK US Equity", "HEADLINE_CAPEX/1M", "FPT=A", "FPO=-4A", "ACT_EST_MAPPING=PRECISE", "FS=MRC", "CURRENCY=USD", "XLFILL=b")</f>
        <v>-696</v>
      </c>
      <c r="N380" s="9">
        <f>_xll.BQL("ALK US Equity", "HEADLINE_CAPEX/1M", "FPT=A", "FPO=-5A", "ACT_EST_MAPPING=PRECISE", "FS=MRC", "CURRENCY=USD", "XLFILL=b")</f>
        <v>-960</v>
      </c>
    </row>
    <row r="381" spans="1:14" x14ac:dyDescent="0.2">
      <c r="A381" s="8" t="s">
        <v>64</v>
      </c>
      <c r="B381" s="4" t="s">
        <v>395</v>
      </c>
      <c r="C381" s="4" t="s">
        <v>396</v>
      </c>
      <c r="D381" s="4"/>
      <c r="E381" s="9" t="str">
        <f>_xll.BQL("ALK US Equity", "FA_GROWTH(HEADLINE_CAPEX, YOY)", "FPT=A", "FPO=4A", "ACT_EST_MAPPING=PRECISE", "FS=MRC", "CURRENCY=USD", "XLFILL=b")</f>
        <v/>
      </c>
      <c r="F381" s="9">
        <f>_xll.BQL("ALK US Equity", "FA_GROWTH(HEADLINE_CAPEX, YOY)", "FPT=A", "FPO=3A", "ACT_EST_MAPPING=PRECISE", "FS=MRC", "CURRENCY=USD", "XLFILL=b")</f>
        <v>-0.24600246002460024</v>
      </c>
      <c r="G381" s="9">
        <f>_xll.BQL("ALK US Equity", "FA_GROWTH(HEADLINE_CAPEX, YOY)", "FPT=A", "FPO=2A", "ACT_EST_MAPPING=PRECISE", "FS=MRC", "CURRENCY=USD", "XLFILL=b")</f>
        <v>1.4396120624337021</v>
      </c>
      <c r="H381" s="9">
        <f>_xll.BQL("ALK US Equity", "FA_GROWTH(HEADLINE_CAPEX, YOY)", "FPT=A", "FPO=1A", "ACT_EST_MAPPING=PRECISE", "FS=MRC", "CURRENCY=USD", "XLFILL=b")</f>
        <v>11.659973226238286</v>
      </c>
      <c r="I381" s="9">
        <f>_xll.BQL("ALK US Equity", "FA_GROWTH(HEADLINE_CAPEX, YOY)", "FPT=A", "FPO=0A", "ACT_EST_MAPPING=PRECISE", "FS=MRC", "CURRENCY=USD", "XLFILL=b")</f>
        <v>10.59245960502693</v>
      </c>
      <c r="J381" s="9">
        <f>_xll.BQL("ALK US Equity", "FA_GROWTH(HEADLINE_CAPEX, YOY)", "FPT=A", "FPO=-1A", "ACT_EST_MAPPING=PRECISE", "FS=MRC", "CURRENCY=USD", "XLFILL=b")</f>
        <v>-472.26027397260276</v>
      </c>
      <c r="K381" s="9">
        <f>_xll.BQL("ALK US Equity", "FA_GROWTH(HEADLINE_CAPEX, YOY)", "FPT=A", "FPO=-2A", "ACT_EST_MAPPING=PRECISE", "FS=MRC", "CURRENCY=USD", "XLFILL=b")</f>
        <v>-31.531531531531531</v>
      </c>
      <c r="L381" s="9">
        <f>_xll.BQL("ALK US Equity", "FA_GROWTH(HEADLINE_CAPEX, YOY)", "FPT=A", "FPO=-3A", "ACT_EST_MAPPING=PRECISE", "FS=MRC", "CURRENCY=USD", "XLFILL=b")</f>
        <v>68.103448275862064</v>
      </c>
      <c r="M381" s="9">
        <f>_xll.BQL("ALK US Equity", "FA_GROWTH(HEADLINE_CAPEX, YOY)", "FPT=A", "FPO=-4A", "ACT_EST_MAPPING=PRECISE", "FS=MRC", "CURRENCY=USD", "XLFILL=b")</f>
        <v>27.5</v>
      </c>
      <c r="N381" s="9">
        <f>_xll.BQL("ALK US Equity", "FA_GROWTH(HEADLINE_CAPEX, YOY)", "FPT=A", "FPO=-5A", "ACT_EST_MAPPING=PRECISE", "FS=MRC", "CURRENCY=USD", "XLFILL=b")</f>
        <v>6.4327485380116958</v>
      </c>
    </row>
    <row r="382" spans="1:14" x14ac:dyDescent="0.2">
      <c r="A382" s="8" t="s">
        <v>185</v>
      </c>
      <c r="B382" s="4" t="s">
        <v>397</v>
      </c>
      <c r="C382" s="4"/>
      <c r="D382" s="4"/>
      <c r="E382" s="9" t="str">
        <f>_xll.BQL("ALK US Equity", "CAP_EXPEND_TO_SALES", "FPT=A", "FPO=4A", "ACT_EST_MAPPING=PRECISE", "FS=MRC", "CURRENCY=USD", "XLFILL=b")</f>
        <v/>
      </c>
      <c r="F382" s="9" t="str">
        <f>_xll.BQL("ALK US Equity", "CAP_EXPEND_TO_SALES", "FPT=A", "FPO=3A", "ACT_EST_MAPPING=PRECISE", "FS=MRC", "CURRENCY=USD", "XLFILL=b")</f>
        <v/>
      </c>
      <c r="G382" s="9" t="str">
        <f>_xll.BQL("ALK US Equity", "CAP_EXPEND_TO_SALES", "FPT=A", "FPO=2A", "ACT_EST_MAPPING=PRECISE", "FS=MRC", "CURRENCY=USD", "XLFILL=b")</f>
        <v/>
      </c>
      <c r="H382" s="9" t="str">
        <f>_xll.BQL("ALK US Equity", "CAP_EXPEND_TO_SALES", "FPT=A", "FPO=1A", "ACT_EST_MAPPING=PRECISE", "FS=MRC", "CURRENCY=USD", "XLFILL=b")</f>
        <v/>
      </c>
      <c r="I382" s="9">
        <f>_xll.BQL("ALK US Equity", "CAP_EXPEND_TO_SALES", "FPT=A", "FPO=0A", "ACT_EST_MAPPING=PRECISE", "FS=MRC", "CURRENCY=USD", "XLFILL=b")</f>
        <v>14.329560713600614</v>
      </c>
      <c r="J382" s="9">
        <f>_xll.BQL("ALK US Equity", "CAP_EXPEND_TO_SALES", "FPT=A", "FPO=-1A", "ACT_EST_MAPPING=PRECISE", "FS=MRC", "CURRENCY=USD", "XLFILL=b")</f>
        <v>17.323242794940906</v>
      </c>
      <c r="K382" s="9">
        <f>_xll.BQL("ALK US Equity", "CAP_EXPEND_TO_SALES", "FPT=A", "FPO=-2A", "ACT_EST_MAPPING=PRECISE", "FS=MRC", "CURRENCY=USD", "XLFILL=b")</f>
        <v>4.7279792746113989</v>
      </c>
      <c r="L382" s="9">
        <f>_xll.BQL("ALK US Equity", "CAP_EXPEND_TO_SALES", "FPT=A", "FPO=-3A", "ACT_EST_MAPPING=PRECISE", "FS=MRC", "CURRENCY=USD", "XLFILL=b")</f>
        <v>6.2254627033090291</v>
      </c>
      <c r="M382" s="9">
        <f>_xll.BQL("ALK US Equity", "CAP_EXPEND_TO_SALES", "FPT=A", "FPO=-4A", "ACT_EST_MAPPING=PRECISE", "FS=MRC", "CURRENCY=USD", "XLFILL=b")</f>
        <v>7.9262043047488895</v>
      </c>
      <c r="N382" s="9">
        <f>_xll.BQL("ALK US Equity", "CAP_EXPEND_TO_SALES", "FPT=A", "FPO=-5A", "ACT_EST_MAPPING=PRECISE", "FS=MRC", "CURRENCY=USD", "XLFILL=b")</f>
        <v>11.616650532429816</v>
      </c>
    </row>
    <row r="383" spans="1:14" x14ac:dyDescent="0.2">
      <c r="A383" s="8" t="s">
        <v>67</v>
      </c>
      <c r="B383" s="4" t="s">
        <v>397</v>
      </c>
      <c r="C383" s="4"/>
      <c r="D383" s="4"/>
      <c r="E383" s="9" t="str">
        <f>_xll.BQL("ALK US Equity", "FA_GROWTH(CAP_EXPEND_TO_SALES, YOY)", "FPT=A", "FPO=4A", "ACT_EST_MAPPING=PRECISE", "FS=MRC", "CURRENCY=USD", "XLFILL=b")</f>
        <v/>
      </c>
      <c r="F383" s="9" t="str">
        <f>_xll.BQL("ALK US Equity", "FA_GROWTH(CAP_EXPEND_TO_SALES, YOY)", "FPT=A", "FPO=3A", "ACT_EST_MAPPING=PRECISE", "FS=MRC", "CURRENCY=USD", "XLFILL=b")</f>
        <v/>
      </c>
      <c r="G383" s="9" t="str">
        <f>_xll.BQL("ALK US Equity", "FA_GROWTH(CAP_EXPEND_TO_SALES, YOY)", "FPT=A", "FPO=2A", "ACT_EST_MAPPING=PRECISE", "FS=MRC", "CURRENCY=USD", "XLFILL=b")</f>
        <v/>
      </c>
      <c r="H383" s="9" t="str">
        <f>_xll.BQL("ALK US Equity", "FA_GROWTH(CAP_EXPEND_TO_SALES, YOY)", "FPT=A", "FPO=1A", "ACT_EST_MAPPING=PRECISE", "FS=MRC", "CURRENCY=USD", "XLFILL=b")</f>
        <v/>
      </c>
      <c r="I383" s="9">
        <f>_xll.BQL("ALK US Equity", "FA_GROWTH(CAP_EXPEND_TO_SALES, YOY)", "FPT=A", "FPO=0A", "ACT_EST_MAPPING=PRECISE", "FS=MRC", "CURRENCY=USD", "XLFILL=b")</f>
        <v>-17.281303026097227</v>
      </c>
      <c r="J383" s="9">
        <f>_xll.BQL("ALK US Equity", "FA_GROWTH(CAP_EXPEND_TO_SALES, YOY)", "FPT=A", "FPO=-1A", "ACT_EST_MAPPING=PRECISE", "FS=MRC", "CURRENCY=USD", "XLFILL=b")</f>
        <v>266.3984503477912</v>
      </c>
      <c r="K383" s="9">
        <f>_xll.BQL("ALK US Equity", "FA_GROWTH(CAP_EXPEND_TO_SALES, YOY)", "FPT=A", "FPO=-2A", "ACT_EST_MAPPING=PRECISE", "FS=MRC", "CURRENCY=USD", "XLFILL=b")</f>
        <v>-24.054170751061935</v>
      </c>
      <c r="L383" s="9">
        <f>_xll.BQL("ALK US Equity", "FA_GROWTH(CAP_EXPEND_TO_SALES, YOY)", "FPT=A", "FPO=-3A", "ACT_EST_MAPPING=PRECISE", "FS=MRC", "CURRENCY=USD", "XLFILL=b")</f>
        <v>-21.457201152648583</v>
      </c>
      <c r="M383" s="9">
        <f>_xll.BQL("ALK US Equity", "FA_GROWTH(CAP_EXPEND_TO_SALES, YOY)", "FPT=A", "FPO=-4A", "ACT_EST_MAPPING=PRECISE", "FS=MRC", "CURRENCY=USD", "XLFILL=b")</f>
        <v>-31.768591276619972</v>
      </c>
      <c r="N383" s="9">
        <f>_xll.BQL("ALK US Equity", "FA_GROWTH(CAP_EXPEND_TO_SALES, YOY)", "FPT=A", "FPO=-5A", "ACT_EST_MAPPING=PRECISE", "FS=MRC", "CURRENCY=USD", "XLFILL=b")</f>
        <v>-10.621988983429864</v>
      </c>
    </row>
    <row r="384" spans="1:14" x14ac:dyDescent="0.2">
      <c r="A384" s="8" t="s">
        <v>398</v>
      </c>
      <c r="B384" s="4" t="s">
        <v>399</v>
      </c>
      <c r="C384" s="4"/>
      <c r="D384" s="4"/>
      <c r="E384" s="9" t="str">
        <f>_xll.BQL("ALK US Equity", "CB_CF_PURCHASES_OF_ST_MARKTABLE_SECS/1M", "FPT=A", "FPO=4A", "ACT_EST_MAPPING=PRECISE", "FS=MRC", "CURRENCY=USD", "XLFILL=b")</f>
        <v/>
      </c>
      <c r="F384" s="9">
        <f>_xll.BQL("ALK US Equity", "CB_CF_PURCHASES_OF_ST_MARKTABLE_SECS/1M", "FPT=A", "FPO=3A", "ACT_EST_MAPPING=PRECISE", "FS=MRC", "CURRENCY=USD", "XLFILL=b")</f>
        <v>-700</v>
      </c>
      <c r="G384" s="9">
        <f>_xll.BQL("ALK US Equity", "CB_CF_PURCHASES_OF_ST_MARKTABLE_SECS/1M", "FPT=A", "FPO=2A", "ACT_EST_MAPPING=PRECISE", "FS=MRC", "CURRENCY=USD", "XLFILL=b")</f>
        <v>-1150</v>
      </c>
      <c r="H384" s="9">
        <f>_xll.BQL("ALK US Equity", "CB_CF_PURCHASES_OF_ST_MARKTABLE_SECS/1M", "FPT=A", "FPO=1A", "ACT_EST_MAPPING=PRECISE", "FS=MRC", "CURRENCY=USD", "XLFILL=b")</f>
        <v>-324.66666666666669</v>
      </c>
      <c r="I384" s="9">
        <f>_xll.BQL("ALK US Equity", "CB_CF_PURCHASES_OF_ST_MARKTABLE_SECS/1M", "FPT=A", "FPO=0A", "ACT_EST_MAPPING=PRECISE", "FS=MRC", "CURRENCY=USD", "XLFILL=b")</f>
        <v>-536</v>
      </c>
      <c r="J384" s="9">
        <f>_xll.BQL("ALK US Equity", "CB_CF_PURCHASES_OF_ST_MARKTABLE_SECS/1M", "FPT=A", "FPO=-1A", "ACT_EST_MAPPING=PRECISE", "FS=MRC", "CURRENCY=USD", "XLFILL=b")</f>
        <v>-1797</v>
      </c>
      <c r="K384" s="9">
        <f>_xll.BQL("ALK US Equity", "CB_CF_PURCHASES_OF_ST_MARKTABLE_SECS/1M", "FPT=A", "FPO=-2A", "ACT_EST_MAPPING=PRECISE", "FS=MRC", "CURRENCY=USD", "XLFILL=b")</f>
        <v>-4301</v>
      </c>
      <c r="L384" s="9">
        <f>_xll.BQL("ALK US Equity", "CB_CF_PURCHASES_OF_ST_MARKTABLE_SECS/1M", "FPT=A", "FPO=-3A", "ACT_EST_MAPPING=PRECISE", "FS=MRC", "CURRENCY=USD", "XLFILL=b")</f>
        <v>-2962</v>
      </c>
      <c r="M384" s="9">
        <f>_xll.BQL("ALK US Equity", "CB_CF_PURCHASES_OF_ST_MARKTABLE_SECS/1M", "FPT=A", "FPO=-4A", "ACT_EST_MAPPING=PRECISE", "FS=MRC", "CURRENCY=USD", "XLFILL=b")</f>
        <v>-1810</v>
      </c>
      <c r="N384" s="9">
        <f>_xll.BQL("ALK US Equity", "CB_CF_PURCHASES_OF_ST_MARKTABLE_SECS/1M", "FPT=A", "FPO=-5A", "ACT_EST_MAPPING=PRECISE", "FS=MRC", "CURRENCY=USD", "XLFILL=b")</f>
        <v>-834</v>
      </c>
    </row>
    <row r="385" spans="1:14" x14ac:dyDescent="0.2">
      <c r="A385" s="8" t="s">
        <v>64</v>
      </c>
      <c r="B385" s="4" t="s">
        <v>399</v>
      </c>
      <c r="C385" s="4"/>
      <c r="D385" s="4"/>
      <c r="E385" s="9" t="str">
        <f>_xll.BQL("ALK US Equity", "FA_GROWTH(CB_CF_PURCHASES_OF_ST_MARKTABLE_SECS, YOY)", "FPT=A", "FPO=4A", "ACT_EST_MAPPING=PRECISE", "FS=MRC", "CURRENCY=USD", "XLFILL=b")</f>
        <v/>
      </c>
      <c r="F385" s="9">
        <f>_xll.BQL("ALK US Equity", "FA_GROWTH(CB_CF_PURCHASES_OF_ST_MARKTABLE_SECS, YOY)", "FPT=A", "FPO=3A", "ACT_EST_MAPPING=PRECISE", "FS=MRC", "CURRENCY=USD", "XLFILL=b")</f>
        <v>39.130434782608695</v>
      </c>
      <c r="G385" s="9">
        <f>_xll.BQL("ALK US Equity", "FA_GROWTH(CB_CF_PURCHASES_OF_ST_MARKTABLE_SECS, YOY)", "FPT=A", "FPO=2A", "ACT_EST_MAPPING=PRECISE", "FS=MRC", "CURRENCY=USD", "XLFILL=b")</f>
        <v>-254.20944558521558</v>
      </c>
      <c r="H385" s="9">
        <f>_xll.BQL("ALK US Equity", "FA_GROWTH(CB_CF_PURCHASES_OF_ST_MARKTABLE_SECS, YOY)", "FPT=A", "FPO=1A", "ACT_EST_MAPPING=PRECISE", "FS=MRC", "CURRENCY=USD", "XLFILL=b")</f>
        <v>39.427860696517413</v>
      </c>
      <c r="I385" s="9">
        <f>_xll.BQL("ALK US Equity", "FA_GROWTH(CB_CF_PURCHASES_OF_ST_MARKTABLE_SECS, YOY)", "FPT=A", "FPO=0A", "ACT_EST_MAPPING=PRECISE", "FS=MRC", "CURRENCY=USD", "XLFILL=b")</f>
        <v>70.172509738452973</v>
      </c>
      <c r="J385" s="9">
        <f>_xll.BQL("ALK US Equity", "FA_GROWTH(CB_CF_PURCHASES_OF_ST_MARKTABLE_SECS, YOY)", "FPT=A", "FPO=-1A", "ACT_EST_MAPPING=PRECISE", "FS=MRC", "CURRENCY=USD", "XLFILL=b")</f>
        <v>58.219018832829576</v>
      </c>
      <c r="K385" s="9">
        <f>_xll.BQL("ALK US Equity", "FA_GROWTH(CB_CF_PURCHASES_OF_ST_MARKTABLE_SECS, YOY)", "FPT=A", "FPO=-2A", "ACT_EST_MAPPING=PRECISE", "FS=MRC", "CURRENCY=USD", "XLFILL=b")</f>
        <v>-45.205941931127619</v>
      </c>
      <c r="L385" s="9">
        <f>_xll.BQL("ALK US Equity", "FA_GROWTH(CB_CF_PURCHASES_OF_ST_MARKTABLE_SECS, YOY)", "FPT=A", "FPO=-3A", "ACT_EST_MAPPING=PRECISE", "FS=MRC", "CURRENCY=USD", "XLFILL=b")</f>
        <v>-63.646408839779006</v>
      </c>
      <c r="M385" s="9">
        <f>_xll.BQL("ALK US Equity", "FA_GROWTH(CB_CF_PURCHASES_OF_ST_MARKTABLE_SECS, YOY)", "FPT=A", "FPO=-4A", "ACT_EST_MAPPING=PRECISE", "FS=MRC", "CURRENCY=USD", "XLFILL=b")</f>
        <v>-117.02637889688249</v>
      </c>
      <c r="N385" s="9">
        <f>_xll.BQL("ALK US Equity", "FA_GROWTH(CB_CF_PURCHASES_OF_ST_MARKTABLE_SECS, YOY)", "FPT=A", "FPO=-5A", "ACT_EST_MAPPING=PRECISE", "FS=MRC", "CURRENCY=USD", "XLFILL=b")</f>
        <v>46.845124282982795</v>
      </c>
    </row>
    <row r="386" spans="1:14" x14ac:dyDescent="0.2">
      <c r="A386" s="8" t="s">
        <v>400</v>
      </c>
      <c r="B386" s="4" t="s">
        <v>401</v>
      </c>
      <c r="C386" s="4" t="s">
        <v>402</v>
      </c>
      <c r="D386" s="4"/>
      <c r="E386" s="9" t="str">
        <f>_xll.BQL("ALK US Equity", "CF_CASH_FROM_INV_ACT/1M", "FPT=A", "FPO=4A", "ACT_EST_MAPPING=PRECISE", "FS=MRC", "CURRENCY=USD", "XLFILL=b")</f>
        <v/>
      </c>
      <c r="F386" s="9">
        <f>_xll.BQL("ALK US Equity", "CF_CASH_FROM_INV_ACT/1M", "FPT=A", "FPO=3A", "ACT_EST_MAPPING=PRECISE", "FS=MRC", "CURRENCY=USD", "XLFILL=b")</f>
        <v>-1323.8817327388354</v>
      </c>
      <c r="G386" s="9">
        <f>_xll.BQL("ALK US Equity", "CF_CASH_FROM_INV_ACT/1M", "FPT=A", "FPO=2A", "ACT_EST_MAPPING=PRECISE", "FS=MRC", "CURRENCY=USD", "XLFILL=b")</f>
        <v>-1330.8029157370013</v>
      </c>
      <c r="H386" s="9">
        <f>_xll.BQL("ALK US Equity", "CF_CASH_FROM_INV_ACT/1M", "FPT=A", "FPO=1A", "ACT_EST_MAPPING=PRECISE", "FS=MRC", "CURRENCY=USD", "XLFILL=b")</f>
        <v>-897.60001482411894</v>
      </c>
      <c r="I386" s="9">
        <f>_xll.BQL("ALK US Equity", "CF_CASH_FROM_INV_ACT/1M", "FPT=A", "FPO=0A", "ACT_EST_MAPPING=PRECISE", "FS=MRC", "CURRENCY=USD", "XLFILL=b")</f>
        <v>-964</v>
      </c>
      <c r="J386" s="9">
        <f>_xll.BQL("ALK US Equity", "CF_CASH_FROM_INV_ACT/1M", "FPT=A", "FPO=-1A", "ACT_EST_MAPPING=PRECISE", "FS=MRC", "CURRENCY=USD", "XLFILL=b")</f>
        <v>-1218</v>
      </c>
      <c r="K386" s="9">
        <f>_xll.BQL("ALK US Equity", "CF_CASH_FROM_INV_ACT/1M", "FPT=A", "FPO=-2A", "ACT_EST_MAPPING=PRECISE", "FS=MRC", "CURRENCY=USD", "XLFILL=b")</f>
        <v>-1008</v>
      </c>
      <c r="L386" s="9">
        <f>_xll.BQL("ALK US Equity", "CF_CASH_FROM_INV_ACT/1M", "FPT=A", "FPO=-3A", "ACT_EST_MAPPING=PRECISE", "FS=MRC", "CURRENCY=USD", "XLFILL=b")</f>
        <v>-593</v>
      </c>
      <c r="M386" s="9">
        <f>_xll.BQL("ALK US Equity", "CF_CASH_FROM_INV_ACT/1M", "FPT=A", "FPO=-4A", "ACT_EST_MAPPING=PRECISE", "FS=MRC", "CURRENCY=USD", "XLFILL=b")</f>
        <v>-791</v>
      </c>
      <c r="N386" s="9">
        <f>_xll.BQL("ALK US Equity", "CF_CASH_FROM_INV_ACT/1M", "FPT=A", "FPO=-5A", "ACT_EST_MAPPING=PRECISE", "FS=MRC", "CURRENCY=USD", "XLFILL=b")</f>
        <v>-631</v>
      </c>
    </row>
    <row r="387" spans="1:14" x14ac:dyDescent="0.2">
      <c r="A387" s="8" t="s">
        <v>12</v>
      </c>
      <c r="B387" s="4" t="s">
        <v>401</v>
      </c>
      <c r="C387" s="4" t="s">
        <v>402</v>
      </c>
      <c r="D387" s="4"/>
      <c r="E387" s="9" t="str">
        <f>_xll.BQL("ALK US Equity", "FA_GROWTH(CF_CASH_FROM_INV_ACT, YOY)", "FPT=A", "FPO=4A", "ACT_EST_MAPPING=PRECISE", "FS=MRC", "CURRENCY=USD", "XLFILL=b")</f>
        <v/>
      </c>
      <c r="F387" s="9">
        <f>_xll.BQL("ALK US Equity", "FA_GROWTH(CF_CASH_FROM_INV_ACT, YOY)", "FPT=A", "FPO=3A", "ACT_EST_MAPPING=PRECISE", "FS=MRC", "CURRENCY=USD", "XLFILL=b")</f>
        <v>0.52007573144915165</v>
      </c>
      <c r="G387" s="9">
        <f>_xll.BQL("ALK US Equity", "FA_GROWTH(CF_CASH_FROM_INV_ACT, YOY)", "FPT=A", "FPO=2A", "ACT_EST_MAPPING=PRECISE", "FS=MRC", "CURRENCY=USD", "XLFILL=b")</f>
        <v>-48.262354473976536</v>
      </c>
      <c r="H387" s="9">
        <f>_xll.BQL("ALK US Equity", "FA_GROWTH(CF_CASH_FROM_INV_ACT, YOY)", "FPT=A", "FPO=1A", "ACT_EST_MAPPING=PRECISE", "FS=MRC", "CURRENCY=USD", "XLFILL=b")</f>
        <v>6.8879652672075746</v>
      </c>
      <c r="I387" s="9">
        <f>_xll.BQL("ALK US Equity", "FA_GROWTH(CF_CASH_FROM_INV_ACT, YOY)", "FPT=A", "FPO=0A", "ACT_EST_MAPPING=PRECISE", "FS=MRC", "CURRENCY=USD", "XLFILL=b")</f>
        <v>20.853858784893269</v>
      </c>
      <c r="J387" s="9">
        <f>_xll.BQL("ALK US Equity", "FA_GROWTH(CF_CASH_FROM_INV_ACT, YOY)", "FPT=A", "FPO=-1A", "ACT_EST_MAPPING=PRECISE", "FS=MRC", "CURRENCY=USD", "XLFILL=b")</f>
        <v>-20.833333333333332</v>
      </c>
      <c r="K387" s="9">
        <f>_xll.BQL("ALK US Equity", "FA_GROWTH(CF_CASH_FROM_INV_ACT, YOY)", "FPT=A", "FPO=-2A", "ACT_EST_MAPPING=PRECISE", "FS=MRC", "CURRENCY=USD", "XLFILL=b")</f>
        <v>-69.983136593591908</v>
      </c>
      <c r="L387" s="9">
        <f>_xll.BQL("ALK US Equity", "FA_GROWTH(CF_CASH_FROM_INV_ACT, YOY)", "FPT=A", "FPO=-3A", "ACT_EST_MAPPING=PRECISE", "FS=MRC", "CURRENCY=USD", "XLFILL=b")</f>
        <v>25.031605562579013</v>
      </c>
      <c r="M387" s="9">
        <f>_xll.BQL("ALK US Equity", "FA_GROWTH(CF_CASH_FROM_INV_ACT, YOY)", "FPT=A", "FPO=-4A", "ACT_EST_MAPPING=PRECISE", "FS=MRC", "CURRENCY=USD", "XLFILL=b")</f>
        <v>-25.356576862123614</v>
      </c>
      <c r="N387" s="9">
        <f>_xll.BQL("ALK US Equity", "FA_GROWTH(CF_CASH_FROM_INV_ACT, YOY)", "FPT=A", "FPO=-5A", "ACT_EST_MAPPING=PRECISE", "FS=MRC", "CURRENCY=USD", "XLFILL=b")</f>
        <v>44.109831709477412</v>
      </c>
    </row>
    <row r="388" spans="1:14" x14ac:dyDescent="0.2">
      <c r="A388" s="8" t="s">
        <v>16</v>
      </c>
      <c r="B388" s="4"/>
      <c r="C388" s="4"/>
      <c r="D388" s="4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x14ac:dyDescent="0.2">
      <c r="A389" s="8" t="s">
        <v>403</v>
      </c>
      <c r="B389" s="4"/>
      <c r="C389" s="4" t="s">
        <v>404</v>
      </c>
      <c r="D389" s="4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x14ac:dyDescent="0.2">
      <c r="A390" s="8" t="s">
        <v>405</v>
      </c>
      <c r="B390" s="4" t="s">
        <v>406</v>
      </c>
      <c r="C390" s="4" t="s">
        <v>407</v>
      </c>
      <c r="D390" s="4"/>
      <c r="E390" s="9" t="str">
        <f>_xll.BQL("ALK US Equity", "CF_DVD_PAID/1M", "FPT=A", "FPO=4A", "ACT_EST_MAPPING=PRECISE", "FS=MRC", "CURRENCY=USD", "XLFILL=b")</f>
        <v/>
      </c>
      <c r="F390" s="9" t="str">
        <f>_xll.BQL("ALK US Equity", "CF_DVD_PAID/1M", "FPT=A", "FPO=3A", "ACT_EST_MAPPING=PRECISE", "FS=MRC", "CURRENCY=USD", "XLFILL=b")</f>
        <v/>
      </c>
      <c r="G390" s="9">
        <f>_xll.BQL("ALK US Equity", "CF_DVD_PAID/1M", "FPT=A", "FPO=2A", "ACT_EST_MAPPING=PRECISE", "FS=MRC", "CURRENCY=USD", "XLFILL=b")</f>
        <v>-100.78133333333332</v>
      </c>
      <c r="H390" s="9">
        <f>_xll.BQL("ALK US Equity", "CF_DVD_PAID/1M", "FPT=A", "FPO=1A", "ACT_EST_MAPPING=PRECISE", "FS=MRC", "CURRENCY=USD", "XLFILL=b")</f>
        <v>-101.44799999999999</v>
      </c>
      <c r="I390" s="9">
        <f>_xll.BQL("ALK US Equity", "CF_DVD_PAID/1M", "FPT=A", "FPO=0A", "ACT_EST_MAPPING=PRECISE", "FS=MRC", "CURRENCY=USD", "XLFILL=b")</f>
        <v>0</v>
      </c>
      <c r="J390" s="9">
        <f>_xll.BQL("ALK US Equity", "CF_DVD_PAID/1M", "FPT=A", "FPO=-1A", "ACT_EST_MAPPING=PRECISE", "FS=MRC", "CURRENCY=USD", "XLFILL=b")</f>
        <v>0</v>
      </c>
      <c r="K390" s="9">
        <f>_xll.BQL("ALK US Equity", "CF_DVD_PAID/1M", "FPT=A", "FPO=-2A", "ACT_EST_MAPPING=PRECISE", "FS=MRC", "CURRENCY=USD", "XLFILL=b")</f>
        <v>0</v>
      </c>
      <c r="L390" s="9">
        <f>_xll.BQL("ALK US Equity", "CF_DVD_PAID/1M", "FPT=A", "FPO=-3A", "ACT_EST_MAPPING=PRECISE", "FS=MRC", "CURRENCY=USD", "XLFILL=b")</f>
        <v>-45</v>
      </c>
      <c r="M390" s="9">
        <f>_xll.BQL("ALK US Equity", "CF_DVD_PAID/1M", "FPT=A", "FPO=-4A", "ACT_EST_MAPPING=PRECISE", "FS=MRC", "CURRENCY=USD", "XLFILL=b")</f>
        <v>-173</v>
      </c>
      <c r="N390" s="9">
        <f>_xll.BQL("ALK US Equity", "CF_DVD_PAID/1M", "FPT=A", "FPO=-5A", "ACT_EST_MAPPING=PRECISE", "FS=MRC", "CURRENCY=USD", "XLFILL=b")</f>
        <v>-158</v>
      </c>
    </row>
    <row r="391" spans="1:14" x14ac:dyDescent="0.2">
      <c r="A391" s="8" t="s">
        <v>64</v>
      </c>
      <c r="B391" s="4" t="s">
        <v>406</v>
      </c>
      <c r="C391" s="4" t="s">
        <v>407</v>
      </c>
      <c r="D391" s="4"/>
      <c r="E391" s="9" t="str">
        <f>_xll.BQL("ALK US Equity", "FA_GROWTH(CF_DVD_PAID, YOY)", "FPT=A", "FPO=4A", "ACT_EST_MAPPING=PRECISE", "FS=MRC", "CURRENCY=USD", "XLFILL=b")</f>
        <v/>
      </c>
      <c r="F391" s="9" t="str">
        <f>_xll.BQL("ALK US Equity", "FA_GROWTH(CF_DVD_PAID, YOY)", "FPT=A", "FPO=3A", "ACT_EST_MAPPING=PRECISE", "FS=MRC", "CURRENCY=USD", "XLFILL=b")</f>
        <v/>
      </c>
      <c r="G391" s="9">
        <f>_xll.BQL("ALK US Equity", "FA_GROWTH(CF_DVD_PAID, YOY)", "FPT=A", "FPO=2A", "ACT_EST_MAPPING=PRECISE", "FS=MRC", "CURRENCY=USD", "XLFILL=b")</f>
        <v>0.65715111847120855</v>
      </c>
      <c r="H391" s="9" t="str">
        <f>_xll.BQL("ALK US Equity", "FA_GROWTH(CF_DVD_PAID, YOY)", "FPT=A", "FPO=1A", "ACT_EST_MAPPING=PRECISE", "FS=MRC", "CURRENCY=USD", "XLFILL=b")</f>
        <v/>
      </c>
      <c r="I391" s="9" t="str">
        <f>_xll.BQL("ALK US Equity", "FA_GROWTH(CF_DVD_PAID, YOY)", "FPT=A", "FPO=0A", "ACT_EST_MAPPING=PRECISE", "FS=MRC", "CURRENCY=USD", "XLFILL=b")</f>
        <v/>
      </c>
      <c r="J391" s="9" t="str">
        <f>_xll.BQL("ALK US Equity", "FA_GROWTH(CF_DVD_PAID, YOY)", "FPT=A", "FPO=-1A", "ACT_EST_MAPPING=PRECISE", "FS=MRC", "CURRENCY=USD", "XLFILL=b")</f>
        <v/>
      </c>
      <c r="K391" s="9">
        <f>_xll.BQL("ALK US Equity", "FA_GROWTH(CF_DVD_PAID, YOY)", "FPT=A", "FPO=-2A", "ACT_EST_MAPPING=PRECISE", "FS=MRC", "CURRENCY=USD", "XLFILL=b")</f>
        <v>100</v>
      </c>
      <c r="L391" s="9">
        <f>_xll.BQL("ALK US Equity", "FA_GROWTH(CF_DVD_PAID, YOY)", "FPT=A", "FPO=-3A", "ACT_EST_MAPPING=PRECISE", "FS=MRC", "CURRENCY=USD", "XLFILL=b")</f>
        <v>73.988439306358387</v>
      </c>
      <c r="M391" s="9">
        <f>_xll.BQL("ALK US Equity", "FA_GROWTH(CF_DVD_PAID, YOY)", "FPT=A", "FPO=-4A", "ACT_EST_MAPPING=PRECISE", "FS=MRC", "CURRENCY=USD", "XLFILL=b")</f>
        <v>-9.4936708860759502</v>
      </c>
      <c r="N391" s="9">
        <f>_xll.BQL("ALK US Equity", "FA_GROWTH(CF_DVD_PAID, YOY)", "FPT=A", "FPO=-5A", "ACT_EST_MAPPING=PRECISE", "FS=MRC", "CURRENCY=USD", "XLFILL=b")</f>
        <v>-6.756756756756757</v>
      </c>
    </row>
    <row r="392" spans="1:14" x14ac:dyDescent="0.2">
      <c r="A392" s="8" t="s">
        <v>408</v>
      </c>
      <c r="B392" s="4" t="s">
        <v>409</v>
      </c>
      <c r="C392" s="4" t="s">
        <v>410</v>
      </c>
      <c r="D392" s="4"/>
      <c r="E392" s="9" t="str">
        <f>_xll.BQL("ALK US Equity", "CF_PROCEEDS_REPAYMNTS_BORROWINGS/1M", "FPT=A", "FPO=4A", "ACT_EST_MAPPING=PRECISE", "FS=MRC", "CURRENCY=USD", "XLFILL=b")</f>
        <v/>
      </c>
      <c r="F392" s="9">
        <f>_xll.BQL("ALK US Equity", "CF_PROCEEDS_REPAYMNTS_BORROWINGS/1M", "FPT=A", "FPO=3A", "ACT_EST_MAPPING=PRECISE", "FS=MRC", "CURRENCY=USD", "XLFILL=b")</f>
        <v>116.11300000000006</v>
      </c>
      <c r="G392" s="9">
        <f>_xll.BQL("ALK US Equity", "CF_PROCEEDS_REPAYMNTS_BORROWINGS/1M", "FPT=A", "FPO=2A", "ACT_EST_MAPPING=PRECISE", "FS=MRC", "CURRENCY=USD", "XLFILL=b")</f>
        <v>377.89355</v>
      </c>
      <c r="H392" s="9">
        <f>_xll.BQL("ALK US Equity", "CF_PROCEEDS_REPAYMNTS_BORROWINGS/1M", "FPT=A", "FPO=1A", "ACT_EST_MAPPING=PRECISE", "FS=MRC", "CURRENCY=USD", "XLFILL=b")</f>
        <v>-103.5</v>
      </c>
      <c r="I392" s="9">
        <f>_xll.BQL("ALK US Equity", "CF_PROCEEDS_REPAYMNTS_BORROWINGS/1M", "FPT=A", "FPO=0A", "ACT_EST_MAPPING=PRECISE", "FS=MRC", "CURRENCY=USD", "XLFILL=b")</f>
        <v>129</v>
      </c>
      <c r="J392" s="9">
        <f>_xll.BQL("ALK US Equity", "CF_PROCEEDS_REPAYMNTS_BORROWINGS/1M", "FPT=A", "FPO=-1A", "ACT_EST_MAPPING=PRECISE", "FS=MRC", "CURRENCY=USD", "XLFILL=b")</f>
        <v>-385</v>
      </c>
      <c r="K392" s="9">
        <f>_xll.BQL("ALK US Equity", "CF_PROCEEDS_REPAYMNTS_BORROWINGS/1M", "FPT=A", "FPO=-2A", "ACT_EST_MAPPING=PRECISE", "FS=MRC", "CURRENCY=USD", "XLFILL=b")</f>
        <v>-971</v>
      </c>
      <c r="L392" s="9">
        <f>_xll.BQL("ALK US Equity", "CF_PROCEEDS_REPAYMNTS_BORROWINGS/1M", "FPT=A", "FPO=-3A", "ACT_EST_MAPPING=PRECISE", "FS=MRC", "CURRENCY=USD", "XLFILL=b")</f>
        <v>1999</v>
      </c>
      <c r="M392" s="9">
        <f>_xll.BQL("ALK US Equity", "CF_PROCEEDS_REPAYMNTS_BORROWINGS/1M", "FPT=A", "FPO=-4A", "ACT_EST_MAPPING=PRECISE", "FS=MRC", "CURRENCY=USD", "XLFILL=b")</f>
        <v>-608</v>
      </c>
      <c r="N392" s="9">
        <f>_xll.BQL("ALK US Equity", "CF_PROCEEDS_REPAYMNTS_BORROWINGS/1M", "FPT=A", "FPO=-5A", "ACT_EST_MAPPING=PRECISE", "FS=MRC", "CURRENCY=USD", "XLFILL=b")</f>
        <v>-468</v>
      </c>
    </row>
    <row r="393" spans="1:14" x14ac:dyDescent="0.2">
      <c r="A393" s="8" t="s">
        <v>64</v>
      </c>
      <c r="B393" s="4" t="s">
        <v>409</v>
      </c>
      <c r="C393" s="4" t="s">
        <v>410</v>
      </c>
      <c r="D393" s="4"/>
      <c r="E393" s="9" t="str">
        <f>_xll.BQL("ALK US Equity", "FA_GROWTH(CF_PROCEEDS_REPAYMNTS_BORROWINGS, YOY)", "FPT=A", "FPO=4A", "ACT_EST_MAPPING=PRECISE", "FS=MRC", "CURRENCY=USD", "XLFILL=b")</f>
        <v/>
      </c>
      <c r="F393" s="9">
        <f>_xll.BQL("ALK US Equity", "FA_GROWTH(CF_PROCEEDS_REPAYMNTS_BORROWINGS, YOY)", "FPT=A", "FPO=3A", "ACT_EST_MAPPING=PRECISE", "FS=MRC", "CURRENCY=USD", "XLFILL=b")</f>
        <v>-69.273622161584896</v>
      </c>
      <c r="G393" s="9">
        <f>_xll.BQL("ALK US Equity", "FA_GROWTH(CF_PROCEEDS_REPAYMNTS_BORROWINGS, YOY)", "FPT=A", "FPO=2A", "ACT_EST_MAPPING=PRECISE", "FS=MRC", "CURRENCY=USD", "XLFILL=b")</f>
        <v>465.11454106280195</v>
      </c>
      <c r="H393" s="9">
        <f>_xll.BQL("ALK US Equity", "FA_GROWTH(CF_PROCEEDS_REPAYMNTS_BORROWINGS, YOY)", "FPT=A", "FPO=1A", "ACT_EST_MAPPING=PRECISE", "FS=MRC", "CURRENCY=USD", "XLFILL=b")</f>
        <v>-180.23255813953489</v>
      </c>
      <c r="I393" s="9">
        <f>_xll.BQL("ALK US Equity", "FA_GROWTH(CF_PROCEEDS_REPAYMNTS_BORROWINGS, YOY)", "FPT=A", "FPO=0A", "ACT_EST_MAPPING=PRECISE", "FS=MRC", "CURRENCY=USD", "XLFILL=b")</f>
        <v>133.50649350649351</v>
      </c>
      <c r="J393" s="9">
        <f>_xll.BQL("ALK US Equity", "FA_GROWTH(CF_PROCEEDS_REPAYMNTS_BORROWINGS, YOY)", "FPT=A", "FPO=-1A", "ACT_EST_MAPPING=PRECISE", "FS=MRC", "CURRENCY=USD", "XLFILL=b")</f>
        <v>60.350154479917613</v>
      </c>
      <c r="K393" s="9">
        <f>_xll.BQL("ALK US Equity", "FA_GROWTH(CF_PROCEEDS_REPAYMNTS_BORROWINGS, YOY)", "FPT=A", "FPO=-2A", "ACT_EST_MAPPING=PRECISE", "FS=MRC", "CURRENCY=USD", "XLFILL=b")</f>
        <v>-148.57428714357178</v>
      </c>
      <c r="L393" s="9">
        <f>_xll.BQL("ALK US Equity", "FA_GROWTH(CF_PROCEEDS_REPAYMNTS_BORROWINGS, YOY)", "FPT=A", "FPO=-3A", "ACT_EST_MAPPING=PRECISE", "FS=MRC", "CURRENCY=USD", "XLFILL=b")</f>
        <v>428.78289473684208</v>
      </c>
      <c r="M393" s="9">
        <f>_xll.BQL("ALK US Equity", "FA_GROWTH(CF_PROCEEDS_REPAYMNTS_BORROWINGS, YOY)", "FPT=A", "FPO=-4A", "ACT_EST_MAPPING=PRECISE", "FS=MRC", "CURRENCY=USD", "XLFILL=b")</f>
        <v>-29.914529914529915</v>
      </c>
      <c r="N393" s="9">
        <f>_xll.BQL("ALK US Equity", "FA_GROWTH(CF_PROCEEDS_REPAYMNTS_BORROWINGS, YOY)", "FPT=A", "FPO=-5A", "ACT_EST_MAPPING=PRECISE", "FS=MRC", "CURRENCY=USD", "XLFILL=b")</f>
        <v>-17.884130982367758</v>
      </c>
    </row>
    <row r="394" spans="1:14" x14ac:dyDescent="0.2">
      <c r="A394" s="8" t="s">
        <v>411</v>
      </c>
      <c r="B394" s="4" t="s">
        <v>412</v>
      </c>
      <c r="C394" s="4" t="s">
        <v>413</v>
      </c>
      <c r="D394" s="4"/>
      <c r="E394" s="9" t="str">
        <f>_xll.BQL("ALK US Equity", "CF_PROC_LT_DEBT_AND_CAPITAL_LEASE/1M", "FPT=A", "FPO=4A", "ACT_EST_MAPPING=PRECISE", "FS=MRC", "CURRENCY=USD", "XLFILL=b")</f>
        <v/>
      </c>
      <c r="F394" s="9">
        <f>_xll.BQL("ALK US Equity", "CF_PROC_LT_DEBT_AND_CAPITAL_LEASE/1M", "FPT=A", "FPO=3A", "ACT_EST_MAPPING=PRECISE", "FS=MRC", "CURRENCY=USD", "XLFILL=b")</f>
        <v>516.25</v>
      </c>
      <c r="G394" s="9">
        <f>_xll.BQL("ALK US Equity", "CF_PROC_LT_DEBT_AND_CAPITAL_LEASE/1M", "FPT=A", "FPO=2A", "ACT_EST_MAPPING=PRECISE", "FS=MRC", "CURRENCY=USD", "XLFILL=b")</f>
        <v>744.11469999999997</v>
      </c>
      <c r="H394" s="9">
        <f>_xll.BQL("ALK US Equity", "CF_PROC_LT_DEBT_AND_CAPITAL_LEASE/1M", "FPT=A", "FPO=1A", "ACT_EST_MAPPING=PRECISE", "FS=MRC", "CURRENCY=USD", "XLFILL=b")</f>
        <v>244.25</v>
      </c>
      <c r="I394" s="9">
        <f>_xll.BQL("ALK US Equity", "CF_PROC_LT_DEBT_AND_CAPITAL_LEASE/1M", "FPT=A", "FPO=0A", "ACT_EST_MAPPING=PRECISE", "FS=MRC", "CURRENCY=USD", "XLFILL=b")</f>
        <v>411</v>
      </c>
      <c r="J394" s="9">
        <f>_xll.BQL("ALK US Equity", "CF_PROC_LT_DEBT_AND_CAPITAL_LEASE/1M", "FPT=A", "FPO=-1A", "ACT_EST_MAPPING=PRECISE", "FS=MRC", "CURRENCY=USD", "XLFILL=b")</f>
        <v>0</v>
      </c>
      <c r="K394" s="9">
        <f>_xll.BQL("ALK US Equity", "CF_PROC_LT_DEBT_AND_CAPITAL_LEASE/1M", "FPT=A", "FPO=-2A", "ACT_EST_MAPPING=PRECISE", "FS=MRC", "CURRENCY=USD", "XLFILL=b")</f>
        <v>363</v>
      </c>
      <c r="L394" s="9">
        <f>_xll.BQL("ALK US Equity", "CF_PROC_LT_DEBT_AND_CAPITAL_LEASE/1M", "FPT=A", "FPO=-3A", "ACT_EST_MAPPING=PRECISE", "FS=MRC", "CURRENCY=USD", "XLFILL=b")</f>
        <v>2564</v>
      </c>
      <c r="M394" s="9">
        <f>_xll.BQL("ALK US Equity", "CF_PROC_LT_DEBT_AND_CAPITAL_LEASE/1M", "FPT=A", "FPO=-4A", "ACT_EST_MAPPING=PRECISE", "FS=MRC", "CURRENCY=USD", "XLFILL=b")</f>
        <v>450</v>
      </c>
      <c r="N394" s="9">
        <f>_xll.BQL("ALK US Equity", "CF_PROC_LT_DEBT_AND_CAPITAL_LEASE/1M", "FPT=A", "FPO=-5A", "ACT_EST_MAPPING=PRECISE", "FS=MRC", "CURRENCY=USD", "XLFILL=b")</f>
        <v>339</v>
      </c>
    </row>
    <row r="395" spans="1:14" x14ac:dyDescent="0.2">
      <c r="A395" s="8" t="s">
        <v>67</v>
      </c>
      <c r="B395" s="4" t="s">
        <v>412</v>
      </c>
      <c r="C395" s="4" t="s">
        <v>413</v>
      </c>
      <c r="D395" s="4"/>
      <c r="E395" s="9" t="str">
        <f>_xll.BQL("ALK US Equity", "FA_GROWTH(CF_PROC_LT_DEBT_AND_CAPITAL_LEASE, YOY)", "FPT=A", "FPO=4A", "ACT_EST_MAPPING=PRECISE", "FS=MRC", "CURRENCY=USD", "XLFILL=b")</f>
        <v/>
      </c>
      <c r="F395" s="9">
        <f>_xll.BQL("ALK US Equity", "FA_GROWTH(CF_PROC_LT_DEBT_AND_CAPITAL_LEASE, YOY)", "FPT=A", "FPO=3A", "ACT_EST_MAPPING=PRECISE", "FS=MRC", "CURRENCY=USD", "XLFILL=b")</f>
        <v>-30.622254875491642</v>
      </c>
      <c r="G395" s="9">
        <f>_xll.BQL("ALK US Equity", "FA_GROWTH(CF_PROC_LT_DEBT_AND_CAPITAL_LEASE, YOY)", "FPT=A", "FPO=2A", "ACT_EST_MAPPING=PRECISE", "FS=MRC", "CURRENCY=USD", "XLFILL=b")</f>
        <v>204.65289662231319</v>
      </c>
      <c r="H395" s="9">
        <f>_xll.BQL("ALK US Equity", "FA_GROWTH(CF_PROC_LT_DEBT_AND_CAPITAL_LEASE, YOY)", "FPT=A", "FPO=1A", "ACT_EST_MAPPING=PRECISE", "FS=MRC", "CURRENCY=USD", "XLFILL=b")</f>
        <v>-40.571776155717764</v>
      </c>
      <c r="I395" s="9" t="str">
        <f>_xll.BQL("ALK US Equity", "FA_GROWTH(CF_PROC_LT_DEBT_AND_CAPITAL_LEASE, YOY)", "FPT=A", "FPO=0A", "ACT_EST_MAPPING=PRECISE", "FS=MRC", "CURRENCY=USD", "XLFILL=b")</f>
        <v/>
      </c>
      <c r="J395" s="9">
        <f>_xll.BQL("ALK US Equity", "FA_GROWTH(CF_PROC_LT_DEBT_AND_CAPITAL_LEASE, YOY)", "FPT=A", "FPO=-1A", "ACT_EST_MAPPING=PRECISE", "FS=MRC", "CURRENCY=USD", "XLFILL=b")</f>
        <v>-100</v>
      </c>
      <c r="K395" s="9">
        <f>_xll.BQL("ALK US Equity", "FA_GROWTH(CF_PROC_LT_DEBT_AND_CAPITAL_LEASE, YOY)", "FPT=A", "FPO=-2A", "ACT_EST_MAPPING=PRECISE", "FS=MRC", "CURRENCY=USD", "XLFILL=b")</f>
        <v>-85.8424336973479</v>
      </c>
      <c r="L395" s="9">
        <f>_xll.BQL("ALK US Equity", "FA_GROWTH(CF_PROC_LT_DEBT_AND_CAPITAL_LEASE, YOY)", "FPT=A", "FPO=-3A", "ACT_EST_MAPPING=PRECISE", "FS=MRC", "CURRENCY=USD", "XLFILL=b")</f>
        <v>469.77777777777777</v>
      </c>
      <c r="M395" s="9">
        <f>_xll.BQL("ALK US Equity", "FA_GROWTH(CF_PROC_LT_DEBT_AND_CAPITAL_LEASE, YOY)", "FPT=A", "FPO=-4A", "ACT_EST_MAPPING=PRECISE", "FS=MRC", "CURRENCY=USD", "XLFILL=b")</f>
        <v>32.743362831858406</v>
      </c>
      <c r="N395" s="9" t="str">
        <f>_xll.BQL("ALK US Equity", "FA_GROWTH(CF_PROC_LT_DEBT_AND_CAPITAL_LEASE, YOY)", "FPT=A", "FPO=-5A", "ACT_EST_MAPPING=PRECISE", "FS=MRC", "CURRENCY=USD", "XLFILL=b")</f>
        <v/>
      </c>
    </row>
    <row r="396" spans="1:14" x14ac:dyDescent="0.2">
      <c r="A396" s="8" t="s">
        <v>414</v>
      </c>
      <c r="B396" s="4" t="s">
        <v>415</v>
      </c>
      <c r="C396" s="4"/>
      <c r="D396" s="4"/>
      <c r="E396" s="9" t="str">
        <f>_xll.BQL("ALK US Equity", "CF_PYMT_LT_DEBT_AND_CAPITAL_LEASE/1M", "FPT=A", "FPO=4A", "ACT_EST_MAPPING=PRECISE", "FS=MRC", "CURRENCY=USD", "XLFILL=b")</f>
        <v/>
      </c>
      <c r="F396" s="9">
        <f>_xll.BQL("ALK US Equity", "CF_PYMT_LT_DEBT_AND_CAPITAL_LEASE/1M", "FPT=A", "FPO=3A", "ACT_EST_MAPPING=PRECISE", "FS=MRC", "CURRENCY=USD", "XLFILL=b")</f>
        <v>-318.5</v>
      </c>
      <c r="G396" s="9">
        <f>_xll.BQL("ALK US Equity", "CF_PYMT_LT_DEBT_AND_CAPITAL_LEASE/1M", "FPT=A", "FPO=2A", "ACT_EST_MAPPING=PRECISE", "FS=MRC", "CURRENCY=USD", "XLFILL=b")</f>
        <v>-358.85714285714289</v>
      </c>
      <c r="H396" s="9">
        <f>_xll.BQL("ALK US Equity", "CF_PYMT_LT_DEBT_AND_CAPITAL_LEASE/1M", "FPT=A", "FPO=1A", "ACT_EST_MAPPING=PRECISE", "FS=MRC", "CURRENCY=USD", "XLFILL=b")</f>
        <v>-282.33333333333331</v>
      </c>
      <c r="I396" s="9">
        <f>_xll.BQL("ALK US Equity", "CF_PYMT_LT_DEBT_AND_CAPITAL_LEASE/1M", "FPT=A", "FPO=0A", "ACT_EST_MAPPING=PRECISE", "FS=MRC", "CURRENCY=USD", "XLFILL=b")</f>
        <v>-282</v>
      </c>
      <c r="J396" s="9">
        <f>_xll.BQL("ALK US Equity", "CF_PYMT_LT_DEBT_AND_CAPITAL_LEASE/1M", "FPT=A", "FPO=-1A", "ACT_EST_MAPPING=PRECISE", "FS=MRC", "CURRENCY=USD", "XLFILL=b")</f>
        <v>-385</v>
      </c>
      <c r="K396" s="9">
        <f>_xll.BQL("ALK US Equity", "CF_PYMT_LT_DEBT_AND_CAPITAL_LEASE/1M", "FPT=A", "FPO=-2A", "ACT_EST_MAPPING=PRECISE", "FS=MRC", "CURRENCY=USD", "XLFILL=b")</f>
        <v>-1334</v>
      </c>
      <c r="L396" s="9">
        <f>_xll.BQL("ALK US Equity", "CF_PYMT_LT_DEBT_AND_CAPITAL_LEASE/1M", "FPT=A", "FPO=-3A", "ACT_EST_MAPPING=PRECISE", "FS=MRC", "CURRENCY=USD", "XLFILL=b")</f>
        <v>-565</v>
      </c>
      <c r="M396" s="9">
        <f>_xll.BQL("ALK US Equity", "CF_PYMT_LT_DEBT_AND_CAPITAL_LEASE/1M", "FPT=A", "FPO=-4A", "ACT_EST_MAPPING=PRECISE", "FS=MRC", "CURRENCY=USD", "XLFILL=b")</f>
        <v>-1058</v>
      </c>
      <c r="N396" s="9">
        <f>_xll.BQL("ALK US Equity", "CF_PYMT_LT_DEBT_AND_CAPITAL_LEASE/1M", "FPT=A", "FPO=-5A", "ACT_EST_MAPPING=PRECISE", "FS=MRC", "CURRENCY=USD", "XLFILL=b")</f>
        <v>-807</v>
      </c>
    </row>
    <row r="397" spans="1:14" x14ac:dyDescent="0.2">
      <c r="A397" s="8" t="s">
        <v>67</v>
      </c>
      <c r="B397" s="4" t="s">
        <v>415</v>
      </c>
      <c r="C397" s="4"/>
      <c r="D397" s="4"/>
      <c r="E397" s="9" t="str">
        <f>_xll.BQL("ALK US Equity", "FA_GROWTH(CF_PYMT_LT_DEBT_AND_CAPITAL_LEASE, YOY)", "FPT=A", "FPO=4A", "ACT_EST_MAPPING=PRECISE", "FS=MRC", "CURRENCY=USD", "XLFILL=b")</f>
        <v/>
      </c>
      <c r="F397" s="9">
        <f>_xll.BQL("ALK US Equity", "FA_GROWTH(CF_PYMT_LT_DEBT_AND_CAPITAL_LEASE, YOY)", "FPT=A", "FPO=3A", "ACT_EST_MAPPING=PRECISE", "FS=MRC", "CURRENCY=USD", "XLFILL=b")</f>
        <v>11.246019108280258</v>
      </c>
      <c r="G397" s="9">
        <f>_xll.BQL("ALK US Equity", "FA_GROWTH(CF_PYMT_LT_DEBT_AND_CAPITAL_LEASE, YOY)", "FPT=A", "FPO=2A", "ACT_EST_MAPPING=PRECISE", "FS=MRC", "CURRENCY=USD", "XLFILL=b")</f>
        <v>-27.104064766402438</v>
      </c>
      <c r="H397" s="9">
        <f>_xll.BQL("ALK US Equity", "FA_GROWTH(CF_PYMT_LT_DEBT_AND_CAPITAL_LEASE, YOY)", "FPT=A", "FPO=1A", "ACT_EST_MAPPING=PRECISE", "FS=MRC", "CURRENCY=USD", "XLFILL=b")</f>
        <v>-0.11820330969266435</v>
      </c>
      <c r="I397" s="9">
        <f>_xll.BQL("ALK US Equity", "FA_GROWTH(CF_PYMT_LT_DEBT_AND_CAPITAL_LEASE, YOY)", "FPT=A", "FPO=0A", "ACT_EST_MAPPING=PRECISE", "FS=MRC", "CURRENCY=USD", "XLFILL=b")</f>
        <v>26.753246753246753</v>
      </c>
      <c r="J397" s="9">
        <f>_xll.BQL("ALK US Equity", "FA_GROWTH(CF_PYMT_LT_DEBT_AND_CAPITAL_LEASE, YOY)", "FPT=A", "FPO=-1A", "ACT_EST_MAPPING=PRECISE", "FS=MRC", "CURRENCY=USD", "XLFILL=b")</f>
        <v>71.139430284857568</v>
      </c>
      <c r="K397" s="9">
        <f>_xll.BQL("ALK US Equity", "FA_GROWTH(CF_PYMT_LT_DEBT_AND_CAPITAL_LEASE, YOY)", "FPT=A", "FPO=-2A", "ACT_EST_MAPPING=PRECISE", "FS=MRC", "CURRENCY=USD", "XLFILL=b")</f>
        <v>-136.10619469026548</v>
      </c>
      <c r="L397" s="9">
        <f>_xll.BQL("ALK US Equity", "FA_GROWTH(CF_PYMT_LT_DEBT_AND_CAPITAL_LEASE, YOY)", "FPT=A", "FPO=-3A", "ACT_EST_MAPPING=PRECISE", "FS=MRC", "CURRENCY=USD", "XLFILL=b")</f>
        <v>46.597353497164463</v>
      </c>
      <c r="M397" s="9">
        <f>_xll.BQL("ALK US Equity", "FA_GROWTH(CF_PYMT_LT_DEBT_AND_CAPITAL_LEASE, YOY)", "FPT=A", "FPO=-4A", "ACT_EST_MAPPING=PRECISE", "FS=MRC", "CURRENCY=USD", "XLFILL=b")</f>
        <v>-31.10285006195787</v>
      </c>
      <c r="N397" s="9">
        <f>_xll.BQL("ALK US Equity", "FA_GROWTH(CF_PYMT_LT_DEBT_AND_CAPITAL_LEASE, YOY)", "FPT=A", "FPO=-5A", "ACT_EST_MAPPING=PRECISE", "FS=MRC", "CURRENCY=USD", "XLFILL=b")</f>
        <v>-103.27455919395466</v>
      </c>
    </row>
    <row r="398" spans="1:14" x14ac:dyDescent="0.2">
      <c r="A398" s="8" t="s">
        <v>416</v>
      </c>
      <c r="B398" s="4" t="s">
        <v>417</v>
      </c>
      <c r="C398" s="4" t="s">
        <v>418</v>
      </c>
      <c r="D398" s="4"/>
      <c r="E398" s="9" t="str">
        <f>_xll.BQL("ALK US Equity", "BS_COM_SHS_REPO_AM_FR_SH_REP_PRG/1M", "FPT=A", "FPO=4A", "ACT_EST_MAPPING=PRECISE", "FS=MRC", "CURRENCY=USD", "XLFILL=b")</f>
        <v/>
      </c>
      <c r="F398" s="9" t="str">
        <f>_xll.BQL("ALK US Equity", "BS_COM_SHS_REPO_AM_FR_SH_REP_PRG/1M", "FPT=A", "FPO=3A", "ACT_EST_MAPPING=PRECISE", "FS=MRC", "CURRENCY=USD", "XLFILL=b")</f>
        <v/>
      </c>
      <c r="G398" s="9" t="str">
        <f>_xll.BQL("ALK US Equity", "BS_COM_SHS_REPO_AM_FR_SH_REP_PRG/1M", "FPT=A", "FPO=2A", "ACT_EST_MAPPING=PRECISE", "FS=MRC", "CURRENCY=USD", "XLFILL=b")</f>
        <v/>
      </c>
      <c r="H398" s="9">
        <f>_xll.BQL("ALK US Equity", "BS_COM_SHS_REPO_AM_FR_SH_REP_PRG/1M", "FPT=A", "FPO=1A", "ACT_EST_MAPPING=PRECISE", "FS=MRC", "CURRENCY=USD", "XLFILL=b")</f>
        <v>35</v>
      </c>
      <c r="I398" s="9">
        <f>_xll.BQL("ALK US Equity", "BS_COM_SHS_REPO_AM_FR_SH_REP_PRG/1M", "FPT=A", "FPO=0A", "ACT_EST_MAPPING=PRECISE", "FS=MRC", "CURRENCY=USD", "XLFILL=b")</f>
        <v>74.991511040000006</v>
      </c>
      <c r="J398" s="9">
        <f>_xll.BQL("ALK US Equity", "BS_COM_SHS_REPO_AM_FR_SH_REP_PRG/1M", "FPT=A", "FPO=-1A", "ACT_EST_MAPPING=PRECISE", "FS=MRC", "CURRENCY=USD", "XLFILL=b")</f>
        <v>338</v>
      </c>
      <c r="K398" s="9">
        <f>_xll.BQL("ALK US Equity", "BS_COM_SHS_REPO_AM_FR_SH_REP_PRG/1M", "FPT=A", "FPO=-2A", "ACT_EST_MAPPING=PRECISE", "FS=MRC", "CURRENCY=USD", "XLFILL=b")</f>
        <v>0</v>
      </c>
      <c r="L398" s="9">
        <f>_xll.BQL("ALK US Equity", "BS_COM_SHS_REPO_AM_FR_SH_REP_PRG/1M", "FPT=A", "FPO=-3A", "ACT_EST_MAPPING=PRECISE", "FS=MRC", "CURRENCY=USD", "XLFILL=b")</f>
        <v>31</v>
      </c>
      <c r="M398" s="9">
        <f>_xll.BQL("ALK US Equity", "BS_COM_SHS_REPO_AM_FR_SH_REP_PRG/1M", "FPT=A", "FPO=-4A", "ACT_EST_MAPPING=PRECISE", "FS=MRC", "CURRENCY=USD", "XLFILL=b")</f>
        <v>75</v>
      </c>
      <c r="N398" s="9">
        <f>_xll.BQL("ALK US Equity", "BS_COM_SHS_REPO_AM_FR_SH_REP_PRG/1M", "FPT=A", "FPO=-5A", "ACT_EST_MAPPING=PRECISE", "FS=MRC", "CURRENCY=USD", "XLFILL=b")</f>
        <v>50</v>
      </c>
    </row>
    <row r="399" spans="1:14" x14ac:dyDescent="0.2">
      <c r="A399" s="8" t="s">
        <v>64</v>
      </c>
      <c r="B399" s="4" t="s">
        <v>417</v>
      </c>
      <c r="C399" s="4" t="s">
        <v>418</v>
      </c>
      <c r="D399" s="4"/>
      <c r="E399" s="9" t="str">
        <f>_xll.BQL("ALK US Equity", "FA_GROWTH(BS_COM_SHS_REPO_AM_FR_SH_REP_PRG, YOY)", "FPT=A", "FPO=4A", "ACT_EST_MAPPING=PRECISE", "FS=MRC", "CURRENCY=USD", "XLFILL=b")</f>
        <v/>
      </c>
      <c r="F399" s="9" t="str">
        <f>_xll.BQL("ALK US Equity", "FA_GROWTH(BS_COM_SHS_REPO_AM_FR_SH_REP_PRG, YOY)", "FPT=A", "FPO=3A", "ACT_EST_MAPPING=PRECISE", "FS=MRC", "CURRENCY=USD", "XLFILL=b")</f>
        <v/>
      </c>
      <c r="G399" s="9" t="str">
        <f>_xll.BQL("ALK US Equity", "FA_GROWTH(BS_COM_SHS_REPO_AM_FR_SH_REP_PRG, YOY)", "FPT=A", "FPO=2A", "ACT_EST_MAPPING=PRECISE", "FS=MRC", "CURRENCY=USD", "XLFILL=b")</f>
        <v/>
      </c>
      <c r="H399" s="9">
        <f>_xll.BQL("ALK US Equity", "FA_GROWTH(BS_COM_SHS_REPO_AM_FR_SH_REP_PRG, YOY)", "FPT=A", "FPO=1A", "ACT_EST_MAPPING=PRECISE", "FS=MRC", "CURRENCY=USD", "XLFILL=b")</f>
        <v>-53.328050715858737</v>
      </c>
      <c r="I399" s="9">
        <f>_xll.BQL("ALK US Equity", "FA_GROWTH(BS_COM_SHS_REPO_AM_FR_SH_REP_PRG, YOY)", "FPT=A", "FPO=0A", "ACT_EST_MAPPING=PRECISE", "FS=MRC", "CURRENCY=USD", "XLFILL=b")</f>
        <v>-77.813162414201173</v>
      </c>
      <c r="J399" s="9" t="str">
        <f>_xll.BQL("ALK US Equity", "FA_GROWTH(BS_COM_SHS_REPO_AM_FR_SH_REP_PRG, YOY)", "FPT=A", "FPO=-1A", "ACT_EST_MAPPING=PRECISE", "FS=MRC", "CURRENCY=USD", "XLFILL=b")</f>
        <v/>
      </c>
      <c r="K399" s="9">
        <f>_xll.BQL("ALK US Equity", "FA_GROWTH(BS_COM_SHS_REPO_AM_FR_SH_REP_PRG, YOY)", "FPT=A", "FPO=-2A", "ACT_EST_MAPPING=PRECISE", "FS=MRC", "CURRENCY=USD", "XLFILL=b")</f>
        <v>-100</v>
      </c>
      <c r="L399" s="9">
        <f>_xll.BQL("ALK US Equity", "FA_GROWTH(BS_COM_SHS_REPO_AM_FR_SH_REP_PRG, YOY)", "FPT=A", "FPO=-3A", "ACT_EST_MAPPING=PRECISE", "FS=MRC", "CURRENCY=USD", "XLFILL=b")</f>
        <v>-58.666666666666664</v>
      </c>
      <c r="M399" s="9">
        <f>_xll.BQL("ALK US Equity", "FA_GROWTH(BS_COM_SHS_REPO_AM_FR_SH_REP_PRG, YOY)", "FPT=A", "FPO=-4A", "ACT_EST_MAPPING=PRECISE", "FS=MRC", "CURRENCY=USD", "XLFILL=b")</f>
        <v>50</v>
      </c>
      <c r="N399" s="9">
        <f>_xll.BQL("ALK US Equity", "FA_GROWTH(BS_COM_SHS_REPO_AM_FR_SH_REP_PRG, YOY)", "FPT=A", "FPO=-5A", "ACT_EST_MAPPING=PRECISE", "FS=MRC", "CURRENCY=USD", "XLFILL=b")</f>
        <v>-33.333333333333336</v>
      </c>
    </row>
    <row r="400" spans="1:14" x14ac:dyDescent="0.2">
      <c r="A400" s="8" t="s">
        <v>419</v>
      </c>
      <c r="B400" s="4" t="s">
        <v>420</v>
      </c>
      <c r="C400" s="4"/>
      <c r="D400" s="4"/>
      <c r="E400" s="9" t="str">
        <f>_xll.BQL("ALK US Equity", "CF_OTHER_FNC_ACT/1M", "FPT=A", "FPO=4A", "ACT_EST_MAPPING=PRECISE", "FS=MRC", "CURRENCY=USD", "XLFILL=b")</f>
        <v/>
      </c>
      <c r="F400" s="9" t="str">
        <f>_xll.BQL("ALK US Equity", "CF_OTHER_FNC_ACT/1M", "FPT=A", "FPO=3A", "ACT_EST_MAPPING=PRECISE", "FS=MRC", "CURRENCY=USD", "XLFILL=b")</f>
        <v/>
      </c>
      <c r="G400" s="9">
        <f>_xll.BQL("ALK US Equity", "CF_OTHER_FNC_ACT/1M", "FPT=A", "FPO=2A", "ACT_EST_MAPPING=PRECISE", "FS=MRC", "CURRENCY=USD", "XLFILL=b")</f>
        <v>-19.37</v>
      </c>
      <c r="H400" s="9">
        <f>_xll.BQL("ALK US Equity", "CF_OTHER_FNC_ACT/1M", "FPT=A", "FPO=1A", "ACT_EST_MAPPING=PRECISE", "FS=MRC", "CURRENCY=USD", "XLFILL=b")</f>
        <v>25.3125</v>
      </c>
      <c r="I400" s="9">
        <f>_xll.BQL("ALK US Equity", "CF_OTHER_FNC_ACT/1M", "FPT=A", "FPO=0A", "ACT_EST_MAPPING=PRECISE", "FS=MRC", "CURRENCY=USD", "XLFILL=b")</f>
        <v>-139</v>
      </c>
      <c r="J400" s="9">
        <f>_xll.BQL("ALK US Equity", "CF_OTHER_FNC_ACT/1M", "FPT=A", "FPO=-1A", "ACT_EST_MAPPING=PRECISE", "FS=MRC", "CURRENCY=USD", "XLFILL=b")</f>
        <v>60</v>
      </c>
      <c r="K400" s="9">
        <f>_xll.BQL("ALK US Equity", "CF_OTHER_FNC_ACT/1M", "FPT=A", "FPO=-2A", "ACT_EST_MAPPING=PRECISE", "FS=MRC", "CURRENCY=USD", "XLFILL=b")</f>
        <v>57</v>
      </c>
      <c r="L400" s="9">
        <f>_xll.BQL("ALK US Equity", "CF_OTHER_FNC_ACT/1M", "FPT=A", "FPO=-3A", "ACT_EST_MAPPING=PRECISE", "FS=MRC", "CURRENCY=USD", "XLFILL=b")</f>
        <v>58</v>
      </c>
      <c r="M400" s="9">
        <f>_xll.BQL("ALK US Equity", "CF_OTHER_FNC_ACT/1M", "FPT=A", "FPO=-4A", "ACT_EST_MAPPING=PRECISE", "FS=MRC", "CURRENCY=USD", "XLFILL=b")</f>
        <v>43</v>
      </c>
      <c r="N400" s="9">
        <f>_xll.BQL("ALK US Equity", "CF_OTHER_FNC_ACT/1M", "FPT=A", "FPO=-5A", "ACT_EST_MAPPING=PRECISE", "FS=MRC", "CURRENCY=USD", "XLFILL=b")</f>
        <v>29</v>
      </c>
    </row>
    <row r="401" spans="1:14" x14ac:dyDescent="0.2">
      <c r="A401" s="8" t="s">
        <v>64</v>
      </c>
      <c r="B401" s="4" t="s">
        <v>420</v>
      </c>
      <c r="C401" s="4"/>
      <c r="D401" s="4"/>
      <c r="E401" s="9" t="str">
        <f>_xll.BQL("ALK US Equity", "FA_GROWTH(CF_OTHER_FNC_ACT, YOY)", "FPT=A", "FPO=4A", "ACT_EST_MAPPING=PRECISE", "FS=MRC", "CURRENCY=USD", "XLFILL=b")</f>
        <v/>
      </c>
      <c r="F401" s="9" t="str">
        <f>_xll.BQL("ALK US Equity", "FA_GROWTH(CF_OTHER_FNC_ACT, YOY)", "FPT=A", "FPO=3A", "ACT_EST_MAPPING=PRECISE", "FS=MRC", "CURRENCY=USD", "XLFILL=b")</f>
        <v/>
      </c>
      <c r="G401" s="9">
        <f>_xll.BQL("ALK US Equity", "FA_GROWTH(CF_OTHER_FNC_ACT, YOY)", "FPT=A", "FPO=2A", "ACT_EST_MAPPING=PRECISE", "FS=MRC", "CURRENCY=USD", "XLFILL=b")</f>
        <v>-176.52345679012345</v>
      </c>
      <c r="H401" s="9">
        <f>_xll.BQL("ALK US Equity", "FA_GROWTH(CF_OTHER_FNC_ACT, YOY)", "FPT=A", "FPO=1A", "ACT_EST_MAPPING=PRECISE", "FS=MRC", "CURRENCY=USD", "XLFILL=b")</f>
        <v>118.21043165467626</v>
      </c>
      <c r="I401" s="9">
        <f>_xll.BQL("ALK US Equity", "FA_GROWTH(CF_OTHER_FNC_ACT, YOY)", "FPT=A", "FPO=0A", "ACT_EST_MAPPING=PRECISE", "FS=MRC", "CURRENCY=USD", "XLFILL=b")</f>
        <v>-331.66666666666669</v>
      </c>
      <c r="J401" s="9">
        <f>_xll.BQL("ALK US Equity", "FA_GROWTH(CF_OTHER_FNC_ACT, YOY)", "FPT=A", "FPO=-1A", "ACT_EST_MAPPING=PRECISE", "FS=MRC", "CURRENCY=USD", "XLFILL=b")</f>
        <v>5.2631578947368425</v>
      </c>
      <c r="K401" s="9">
        <f>_xll.BQL("ALK US Equity", "FA_GROWTH(CF_OTHER_FNC_ACT, YOY)", "FPT=A", "FPO=-2A", "ACT_EST_MAPPING=PRECISE", "FS=MRC", "CURRENCY=USD", "XLFILL=b")</f>
        <v>-1.7241379310344827</v>
      </c>
      <c r="L401" s="9">
        <f>_xll.BQL("ALK US Equity", "FA_GROWTH(CF_OTHER_FNC_ACT, YOY)", "FPT=A", "FPO=-3A", "ACT_EST_MAPPING=PRECISE", "FS=MRC", "CURRENCY=USD", "XLFILL=b")</f>
        <v>34.883720930232556</v>
      </c>
      <c r="M401" s="9">
        <f>_xll.BQL("ALK US Equity", "FA_GROWTH(CF_OTHER_FNC_ACT, YOY)", "FPT=A", "FPO=-4A", "ACT_EST_MAPPING=PRECISE", "FS=MRC", "CURRENCY=USD", "XLFILL=b")</f>
        <v>48.275862068965516</v>
      </c>
      <c r="N401" s="9">
        <f>_xll.BQL("ALK US Equity", "FA_GROWTH(CF_OTHER_FNC_ACT, YOY)", "FPT=A", "FPO=-5A", "ACT_EST_MAPPING=PRECISE", "FS=MRC", "CURRENCY=USD", "XLFILL=b")</f>
        <v>3.5714285714285716</v>
      </c>
    </row>
    <row r="402" spans="1:14" x14ac:dyDescent="0.2">
      <c r="A402" s="8" t="s">
        <v>421</v>
      </c>
      <c r="B402" s="4" t="s">
        <v>422</v>
      </c>
      <c r="C402" s="4" t="s">
        <v>423</v>
      </c>
      <c r="D402" s="4"/>
      <c r="E402" s="9" t="str">
        <f>_xll.BQL("ALK US Equity", "CF_NET_CSH_PROV_BY_FINANCING_ACT/1M", "FPT=A", "FPO=4A", "ACT_EST_MAPPING=PRECISE", "FS=MRC", "CURRENCY=USD", "XLFILL=b")</f>
        <v/>
      </c>
      <c r="F402" s="9">
        <f>_xll.BQL("ALK US Equity", "CF_NET_CSH_PROV_BY_FINANCING_ACT/1M", "FPT=A", "FPO=3A", "ACT_EST_MAPPING=PRECISE", "FS=MRC", "CURRENCY=USD", "XLFILL=b")</f>
        <v>-362.5</v>
      </c>
      <c r="G402" s="9">
        <f>_xll.BQL("ALK US Equity", "CF_NET_CSH_PROV_BY_FINANCING_ACT/1M", "FPT=A", "FPO=2A", "ACT_EST_MAPPING=PRECISE", "FS=MRC", "CURRENCY=USD", "XLFILL=b")</f>
        <v>-339.66283333333337</v>
      </c>
      <c r="H402" s="9">
        <f>_xll.BQL("ALK US Equity", "CF_NET_CSH_PROV_BY_FINANCING_ACT/1M", "FPT=A", "FPO=1A", "ACT_EST_MAPPING=PRECISE", "FS=MRC", "CURRENCY=USD", "XLFILL=b")</f>
        <v>-110.42449999999999</v>
      </c>
      <c r="I402" s="9">
        <f>_xll.BQL("ALK US Equity", "CF_NET_CSH_PROV_BY_FINANCING_ACT/1M", "FPT=A", "FPO=0A", "ACT_EST_MAPPING=PRECISE", "FS=MRC", "CURRENCY=USD", "XLFILL=b")</f>
        <v>-147</v>
      </c>
      <c r="J402" s="9">
        <f>_xll.BQL("ALK US Equity", "CF_NET_CSH_PROV_BY_FINANCING_ACT/1M", "FPT=A", "FPO=-1A", "ACT_EST_MAPPING=PRECISE", "FS=MRC", "CURRENCY=USD", "XLFILL=b")</f>
        <v>-325</v>
      </c>
      <c r="K402" s="9">
        <f>_xll.BQL("ALK US Equity", "CF_NET_CSH_PROV_BY_FINANCING_ACT/1M", "FPT=A", "FPO=-2A", "ACT_EST_MAPPING=PRECISE", "FS=MRC", "CURRENCY=USD", "XLFILL=b")</f>
        <v>-914</v>
      </c>
      <c r="L402" s="9">
        <f>_xll.BQL("ALK US Equity", "CF_NET_CSH_PROV_BY_FINANCING_ACT/1M", "FPT=A", "FPO=-3A", "ACT_EST_MAPPING=PRECISE", "FS=MRC", "CURRENCY=USD", "XLFILL=b")</f>
        <v>1981</v>
      </c>
      <c r="M402" s="9">
        <f>_xll.BQL("ALK US Equity", "CF_NET_CSH_PROV_BY_FINANCING_ACT/1M", "FPT=A", "FPO=-4A", "ACT_EST_MAPPING=PRECISE", "FS=MRC", "CURRENCY=USD", "XLFILL=b")</f>
        <v>-813</v>
      </c>
      <c r="N402" s="9">
        <f>_xll.BQL("ALK US Equity", "CF_NET_CSH_PROV_BY_FINANCING_ACT/1M", "FPT=A", "FPO=-5A", "ACT_EST_MAPPING=PRECISE", "FS=MRC", "CURRENCY=USD", "XLFILL=b")</f>
        <v>-647</v>
      </c>
    </row>
    <row r="403" spans="1:14" x14ac:dyDescent="0.2">
      <c r="A403" s="8" t="s">
        <v>12</v>
      </c>
      <c r="B403" s="4" t="s">
        <v>422</v>
      </c>
      <c r="C403" s="4" t="s">
        <v>423</v>
      </c>
      <c r="D403" s="4"/>
      <c r="E403" s="9" t="str">
        <f>_xll.BQL("ALK US Equity", "FA_GROWTH(CF_NET_CSH_PROV_BY_FINANCING_ACT, YOY)", "FPT=A", "FPO=4A", "ACT_EST_MAPPING=PRECISE", "FS=MRC", "CURRENCY=USD", "XLFILL=b")</f>
        <v/>
      </c>
      <c r="F403" s="9">
        <f>_xll.BQL("ALK US Equity", "FA_GROWTH(CF_NET_CSH_PROV_BY_FINANCING_ACT, YOY)", "FPT=A", "FPO=3A", "ACT_EST_MAPPING=PRECISE", "FS=MRC", "CURRENCY=USD", "XLFILL=b")</f>
        <v>-6.7234811776580274</v>
      </c>
      <c r="G403" s="9">
        <f>_xll.BQL("ALK US Equity", "FA_GROWTH(CF_NET_CSH_PROV_BY_FINANCING_ACT, YOY)", "FPT=A", "FPO=2A", "ACT_EST_MAPPING=PRECISE", "FS=MRC", "CURRENCY=USD", "XLFILL=b")</f>
        <v>-207.59734781079683</v>
      </c>
      <c r="H403" s="9">
        <f>_xll.BQL("ALK US Equity", "FA_GROWTH(CF_NET_CSH_PROV_BY_FINANCING_ACT, YOY)", "FPT=A", "FPO=1A", "ACT_EST_MAPPING=PRECISE", "FS=MRC", "CURRENCY=USD", "XLFILL=b")</f>
        <v>24.881292517006802</v>
      </c>
      <c r="I403" s="9">
        <f>_xll.BQL("ALK US Equity", "FA_GROWTH(CF_NET_CSH_PROV_BY_FINANCING_ACT, YOY)", "FPT=A", "FPO=0A", "ACT_EST_MAPPING=PRECISE", "FS=MRC", "CURRENCY=USD", "XLFILL=b")</f>
        <v>54.769230769230766</v>
      </c>
      <c r="J403" s="9">
        <f>_xll.BQL("ALK US Equity", "FA_GROWTH(CF_NET_CSH_PROV_BY_FINANCING_ACT, YOY)", "FPT=A", "FPO=-1A", "ACT_EST_MAPPING=PRECISE", "FS=MRC", "CURRENCY=USD", "XLFILL=b")</f>
        <v>64.442013129102847</v>
      </c>
      <c r="K403" s="9">
        <f>_xll.BQL("ALK US Equity", "FA_GROWTH(CF_NET_CSH_PROV_BY_FINANCING_ACT, YOY)", "FPT=A", "FPO=-2A", "ACT_EST_MAPPING=PRECISE", "FS=MRC", "CURRENCY=USD", "XLFILL=b")</f>
        <v>-146.13831398283696</v>
      </c>
      <c r="L403" s="9">
        <f>_xll.BQL("ALK US Equity", "FA_GROWTH(CF_NET_CSH_PROV_BY_FINANCING_ACT, YOY)", "FPT=A", "FPO=-3A", "ACT_EST_MAPPING=PRECISE", "FS=MRC", "CURRENCY=USD", "XLFILL=b")</f>
        <v>343.66543665436654</v>
      </c>
      <c r="M403" s="9">
        <f>_xll.BQL("ALK US Equity", "FA_GROWTH(CF_NET_CSH_PROV_BY_FINANCING_ACT, YOY)", "FPT=A", "FPO=-4A", "ACT_EST_MAPPING=PRECISE", "FS=MRC", "CURRENCY=USD", "XLFILL=b")</f>
        <v>-25.656877897990725</v>
      </c>
      <c r="N403" s="9">
        <f>_xll.BQL("ALK US Equity", "FA_GROWTH(CF_NET_CSH_PROV_BY_FINANCING_ACT, YOY)", "FPT=A", "FPO=-5A", "ACT_EST_MAPPING=PRECISE", "FS=MRC", "CURRENCY=USD", "XLFILL=b")</f>
        <v>-9.2905405405405403</v>
      </c>
    </row>
    <row r="404" spans="1:14" x14ac:dyDescent="0.2">
      <c r="A404" s="8" t="s">
        <v>16</v>
      </c>
      <c r="B404" s="4"/>
      <c r="C404" s="4"/>
      <c r="D404" s="4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x14ac:dyDescent="0.2">
      <c r="A405" s="8" t="s">
        <v>352</v>
      </c>
      <c r="B405" s="4"/>
      <c r="C405" s="4" t="s">
        <v>353</v>
      </c>
      <c r="D405" s="4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x14ac:dyDescent="0.2">
      <c r="A406" s="8" t="s">
        <v>424</v>
      </c>
      <c r="B406" s="4" t="s">
        <v>425</v>
      </c>
      <c r="C406" s="4" t="s">
        <v>426</v>
      </c>
      <c r="D406" s="4"/>
      <c r="E406" s="9" t="str">
        <f>_xll.BQL("ALK US Equity", "CF_NET_CHNG_CASH/1M", "FPT=A", "FPO=4A", "ACT_EST_MAPPING=PRECISE", "FS=MRC", "CURRENCY=USD", "XLFILL=b")</f>
        <v/>
      </c>
      <c r="F406" s="9">
        <f>_xll.BQL("ALK US Equity", "CF_NET_CHNG_CASH/1M", "FPT=A", "FPO=3A", "ACT_EST_MAPPING=PRECISE", "FS=MRC", "CURRENCY=USD", "XLFILL=b")</f>
        <v>-12.759143995228062</v>
      </c>
      <c r="G406" s="9">
        <f>_xll.BQL("ALK US Equity", "CF_NET_CHNG_CASH/1M", "FPT=A", "FPO=2A", "ACT_EST_MAPPING=PRECISE", "FS=MRC", "CURRENCY=USD", "XLFILL=b")</f>
        <v>127.14676373859851</v>
      </c>
      <c r="H406" s="9">
        <f>_xll.BQL("ALK US Equity", "CF_NET_CHNG_CASH/1M", "FPT=A", "FPO=1A", "ACT_EST_MAPPING=PRECISE", "FS=MRC", "CURRENCY=USD", "XLFILL=b")</f>
        <v>398.77538983242755</v>
      </c>
      <c r="I406" s="9">
        <f>_xll.BQL("ALK US Equity", "CF_NET_CHNG_CASH/1M", "FPT=A", "FPO=0A", "ACT_EST_MAPPING=PRECISE", "FS=MRC", "CURRENCY=USD", "XLFILL=b")</f>
        <v>-61</v>
      </c>
      <c r="J406" s="9">
        <f>_xll.BQL("ALK US Equity", "CF_NET_CHNG_CASH/1M", "FPT=A", "FPO=-1A", "ACT_EST_MAPPING=PRECISE", "FS=MRC", "CURRENCY=USD", "XLFILL=b")</f>
        <v>-125</v>
      </c>
      <c r="K406" s="9">
        <f>_xll.BQL("ALK US Equity", "CF_NET_CHNG_CASH/1M", "FPT=A", "FPO=-2A", "ACT_EST_MAPPING=PRECISE", "FS=MRC", "CURRENCY=USD", "XLFILL=b")</f>
        <v>-892</v>
      </c>
      <c r="L406" s="9">
        <f>_xll.BQL("ALK US Equity", "CF_NET_CHNG_CASH/1M", "FPT=A", "FPO=-3A", "ACT_EST_MAPPING=PRECISE", "FS=MRC", "CURRENCY=USD", "XLFILL=b")</f>
        <v>1154</v>
      </c>
      <c r="M406" s="9">
        <f>_xll.BQL("ALK US Equity", "CF_NET_CHNG_CASH/1M", "FPT=A", "FPO=-4A", "ACT_EST_MAPPING=PRECISE", "FS=MRC", "CURRENCY=USD", "XLFILL=b")</f>
        <v>118</v>
      </c>
      <c r="N406" s="9">
        <f>_xll.BQL("ALK US Equity", "CF_NET_CHNG_CASH/1M", "FPT=A", "FPO=-5A", "ACT_EST_MAPPING=PRECISE", "FS=MRC", "CURRENCY=USD", "XLFILL=b")</f>
        <v>-83</v>
      </c>
    </row>
    <row r="407" spans="1:14" x14ac:dyDescent="0.2">
      <c r="A407" s="8" t="s">
        <v>64</v>
      </c>
      <c r="B407" s="4" t="s">
        <v>425</v>
      </c>
      <c r="C407" s="4" t="s">
        <v>426</v>
      </c>
      <c r="D407" s="4"/>
      <c r="E407" s="9" t="str">
        <f>_xll.BQL("ALK US Equity", "FA_GROWTH(CF_NET_CHNG_CASH, YOY)", "FPT=A", "FPO=4A", "ACT_EST_MAPPING=PRECISE", "FS=MRC", "CURRENCY=USD", "XLFILL=b")</f>
        <v/>
      </c>
      <c r="F407" s="9">
        <f>_xll.BQL("ALK US Equity", "FA_GROWTH(CF_NET_CHNG_CASH, YOY)", "FPT=A", "FPO=3A", "ACT_EST_MAPPING=PRECISE", "FS=MRC", "CURRENCY=USD", "XLFILL=b")</f>
        <v>-110.0349734590647</v>
      </c>
      <c r="G407" s="9">
        <f>_xll.BQL("ALK US Equity", "FA_GROWTH(CF_NET_CHNG_CASH, YOY)", "FPT=A", "FPO=2A", "ACT_EST_MAPPING=PRECISE", "FS=MRC", "CURRENCY=USD", "XLFILL=b")</f>
        <v>-68.115694453454651</v>
      </c>
      <c r="H407" s="9">
        <f>_xll.BQL("ALK US Equity", "FA_GROWTH(CF_NET_CHNG_CASH, YOY)", "FPT=A", "FPO=1A", "ACT_EST_MAPPING=PRECISE", "FS=MRC", "CURRENCY=USD", "XLFILL=b")</f>
        <v>753.7301472662748</v>
      </c>
      <c r="I407" s="9">
        <f>_xll.BQL("ALK US Equity", "FA_GROWTH(CF_NET_CHNG_CASH, YOY)", "FPT=A", "FPO=0A", "ACT_EST_MAPPING=PRECISE", "FS=MRC", "CURRENCY=USD", "XLFILL=b")</f>
        <v>51.2</v>
      </c>
      <c r="J407" s="9">
        <f>_xll.BQL("ALK US Equity", "FA_GROWTH(CF_NET_CHNG_CASH, YOY)", "FPT=A", "FPO=-1A", "ACT_EST_MAPPING=PRECISE", "FS=MRC", "CURRENCY=USD", "XLFILL=b")</f>
        <v>85.986547085201792</v>
      </c>
      <c r="K407" s="9">
        <f>_xll.BQL("ALK US Equity", "FA_GROWTH(CF_NET_CHNG_CASH, YOY)", "FPT=A", "FPO=-2A", "ACT_EST_MAPPING=PRECISE", "FS=MRC", "CURRENCY=USD", "XLFILL=b")</f>
        <v>-177.29636048526862</v>
      </c>
      <c r="L407" s="9">
        <f>_xll.BQL("ALK US Equity", "FA_GROWTH(CF_NET_CHNG_CASH, YOY)", "FPT=A", "FPO=-3A", "ACT_EST_MAPPING=PRECISE", "FS=MRC", "CURRENCY=USD", "XLFILL=b")</f>
        <v>877.96610169491521</v>
      </c>
      <c r="M407" s="9">
        <f>_xll.BQL("ALK US Equity", "FA_GROWTH(CF_NET_CHNG_CASH, YOY)", "FPT=A", "FPO=-4A", "ACT_EST_MAPPING=PRECISE", "FS=MRC", "CURRENCY=USD", "XLFILL=b")</f>
        <v>242.16867469879517</v>
      </c>
      <c r="N407" s="9">
        <f>_xll.BQL("ALK US Equity", "FA_GROWTH(CF_NET_CHNG_CASH, YOY)", "FPT=A", "FPO=-5A", "ACT_EST_MAPPING=PRECISE", "FS=MRC", "CURRENCY=USD", "XLFILL=b")</f>
        <v>36.641221374045799</v>
      </c>
    </row>
    <row r="408" spans="1:14" x14ac:dyDescent="0.2">
      <c r="A408" s="8" t="s">
        <v>427</v>
      </c>
      <c r="B408" s="4" t="s">
        <v>428</v>
      </c>
      <c r="C408" s="4"/>
      <c r="D408" s="4"/>
      <c r="E408" s="9" t="str">
        <f>_xll.BQL("ALK US Equity", "CF_CASH_AND_CASH_EQUIV_BEG_BAL/1M", "FPT=A", "FPO=4A", "ACT_EST_MAPPING=PRECISE", "FS=MRC", "CURRENCY=USD", "XLFILL=b")</f>
        <v/>
      </c>
      <c r="F408" s="9">
        <f>_xll.BQL("ALK US Equity", "CF_CASH_AND_CASH_EQUIV_BEG_BAL/1M", "FPT=A", "FPO=3A", "ACT_EST_MAPPING=PRECISE", "FS=MRC", "CURRENCY=USD", "XLFILL=b")</f>
        <v>881.51101631453196</v>
      </c>
      <c r="G408" s="9">
        <f>_xll.BQL("ALK US Equity", "CF_CASH_AND_CASH_EQUIV_BEG_BAL/1M", "FPT=A", "FPO=2A", "ACT_EST_MAPPING=PRECISE", "FS=MRC", "CURRENCY=USD", "XLFILL=b")</f>
        <v>770.04160556723616</v>
      </c>
      <c r="H408" s="9">
        <f>_xll.BQL("ALK US Equity", "CF_CASH_AND_CASH_EQUIV_BEG_BAL/1M", "FPT=A", "FPO=1A", "ACT_EST_MAPPING=PRECISE", "FS=MRC", "CURRENCY=USD", "XLFILL=b")</f>
        <v>255.5</v>
      </c>
      <c r="I408" s="9">
        <f>_xll.BQL("ALK US Equity", "CF_CASH_AND_CASH_EQUIV_BEG_BAL/1M", "FPT=A", "FPO=0A", "ACT_EST_MAPPING=PRECISE", "FS=MRC", "CURRENCY=USD", "XLFILL=b")</f>
        <v>369</v>
      </c>
      <c r="J408" s="9">
        <f>_xll.BQL("ALK US Equity", "CF_CASH_AND_CASH_EQUIV_BEG_BAL/1M", "FPT=A", "FPO=-1A", "ACT_EST_MAPPING=PRECISE", "FS=MRC", "CURRENCY=USD", "XLFILL=b")</f>
        <v>494</v>
      </c>
      <c r="K408" s="9">
        <f>_xll.BQL("ALK US Equity", "CF_CASH_AND_CASH_EQUIV_BEG_BAL/1M", "FPT=A", "FPO=-2A", "ACT_EST_MAPPING=PRECISE", "FS=MRC", "CURRENCY=USD", "XLFILL=b")</f>
        <v>1386</v>
      </c>
      <c r="L408" s="9">
        <f>_xll.BQL("ALK US Equity", "CF_CASH_AND_CASH_EQUIV_BEG_BAL/1M", "FPT=A", "FPO=-3A", "ACT_EST_MAPPING=PRECISE", "FS=MRC", "CURRENCY=USD", "XLFILL=b")</f>
        <v>232</v>
      </c>
      <c r="M408" s="9">
        <f>_xll.BQL("ALK US Equity", "CF_CASH_AND_CASH_EQUIV_BEG_BAL/1M", "FPT=A", "FPO=-4A", "ACT_EST_MAPPING=PRECISE", "FS=MRC", "CURRENCY=USD", "XLFILL=b")</f>
        <v>114</v>
      </c>
      <c r="N408" s="9">
        <f>_xll.BQL("ALK US Equity", "CF_CASH_AND_CASH_EQUIV_BEG_BAL/1M", "FPT=A", "FPO=-5A", "ACT_EST_MAPPING=PRECISE", "FS=MRC", "CURRENCY=USD", "XLFILL=b")</f>
        <v>197</v>
      </c>
    </row>
    <row r="409" spans="1:14" x14ac:dyDescent="0.2">
      <c r="A409" s="8" t="s">
        <v>67</v>
      </c>
      <c r="B409" s="4" t="s">
        <v>428</v>
      </c>
      <c r="C409" s="4"/>
      <c r="D409" s="4"/>
      <c r="E409" s="9" t="str">
        <f>_xll.BQL("ALK US Equity", "FA_GROWTH(CF_CASH_AND_CASH_EQUIV_BEG_BAL, YOY)", "FPT=A", "FPO=4A", "ACT_EST_MAPPING=PRECISE", "FS=MRC", "CURRENCY=USD", "XLFILL=b")</f>
        <v/>
      </c>
      <c r="F409" s="9">
        <f>_xll.BQL("ALK US Equity", "FA_GROWTH(CF_CASH_AND_CASH_EQUIV_BEG_BAL, YOY)", "FPT=A", "FPO=3A", "ACT_EST_MAPPING=PRECISE", "FS=MRC", "CURRENCY=USD", "XLFILL=b")</f>
        <v>14.475764678349291</v>
      </c>
      <c r="G409" s="9">
        <f>_xll.BQL("ALK US Equity", "FA_GROWTH(CF_CASH_AND_CASH_EQUIV_BEG_BAL, YOY)", "FPT=A", "FPO=2A", "ACT_EST_MAPPING=PRECISE", "FS=MRC", "CURRENCY=USD", "XLFILL=b")</f>
        <v>201.38614699304742</v>
      </c>
      <c r="H409" s="9">
        <f>_xll.BQL("ALK US Equity", "FA_GROWTH(CF_CASH_AND_CASH_EQUIV_BEG_BAL, YOY)", "FPT=A", "FPO=1A", "ACT_EST_MAPPING=PRECISE", "FS=MRC", "CURRENCY=USD", "XLFILL=b")</f>
        <v>-30.758807588075882</v>
      </c>
      <c r="I409" s="9">
        <f>_xll.BQL("ALK US Equity", "FA_GROWTH(CF_CASH_AND_CASH_EQUIV_BEG_BAL, YOY)", "FPT=A", "FPO=0A", "ACT_EST_MAPPING=PRECISE", "FS=MRC", "CURRENCY=USD", "XLFILL=b")</f>
        <v>-25.303643724696357</v>
      </c>
      <c r="J409" s="9">
        <f>_xll.BQL("ALK US Equity", "FA_GROWTH(CF_CASH_AND_CASH_EQUIV_BEG_BAL, YOY)", "FPT=A", "FPO=-1A", "ACT_EST_MAPPING=PRECISE", "FS=MRC", "CURRENCY=USD", "XLFILL=b")</f>
        <v>-64.357864357864358</v>
      </c>
      <c r="K409" s="9">
        <f>_xll.BQL("ALK US Equity", "FA_GROWTH(CF_CASH_AND_CASH_EQUIV_BEG_BAL, YOY)", "FPT=A", "FPO=-2A", "ACT_EST_MAPPING=PRECISE", "FS=MRC", "CURRENCY=USD", "XLFILL=b")</f>
        <v>497.41379310344826</v>
      </c>
      <c r="L409" s="9">
        <f>_xll.BQL("ALK US Equity", "FA_GROWTH(CF_CASH_AND_CASH_EQUIV_BEG_BAL, YOY)", "FPT=A", "FPO=-3A", "ACT_EST_MAPPING=PRECISE", "FS=MRC", "CURRENCY=USD", "XLFILL=b")</f>
        <v>103.50877192982456</v>
      </c>
      <c r="M409" s="9">
        <f>_xll.BQL("ALK US Equity", "FA_GROWTH(CF_CASH_AND_CASH_EQUIV_BEG_BAL, YOY)", "FPT=A", "FPO=-4A", "ACT_EST_MAPPING=PRECISE", "FS=MRC", "CURRENCY=USD", "XLFILL=b")</f>
        <v>-42.131979695431475</v>
      </c>
      <c r="N409" s="9">
        <f>_xll.BQL("ALK US Equity", "FA_GROWTH(CF_CASH_AND_CASH_EQUIV_BEG_BAL, YOY)", "FPT=A", "FPO=-5A", "ACT_EST_MAPPING=PRECISE", "FS=MRC", "CURRENCY=USD", "XLFILL=b")</f>
        <v>-39.939024390243901</v>
      </c>
    </row>
    <row r="410" spans="1:14" x14ac:dyDescent="0.2">
      <c r="A410" s="8" t="s">
        <v>429</v>
      </c>
      <c r="B410" s="4" t="s">
        <v>430</v>
      </c>
      <c r="C410" s="4"/>
      <c r="D410" s="4"/>
      <c r="E410" s="9" t="str">
        <f>_xll.BQL("ALK US Equity", "CF_CASH_AND_CASH_EQUIV_END_BAL/1M", "FPT=A", "FPO=4A", "ACT_EST_MAPPING=PRECISE", "FS=MRC", "CURRENCY=USD", "XLFILL=b")</f>
        <v/>
      </c>
      <c r="F410" s="9">
        <f>_xll.BQL("ALK US Equity", "CF_CASH_AND_CASH_EQUIV_END_BAL/1M", "FPT=A", "FPO=3A", "ACT_EST_MAPPING=PRECISE", "FS=MRC", "CURRENCY=USD", "XLFILL=b")</f>
        <v>868.75187231930386</v>
      </c>
      <c r="G410" s="9">
        <f>_xll.BQL("ALK US Equity", "CF_CASH_AND_CASH_EQUIV_END_BAL/1M", "FPT=A", "FPO=2A", "ACT_EST_MAPPING=PRECISE", "FS=MRC", "CURRENCY=USD", "XLFILL=b")</f>
        <v>934.24390574860956</v>
      </c>
      <c r="H410" s="9">
        <f>_xll.BQL("ALK US Equity", "CF_CASH_AND_CASH_EQUIV_END_BAL/1M", "FPT=A", "FPO=1A", "ACT_EST_MAPPING=PRECISE", "FS=MRC", "CURRENCY=USD", "XLFILL=b")</f>
        <v>971.04998553135829</v>
      </c>
      <c r="I410" s="9">
        <f>_xll.BQL("ALK US Equity", "CF_CASH_AND_CASH_EQUIV_END_BAL/1M", "FPT=A", "FPO=0A", "ACT_EST_MAPPING=PRECISE", "FS=MRC", "CURRENCY=USD", "XLFILL=b")</f>
        <v>308</v>
      </c>
      <c r="J410" s="9">
        <f>_xll.BQL("ALK US Equity", "CF_CASH_AND_CASH_EQUIV_END_BAL/1M", "FPT=A", "FPO=-1A", "ACT_EST_MAPPING=PRECISE", "FS=MRC", "CURRENCY=USD", "XLFILL=b")</f>
        <v>369</v>
      </c>
      <c r="K410" s="9">
        <f>_xll.BQL("ALK US Equity", "CF_CASH_AND_CASH_EQUIV_END_BAL/1M", "FPT=A", "FPO=-2A", "ACT_EST_MAPPING=PRECISE", "FS=MRC", "CURRENCY=USD", "XLFILL=b")</f>
        <v>494</v>
      </c>
      <c r="L410" s="9">
        <f>_xll.BQL("ALK US Equity", "CF_CASH_AND_CASH_EQUIV_END_BAL/1M", "FPT=A", "FPO=-3A", "ACT_EST_MAPPING=PRECISE", "FS=MRC", "CURRENCY=USD", "XLFILL=b")</f>
        <v>1386</v>
      </c>
      <c r="M410" s="9">
        <f>_xll.BQL("ALK US Equity", "CF_CASH_AND_CASH_EQUIV_END_BAL/1M", "FPT=A", "FPO=-4A", "ACT_EST_MAPPING=PRECISE", "FS=MRC", "CURRENCY=USD", "XLFILL=b")</f>
        <v>232</v>
      </c>
      <c r="N410" s="9">
        <f>_xll.BQL("ALK US Equity", "CF_CASH_AND_CASH_EQUIV_END_BAL/1M", "FPT=A", "FPO=-5A", "ACT_EST_MAPPING=PRECISE", "FS=MRC", "CURRENCY=USD", "XLFILL=b")</f>
        <v>114</v>
      </c>
    </row>
    <row r="411" spans="1:14" x14ac:dyDescent="0.2">
      <c r="A411" s="8" t="s">
        <v>67</v>
      </c>
      <c r="B411" s="4" t="s">
        <v>430</v>
      </c>
      <c r="C411" s="4"/>
      <c r="D411" s="4"/>
      <c r="E411" s="9" t="str">
        <f>_xll.BQL("ALK US Equity", "FA_GROWTH(CF_CASH_AND_CASH_EQUIV_END_BAL, YOY)", "FPT=A", "FPO=4A", "ACT_EST_MAPPING=PRECISE", "FS=MRC", "CURRENCY=USD", "XLFILL=b")</f>
        <v/>
      </c>
      <c r="F411" s="9">
        <f>_xll.BQL("ALK US Equity", "FA_GROWTH(CF_CASH_AND_CASH_EQUIV_END_BAL, YOY)", "FPT=A", "FPO=3A", "ACT_EST_MAPPING=PRECISE", "FS=MRC", "CURRENCY=USD", "XLFILL=b")</f>
        <v>-7.0101643721001219</v>
      </c>
      <c r="G411" s="9">
        <f>_xll.BQL("ALK US Equity", "FA_GROWTH(CF_CASH_AND_CASH_EQUIV_END_BAL, YOY)", "FPT=A", "FPO=2A", "ACT_EST_MAPPING=PRECISE", "FS=MRC", "CURRENCY=USD", "XLFILL=b")</f>
        <v>-3.7903383277029166</v>
      </c>
      <c r="H411" s="9">
        <f>_xll.BQL("ALK US Equity", "FA_GROWTH(CF_CASH_AND_CASH_EQUIV_END_BAL, YOY)", "FPT=A", "FPO=1A", "ACT_EST_MAPPING=PRECISE", "FS=MRC", "CURRENCY=USD", "XLFILL=b")</f>
        <v>215.27596932836306</v>
      </c>
      <c r="I411" s="9">
        <f>_xll.BQL("ALK US Equity", "FA_GROWTH(CF_CASH_AND_CASH_EQUIV_END_BAL, YOY)", "FPT=A", "FPO=0A", "ACT_EST_MAPPING=PRECISE", "FS=MRC", "CURRENCY=USD", "XLFILL=b")</f>
        <v>-16.531165311653115</v>
      </c>
      <c r="J411" s="9">
        <f>_xll.BQL("ALK US Equity", "FA_GROWTH(CF_CASH_AND_CASH_EQUIV_END_BAL, YOY)", "FPT=A", "FPO=-1A", "ACT_EST_MAPPING=PRECISE", "FS=MRC", "CURRENCY=USD", "XLFILL=b")</f>
        <v>-25.303643724696357</v>
      </c>
      <c r="K411" s="9">
        <f>_xll.BQL("ALK US Equity", "FA_GROWTH(CF_CASH_AND_CASH_EQUIV_END_BAL, YOY)", "FPT=A", "FPO=-2A", "ACT_EST_MAPPING=PRECISE", "FS=MRC", "CURRENCY=USD", "XLFILL=b")</f>
        <v>-64.357864357864358</v>
      </c>
      <c r="L411" s="9">
        <f>_xll.BQL("ALK US Equity", "FA_GROWTH(CF_CASH_AND_CASH_EQUIV_END_BAL, YOY)", "FPT=A", "FPO=-3A", "ACT_EST_MAPPING=PRECISE", "FS=MRC", "CURRENCY=USD", "XLFILL=b")</f>
        <v>497.41379310344826</v>
      </c>
      <c r="M411" s="9">
        <f>_xll.BQL("ALK US Equity", "FA_GROWTH(CF_CASH_AND_CASH_EQUIV_END_BAL, YOY)", "FPT=A", "FPO=-4A", "ACT_EST_MAPPING=PRECISE", "FS=MRC", "CURRENCY=USD", "XLFILL=b")</f>
        <v>103.50877192982456</v>
      </c>
      <c r="N411" s="9">
        <f>_xll.BQL("ALK US Equity", "FA_GROWTH(CF_CASH_AND_CASH_EQUIV_END_BAL, YOY)", "FPT=A", "FPO=-5A", "ACT_EST_MAPPING=PRECISE", "FS=MRC", "CURRENCY=USD", "XLFILL=b")</f>
        <v>-42.131979695431475</v>
      </c>
    </row>
    <row r="412" spans="1:14" x14ac:dyDescent="0.2">
      <c r="A412" s="8" t="s">
        <v>360</v>
      </c>
      <c r="B412" s="4"/>
      <c r="C412" s="4"/>
      <c r="D412" s="4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x14ac:dyDescent="0.2">
      <c r="A413" s="8" t="s">
        <v>431</v>
      </c>
      <c r="B413" s="4" t="s">
        <v>432</v>
      </c>
      <c r="C413" s="4"/>
      <c r="D413" s="4"/>
      <c r="E413" s="9" t="str">
        <f>_xll.BQL("ALK US Equity", "CASH_FLOW_PER_SH", "FPT=A", "FPO=4A", "ACT_EST_MAPPING=PRECISE", "FS=MRC", "CURRENCY=USD", "XLFILL=b")</f>
        <v/>
      </c>
      <c r="F413" s="9">
        <f>_xll.BQL("ALK US Equity", "CASH_FLOW_PER_SH", "FPT=A", "FPO=3A", "ACT_EST_MAPPING=PRECISE", "FS=MRC", "CURRENCY=USD", "XLFILL=b")</f>
        <v>11.623048412608929</v>
      </c>
      <c r="G413" s="9">
        <f>_xll.BQL("ALK US Equity", "CASH_FLOW_PER_SH", "FPT=A", "FPO=2A", "ACT_EST_MAPPING=PRECISE", "FS=MRC", "CURRENCY=USD", "XLFILL=b")</f>
        <v>12.637684003066772</v>
      </c>
      <c r="H413" s="9">
        <f>_xll.BQL("ALK US Equity", "CASH_FLOW_PER_SH", "FPT=A", "FPO=1A", "ACT_EST_MAPPING=PRECISE", "FS=MRC", "CURRENCY=USD", "XLFILL=b")</f>
        <v>13.532125081883976</v>
      </c>
      <c r="I413" s="9">
        <f>_xll.BQL("ALK US Equity", "CASH_FLOW_PER_SH", "FPT=A", "FPO=0A", "ACT_EST_MAPPING=PRECISE", "FS=MRC", "CURRENCY=USD", "XLFILL=b")</f>
        <v>8.2433758586849848</v>
      </c>
      <c r="J413" s="9">
        <f>_xll.BQL("ALK US Equity", "CASH_FLOW_PER_SH", "FPT=A", "FPO=-1A", "ACT_EST_MAPPING=PRECISE", "FS=MRC", "CURRENCY=USD", "XLFILL=b")</f>
        <v>11.195591242489559</v>
      </c>
      <c r="K413" s="9">
        <f>_xll.BQL("ALK US Equity", "CASH_FLOW_PER_SH", "FPT=A", "FPO=-2A", "ACT_EST_MAPPING=PRECISE", "FS=MRC", "CURRENCY=USD", "XLFILL=b")</f>
        <v>8.2358491320374529</v>
      </c>
      <c r="L413" s="9">
        <f>_xll.BQL("ALK US Equity", "CASH_FLOW_PER_SH", "FPT=A", "FPO=-3A", "ACT_EST_MAPPING=PRECISE", "FS=MRC", "CURRENCY=USD", "XLFILL=b")</f>
        <v>-1.8955042527339003</v>
      </c>
      <c r="M413" s="9">
        <f>_xll.BQL("ALK US Equity", "CASH_FLOW_PER_SH", "FPT=A", "FPO=-4A", "ACT_EST_MAPPING=PRECISE", "FS=MRC", "CURRENCY=USD", "XLFILL=b")</f>
        <v>13.968315771542599</v>
      </c>
      <c r="N413" s="9">
        <f>_xll.BQL("ALK US Equity", "CASH_FLOW_PER_SH", "FPT=A", "FPO=-5A", "ACT_EST_MAPPING=PRECISE", "FS=MRC", "CURRENCY=USD", "XLFILL=b")</f>
        <v>9.6973139657550913</v>
      </c>
    </row>
    <row r="414" spans="1:14" x14ac:dyDescent="0.2">
      <c r="A414" s="8" t="s">
        <v>64</v>
      </c>
      <c r="B414" s="4" t="s">
        <v>432</v>
      </c>
      <c r="C414" s="4"/>
      <c r="D414" s="4"/>
      <c r="E414" s="9" t="str">
        <f>_xll.BQL("ALK US Equity", "FA_GROWTH(CASH_FLOW_PER_SH, YOY)", "FPT=A", "FPO=4A", "ACT_EST_MAPPING=PRECISE", "FS=MRC", "CURRENCY=USD", "XLFILL=b")</f>
        <v/>
      </c>
      <c r="F414" s="9">
        <f>_xll.BQL("ALK US Equity", "FA_GROWTH(CASH_FLOW_PER_SH, YOY)", "FPT=A", "FPO=3A", "ACT_EST_MAPPING=PRECISE", "FS=MRC", "CURRENCY=USD", "XLFILL=b")</f>
        <v>-8.0286513748217025</v>
      </c>
      <c r="G414" s="9">
        <f>_xll.BQL("ALK US Equity", "FA_GROWTH(CASH_FLOW_PER_SH, YOY)", "FPT=A", "FPO=2A", "ACT_EST_MAPPING=PRECISE", "FS=MRC", "CURRENCY=USD", "XLFILL=b")</f>
        <v>-6.6097606503403492</v>
      </c>
      <c r="H414" s="9">
        <f>_xll.BQL("ALK US Equity", "FA_GROWTH(CASH_FLOW_PER_SH, YOY)", "FPT=A", "FPO=1A", "ACT_EST_MAPPING=PRECISE", "FS=MRC", "CURRENCY=USD", "XLFILL=b")</f>
        <v>64.15756498142585</v>
      </c>
      <c r="I414" s="9">
        <f>_xll.BQL("ALK US Equity", "FA_GROWTH(CASH_FLOW_PER_SH, YOY)", "FPT=A", "FPO=0A", "ACT_EST_MAPPING=PRECISE", "FS=MRC", "CURRENCY=USD", "XLFILL=b")</f>
        <v>-26.369445970841745</v>
      </c>
      <c r="J414" s="9">
        <f>_xll.BQL("ALK US Equity", "FA_GROWTH(CASH_FLOW_PER_SH, YOY)", "FPT=A", "FPO=-1A", "ACT_EST_MAPPING=PRECISE", "FS=MRC", "CURRENCY=USD", "XLFILL=b")</f>
        <v>35.93730364655066</v>
      </c>
      <c r="K414" s="9">
        <f>_xll.BQL("ALK US Equity", "FA_GROWTH(CASH_FLOW_PER_SH, YOY)", "FPT=A", "FPO=-2A", "ACT_EST_MAPPING=PRECISE", "FS=MRC", "CURRENCY=USD", "XLFILL=b")</f>
        <v>534.49383561966818</v>
      </c>
      <c r="L414" s="9">
        <f>_xll.BQL("ALK US Equity", "FA_GROWTH(CASH_FLOW_PER_SH, YOY)", "FPT=A", "FPO=-3A", "ACT_EST_MAPPING=PRECISE", "FS=MRC", "CURRENCY=USD", "XLFILL=b")</f>
        <v>-113.57002722257738</v>
      </c>
      <c r="M414" s="9">
        <f>_xll.BQL("ALK US Equity", "FA_GROWTH(CASH_FLOW_PER_SH, YOY)", "FPT=A", "FPO=-4A", "ACT_EST_MAPPING=PRECISE", "FS=MRC", "CURRENCY=USD", "XLFILL=b")</f>
        <v>44.043142470894949</v>
      </c>
      <c r="N414" s="9">
        <f>_xll.BQL("ALK US Equity", "FA_GROWTH(CASH_FLOW_PER_SH, YOY)", "FPT=A", "FPO=-5A", "ACT_EST_MAPPING=PRECISE", "FS=MRC", "CURRENCY=USD", "XLFILL=b")</f>
        <v>-24.854355280839592</v>
      </c>
    </row>
    <row r="415" spans="1:14" x14ac:dyDescent="0.2">
      <c r="A415" s="8" t="s">
        <v>433</v>
      </c>
      <c r="B415" s="4" t="s">
        <v>434</v>
      </c>
      <c r="C415" s="4" t="s">
        <v>435</v>
      </c>
      <c r="D415" s="4"/>
      <c r="E415" s="9" t="str">
        <f>_xll.BQL("ALK US Equity", "CF_FREE_CASH_FLOW/1M", "FPT=A", "FPO=4A", "ACT_EST_MAPPING=PRECISE", "FS=MRC", "CURRENCY=USD", "XLFILL=b")</f>
        <v/>
      </c>
      <c r="F415" s="9">
        <f>_xll.BQL("ALK US Equity", "CF_FREE_CASH_FLOW/1M", "FPT=A", "FPO=3A", "ACT_EST_MAPPING=PRECISE", "FS=MRC", "CURRENCY=USD", "XLFILL=b")</f>
        <v>118.42001842433791</v>
      </c>
      <c r="G415" s="9">
        <f>_xll.BQL("ALK US Equity", "CF_FREE_CASH_FLOW/1M", "FPT=A", "FPO=2A", "ACT_EST_MAPPING=PRECISE", "FS=MRC", "CURRENCY=USD", "XLFILL=b")</f>
        <v>148.94891173010211</v>
      </c>
      <c r="H415" s="9">
        <f>_xll.BQL("ALK US Equity", "CF_FREE_CASH_FLOW/1M", "FPT=A", "FPO=1A", "ACT_EST_MAPPING=PRECISE", "FS=MRC", "CURRENCY=USD", "XLFILL=b")</f>
        <v>164.04355902723535</v>
      </c>
      <c r="I415" s="9">
        <f>_xll.BQL("ALK US Equity", "CF_FREE_CASH_FLOW/1M", "FPT=A", "FPO=0A", "ACT_EST_MAPPING=PRECISE", "FS=MRC", "CURRENCY=USD", "XLFILL=b")</f>
        <v>-444</v>
      </c>
      <c r="J415" s="9">
        <f>_xll.BQL("ALK US Equity", "CF_FREE_CASH_FLOW/1M", "FPT=A", "FPO=-1A", "ACT_EST_MAPPING=PRECISE", "FS=MRC", "CURRENCY=USD", "XLFILL=b")</f>
        <v>-253</v>
      </c>
      <c r="K415" s="9">
        <f>_xll.BQL("ALK US Equity", "CF_FREE_CASH_FLOW/1M", "FPT=A", "FPO=-2A", "ACT_EST_MAPPING=PRECISE", "FS=MRC", "CURRENCY=USD", "XLFILL=b")</f>
        <v>738</v>
      </c>
      <c r="L415" s="9">
        <f>_xll.BQL("ALK US Equity", "CF_FREE_CASH_FLOW/1M", "FPT=A", "FPO=-3A", "ACT_EST_MAPPING=PRECISE", "FS=MRC", "CURRENCY=USD", "XLFILL=b")</f>
        <v>-456</v>
      </c>
      <c r="M415" s="9">
        <f>_xll.BQL("ALK US Equity", "CF_FREE_CASH_FLOW/1M", "FPT=A", "FPO=-4A", "ACT_EST_MAPPING=PRECISE", "FS=MRC", "CURRENCY=USD", "XLFILL=b")</f>
        <v>1026</v>
      </c>
      <c r="N415" s="9">
        <f>_xll.BQL("ALK US Equity", "CF_FREE_CASH_FLOW/1M", "FPT=A", "FPO=-5A", "ACT_EST_MAPPING=PRECISE", "FS=MRC", "CURRENCY=USD", "XLFILL=b")</f>
        <v>235</v>
      </c>
    </row>
    <row r="416" spans="1:14" x14ac:dyDescent="0.2">
      <c r="A416" s="8" t="s">
        <v>64</v>
      </c>
      <c r="B416" s="4" t="s">
        <v>434</v>
      </c>
      <c r="C416" s="4" t="s">
        <v>435</v>
      </c>
      <c r="D416" s="4"/>
      <c r="E416" s="9" t="str">
        <f>_xll.BQL("ALK US Equity", "FA_GROWTH(CF_FREE_CASH_FLOW, YOY)", "FPT=A", "FPO=4A", "ACT_EST_MAPPING=PRECISE", "FS=MRC", "CURRENCY=USD", "XLFILL=b")</f>
        <v/>
      </c>
      <c r="F416" s="9">
        <f>_xll.BQL("ALK US Equity", "FA_GROWTH(CF_FREE_CASH_FLOW, YOY)", "FPT=A", "FPO=3A", "ACT_EST_MAPPING=PRECISE", "FS=MRC", "CURRENCY=USD", "XLFILL=b")</f>
        <v>-20.496217764305033</v>
      </c>
      <c r="G416" s="9">
        <f>_xll.BQL("ALK US Equity", "FA_GROWTH(CF_FREE_CASH_FLOW, YOY)", "FPT=A", "FPO=2A", "ACT_EST_MAPPING=PRECISE", "FS=MRC", "CURRENCY=USD", "XLFILL=b")</f>
        <v>-9.2016092473506657</v>
      </c>
      <c r="H416" s="9">
        <f>_xll.BQL("ALK US Equity", "FA_GROWTH(CF_FREE_CASH_FLOW, YOY)", "FPT=A", "FPO=1A", "ACT_EST_MAPPING=PRECISE", "FS=MRC", "CURRENCY=USD", "XLFILL=b")</f>
        <v>136.94674752865663</v>
      </c>
      <c r="I416" s="9">
        <f>_xll.BQL("ALK US Equity", "FA_GROWTH(CF_FREE_CASH_FLOW, YOY)", "FPT=A", "FPO=0A", "ACT_EST_MAPPING=PRECISE", "FS=MRC", "CURRENCY=USD", "XLFILL=b")</f>
        <v>-75.494071146245062</v>
      </c>
      <c r="J416" s="9">
        <f>_xll.BQL("ALK US Equity", "FA_GROWTH(CF_FREE_CASH_FLOW, YOY)", "FPT=A", "FPO=-1A", "ACT_EST_MAPPING=PRECISE", "FS=MRC", "CURRENCY=USD", "XLFILL=b")</f>
        <v>-134.28184281842817</v>
      </c>
      <c r="K416" s="9">
        <f>_xll.BQL("ALK US Equity", "FA_GROWTH(CF_FREE_CASH_FLOW, YOY)", "FPT=A", "FPO=-2A", "ACT_EST_MAPPING=PRECISE", "FS=MRC", "CURRENCY=USD", "XLFILL=b")</f>
        <v>261.84210526315792</v>
      </c>
      <c r="L416" s="9">
        <f>_xll.BQL("ALK US Equity", "FA_GROWTH(CF_FREE_CASH_FLOW, YOY)", "FPT=A", "FPO=-3A", "ACT_EST_MAPPING=PRECISE", "FS=MRC", "CURRENCY=USD", "XLFILL=b")</f>
        <v>-144.44444444444446</v>
      </c>
      <c r="M416" s="9">
        <f>_xll.BQL("ALK US Equity", "FA_GROWTH(CF_FREE_CASH_FLOW, YOY)", "FPT=A", "FPO=-4A", "ACT_EST_MAPPING=PRECISE", "FS=MRC", "CURRENCY=USD", "XLFILL=b")</f>
        <v>336.59574468085106</v>
      </c>
      <c r="N416" s="9">
        <f>_xll.BQL("ALK US Equity", "FA_GROWTH(CF_FREE_CASH_FLOW, YOY)", "FPT=A", "FPO=-5A", "ACT_EST_MAPPING=PRECISE", "FS=MRC", "CURRENCY=USD", "XLFILL=b")</f>
        <v>-58.333333333333336</v>
      </c>
    </row>
    <row r="417" spans="1:14" x14ac:dyDescent="0.2">
      <c r="A417" s="8" t="s">
        <v>436</v>
      </c>
      <c r="B417" s="4" t="s">
        <v>437</v>
      </c>
      <c r="C417" s="4"/>
      <c r="D417" s="4"/>
      <c r="E417" s="9" t="str">
        <f>_xll.BQL("ALK US Equity", "FCF_PER_DIL_SHR", "FPT=A", "FPO=4A", "ACT_EST_MAPPING=PRECISE", "FS=MRC", "CURRENCY=USD", "XLFILL=b")</f>
        <v/>
      </c>
      <c r="F417" s="9">
        <f>_xll.BQL("ALK US Equity", "FCF_PER_DIL_SHR", "FPT=A", "FPO=3A", "ACT_EST_MAPPING=PRECISE", "FS=MRC", "CURRENCY=USD", "XLFILL=b")</f>
        <v>0.91371240030601486</v>
      </c>
      <c r="G417" s="9">
        <f>_xll.BQL("ALK US Equity", "FCF_PER_DIL_SHR", "FPT=A", "FPO=2A", "ACT_EST_MAPPING=PRECISE", "FS=MRC", "CURRENCY=USD", "XLFILL=b")</f>
        <v>-1.2662568866387893</v>
      </c>
      <c r="H417" s="9">
        <f>_xll.BQL("ALK US Equity", "FCF_PER_DIL_SHR", "FPT=A", "FPO=1A", "ACT_EST_MAPPING=PRECISE", "FS=MRC", "CURRENCY=USD", "XLFILL=b")</f>
        <v>-0.43499188123580429</v>
      </c>
      <c r="I417" s="9">
        <f>_xll.BQL("ALK US Equity", "FCF_PER_DIL_SHR", "FPT=A", "FPO=0A", "ACT_EST_MAPPING=PRECISE", "FS=MRC", "CURRENCY=USD", "XLFILL=b")</f>
        <v>-3.4496690182428442</v>
      </c>
      <c r="J417" s="9">
        <f>_xll.BQL("ALK US Equity", "FCF_PER_DIL_SHR", "FPT=A", "FPO=-1A", "ACT_EST_MAPPING=PRECISE", "FS=MRC", "CURRENCY=USD", "XLFILL=b")</f>
        <v>-1.9781233629660904</v>
      </c>
      <c r="K417" s="9">
        <f>_xll.BQL("ALK US Equity", "FCF_PER_DIL_SHR", "FPT=A", "FPO=-2A", "ACT_EST_MAPPING=PRECISE", "FS=MRC", "CURRENCY=USD", "XLFILL=b")</f>
        <v>5.8213370143955832</v>
      </c>
      <c r="L417" s="9">
        <f>_xll.BQL("ALK US Equity", "FCF_PER_DIL_SHR", "FPT=A", "FPO=-3A", "ACT_EST_MAPPING=PRECISE", "FS=MRC", "CURRENCY=USD", "XLFILL=b")</f>
        <v>-3.6938031591737546</v>
      </c>
      <c r="M417" s="9">
        <f>_xll.BQL("ALK US Equity", "FCF_PER_DIL_SHR", "FPT=A", "FPO=-4A", "ACT_EST_MAPPING=PRECISE", "FS=MRC", "CURRENCY=USD", "XLFILL=b")</f>
        <v>8.2549541793722696</v>
      </c>
      <c r="N417" s="9">
        <f>_xll.BQL("ALK US Equity", "FCF_PER_DIL_SHR", "FPT=A", "FPO=-5A", "ACT_EST_MAPPING=PRECISE", "FS=MRC", "CURRENCY=USD", "XLFILL=b")</f>
        <v>1.8955434563420044</v>
      </c>
    </row>
    <row r="418" spans="1:14" x14ac:dyDescent="0.2">
      <c r="A418" s="8" t="s">
        <v>67</v>
      </c>
      <c r="B418" s="4" t="s">
        <v>437</v>
      </c>
      <c r="C418" s="4"/>
      <c r="D418" s="4"/>
      <c r="E418" s="9" t="str">
        <f>_xll.BQL("ALK US Equity", "FA_GROWTH(FCF_PER_DIL_SHR, YOY)", "FPT=A", "FPO=4A", "ACT_EST_MAPPING=PRECISE", "FS=MRC", "CURRENCY=USD", "XLFILL=b")</f>
        <v/>
      </c>
      <c r="F418" s="9">
        <f>_xll.BQL("ALK US Equity", "FA_GROWTH(FCF_PER_DIL_SHR, YOY)", "FPT=A", "FPO=3A", "ACT_EST_MAPPING=PRECISE", "FS=MRC", "CURRENCY=USD", "XLFILL=b")</f>
        <v>172.15853354459657</v>
      </c>
      <c r="G418" s="9">
        <f>_xll.BQL("ALK US Equity", "FA_GROWTH(FCF_PER_DIL_SHR, YOY)", "FPT=A", "FPO=2A", "ACT_EST_MAPPING=PRECISE", "FS=MRC", "CURRENCY=USD", "XLFILL=b")</f>
        <v>-191.0989701787941</v>
      </c>
      <c r="H418" s="9">
        <f>_xll.BQL("ALK US Equity", "FA_GROWTH(FCF_PER_DIL_SHR, YOY)", "FPT=A", "FPO=1A", "ACT_EST_MAPPING=PRECISE", "FS=MRC", "CURRENCY=USD", "XLFILL=b")</f>
        <v>87.390329943671645</v>
      </c>
      <c r="I418" s="9">
        <f>_xll.BQL("ALK US Equity", "FA_GROWTH(FCF_PER_DIL_SHR, YOY)", "FPT=A", "FPO=0A", "ACT_EST_MAPPING=PRECISE", "FS=MRC", "CURRENCY=USD", "XLFILL=b")</f>
        <v>-74.39099516373183</v>
      </c>
      <c r="J418" s="9">
        <f>_xll.BQL("ALK US Equity", "FA_GROWTH(FCF_PER_DIL_SHR, YOY)", "FPT=A", "FPO=-1A", "ACT_EST_MAPPING=PRECISE", "FS=MRC", "CURRENCY=USD", "XLFILL=b")</f>
        <v>-133.98056766125015</v>
      </c>
      <c r="K418" s="9">
        <f>_xll.BQL("ALK US Equity", "FA_GROWTH(FCF_PER_DIL_SHR, YOY)", "FPT=A", "FPO=-2A", "ACT_EST_MAPPING=PRECISE", "FS=MRC", "CURRENCY=USD", "XLFILL=b")</f>
        <v>257.59738035682778</v>
      </c>
      <c r="L418" s="9">
        <f>_xll.BQL("ALK US Equity", "FA_GROWTH(FCF_PER_DIL_SHR, YOY)", "FPT=A", "FPO=-3A", "ACT_EST_MAPPING=PRECISE", "FS=MRC", "CURRENCY=USD", "XLFILL=b")</f>
        <v>-144.74650105755816</v>
      </c>
      <c r="M418" s="9">
        <f>_xll.BQL("ALK US Equity", "FA_GROWTH(FCF_PER_DIL_SHR, YOY)", "FPT=A", "FPO=-4A", "ACT_EST_MAPPING=PRECISE", "FS=MRC", "CURRENCY=USD", "XLFILL=b")</f>
        <v>335.49274229262858</v>
      </c>
      <c r="N418" s="9">
        <f>_xll.BQL("ALK US Equity", "FA_GROWTH(FCF_PER_DIL_SHR, YOY)", "FPT=A", "FPO=-5A", "ACT_EST_MAPPING=PRECISE", "FS=MRC", "CURRENCY=USD", "XLFILL=b")</f>
        <v>-58.374000134435711</v>
      </c>
    </row>
    <row r="419" spans="1:14" x14ac:dyDescent="0.2">
      <c r="A419" s="8" t="s">
        <v>438</v>
      </c>
      <c r="B419" s="4" t="s">
        <v>439</v>
      </c>
      <c r="C419" s="4"/>
      <c r="D419" s="4"/>
      <c r="E419" s="9" t="str">
        <f>_xll.BQL("ALK US Equity", "FREE_CASH_FLOW_EQUITY/1M", "FPT=A", "FPO=4A", "ACT_EST_MAPPING=PRECISE", "FS=MRC", "CURRENCY=USD", "XLFILL=b")</f>
        <v/>
      </c>
      <c r="F419" s="9">
        <f>_xll.BQL("ALK US Equity", "FREE_CASH_FLOW_EQUITY/1M", "FPT=A", "FPO=3A", "ACT_EST_MAPPING=PRECISE", "FS=MRC", "CURRENCY=USD", "XLFILL=b")</f>
        <v>168.53256245300781</v>
      </c>
      <c r="G419" s="9">
        <f>_xll.BQL("ALK US Equity", "FREE_CASH_FLOW_EQUITY/1M", "FPT=A", "FPO=2A", "ACT_EST_MAPPING=PRECISE", "FS=MRC", "CURRENCY=USD", "XLFILL=b")</f>
        <v>250.93206934629143</v>
      </c>
      <c r="H419" s="9">
        <f>_xll.BQL("ALK US Equity", "FREE_CASH_FLOW_EQUITY/1M", "FPT=A", "FPO=1A", "ACT_EST_MAPPING=PRECISE", "FS=MRC", "CURRENCY=USD", "XLFILL=b")</f>
        <v>99.766472614090617</v>
      </c>
      <c r="I419" s="9">
        <f>_xll.BQL("ALK US Equity", "FREE_CASH_FLOW_EQUITY/1M", "FPT=A", "FPO=0A", "ACT_EST_MAPPING=PRECISE", "FS=MRC", "CURRENCY=USD", "XLFILL=b")</f>
        <v>-283</v>
      </c>
      <c r="J419" s="9">
        <f>_xll.BQL("ALK US Equity", "FREE_CASH_FLOW_EQUITY/1M", "FPT=A", "FPO=-1A", "ACT_EST_MAPPING=PRECISE", "FS=MRC", "CURRENCY=USD", "XLFILL=b")</f>
        <v>-634</v>
      </c>
      <c r="K419" s="9">
        <f>_xll.BQL("ALK US Equity", "FREE_CASH_FLOW_EQUITY/1M", "FPT=A", "FPO=-2A", "ACT_EST_MAPPING=PRECISE", "FS=MRC", "CURRENCY=USD", "XLFILL=b")</f>
        <v>-231</v>
      </c>
      <c r="L419" s="9">
        <f>_xll.BQL("ALK US Equity", "FREE_CASH_FLOW_EQUITY/1M", "FPT=A", "FPO=-3A", "ACT_EST_MAPPING=PRECISE", "FS=MRC", "CURRENCY=USD", "XLFILL=b")</f>
        <v>1822</v>
      </c>
      <c r="M419" s="9">
        <f>_xll.BQL("ALK US Equity", "FREE_CASH_FLOW_EQUITY/1M", "FPT=A", "FPO=-4A", "ACT_EST_MAPPING=PRECISE", "FS=MRC", "CURRENCY=USD", "XLFILL=b")</f>
        <v>446</v>
      </c>
      <c r="N419" s="9">
        <f>_xll.BQL("ALK US Equity", "FREE_CASH_FLOW_EQUITY/1M", "FPT=A", "FPO=-5A", "ACT_EST_MAPPING=PRECISE", "FS=MRC", "CURRENCY=USD", "XLFILL=b")</f>
        <v>-217</v>
      </c>
    </row>
    <row r="420" spans="1:14" x14ac:dyDescent="0.2">
      <c r="A420" s="8" t="s">
        <v>64</v>
      </c>
      <c r="B420" s="4" t="s">
        <v>439</v>
      </c>
      <c r="C420" s="4"/>
      <c r="D420" s="4"/>
      <c r="E420" s="9" t="str">
        <f>_xll.BQL("ALK US Equity", "FA_GROWTH(FREE_CASH_FLOW_EQUITY, YOY)", "FPT=A", "FPO=4A", "ACT_EST_MAPPING=PRECISE", "FS=MRC", "CURRENCY=USD", "XLFILL=b")</f>
        <v/>
      </c>
      <c r="F420" s="9">
        <f>_xll.BQL("ALK US Equity", "FA_GROWTH(FREE_CASH_FLOW_EQUITY, YOY)", "FPT=A", "FPO=3A", "ACT_EST_MAPPING=PRECISE", "FS=MRC", "CURRENCY=USD", "XLFILL=b")</f>
        <v>-32.8373759113151</v>
      </c>
      <c r="G420" s="9">
        <f>_xll.BQL("ALK US Equity", "FA_GROWTH(FREE_CASH_FLOW_EQUITY, YOY)", "FPT=A", "FPO=2A", "ACT_EST_MAPPING=PRECISE", "FS=MRC", "CURRENCY=USD", "XLFILL=b")</f>
        <v>151.51943611049427</v>
      </c>
      <c r="H420" s="9">
        <f>_xll.BQL("ALK US Equity", "FA_GROWTH(FREE_CASH_FLOW_EQUITY, YOY)", "FPT=A", "FPO=1A", "ACT_EST_MAPPING=PRECISE", "FS=MRC", "CURRENCY=USD", "XLFILL=b")</f>
        <v>135.25317053501436</v>
      </c>
      <c r="I420" s="9">
        <f>_xll.BQL("ALK US Equity", "FA_GROWTH(FREE_CASH_FLOW_EQUITY, YOY)", "FPT=A", "FPO=0A", "ACT_EST_MAPPING=PRECISE", "FS=MRC", "CURRENCY=USD", "XLFILL=b")</f>
        <v>55.362776025236592</v>
      </c>
      <c r="J420" s="9">
        <f>_xll.BQL("ALK US Equity", "FA_GROWTH(FREE_CASH_FLOW_EQUITY, YOY)", "FPT=A", "FPO=-1A", "ACT_EST_MAPPING=PRECISE", "FS=MRC", "CURRENCY=USD", "XLFILL=b")</f>
        <v>-174.45887445887445</v>
      </c>
      <c r="K420" s="9">
        <f>_xll.BQL("ALK US Equity", "FA_GROWTH(FREE_CASH_FLOW_EQUITY, YOY)", "FPT=A", "FPO=-2A", "ACT_EST_MAPPING=PRECISE", "FS=MRC", "CURRENCY=USD", "XLFILL=b")</f>
        <v>-112.67837541163557</v>
      </c>
      <c r="L420" s="9">
        <f>_xll.BQL("ALK US Equity", "FA_GROWTH(FREE_CASH_FLOW_EQUITY, YOY)", "FPT=A", "FPO=-3A", "ACT_EST_MAPPING=PRECISE", "FS=MRC", "CURRENCY=USD", "XLFILL=b")</f>
        <v>308.52017937219733</v>
      </c>
      <c r="M420" s="9">
        <f>_xll.BQL("ALK US Equity", "FA_GROWTH(FREE_CASH_FLOW_EQUITY, YOY)", "FPT=A", "FPO=-4A", "ACT_EST_MAPPING=PRECISE", "FS=MRC", "CURRENCY=USD", "XLFILL=b")</f>
        <v>305.5299539170507</v>
      </c>
      <c r="N420" s="9">
        <f>_xll.BQL("ALK US Equity", "FA_GROWTH(FREE_CASH_FLOW_EQUITY, YOY)", "FPT=A", "FPO=-5A", "ACT_EST_MAPPING=PRECISE", "FS=MRC", "CURRENCY=USD", "XLFILL=b")</f>
        <v>-229.94011976047904</v>
      </c>
    </row>
    <row r="421" spans="1:14" x14ac:dyDescent="0.2">
      <c r="A421" s="8" t="s">
        <v>440</v>
      </c>
      <c r="B421" s="4" t="s">
        <v>441</v>
      </c>
      <c r="C421" s="4"/>
      <c r="D421" s="4"/>
      <c r="E421" s="9" t="str">
        <f>_xll.BQL("ALK US Equity", "CF_ACT_CASH_PAID_FOR_INT_DEBT/1M", "FPT=A", "FPO=4A", "ACT_EST_MAPPING=PRECISE", "FS=MRC", "CURRENCY=USD", "XLFILL=b")</f>
        <v/>
      </c>
      <c r="F421" s="9">
        <f>_xll.BQL("ALK US Equity", "CF_ACT_CASH_PAID_FOR_INT_DEBT/1M", "FPT=A", "FPO=3A", "ACT_EST_MAPPING=PRECISE", "FS=MRC", "CURRENCY=USD", "XLFILL=b")</f>
        <v>87</v>
      </c>
      <c r="G421" s="9">
        <f>_xll.BQL("ALK US Equity", "CF_ACT_CASH_PAID_FOR_INT_DEBT/1M", "FPT=A", "FPO=2A", "ACT_EST_MAPPING=PRECISE", "FS=MRC", "CURRENCY=USD", "XLFILL=b")</f>
        <v>87</v>
      </c>
      <c r="H421" s="9">
        <f>_xll.BQL("ALK US Equity", "CF_ACT_CASH_PAID_FOR_INT_DEBT/1M", "FPT=A", "FPO=1A", "ACT_EST_MAPPING=PRECISE", "FS=MRC", "CURRENCY=USD", "XLFILL=b")</f>
        <v>91</v>
      </c>
      <c r="I421" s="9">
        <f>_xll.BQL("ALK US Equity", "CF_ACT_CASH_PAID_FOR_INT_DEBT/1M", "FPT=A", "FPO=0A", "ACT_EST_MAPPING=PRECISE", "FS=MRC", "CURRENCY=USD", "XLFILL=b")</f>
        <v>105</v>
      </c>
      <c r="J421" s="9">
        <f>_xll.BQL("ALK US Equity", "CF_ACT_CASH_PAID_FOR_INT_DEBT/1M", "FPT=A", "FPO=-1A", "ACT_EST_MAPPING=PRECISE", "FS=MRC", "CURRENCY=USD", "XLFILL=b")</f>
        <v>71</v>
      </c>
      <c r="K421" s="9">
        <f>_xll.BQL("ALK US Equity", "CF_ACT_CASH_PAID_FOR_INT_DEBT/1M", "FPT=A", "FPO=-2A", "ACT_EST_MAPPING=PRECISE", "FS=MRC", "CURRENCY=USD", "XLFILL=b")</f>
        <v>109</v>
      </c>
      <c r="L421" s="9">
        <f>_xll.BQL("ALK US Equity", "CF_ACT_CASH_PAID_FOR_INT_DEBT/1M", "FPT=A", "FPO=-3A", "ACT_EST_MAPPING=PRECISE", "FS=MRC", "CURRENCY=USD", "XLFILL=b")</f>
        <v>50</v>
      </c>
      <c r="M421" s="9">
        <f>_xll.BQL("ALK US Equity", "CF_ACT_CASH_PAID_FOR_INT_DEBT/1M", "FPT=A", "FPO=-4A", "ACT_EST_MAPPING=PRECISE", "FS=MRC", "CURRENCY=USD", "XLFILL=b")</f>
        <v>60</v>
      </c>
      <c r="N421" s="9">
        <f>_xll.BQL("ALK US Equity", "CF_ACT_CASH_PAID_FOR_INT_DEBT/1M", "FPT=A", "FPO=-5A", "ACT_EST_MAPPING=PRECISE", "FS=MRC", "CURRENCY=USD", "XLFILL=b")</f>
        <v>72</v>
      </c>
    </row>
    <row r="422" spans="1:14" x14ac:dyDescent="0.2">
      <c r="A422" s="8" t="s">
        <v>64</v>
      </c>
      <c r="B422" s="4" t="s">
        <v>441</v>
      </c>
      <c r="C422" s="4"/>
      <c r="D422" s="4"/>
      <c r="E422" s="9" t="str">
        <f>_xll.BQL("ALK US Equity", "FA_GROWTH(CF_ACT_CASH_PAID_FOR_INT_DEBT, YOY)", "FPT=A", "FPO=4A", "ACT_EST_MAPPING=PRECISE", "FS=MRC", "CURRENCY=USD", "XLFILL=b")</f>
        <v/>
      </c>
      <c r="F422" s="9">
        <f>_xll.BQL("ALK US Equity", "FA_GROWTH(CF_ACT_CASH_PAID_FOR_INT_DEBT, YOY)", "FPT=A", "FPO=3A", "ACT_EST_MAPPING=PRECISE", "FS=MRC", "CURRENCY=USD", "XLFILL=b")</f>
        <v>0</v>
      </c>
      <c r="G422" s="9">
        <f>_xll.BQL("ALK US Equity", "FA_GROWTH(CF_ACT_CASH_PAID_FOR_INT_DEBT, YOY)", "FPT=A", "FPO=2A", "ACT_EST_MAPPING=PRECISE", "FS=MRC", "CURRENCY=USD", "XLFILL=b")</f>
        <v>-4.395604395604396</v>
      </c>
      <c r="H422" s="9">
        <f>_xll.BQL("ALK US Equity", "FA_GROWTH(CF_ACT_CASH_PAID_FOR_INT_DEBT, YOY)", "FPT=A", "FPO=1A", "ACT_EST_MAPPING=PRECISE", "FS=MRC", "CURRENCY=USD", "XLFILL=b")</f>
        <v>-13.333333333333334</v>
      </c>
      <c r="I422" s="9">
        <f>_xll.BQL("ALK US Equity", "FA_GROWTH(CF_ACT_CASH_PAID_FOR_INT_DEBT, YOY)", "FPT=A", "FPO=0A", "ACT_EST_MAPPING=PRECISE", "FS=MRC", "CURRENCY=USD", "XLFILL=b")</f>
        <v>47.887323943661968</v>
      </c>
      <c r="J422" s="9">
        <f>_xll.BQL("ALK US Equity", "FA_GROWTH(CF_ACT_CASH_PAID_FOR_INT_DEBT, YOY)", "FPT=A", "FPO=-1A", "ACT_EST_MAPPING=PRECISE", "FS=MRC", "CURRENCY=USD", "XLFILL=b")</f>
        <v>-34.862385321100916</v>
      </c>
      <c r="K422" s="9">
        <f>_xll.BQL("ALK US Equity", "FA_GROWTH(CF_ACT_CASH_PAID_FOR_INT_DEBT, YOY)", "FPT=A", "FPO=-2A", "ACT_EST_MAPPING=PRECISE", "FS=MRC", "CURRENCY=USD", "XLFILL=b")</f>
        <v>118</v>
      </c>
      <c r="L422" s="9">
        <f>_xll.BQL("ALK US Equity", "FA_GROWTH(CF_ACT_CASH_PAID_FOR_INT_DEBT, YOY)", "FPT=A", "FPO=-3A", "ACT_EST_MAPPING=PRECISE", "FS=MRC", "CURRENCY=USD", "XLFILL=b")</f>
        <v>-16.666666666666668</v>
      </c>
      <c r="M422" s="9">
        <f>_xll.BQL("ALK US Equity", "FA_GROWTH(CF_ACT_CASH_PAID_FOR_INT_DEBT, YOY)", "FPT=A", "FPO=-4A", "ACT_EST_MAPPING=PRECISE", "FS=MRC", "CURRENCY=USD", "XLFILL=b")</f>
        <v>-16.666666666666668</v>
      </c>
      <c r="N422" s="9">
        <f>_xll.BQL("ALK US Equity", "FA_GROWTH(CF_ACT_CASH_PAID_FOR_INT_DEBT, YOY)", "FPT=A", "FPO=-5A", "ACT_EST_MAPPING=PRECISE", "FS=MRC", "CURRENCY=USD", "XLFILL=b")</f>
        <v>-14.285714285714286</v>
      </c>
    </row>
    <row r="423" spans="1:14" x14ac:dyDescent="0.2">
      <c r="A423" s="8" t="s">
        <v>442</v>
      </c>
      <c r="B423" s="4" t="s">
        <v>443</v>
      </c>
      <c r="C423" s="4"/>
      <c r="D423" s="4"/>
      <c r="E423" s="9" t="str">
        <f>_xll.BQL("ALK US Equity", "CB_CF_CASH_PAID_FOR_TAXES/1M", "FPT=A", "FPO=4A", "ACT_EST_MAPPING=PRECISE", "FS=MRC", "CURRENCY=USD", "XLFILL=b")</f>
        <v/>
      </c>
      <c r="F423" s="9">
        <f>_xll.BQL("ALK US Equity", "CB_CF_CASH_PAID_FOR_TAXES/1M", "FPT=A", "FPO=3A", "ACT_EST_MAPPING=PRECISE", "FS=MRC", "CURRENCY=USD", "XLFILL=b")</f>
        <v>75</v>
      </c>
      <c r="G423" s="9">
        <f>_xll.BQL("ALK US Equity", "CB_CF_CASH_PAID_FOR_TAXES/1M", "FPT=A", "FPO=2A", "ACT_EST_MAPPING=PRECISE", "FS=MRC", "CURRENCY=USD", "XLFILL=b")</f>
        <v>70</v>
      </c>
      <c r="H423" s="9">
        <f>_xll.BQL("ALK US Equity", "CB_CF_CASH_PAID_FOR_TAXES/1M", "FPT=A", "FPO=1A", "ACT_EST_MAPPING=PRECISE", "FS=MRC", "CURRENCY=USD", "XLFILL=b")</f>
        <v>63</v>
      </c>
      <c r="I423" s="9">
        <f>_xll.BQL("ALK US Equity", "CB_CF_CASH_PAID_FOR_TAXES/1M", "FPT=A", "FPO=0A", "ACT_EST_MAPPING=PRECISE", "FS=MRC", "CURRENCY=USD", "XLFILL=b")</f>
        <v>15</v>
      </c>
      <c r="J423" s="9">
        <f>_xll.BQL("ALK US Equity", "CB_CF_CASH_PAID_FOR_TAXES/1M", "FPT=A", "FPO=-1A", "ACT_EST_MAPPING=PRECISE", "FS=MRC", "CURRENCY=USD", "XLFILL=b")</f>
        <v>0</v>
      </c>
      <c r="K423" s="9">
        <f>_xll.BQL("ALK US Equity", "CB_CF_CASH_PAID_FOR_TAXES/1M", "FPT=A", "FPO=-2A", "ACT_EST_MAPPING=PRECISE", "FS=MRC", "CURRENCY=USD", "XLFILL=b")</f>
        <v>48</v>
      </c>
      <c r="L423" s="9">
        <f>_xll.BQL("ALK US Equity", "CB_CF_CASH_PAID_FOR_TAXES/1M", "FPT=A", "FPO=-3A", "ACT_EST_MAPPING=PRECISE", "FS=MRC", "CURRENCY=USD", "XLFILL=b")</f>
        <v>0</v>
      </c>
      <c r="M423" s="9">
        <f>_xll.BQL("ALK US Equity", "CB_CF_CASH_PAID_FOR_TAXES/1M", "FPT=A", "FPO=-4A", "ACT_EST_MAPPING=PRECISE", "FS=MRC", "CURRENCY=USD", "XLFILL=b")</f>
        <v>31</v>
      </c>
      <c r="N423" s="9">
        <f>_xll.BQL("ALK US Equity", "CB_CF_CASH_PAID_FOR_TAXES/1M", "FPT=A", "FPO=-5A", "ACT_EST_MAPPING=PRECISE", "FS=MRC", "CURRENCY=USD", "XLFILL=b")</f>
        <v>0</v>
      </c>
    </row>
    <row r="424" spans="1:14" x14ac:dyDescent="0.2">
      <c r="A424" s="8" t="s">
        <v>64</v>
      </c>
      <c r="B424" s="4" t="s">
        <v>443</v>
      </c>
      <c r="C424" s="4"/>
      <c r="D424" s="4"/>
      <c r="E424" s="9" t="str">
        <f>_xll.BQL("ALK US Equity", "FA_GROWTH(CB_CF_CASH_PAID_FOR_TAXES, YOY)", "FPT=A", "FPO=4A", "ACT_EST_MAPPING=PRECISE", "FS=MRC", "CURRENCY=USD", "XLFILL=b")</f>
        <v/>
      </c>
      <c r="F424" s="9">
        <f>_xll.BQL("ALK US Equity", "FA_GROWTH(CB_CF_CASH_PAID_FOR_TAXES, YOY)", "FPT=A", "FPO=3A", "ACT_EST_MAPPING=PRECISE", "FS=MRC", "CURRENCY=USD", "XLFILL=b")</f>
        <v>7.1428571428571432</v>
      </c>
      <c r="G424" s="9">
        <f>_xll.BQL("ALK US Equity", "FA_GROWTH(CB_CF_CASH_PAID_FOR_TAXES, YOY)", "FPT=A", "FPO=2A", "ACT_EST_MAPPING=PRECISE", "FS=MRC", "CURRENCY=USD", "XLFILL=b")</f>
        <v>11.111111111111111</v>
      </c>
      <c r="H424" s="9">
        <f>_xll.BQL("ALK US Equity", "FA_GROWTH(CB_CF_CASH_PAID_FOR_TAXES, YOY)", "FPT=A", "FPO=1A", "ACT_EST_MAPPING=PRECISE", "FS=MRC", "CURRENCY=USD", "XLFILL=b")</f>
        <v>320</v>
      </c>
      <c r="I424" s="9" t="str">
        <f>_xll.BQL("ALK US Equity", "FA_GROWTH(CB_CF_CASH_PAID_FOR_TAXES, YOY)", "FPT=A", "FPO=0A", "ACT_EST_MAPPING=PRECISE", "FS=MRC", "CURRENCY=USD", "XLFILL=b")</f>
        <v/>
      </c>
      <c r="J424" s="9">
        <f>_xll.BQL("ALK US Equity", "FA_GROWTH(CB_CF_CASH_PAID_FOR_TAXES, YOY)", "FPT=A", "FPO=-1A", "ACT_EST_MAPPING=PRECISE", "FS=MRC", "CURRENCY=USD", "XLFILL=b")</f>
        <v>-100</v>
      </c>
      <c r="K424" s="9" t="str">
        <f>_xll.BQL("ALK US Equity", "FA_GROWTH(CB_CF_CASH_PAID_FOR_TAXES, YOY)", "FPT=A", "FPO=-2A", "ACT_EST_MAPPING=PRECISE", "FS=MRC", "CURRENCY=USD", "XLFILL=b")</f>
        <v/>
      </c>
      <c r="L424" s="9">
        <f>_xll.BQL("ALK US Equity", "FA_GROWTH(CB_CF_CASH_PAID_FOR_TAXES, YOY)", "FPT=A", "FPO=-3A", "ACT_EST_MAPPING=PRECISE", "FS=MRC", "CURRENCY=USD", "XLFILL=b")</f>
        <v>-100</v>
      </c>
      <c r="M424" s="9" t="str">
        <f>_xll.BQL("ALK US Equity", "FA_GROWTH(CB_CF_CASH_PAID_FOR_TAXES, YOY)", "FPT=A", "FPO=-4A", "ACT_EST_MAPPING=PRECISE", "FS=MRC", "CURRENCY=USD", "XLFILL=b")</f>
        <v/>
      </c>
      <c r="N424" s="9">
        <f>_xll.BQL("ALK US Equity", "FA_GROWTH(CB_CF_CASH_PAID_FOR_TAXES, YOY)", "FPT=A", "FPO=-5A", "ACT_EST_MAPPING=PRECISE", "FS=MRC", "CURRENCY=USD", "XLFILL=b")</f>
        <v>-100</v>
      </c>
    </row>
    <row r="425" spans="1:14" x14ac:dyDescent="0.2">
      <c r="A425" s="5" t="s">
        <v>444</v>
      </c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1BEF-68FD-4AAA-B49F-829A9FED3340}">
  <dimension ref="A1"/>
  <sheetViews>
    <sheetView topLeftCell="A40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9A930CDD3054DBC716B01DADABC2F" ma:contentTypeVersion="5" ma:contentTypeDescription="Create a new document." ma:contentTypeScope="" ma:versionID="fbfb07255d9ec9fae998da763e198ecb">
  <xsd:schema xmlns:xsd="http://www.w3.org/2001/XMLSchema" xmlns:xs="http://www.w3.org/2001/XMLSchema" xmlns:p="http://schemas.microsoft.com/office/2006/metadata/properties" xmlns:ns3="e1ffb5b7-7f01-49f9-bb97-00985892725c" targetNamespace="http://schemas.microsoft.com/office/2006/metadata/properties" ma:root="true" ma:fieldsID="de28d6bd9adfe59aba35f91886773b82" ns3:_="">
    <xsd:import namespace="e1ffb5b7-7f01-49f9-bb97-00985892725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fb5b7-7f01-49f9-bb97-00985892725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09AE99-6E74-405D-8397-250B5BF37A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7C6A41F-0DFA-4EF3-B083-7D57F903D9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F6D8C6-1073-44E2-9A0C-E538691B2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ffb5b7-7f01-49f9-bb97-009858927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Alaska Airlines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Salian, Nithi Dinesh</cp:lastModifiedBy>
  <cp:revision/>
  <dcterms:created xsi:type="dcterms:W3CDTF">2013-04-03T15:49:21Z</dcterms:created>
  <dcterms:modified xsi:type="dcterms:W3CDTF">2024-09-29T03:26:36Z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0x0101006069A930CDD3054DBC716B01DADABC2F</vt:lpwstr>
  </property>
</Properties>
</file>