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thisalian/Desktop/CDC-datathon/AirlineFinancials/"/>
    </mc:Choice>
  </mc:AlternateContent>
  <xr:revisionPtr revIDLastSave="0" documentId="13_ncr:1_{AC2A2744-C9B7-5B40-B941-248255002AB4}" xr6:coauthVersionLast="47" xr6:coauthVersionMax="47" xr10:uidLastSave="{00000000-0000-0000-0000-000000000000}"/>
  <bookViews>
    <workbookView xWindow="0" yWindow="780" windowWidth="29040" windowHeight="15720" xr2:uid="{00000000-000D-0000-FFFF-FFFF00000000}"/>
  </bookViews>
  <sheets>
    <sheet name="Multiple Periods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2" i="2" l="1"/>
  <c r="N245" i="2"/>
  <c r="N355" i="2"/>
  <c r="L102" i="2"/>
  <c r="K102" i="2"/>
  <c r="L153" i="2"/>
  <c r="L341" i="2"/>
  <c r="G163" i="2"/>
  <c r="J117" i="2"/>
  <c r="G190" i="2"/>
  <c r="J194" i="2"/>
  <c r="G296" i="2"/>
  <c r="J52" i="2"/>
  <c r="J83" i="2"/>
  <c r="G239" i="2"/>
  <c r="F345" i="2"/>
  <c r="G336" i="2"/>
  <c r="F74" i="2"/>
  <c r="G70" i="2"/>
  <c r="F117" i="2"/>
  <c r="L67" i="2"/>
  <c r="H80" i="2"/>
  <c r="L141" i="2"/>
  <c r="L317" i="2"/>
  <c r="J86" i="2"/>
  <c r="L263" i="2"/>
  <c r="M167" i="2"/>
  <c r="M4" i="2"/>
  <c r="M126" i="2"/>
  <c r="M361" i="2"/>
  <c r="M54" i="2"/>
  <c r="E180" i="2"/>
  <c r="G233" i="2"/>
  <c r="F262" i="2"/>
  <c r="G306" i="2"/>
  <c r="G124" i="2"/>
  <c r="J70" i="2"/>
  <c r="G99" i="2"/>
  <c r="F99" i="2"/>
  <c r="E316" i="2"/>
  <c r="E240" i="2"/>
  <c r="I93" i="2"/>
  <c r="G120" i="2"/>
  <c r="I52" i="2"/>
  <c r="G355" i="2"/>
  <c r="I361" i="2"/>
  <c r="E110" i="2"/>
  <c r="I167" i="2"/>
  <c r="G152" i="2"/>
  <c r="E345" i="2"/>
  <c r="G206" i="2"/>
  <c r="M139" i="2"/>
  <c r="M51" i="2"/>
  <c r="E90" i="2"/>
  <c r="M146" i="2"/>
  <c r="K174" i="2"/>
  <c r="E372" i="2"/>
  <c r="E169" i="2"/>
  <c r="H364" i="2"/>
  <c r="H239" i="2"/>
  <c r="H252" i="2"/>
  <c r="F113" i="2"/>
  <c r="F135" i="2"/>
  <c r="I230" i="2"/>
  <c r="F288" i="2"/>
  <c r="F308" i="2"/>
  <c r="K263" i="2"/>
  <c r="F225" i="2"/>
  <c r="N214" i="2"/>
  <c r="L271" i="2"/>
  <c r="L93" i="2"/>
  <c r="L215" i="2"/>
  <c r="L185" i="2"/>
  <c r="I296" i="2"/>
  <c r="F282" i="2"/>
  <c r="I233" i="2"/>
  <c r="I4" i="2"/>
  <c r="F364" i="2"/>
  <c r="I272" i="2"/>
  <c r="F180" i="2"/>
  <c r="F124" i="2"/>
  <c r="M115" i="2"/>
  <c r="M71" i="2"/>
  <c r="M113" i="2"/>
  <c r="I86" i="2"/>
  <c r="N102" i="2"/>
  <c r="N179" i="2"/>
  <c r="N363" i="2"/>
  <c r="K257" i="2"/>
  <c r="K296" i="2"/>
  <c r="K86" i="2"/>
  <c r="K345" i="2"/>
  <c r="K152" i="2"/>
  <c r="K117" i="2"/>
  <c r="J153" i="2"/>
  <c r="K315" i="2"/>
  <c r="N112" i="2"/>
  <c r="M102" i="2"/>
  <c r="E288" i="2"/>
  <c r="G345" i="2"/>
  <c r="K71" i="2"/>
  <c r="E219" i="2"/>
  <c r="E117" i="2"/>
  <c r="K241" i="2"/>
  <c r="E74" i="2"/>
  <c r="J247" i="2"/>
  <c r="J67" i="2"/>
  <c r="H332" i="2"/>
  <c r="H146" i="2"/>
  <c r="H355" i="2"/>
  <c r="H84" i="2"/>
  <c r="F372" i="2"/>
  <c r="F266" i="2"/>
  <c r="F181" i="2"/>
  <c r="E175" i="2"/>
  <c r="I146" i="2"/>
  <c r="I67" i="2"/>
  <c r="E336" i="2"/>
  <c r="I120" i="2"/>
  <c r="F154" i="2"/>
  <c r="F89" i="2"/>
  <c r="M112" i="2"/>
  <c r="F52" i="2"/>
  <c r="M185" i="2"/>
  <c r="M162" i="2"/>
  <c r="F226" i="2"/>
  <c r="N139" i="2"/>
  <c r="M271" i="2"/>
  <c r="I141" i="2"/>
  <c r="F123" i="2"/>
  <c r="I263" i="2"/>
  <c r="F239" i="2"/>
  <c r="N146" i="2"/>
  <c r="I342" i="2"/>
  <c r="E80" i="2"/>
  <c r="N134" i="2"/>
  <c r="I247" i="2"/>
  <c r="H131" i="2"/>
  <c r="N71" i="2"/>
  <c r="I54" i="2"/>
  <c r="H113" i="2"/>
  <c r="I124" i="2"/>
  <c r="H163" i="2"/>
  <c r="I297" i="2"/>
  <c r="G181" i="2"/>
  <c r="H263" i="2"/>
  <c r="L90" i="2"/>
  <c r="J206" i="2"/>
  <c r="J296" i="2"/>
  <c r="L139" i="2"/>
  <c r="I103" i="2"/>
  <c r="L196" i="2"/>
  <c r="G81" i="2"/>
  <c r="L174" i="2"/>
  <c r="L257" i="2"/>
  <c r="L107" i="2"/>
  <c r="N108" i="2"/>
  <c r="L225" i="2"/>
  <c r="G83" i="2"/>
  <c r="L214" i="2"/>
  <c r="N371" i="2"/>
  <c r="N271" i="2"/>
  <c r="H103" i="2"/>
  <c r="F86" i="2"/>
  <c r="N67" i="2"/>
  <c r="M194" i="2"/>
  <c r="N73" i="2"/>
  <c r="M180" i="2"/>
  <c r="H233" i="2"/>
  <c r="F81" i="2"/>
  <c r="H219" i="2"/>
  <c r="H247" i="2"/>
  <c r="H74" i="2"/>
  <c r="H345" i="2"/>
  <c r="E127" i="2"/>
  <c r="E81" i="2"/>
  <c r="E147" i="2"/>
  <c r="H90" i="2"/>
  <c r="E100" i="2"/>
  <c r="I287" i="2"/>
  <c r="I136" i="2"/>
  <c r="I80" i="2"/>
  <c r="M98" i="2"/>
  <c r="M158" i="2"/>
  <c r="N194" i="2"/>
  <c r="J102" i="2"/>
  <c r="M119" i="2"/>
  <c r="E141" i="2"/>
  <c r="M83" i="2"/>
  <c r="E315" i="2"/>
  <c r="G288" i="2"/>
  <c r="E137" i="2"/>
  <c r="G174" i="2"/>
  <c r="I113" i="2"/>
  <c r="G154" i="2"/>
  <c r="G110" i="2"/>
  <c r="G141" i="2"/>
  <c r="I68" i="2"/>
  <c r="F55" i="2"/>
  <c r="I355" i="2"/>
  <c r="G247" i="2"/>
  <c r="F238" i="2"/>
  <c r="G52" i="2"/>
  <c r="K146" i="2"/>
  <c r="K247" i="2"/>
  <c r="K107" i="2"/>
  <c r="H70" i="2"/>
  <c r="H372" i="2"/>
  <c r="H308" i="2"/>
  <c r="H336" i="2"/>
  <c r="H296" i="2"/>
  <c r="H86" i="2"/>
  <c r="E93" i="2"/>
  <c r="G194" i="2"/>
  <c r="G225" i="2"/>
  <c r="K67" i="2"/>
  <c r="N306" i="2"/>
  <c r="L128" i="2"/>
  <c r="N131" i="2"/>
  <c r="L288" i="2"/>
  <c r="L4" i="2"/>
  <c r="I194" i="2"/>
  <c r="F128" i="2"/>
  <c r="I180" i="2"/>
  <c r="F131" i="2"/>
  <c r="I281" i="2"/>
  <c r="H297" i="2"/>
  <c r="H287" i="2"/>
  <c r="H194" i="2"/>
  <c r="M332" i="2"/>
  <c r="H124" i="2"/>
  <c r="H83" i="2"/>
  <c r="M277" i="2"/>
  <c r="F108" i="2"/>
  <c r="K51" i="2"/>
  <c r="J4" i="2"/>
  <c r="F141" i="2"/>
  <c r="E247" i="2"/>
  <c r="F100" i="2"/>
  <c r="E264" i="2"/>
  <c r="I117" i="2"/>
  <c r="M142" i="2"/>
  <c r="I110" i="2"/>
  <c r="M153" i="2"/>
  <c r="G103" i="2"/>
  <c r="I49" i="2"/>
  <c r="I22" i="2"/>
  <c r="L315" i="2"/>
  <c r="J124" i="2"/>
  <c r="I162" i="2"/>
  <c r="L131" i="2"/>
  <c r="J113" i="2"/>
  <c r="H174" i="2"/>
  <c r="L277" i="2"/>
  <c r="H238" i="2"/>
  <c r="H278" i="2"/>
  <c r="H127" i="2"/>
  <c r="H342" i="2"/>
  <c r="H302" i="2"/>
  <c r="H253" i="2"/>
  <c r="H167" i="2"/>
  <c r="E290" i="2"/>
  <c r="E202" i="2"/>
  <c r="H373" i="2"/>
  <c r="H152" i="2"/>
  <c r="E272" i="2"/>
  <c r="F93" i="2"/>
  <c r="E68" i="2"/>
  <c r="E282" i="2"/>
  <c r="I90" i="2"/>
  <c r="L71" i="2"/>
  <c r="L313" i="2"/>
  <c r="L15" i="2"/>
  <c r="E364" i="2"/>
  <c r="L220" i="2"/>
  <c r="E128" i="2"/>
  <c r="L37" i="2"/>
  <c r="L200" i="2"/>
  <c r="E124" i="2"/>
  <c r="L136" i="2"/>
  <c r="E206" i="2"/>
  <c r="I83" i="2"/>
  <c r="E226" i="2"/>
  <c r="N99" i="2"/>
  <c r="J93" i="2"/>
  <c r="F206" i="2"/>
  <c r="N93" i="2"/>
  <c r="J135" i="2"/>
  <c r="H181" i="2"/>
  <c r="J233" i="2"/>
  <c r="H272" i="2"/>
  <c r="F336" i="2"/>
  <c r="L347" i="2"/>
  <c r="H375" i="2"/>
  <c r="H318" i="2"/>
  <c r="F230" i="2"/>
  <c r="L371" i="2"/>
  <c r="N86" i="2"/>
  <c r="L168" i="2"/>
  <c r="L86" i="2"/>
  <c r="G89" i="2"/>
  <c r="N119" i="2"/>
  <c r="J62" i="2"/>
  <c r="J26" i="2"/>
  <c r="F297" i="2"/>
  <c r="F90" i="2"/>
  <c r="J263" i="2"/>
  <c r="F147" i="2"/>
  <c r="F246" i="2"/>
  <c r="I185" i="2"/>
  <c r="J355" i="2"/>
  <c r="F116" i="2"/>
  <c r="I252" i="2"/>
  <c r="K271" i="2"/>
  <c r="F247" i="2"/>
  <c r="I74" i="2"/>
  <c r="F322" i="2"/>
  <c r="H195" i="2"/>
  <c r="F167" i="2"/>
  <c r="H6" i="2"/>
  <c r="H208" i="2"/>
  <c r="H52" i="2"/>
  <c r="H230" i="2"/>
  <c r="H322" i="2"/>
  <c r="F287" i="2"/>
  <c r="H180" i="2"/>
  <c r="H282" i="2"/>
  <c r="F233" i="2"/>
  <c r="N332" i="2"/>
  <c r="E307" i="2"/>
  <c r="I266" i="2"/>
  <c r="I291" i="2"/>
  <c r="M225" i="2"/>
  <c r="I318" i="2"/>
  <c r="H123" i="2"/>
  <c r="F272" i="2"/>
  <c r="K168" i="2"/>
  <c r="F56" i="2"/>
  <c r="K231" i="2"/>
  <c r="F202" i="2"/>
  <c r="K124" i="2"/>
  <c r="F68" i="2"/>
  <c r="G282" i="2"/>
  <c r="F257" i="2"/>
  <c r="G74" i="2"/>
  <c r="J49" i="2"/>
  <c r="J22" i="2"/>
  <c r="J74" i="2"/>
  <c r="G116" i="2"/>
  <c r="M37" i="2"/>
  <c r="M200" i="2"/>
  <c r="J162" i="2"/>
  <c r="H100" i="2"/>
  <c r="M55" i="2"/>
  <c r="I224" i="2"/>
  <c r="I238" i="2"/>
  <c r="I174" i="2"/>
  <c r="F46" i="2"/>
  <c r="F12" i="2"/>
  <c r="I127" i="2"/>
  <c r="F315" i="2"/>
  <c r="F194" i="2"/>
  <c r="H147" i="2"/>
  <c r="H333" i="2"/>
  <c r="N58" i="2"/>
  <c r="N33" i="2"/>
  <c r="N4" i="2"/>
  <c r="J90" i="2"/>
  <c r="N277" i="2"/>
  <c r="N51" i="2"/>
  <c r="N225" i="2"/>
  <c r="M74" i="2"/>
  <c r="N120" i="2"/>
  <c r="N126" i="2"/>
  <c r="M136" i="2"/>
  <c r="E84" i="2"/>
  <c r="K112" i="2"/>
  <c r="K355" i="2"/>
  <c r="E190" i="2"/>
  <c r="E120" i="2"/>
  <c r="E374" i="2"/>
  <c r="E132" i="2"/>
  <c r="L51" i="2"/>
  <c r="L120" i="2"/>
  <c r="L70" i="2"/>
  <c r="E52" i="2"/>
  <c r="N92" i="2"/>
  <c r="L92" i="2"/>
  <c r="L87" i="2"/>
  <c r="M58" i="2"/>
  <c r="M33" i="2"/>
  <c r="M355" i="2"/>
  <c r="I6" i="2"/>
  <c r="I208" i="2"/>
  <c r="M92" i="2"/>
  <c r="I71" i="2"/>
  <c r="H176" i="2"/>
  <c r="I163" i="2"/>
  <c r="H190" i="2"/>
  <c r="H120" i="2"/>
  <c r="H361" i="2"/>
  <c r="N89" i="2"/>
  <c r="H93" i="2"/>
  <c r="L290" i="2"/>
  <c r="J257" i="2"/>
  <c r="I132" i="2"/>
  <c r="J361" i="2"/>
  <c r="E87" i="2"/>
  <c r="I215" i="2"/>
  <c r="E163" i="2"/>
  <c r="E103" i="2"/>
  <c r="I364" i="2"/>
  <c r="J131" i="2"/>
  <c r="H81" i="2"/>
  <c r="J71" i="2"/>
  <c r="M87" i="2"/>
  <c r="L180" i="2"/>
  <c r="N63" i="2"/>
  <c r="N27" i="2"/>
  <c r="L58" i="2"/>
  <c r="L33" i="2"/>
  <c r="N116" i="2"/>
  <c r="N168" i="2"/>
  <c r="L98" i="2"/>
  <c r="G263" i="2"/>
  <c r="L54" i="2"/>
  <c r="L49" i="2"/>
  <c r="L22" i="2"/>
  <c r="J146" i="2"/>
  <c r="J54" i="2"/>
  <c r="M131" i="2"/>
  <c r="H132" i="2"/>
  <c r="H108" i="2"/>
  <c r="H215" i="2"/>
  <c r="L74" i="2"/>
  <c r="M371" i="2"/>
  <c r="L112" i="2"/>
  <c r="M214" i="2"/>
  <c r="L162" i="2"/>
  <c r="I100" i="2"/>
  <c r="M73" i="2"/>
  <c r="N83" i="2"/>
  <c r="M168" i="2"/>
  <c r="F152" i="2"/>
  <c r="F352" i="2"/>
  <c r="F120" i="2"/>
  <c r="F110" i="2"/>
  <c r="F271" i="2"/>
  <c r="E135" i="2"/>
  <c r="F174" i="2"/>
  <c r="F190" i="2"/>
  <c r="M313" i="2"/>
  <c r="M15" i="2"/>
  <c r="M67" i="2"/>
  <c r="E56" i="2"/>
  <c r="E55" i="2"/>
  <c r="L83" i="2"/>
  <c r="I62" i="2"/>
  <c r="I26" i="2"/>
  <c r="H68" i="2"/>
  <c r="F84" i="2"/>
  <c r="N55" i="2"/>
  <c r="N136" i="2"/>
  <c r="J174" i="2"/>
  <c r="J127" i="2"/>
  <c r="I257" i="2"/>
  <c r="G8" i="2"/>
  <c r="G188" i="2"/>
  <c r="I169" i="2"/>
  <c r="I282" i="2"/>
  <c r="K90" i="2"/>
  <c r="J169" i="2"/>
  <c r="I298" i="2"/>
  <c r="G221" i="2"/>
  <c r="J176" i="2"/>
  <c r="G56" i="2"/>
  <c r="G202" i="2"/>
  <c r="J190" i="2"/>
  <c r="K97" i="2"/>
  <c r="N103" i="2"/>
  <c r="G308" i="2"/>
  <c r="M117" i="2"/>
  <c r="K49" i="2"/>
  <c r="K22" i="2"/>
  <c r="M124" i="2"/>
  <c r="M247" i="2"/>
  <c r="L121" i="2"/>
  <c r="M121" i="2"/>
  <c r="L355" i="2"/>
  <c r="M241" i="2"/>
  <c r="M103" i="2"/>
  <c r="K100" i="2"/>
  <c r="M196" i="2"/>
  <c r="M308" i="2"/>
  <c r="M290" i="2"/>
  <c r="K132" i="2"/>
  <c r="N334" i="2"/>
  <c r="N46" i="2"/>
  <c r="N12" i="2"/>
  <c r="K114" i="2"/>
  <c r="E239" i="2"/>
  <c r="E225" i="2"/>
  <c r="K163" i="2"/>
  <c r="E273" i="2"/>
  <c r="F159" i="2"/>
  <c r="E365" i="2"/>
  <c r="N257" i="2"/>
  <c r="F137" i="2"/>
  <c r="F35" i="2"/>
  <c r="F143" i="2"/>
  <c r="F296" i="2"/>
  <c r="N196" i="2"/>
  <c r="F164" i="2"/>
  <c r="N87" i="2"/>
  <c r="F148" i="2"/>
  <c r="I154" i="2"/>
  <c r="I202" i="2"/>
  <c r="I181" i="2"/>
  <c r="F234" i="2"/>
  <c r="F72" i="2"/>
  <c r="F227" i="2"/>
  <c r="F357" i="2"/>
  <c r="F78" i="2"/>
  <c r="F18" i="2"/>
  <c r="H137" i="2"/>
  <c r="F328" i="2"/>
  <c r="H221" i="2"/>
  <c r="N375" i="2"/>
  <c r="N282" i="2"/>
  <c r="N308" i="2"/>
  <c r="L169" i="2"/>
  <c r="N52" i="2"/>
  <c r="E72" i="2"/>
  <c r="N347" i="2"/>
  <c r="N49" i="2"/>
  <c r="N22" i="2"/>
  <c r="L110" i="2"/>
  <c r="E3" i="2"/>
  <c r="E319" i="2"/>
  <c r="J81" i="2"/>
  <c r="L114" i="2"/>
  <c r="H56" i="2"/>
  <c r="E283" i="2"/>
  <c r="K104" i="2"/>
  <c r="H69" i="2"/>
  <c r="H59" i="2"/>
  <c r="H20" i="2"/>
  <c r="F250" i="2"/>
  <c r="E267" i="2"/>
  <c r="J273" i="2"/>
  <c r="L100" i="2"/>
  <c r="J365" i="2"/>
  <c r="J336" i="2"/>
  <c r="E50" i="2"/>
  <c r="E23" i="2"/>
  <c r="J298" i="2"/>
  <c r="F309" i="2"/>
  <c r="E88" i="2"/>
  <c r="E309" i="2"/>
  <c r="F292" i="2"/>
  <c r="E292" i="2"/>
  <c r="J154" i="2"/>
  <c r="J84" i="2"/>
  <c r="F319" i="2"/>
  <c r="M62" i="2"/>
  <c r="M26" i="2"/>
  <c r="E258" i="2"/>
  <c r="L97" i="2"/>
  <c r="E348" i="2"/>
  <c r="F267" i="2"/>
  <c r="N124" i="2"/>
  <c r="E376" i="2"/>
  <c r="F359" i="2"/>
  <c r="N202" i="2"/>
  <c r="F348" i="2"/>
  <c r="N132" i="2"/>
  <c r="F258" i="2"/>
  <c r="N181" i="2"/>
  <c r="F283" i="2"/>
  <c r="N121" i="2"/>
  <c r="E47" i="2"/>
  <c r="E13" i="2"/>
  <c r="F229" i="2"/>
  <c r="N117" i="2"/>
  <c r="K6" i="2"/>
  <c r="K208" i="2"/>
  <c r="F376" i="2"/>
  <c r="N90" i="2"/>
  <c r="K176" i="2"/>
  <c r="K190" i="2"/>
  <c r="I221" i="2"/>
  <c r="I137" i="2"/>
  <c r="L104" i="2"/>
  <c r="M114" i="2"/>
  <c r="H197" i="2"/>
  <c r="M148" i="2"/>
  <c r="M65" i="2"/>
  <c r="M29" i="2"/>
  <c r="I61" i="2"/>
  <c r="I25" i="2"/>
  <c r="M110" i="2"/>
  <c r="M169" i="2"/>
  <c r="I328" i="2"/>
  <c r="E129" i="2"/>
  <c r="I56" i="2"/>
  <c r="N133" i="2"/>
  <c r="I227" i="2"/>
  <c r="N62" i="2"/>
  <c r="N26" i="2"/>
  <c r="H274" i="2"/>
  <c r="M100" i="2"/>
  <c r="H234" i="2"/>
  <c r="F88" i="2"/>
  <c r="K53" i="2"/>
  <c r="H159" i="2"/>
  <c r="K336" i="2"/>
  <c r="L81" i="2"/>
  <c r="K365" i="2"/>
  <c r="F125" i="2"/>
  <c r="F129" i="2"/>
  <c r="F45" i="2"/>
  <c r="F11" i="2"/>
  <c r="J137" i="2"/>
  <c r="F47" i="2"/>
  <c r="F13" i="2"/>
  <c r="J59" i="2"/>
  <c r="J20" i="2"/>
  <c r="F249" i="2"/>
  <c r="E91" i="2"/>
  <c r="M357" i="2"/>
  <c r="L84" i="2"/>
  <c r="M97" i="2"/>
  <c r="M298" i="2"/>
  <c r="N241" i="2"/>
  <c r="E122" i="2"/>
  <c r="E118" i="2"/>
  <c r="E166" i="2"/>
  <c r="H50" i="2"/>
  <c r="H23" i="2"/>
  <c r="L53" i="2"/>
  <c r="J110" i="2"/>
  <c r="H122" i="2"/>
  <c r="L124" i="2"/>
  <c r="J39" i="2"/>
  <c r="J204" i="2"/>
  <c r="H115" i="2"/>
  <c r="L56" i="2"/>
  <c r="J275" i="2"/>
  <c r="L137" i="2"/>
  <c r="H149" i="2"/>
  <c r="G72" i="2"/>
  <c r="K154" i="2"/>
  <c r="L292" i="2"/>
  <c r="H126" i="2"/>
  <c r="J221" i="2"/>
  <c r="L61" i="2"/>
  <c r="L25" i="2"/>
  <c r="J300" i="2"/>
  <c r="J330" i="2"/>
  <c r="I69" i="2"/>
  <c r="E35" i="2"/>
  <c r="E143" i="2"/>
  <c r="E301" i="2"/>
  <c r="I197" i="2"/>
  <c r="E356" i="2"/>
  <c r="I234" i="2"/>
  <c r="E64" i="2"/>
  <c r="E28" i="2"/>
  <c r="E242" i="2"/>
  <c r="E184" i="2"/>
  <c r="N97" i="2"/>
  <c r="M221" i="2"/>
  <c r="L176" i="2"/>
  <c r="K129" i="2"/>
  <c r="M128" i="2"/>
  <c r="F48" i="2"/>
  <c r="F14" i="2"/>
  <c r="L365" i="2"/>
  <c r="K35" i="2"/>
  <c r="K143" i="2"/>
  <c r="M292" i="2"/>
  <c r="F69" i="2"/>
  <c r="J91" i="2"/>
  <c r="M267" i="2"/>
  <c r="L336" i="2"/>
  <c r="F166" i="2"/>
  <c r="M359" i="2"/>
  <c r="I366" i="2"/>
  <c r="L190" i="2"/>
  <c r="J88" i="2"/>
  <c r="M330" i="2"/>
  <c r="I72" i="2"/>
  <c r="J72" i="2"/>
  <c r="J56" i="2"/>
  <c r="J111" i="2"/>
  <c r="M84" i="2"/>
  <c r="J118" i="2"/>
  <c r="G378" i="2"/>
  <c r="L159" i="2"/>
  <c r="G243" i="2"/>
  <c r="H154" i="2"/>
  <c r="L69" i="2"/>
  <c r="H319" i="2"/>
  <c r="G101" i="2"/>
  <c r="F155" i="2"/>
  <c r="F79" i="2"/>
  <c r="F19" i="2"/>
  <c r="F98" i="2"/>
  <c r="M6" i="2"/>
  <c r="M208" i="2"/>
  <c r="G138" i="2"/>
  <c r="G134" i="2"/>
  <c r="G66" i="2"/>
  <c r="G30" i="2"/>
  <c r="N65" i="2"/>
  <c r="N29" i="2"/>
  <c r="I326" i="2"/>
  <c r="I171" i="2"/>
  <c r="I166" i="2"/>
  <c r="K275" i="2"/>
  <c r="E107" i="2"/>
  <c r="K184" i="2"/>
  <c r="E177" i="2"/>
  <c r="K339" i="2"/>
  <c r="K229" i="2"/>
  <c r="K284" i="2"/>
  <c r="G367" i="2"/>
  <c r="G310" i="2"/>
  <c r="J100" i="2"/>
  <c r="H243" i="2"/>
  <c r="H301" i="2"/>
  <c r="K69" i="2"/>
  <c r="H276" i="2"/>
  <c r="F134" i="2"/>
  <c r="K330" i="2"/>
  <c r="F149" i="2"/>
  <c r="F107" i="2"/>
  <c r="I378" i="2"/>
  <c r="K292" i="2"/>
  <c r="F139" i="2"/>
  <c r="I309" i="2"/>
  <c r="I319" i="2"/>
  <c r="K59" i="2"/>
  <c r="K20" i="2"/>
  <c r="I126" i="2"/>
  <c r="I349" i="2"/>
  <c r="I149" i="2"/>
  <c r="I81" i="2"/>
  <c r="I122" i="2"/>
  <c r="E260" i="2"/>
  <c r="I115" i="2"/>
  <c r="H309" i="2"/>
  <c r="E251" i="2"/>
  <c r="H202" i="2"/>
  <c r="E192" i="2"/>
  <c r="L212" i="2"/>
  <c r="L156" i="2"/>
  <c r="H258" i="2"/>
  <c r="H98" i="2"/>
  <c r="L235" i="2"/>
  <c r="H348" i="2"/>
  <c r="F235" i="2"/>
  <c r="F111" i="2"/>
  <c r="F198" i="2"/>
  <c r="J163" i="2"/>
  <c r="J132" i="2"/>
  <c r="N142" i="2"/>
  <c r="N6" i="2"/>
  <c r="N208" i="2"/>
  <c r="L197" i="2"/>
  <c r="L39" i="2"/>
  <c r="L204" i="2"/>
  <c r="L154" i="2"/>
  <c r="I176" i="2"/>
  <c r="I129" i="2"/>
  <c r="I47" i="2"/>
  <c r="I13" i="2"/>
  <c r="F82" i="2"/>
  <c r="M147" i="2"/>
  <c r="M176" i="2"/>
  <c r="L85" i="2"/>
  <c r="I101" i="2"/>
  <c r="K88" i="2"/>
  <c r="H259" i="2"/>
  <c r="E328" i="2"/>
  <c r="H119" i="2"/>
  <c r="H229" i="2"/>
  <c r="M72" i="2"/>
  <c r="M69" i="2"/>
  <c r="G92" i="2"/>
  <c r="L359" i="2"/>
  <c r="G198" i="2"/>
  <c r="L129" i="2"/>
  <c r="N330" i="2"/>
  <c r="N221" i="2"/>
  <c r="G3" i="2"/>
  <c r="E149" i="2"/>
  <c r="N292" i="2"/>
  <c r="E134" i="2"/>
  <c r="N192" i="2"/>
  <c r="N39" i="2"/>
  <c r="N204" i="2"/>
  <c r="E115" i="2"/>
  <c r="N267" i="2"/>
  <c r="E79" i="2"/>
  <c r="E19" i="2"/>
  <c r="N359" i="2"/>
  <c r="K111" i="2"/>
  <c r="M159" i="2"/>
  <c r="J134" i="2"/>
  <c r="I340" i="2"/>
  <c r="I237" i="2"/>
  <c r="I301" i="2"/>
  <c r="G166" i="2"/>
  <c r="I276" i="2"/>
  <c r="L184" i="2"/>
  <c r="I84" i="2"/>
  <c r="L229" i="2"/>
  <c r="I85" i="2"/>
  <c r="H327" i="2"/>
  <c r="H172" i="2"/>
  <c r="E161" i="2"/>
  <c r="E98" i="2"/>
  <c r="E302" i="2"/>
  <c r="E253" i="2"/>
  <c r="H286" i="2"/>
  <c r="N100" i="2"/>
  <c r="E293" i="2"/>
  <c r="H261" i="2"/>
  <c r="E222" i="2"/>
  <c r="H313" i="2"/>
  <c r="H15" i="2"/>
  <c r="I368" i="2"/>
  <c r="E193" i="2"/>
  <c r="J319" i="2"/>
  <c r="I336" i="2"/>
  <c r="E269" i="2"/>
  <c r="J166" i="2"/>
  <c r="M336" i="2"/>
  <c r="E214" i="2"/>
  <c r="J349" i="2"/>
  <c r="M52" i="2"/>
  <c r="J251" i="2"/>
  <c r="M257" i="2"/>
  <c r="J243" i="2"/>
  <c r="F101" i="2"/>
  <c r="J61" i="2"/>
  <c r="J25" i="2"/>
  <c r="J378" i="2"/>
  <c r="J125" i="2"/>
  <c r="J122" i="2"/>
  <c r="F177" i="2"/>
  <c r="J119" i="2"/>
  <c r="G122" i="2"/>
  <c r="J115" i="2"/>
  <c r="G50" i="2"/>
  <c r="G23" i="2"/>
  <c r="J60" i="2"/>
  <c r="J21" i="2"/>
  <c r="N176" i="2"/>
  <c r="G229" i="2"/>
  <c r="N56" i="2"/>
  <c r="N69" i="2"/>
  <c r="I88" i="2"/>
  <c r="N72" i="2"/>
  <c r="I98" i="2"/>
  <c r="L47" i="2"/>
  <c r="L13" i="2"/>
  <c r="L50" i="2"/>
  <c r="L23" i="2"/>
  <c r="I92" i="2"/>
  <c r="F50" i="2"/>
  <c r="F23" i="2"/>
  <c r="J101" i="2"/>
  <c r="K233" i="2"/>
  <c r="E67" i="2"/>
  <c r="E57" i="2"/>
  <c r="E32" i="2"/>
  <c r="K110" i="2"/>
  <c r="H107" i="2"/>
  <c r="H250" i="2"/>
  <c r="J126" i="2"/>
  <c r="H79" i="2"/>
  <c r="H19" i="2"/>
  <c r="J149" i="2"/>
  <c r="H58" i="2"/>
  <c r="H33" i="2"/>
  <c r="J237" i="2"/>
  <c r="G112" i="2"/>
  <c r="F320" i="2"/>
  <c r="G58" i="2"/>
  <c r="G33" i="2"/>
  <c r="F193" i="2"/>
  <c r="F223" i="2"/>
  <c r="H82" i="2"/>
  <c r="F293" i="2"/>
  <c r="M85" i="2"/>
  <c r="L88" i="2"/>
  <c r="F269" i="2"/>
  <c r="F332" i="2"/>
  <c r="F161" i="2"/>
  <c r="E111" i="2"/>
  <c r="M64" i="2"/>
  <c r="M28" i="2"/>
  <c r="F350" i="2"/>
  <c r="E78" i="2"/>
  <c r="E18" i="2"/>
  <c r="F54" i="2"/>
  <c r="E227" i="2"/>
  <c r="M243" i="2"/>
  <c r="M184" i="2"/>
  <c r="E350" i="2"/>
  <c r="E341" i="2"/>
  <c r="M129" i="2"/>
  <c r="M286" i="2"/>
  <c r="E361" i="2"/>
  <c r="M229" i="2"/>
  <c r="E331" i="2"/>
  <c r="I277" i="2"/>
  <c r="I261" i="2"/>
  <c r="J159" i="2"/>
  <c r="I327" i="2"/>
  <c r="I172" i="2"/>
  <c r="J45" i="2"/>
  <c r="J11" i="2"/>
  <c r="K134" i="2"/>
  <c r="J50" i="2"/>
  <c r="J23" i="2"/>
  <c r="K166" i="2"/>
  <c r="K319" i="2"/>
  <c r="J3" i="2"/>
  <c r="K251" i="2"/>
  <c r="I45" i="2"/>
  <c r="I11" i="2"/>
  <c r="H139" i="2"/>
  <c r="I60" i="2"/>
  <c r="I21" i="2"/>
  <c r="F91" i="2"/>
  <c r="H198" i="2"/>
  <c r="H177" i="2"/>
  <c r="I250" i="2"/>
  <c r="H266" i="2"/>
  <c r="F58" i="2"/>
  <c r="F33" i="2"/>
  <c r="H35" i="2"/>
  <c r="H143" i="2"/>
  <c r="F301" i="2"/>
  <c r="I79" i="2"/>
  <c r="I19" i="2"/>
  <c r="M49" i="2"/>
  <c r="M22" i="2"/>
  <c r="F276" i="2"/>
  <c r="M190" i="2"/>
  <c r="I58" i="2"/>
  <c r="I33" i="2"/>
  <c r="N104" i="2"/>
  <c r="K378" i="2"/>
  <c r="I107" i="2"/>
  <c r="N81" i="2"/>
  <c r="K47" i="2"/>
  <c r="K13" i="2"/>
  <c r="I51" i="2"/>
  <c r="N113" i="2"/>
  <c r="L64" i="2"/>
  <c r="L28" i="2"/>
  <c r="J98" i="2"/>
  <c r="N128" i="2"/>
  <c r="L267" i="2"/>
  <c r="F3" i="2"/>
  <c r="K115" i="2"/>
  <c r="L45" i="2"/>
  <c r="L11" i="2"/>
  <c r="L147" i="2"/>
  <c r="K122" i="2"/>
  <c r="L330" i="2"/>
  <c r="L241" i="2"/>
  <c r="K119" i="2"/>
  <c r="L3" i="2"/>
  <c r="I371" i="2"/>
  <c r="K126" i="2"/>
  <c r="I375" i="2"/>
  <c r="L221" i="2"/>
  <c r="K63" i="2"/>
  <c r="K27" i="2"/>
  <c r="E82" i="2"/>
  <c r="I313" i="2"/>
  <c r="I15" i="2"/>
  <c r="K73" i="2"/>
  <c r="G319" i="2"/>
  <c r="E65" i="2"/>
  <c r="E29" i="2"/>
  <c r="J6" i="2"/>
  <c r="J208" i="2"/>
  <c r="G359" i="2"/>
  <c r="J69" i="2"/>
  <c r="E70" i="2"/>
  <c r="H3" i="2"/>
  <c r="J82" i="2"/>
  <c r="G284" i="2"/>
  <c r="H378" i="2"/>
  <c r="N85" i="2"/>
  <c r="H45" i="2"/>
  <c r="H11" i="2"/>
  <c r="F67" i="2"/>
  <c r="F130" i="2"/>
  <c r="I198" i="2"/>
  <c r="J92" i="2"/>
  <c r="I177" i="2"/>
  <c r="H102" i="2"/>
  <c r="I139" i="2"/>
  <c r="N114" i="2"/>
  <c r="K125" i="2"/>
  <c r="E198" i="2"/>
  <c r="H57" i="2"/>
  <c r="H32" i="2"/>
  <c r="N158" i="2"/>
  <c r="E58" i="2"/>
  <c r="E33" i="2"/>
  <c r="E54" i="2"/>
  <c r="H112" i="2"/>
  <c r="N66" i="2"/>
  <c r="N30" i="2"/>
  <c r="M88" i="2"/>
  <c r="N229" i="2"/>
  <c r="M47" i="2"/>
  <c r="M13" i="2"/>
  <c r="N243" i="2"/>
  <c r="M78" i="2"/>
  <c r="M18" i="2"/>
  <c r="N184" i="2"/>
  <c r="F122" i="2"/>
  <c r="N149" i="2"/>
  <c r="N286" i="2"/>
  <c r="F361" i="2"/>
  <c r="N261" i="2"/>
  <c r="F118" i="2"/>
  <c r="F243" i="2"/>
  <c r="L237" i="2"/>
  <c r="G54" i="2"/>
  <c r="F59" i="2"/>
  <c r="F20" i="2"/>
  <c r="L134" i="2"/>
  <c r="L166" i="2"/>
  <c r="M81" i="2"/>
  <c r="L251" i="2"/>
  <c r="I159" i="2"/>
  <c r="I190" i="2"/>
  <c r="M347" i="2"/>
  <c r="M90" i="2"/>
  <c r="E159" i="2"/>
  <c r="L117" i="2"/>
  <c r="J313" i="2"/>
  <c r="J15" i="2"/>
  <c r="J277" i="2"/>
  <c r="L247" i="2"/>
  <c r="J341" i="2"/>
  <c r="L378" i="2"/>
  <c r="J214" i="2"/>
  <c r="M104" i="2"/>
  <c r="H72" i="2"/>
  <c r="H184" i="2"/>
  <c r="H47" i="2"/>
  <c r="H13" i="2"/>
  <c r="K39" i="2"/>
  <c r="K204" i="2"/>
  <c r="K221" i="2"/>
  <c r="I337" i="2"/>
  <c r="H88" i="2"/>
  <c r="I118" i="2"/>
  <c r="I235" i="2"/>
  <c r="I191" i="2"/>
  <c r="I3" i="2"/>
  <c r="J85" i="2"/>
  <c r="J371" i="2"/>
  <c r="F66" i="2"/>
  <c r="F30" i="2"/>
  <c r="G60" i="2"/>
  <c r="G21" i="2"/>
  <c r="H67" i="2"/>
  <c r="H49" i="2"/>
  <c r="H22" i="2"/>
  <c r="G267" i="2"/>
  <c r="M53" i="2"/>
  <c r="H54" i="2"/>
  <c r="N78" i="2"/>
  <c r="N18" i="2"/>
  <c r="M154" i="2"/>
  <c r="N47" i="2"/>
  <c r="N13" i="2"/>
  <c r="M137" i="2"/>
  <c r="M56" i="2"/>
  <c r="M61" i="2"/>
  <c r="M25" i="2"/>
  <c r="I91" i="2"/>
  <c r="H349" i="2"/>
  <c r="H366" i="2"/>
  <c r="H284" i="2"/>
  <c r="J129" i="2"/>
  <c r="K92" i="2"/>
  <c r="N88" i="2"/>
  <c r="J184" i="2"/>
  <c r="J47" i="2"/>
  <c r="J13" i="2"/>
  <c r="I102" i="2"/>
  <c r="J51" i="2"/>
  <c r="J58" i="2"/>
  <c r="J33" i="2"/>
  <c r="J107" i="2"/>
  <c r="J112" i="2"/>
  <c r="J37" i="2"/>
  <c r="J200" i="2"/>
  <c r="L73" i="2"/>
  <c r="H293" i="2"/>
  <c r="L63" i="2"/>
  <c r="L27" i="2"/>
  <c r="H320" i="2"/>
  <c r="J36" i="2"/>
  <c r="J144" i="2"/>
  <c r="M45" i="2"/>
  <c r="M11" i="2"/>
  <c r="H350" i="2"/>
  <c r="J139" i="2"/>
  <c r="M3" i="2"/>
  <c r="L122" i="2"/>
  <c r="F70" i="2"/>
  <c r="L119" i="2"/>
  <c r="N53" i="2"/>
  <c r="F65" i="2"/>
  <c r="F29" i="2"/>
  <c r="L126" i="2"/>
  <c r="K98" i="2"/>
  <c r="L40" i="2"/>
  <c r="L205" i="2"/>
  <c r="L115" i="2"/>
  <c r="E86" i="2"/>
  <c r="E179" i="2"/>
  <c r="E230" i="2"/>
  <c r="K82" i="2"/>
  <c r="E152" i="2"/>
  <c r="I57" i="2"/>
  <c r="I32" i="2"/>
  <c r="E262" i="2"/>
  <c r="E45" i="2"/>
  <c r="E11" i="2"/>
  <c r="E174" i="2"/>
  <c r="K45" i="2"/>
  <c r="K11" i="2"/>
  <c r="E238" i="2"/>
  <c r="F199" i="2"/>
  <c r="H244" i="2"/>
  <c r="H193" i="2"/>
  <c r="H185" i="2"/>
  <c r="E287" i="2"/>
  <c r="I161" i="2"/>
  <c r="E351" i="2"/>
  <c r="E294" i="2"/>
  <c r="E379" i="2"/>
  <c r="I223" i="2"/>
  <c r="I269" i="2"/>
  <c r="N115" i="2"/>
  <c r="I130" i="2"/>
  <c r="N107" i="2"/>
  <c r="N137" i="2"/>
  <c r="J103" i="2"/>
  <c r="H125" i="2"/>
  <c r="H135" i="2"/>
  <c r="H111" i="2"/>
  <c r="I321" i="2"/>
  <c r="K371" i="2"/>
  <c r="K214" i="2"/>
  <c r="K127" i="2"/>
  <c r="M166" i="2"/>
  <c r="K341" i="2"/>
  <c r="K313" i="2"/>
  <c r="K15" i="2"/>
  <c r="N154" i="2"/>
  <c r="M134" i="2"/>
  <c r="K277" i="2"/>
  <c r="N163" i="2"/>
  <c r="K113" i="2"/>
  <c r="N147" i="2"/>
  <c r="G227" i="2"/>
  <c r="G161" i="2"/>
  <c r="N251" i="2"/>
  <c r="G223" i="2"/>
  <c r="E231" i="2"/>
  <c r="E195" i="2"/>
  <c r="E8" i="2"/>
  <c r="E188" i="2"/>
  <c r="E244" i="2"/>
  <c r="I248" i="2"/>
  <c r="I152" i="2"/>
  <c r="I239" i="2"/>
  <c r="G332" i="2"/>
  <c r="G118" i="2"/>
  <c r="H206" i="2"/>
  <c r="G361" i="2"/>
  <c r="H212" i="2"/>
  <c r="H156" i="2"/>
  <c r="G130" i="2"/>
  <c r="N64" i="2"/>
  <c r="N28" i="2"/>
  <c r="J141" i="2"/>
  <c r="N74" i="2"/>
  <c r="E339" i="2"/>
  <c r="J198" i="2"/>
  <c r="I320" i="2"/>
  <c r="I293" i="2"/>
  <c r="J120" i="2"/>
  <c r="N54" i="2"/>
  <c r="E278" i="2"/>
  <c r="I350" i="2"/>
  <c r="J167" i="2"/>
  <c r="M122" i="2"/>
  <c r="I125" i="2"/>
  <c r="E333" i="2"/>
  <c r="J181" i="2"/>
  <c r="N45" i="2"/>
  <c r="N11" i="2"/>
  <c r="I111" i="2"/>
  <c r="E367" i="2"/>
  <c r="J235" i="2"/>
  <c r="I36" i="2"/>
  <c r="I144" i="2"/>
  <c r="E310" i="2"/>
  <c r="L132" i="2"/>
  <c r="L202" i="2"/>
  <c r="G79" i="2"/>
  <c r="G19" i="2"/>
  <c r="L177" i="2"/>
  <c r="L191" i="2"/>
  <c r="I135" i="2"/>
  <c r="G48" i="2"/>
  <c r="G14" i="2"/>
  <c r="M315" i="2"/>
  <c r="M263" i="2"/>
  <c r="G68" i="2"/>
  <c r="M378" i="2"/>
  <c r="L62" i="2"/>
  <c r="L26" i="2"/>
  <c r="M288" i="2"/>
  <c r="I373" i="2"/>
  <c r="L52" i="2"/>
  <c r="I259" i="2"/>
  <c r="L72" i="2"/>
  <c r="I284" i="2"/>
  <c r="I345" i="2"/>
  <c r="I50" i="2"/>
  <c r="I23" i="2"/>
  <c r="K3" i="2"/>
  <c r="K84" i="2"/>
  <c r="I59" i="2"/>
  <c r="I20" i="2"/>
  <c r="F219" i="2"/>
  <c r="K298" i="2"/>
  <c r="M174" i="2"/>
  <c r="M86" i="2"/>
  <c r="I35" i="2"/>
  <c r="I143" i="2"/>
  <c r="K361" i="2"/>
  <c r="K273" i="2"/>
  <c r="E123" i="2"/>
  <c r="I70" i="2"/>
  <c r="F302" i="2"/>
  <c r="F253" i="2"/>
  <c r="E108" i="2"/>
  <c r="G328" i="2"/>
  <c r="G269" i="2"/>
  <c r="E148" i="2"/>
  <c r="G357" i="2"/>
  <c r="E138" i="2"/>
  <c r="E116" i="2"/>
  <c r="E66" i="2"/>
  <c r="E30" i="2"/>
  <c r="E48" i="2"/>
  <c r="E14" i="2"/>
  <c r="K141" i="2"/>
  <c r="E46" i="2"/>
  <c r="E12" i="2"/>
  <c r="K120" i="2"/>
  <c r="F80" i="2"/>
  <c r="E89" i="2"/>
  <c r="K37" i="2"/>
  <c r="K200" i="2"/>
  <c r="L6" i="2"/>
  <c r="L208" i="2"/>
  <c r="H91" i="2"/>
  <c r="K61" i="2"/>
  <c r="K25" i="2"/>
  <c r="L127" i="2"/>
  <c r="H60" i="2"/>
  <c r="H21" i="2"/>
  <c r="E164" i="2"/>
  <c r="L113" i="2"/>
  <c r="E249" i="2"/>
  <c r="I82" i="2"/>
  <c r="E199" i="2"/>
  <c r="E99" i="2"/>
  <c r="M39" i="2"/>
  <c r="M204" i="2"/>
  <c r="E155" i="2"/>
  <c r="H118" i="2"/>
  <c r="M63" i="2"/>
  <c r="M27" i="2"/>
  <c r="H130" i="2"/>
  <c r="K103" i="2"/>
  <c r="K93" i="2"/>
  <c r="F316" i="2"/>
  <c r="F265" i="2"/>
  <c r="H101" i="2"/>
  <c r="F244" i="2"/>
  <c r="F57" i="2"/>
  <c r="F32" i="2"/>
  <c r="F290" i="2"/>
  <c r="F195" i="2"/>
  <c r="F64" i="2"/>
  <c r="F28" i="2"/>
  <c r="F8" i="2"/>
  <c r="F188" i="2"/>
  <c r="F240" i="2"/>
  <c r="J152" i="2"/>
  <c r="M132" i="2"/>
  <c r="I206" i="2"/>
  <c r="I212" i="2"/>
  <c r="I156" i="2"/>
  <c r="M177" i="2"/>
  <c r="M191" i="2"/>
  <c r="M202" i="2"/>
  <c r="M181" i="2"/>
  <c r="G219" i="2"/>
  <c r="G302" i="2"/>
  <c r="G253" i="2"/>
  <c r="J231" i="2"/>
  <c r="J259" i="2"/>
  <c r="N239" i="2"/>
  <c r="N174" i="2"/>
  <c r="H326" i="2"/>
  <c r="H171" i="2"/>
  <c r="H223" i="2"/>
  <c r="H161" i="2"/>
  <c r="H227" i="2"/>
  <c r="H199" i="2"/>
  <c r="F367" i="2"/>
  <c r="F339" i="2"/>
  <c r="H280" i="2"/>
  <c r="F310" i="2"/>
  <c r="F278" i="2"/>
  <c r="F333" i="2"/>
  <c r="H306" i="2"/>
  <c r="L167" i="2"/>
  <c r="H65" i="2"/>
  <c r="H29" i="2"/>
  <c r="N263" i="2"/>
  <c r="I123" i="2"/>
  <c r="N315" i="2"/>
  <c r="H66" i="2"/>
  <c r="H30" i="2"/>
  <c r="K235" i="2"/>
  <c r="I108" i="2"/>
  <c r="N378" i="2"/>
  <c r="N288" i="2"/>
  <c r="H175" i="2"/>
  <c r="E73" i="2"/>
  <c r="H269" i="2"/>
  <c r="H138" i="2"/>
  <c r="E114" i="2"/>
  <c r="H155" i="2"/>
  <c r="E182" i="2"/>
  <c r="E121" i="2"/>
  <c r="H328" i="2"/>
  <c r="H357" i="2"/>
  <c r="H316" i="2"/>
  <c r="E53" i="2"/>
  <c r="H374" i="2"/>
  <c r="L298" i="2"/>
  <c r="L273" i="2"/>
  <c r="L361" i="2"/>
  <c r="H346" i="2"/>
  <c r="H260" i="2"/>
  <c r="E158" i="2"/>
  <c r="L152" i="2"/>
  <c r="J130" i="2"/>
  <c r="I314" i="2"/>
  <c r="I16" i="2"/>
  <c r="J284" i="2"/>
  <c r="J373" i="2"/>
  <c r="I362" i="2"/>
  <c r="J345" i="2"/>
  <c r="I138" i="2"/>
  <c r="I192" i="2"/>
  <c r="N61" i="2"/>
  <c r="N25" i="2"/>
  <c r="I175" i="2"/>
  <c r="N37" i="2"/>
  <c r="N200" i="2"/>
  <c r="I199" i="2"/>
  <c r="I164" i="2"/>
  <c r="N167" i="2"/>
  <c r="I8" i="2"/>
  <c r="I188" i="2"/>
  <c r="N3" i="2"/>
  <c r="J80" i="2"/>
  <c r="F182" i="2"/>
  <c r="N298" i="2"/>
  <c r="F158" i="2"/>
  <c r="M125" i="2"/>
  <c r="F203" i="2"/>
  <c r="M135" i="2"/>
  <c r="N84" i="2"/>
  <c r="F142" i="2"/>
  <c r="L60" i="2"/>
  <c r="L21" i="2"/>
  <c r="E104" i="2"/>
  <c r="F207" i="2"/>
  <c r="K91" i="2"/>
  <c r="M50" i="2"/>
  <c r="M23" i="2"/>
  <c r="E97" i="2"/>
  <c r="F87" i="2"/>
  <c r="G46" i="2"/>
  <c r="G12" i="2"/>
  <c r="K118" i="2"/>
  <c r="K130" i="2"/>
  <c r="H99" i="2"/>
  <c r="H78" i="2"/>
  <c r="H18" i="2"/>
  <c r="H116" i="2"/>
  <c r="L111" i="2"/>
  <c r="M231" i="2"/>
  <c r="H89" i="2"/>
  <c r="M223" i="2"/>
  <c r="L101" i="2"/>
  <c r="M36" i="2"/>
  <c r="M144" i="2"/>
  <c r="J68" i="2"/>
  <c r="M161" i="2"/>
  <c r="J223" i="2"/>
  <c r="M152" i="2"/>
  <c r="L82" i="2"/>
  <c r="G128" i="2"/>
  <c r="F133" i="2"/>
  <c r="H148" i="2"/>
  <c r="J155" i="2"/>
  <c r="K294" i="2"/>
  <c r="J219" i="2"/>
  <c r="K249" i="2"/>
  <c r="K269" i="2"/>
  <c r="L195" i="2"/>
  <c r="K321" i="2"/>
  <c r="E275" i="2"/>
  <c r="N235" i="2"/>
  <c r="E329" i="2"/>
  <c r="E334" i="2"/>
  <c r="N212" i="2"/>
  <c r="N156" i="2"/>
  <c r="E358" i="2"/>
  <c r="E363" i="2"/>
  <c r="E245" i="2"/>
  <c r="E299" i="2"/>
  <c r="I306" i="2"/>
  <c r="I240" i="2"/>
  <c r="I48" i="2"/>
  <c r="I14" i="2"/>
  <c r="I367" i="2"/>
  <c r="I244" i="2"/>
  <c r="I280" i="2"/>
  <c r="E168" i="2"/>
  <c r="I195" i="2"/>
  <c r="I274" i="2"/>
  <c r="L79" i="2"/>
  <c r="L19" i="2"/>
  <c r="G179" i="2"/>
  <c r="L339" i="2"/>
  <c r="K227" i="2"/>
  <c r="L59" i="2"/>
  <c r="L20" i="2"/>
  <c r="L35" i="2"/>
  <c r="L143" i="2"/>
  <c r="I65" i="2"/>
  <c r="I29" i="2"/>
  <c r="G380" i="2"/>
  <c r="I55" i="2"/>
  <c r="M141" i="2"/>
  <c r="I78" i="2"/>
  <c r="I18" i="2"/>
  <c r="M212" i="2"/>
  <c r="M156" i="2"/>
  <c r="I66" i="2"/>
  <c r="I30" i="2"/>
  <c r="M60" i="2"/>
  <c r="M21" i="2"/>
  <c r="F53" i="2"/>
  <c r="M70" i="2"/>
  <c r="F73" i="2"/>
  <c r="H55" i="2"/>
  <c r="H8" i="2"/>
  <c r="H188" i="2"/>
  <c r="F63" i="2"/>
  <c r="F27" i="2"/>
  <c r="H46" i="2"/>
  <c r="H12" i="2"/>
  <c r="M284" i="2"/>
  <c r="N70" i="2"/>
  <c r="M310" i="2"/>
  <c r="H249" i="2"/>
  <c r="M339" i="2"/>
  <c r="N50" i="2"/>
  <c r="N23" i="2"/>
  <c r="M59" i="2"/>
  <c r="M20" i="2"/>
  <c r="M35" i="2"/>
  <c r="M143" i="2"/>
  <c r="E63" i="2"/>
  <c r="E27" i="2"/>
  <c r="M101" i="2"/>
  <c r="E4" i="2"/>
  <c r="I89" i="2"/>
  <c r="J326" i="2"/>
  <c r="J171" i="2"/>
  <c r="E85" i="2"/>
  <c r="J79" i="2"/>
  <c r="J19" i="2"/>
  <c r="G265" i="2"/>
  <c r="M82" i="2"/>
  <c r="G351" i="2"/>
  <c r="J227" i="2"/>
  <c r="G290" i="2"/>
  <c r="G87" i="2"/>
  <c r="J57" i="2"/>
  <c r="J32" i="2"/>
  <c r="E62" i="2"/>
  <c r="E26" i="2"/>
  <c r="J123" i="2"/>
  <c r="J108" i="2"/>
  <c r="E38" i="2"/>
  <c r="E201" i="2"/>
  <c r="J138" i="2"/>
  <c r="I316" i="2"/>
  <c r="J175" i="2"/>
  <c r="I333" i="2"/>
  <c r="J164" i="2"/>
  <c r="N36" i="2"/>
  <c r="N144" i="2"/>
  <c r="I346" i="2"/>
  <c r="M91" i="2"/>
  <c r="N152" i="2"/>
  <c r="G64" i="2"/>
  <c r="G28" i="2"/>
  <c r="I374" i="2"/>
  <c r="N125" i="2"/>
  <c r="K80" i="2"/>
  <c r="N161" i="2"/>
  <c r="L68" i="2"/>
  <c r="N357" i="2"/>
  <c r="F97" i="2"/>
  <c r="F351" i="2"/>
  <c r="I99" i="2"/>
  <c r="I116" i="2"/>
  <c r="I148" i="2"/>
  <c r="F168" i="2"/>
  <c r="F121" i="2"/>
  <c r="F114" i="2"/>
  <c r="H265" i="2"/>
  <c r="H133" i="2"/>
  <c r="H207" i="2"/>
  <c r="H182" i="2"/>
  <c r="H128" i="2"/>
  <c r="K57" i="2"/>
  <c r="K32" i="2"/>
  <c r="H203" i="2"/>
  <c r="H142" i="2"/>
  <c r="H290" i="2"/>
  <c r="E213" i="2"/>
  <c r="E157" i="2"/>
  <c r="H164" i="2"/>
  <c r="L130" i="2"/>
  <c r="E220" i="2"/>
  <c r="H380" i="2"/>
  <c r="L155" i="2"/>
  <c r="E236" i="2"/>
  <c r="F104" i="2"/>
  <c r="H351" i="2"/>
  <c r="M111" i="2"/>
  <c r="L269" i="2"/>
  <c r="J269" i="2"/>
  <c r="M118" i="2"/>
  <c r="L294" i="2"/>
  <c r="J294" i="2"/>
  <c r="J321" i="2"/>
  <c r="L227" i="2"/>
  <c r="L249" i="2"/>
  <c r="J367" i="2"/>
  <c r="L199" i="2"/>
  <c r="G158" i="2"/>
  <c r="J306" i="2"/>
  <c r="M195" i="2"/>
  <c r="F358" i="2"/>
  <c r="F275" i="2"/>
  <c r="F363" i="2"/>
  <c r="F299" i="2"/>
  <c r="F179" i="2"/>
  <c r="E126" i="2"/>
  <c r="E61" i="2"/>
  <c r="E25" i="2"/>
  <c r="E136" i="2"/>
  <c r="E51" i="2"/>
  <c r="F245" i="2"/>
  <c r="F192" i="2"/>
  <c r="N223" i="2"/>
  <c r="F374" i="2"/>
  <c r="N8" i="2"/>
  <c r="N188" i="2"/>
  <c r="F334" i="2"/>
  <c r="N231" i="2"/>
  <c r="F329" i="2"/>
  <c r="N284" i="2"/>
  <c r="L321" i="2"/>
  <c r="J280" i="2"/>
  <c r="L135" i="2"/>
  <c r="J179" i="2"/>
  <c r="E340" i="2"/>
  <c r="J192" i="2"/>
  <c r="E317" i="2"/>
  <c r="G148" i="2"/>
  <c r="I260" i="2"/>
  <c r="I182" i="2"/>
  <c r="E313" i="2"/>
  <c r="E15" i="2"/>
  <c r="I203" i="2"/>
  <c r="N310" i="2"/>
  <c r="I133" i="2"/>
  <c r="I207" i="2"/>
  <c r="E281" i="2"/>
  <c r="I142" i="2"/>
  <c r="N339" i="2"/>
  <c r="E261" i="2"/>
  <c r="J89" i="2"/>
  <c r="J116" i="2"/>
  <c r="J55" i="2"/>
  <c r="E285" i="2"/>
  <c r="H64" i="2"/>
  <c r="H28" i="2"/>
  <c r="H121" i="2"/>
  <c r="H53" i="2"/>
  <c r="G241" i="2"/>
  <c r="G97" i="2"/>
  <c r="N111" i="2"/>
  <c r="N118" i="2"/>
  <c r="H104" i="2"/>
  <c r="F62" i="2"/>
  <c r="F26" i="2"/>
  <c r="M68" i="2"/>
  <c r="N101" i="2"/>
  <c r="I128" i="2"/>
  <c r="E7" i="2"/>
  <c r="E209" i="2"/>
  <c r="I46" i="2"/>
  <c r="I12" i="2"/>
  <c r="L123" i="2"/>
  <c r="L57" i="2"/>
  <c r="L32" i="2"/>
  <c r="H87" i="2"/>
  <c r="N91" i="2"/>
  <c r="G114" i="2"/>
  <c r="L175" i="2"/>
  <c r="L164" i="2"/>
  <c r="E162" i="2"/>
  <c r="E224" i="2"/>
  <c r="E153" i="2"/>
  <c r="E196" i="2"/>
  <c r="E9" i="2"/>
  <c r="E189" i="2"/>
  <c r="K108" i="2"/>
  <c r="E146" i="2"/>
  <c r="K99" i="2"/>
  <c r="M269" i="2"/>
  <c r="M265" i="2"/>
  <c r="J158" i="2"/>
  <c r="M249" i="2"/>
  <c r="J148" i="2"/>
  <c r="M321" i="2"/>
  <c r="H241" i="2"/>
  <c r="H358" i="2"/>
  <c r="F213" i="2"/>
  <c r="F157" i="2"/>
  <c r="H299" i="2"/>
  <c r="F220" i="2"/>
  <c r="F136" i="2"/>
  <c r="H232" i="2"/>
  <c r="H295" i="2"/>
  <c r="G168" i="2"/>
  <c r="M130" i="2"/>
  <c r="G330" i="2"/>
  <c r="M227" i="2"/>
  <c r="M155" i="2"/>
  <c r="G334" i="2"/>
  <c r="I219" i="2"/>
  <c r="I302" i="2"/>
  <c r="I253" i="2"/>
  <c r="G245" i="2"/>
  <c r="K192" i="2"/>
  <c r="K179" i="2"/>
  <c r="J66" i="2"/>
  <c r="J30" i="2"/>
  <c r="G275" i="2"/>
  <c r="K138" i="2"/>
  <c r="J65" i="2"/>
  <c r="J29" i="2"/>
  <c r="F303" i="2"/>
  <c r="F254" i="2"/>
  <c r="J78" i="2"/>
  <c r="J18" i="2"/>
  <c r="J48" i="2"/>
  <c r="J14" i="2"/>
  <c r="F236" i="2"/>
  <c r="E207" i="2"/>
  <c r="E133" i="2"/>
  <c r="E71" i="2"/>
  <c r="K306" i="2"/>
  <c r="E375" i="2"/>
  <c r="L231" i="2"/>
  <c r="L36" i="2"/>
  <c r="L144" i="2"/>
  <c r="I351" i="2"/>
  <c r="L161" i="2"/>
  <c r="I347" i="2"/>
  <c r="H63" i="2"/>
  <c r="H27" i="2"/>
  <c r="H40" i="2"/>
  <c r="H205" i="2"/>
  <c r="I290" i="2"/>
  <c r="H73" i="2"/>
  <c r="N59" i="2"/>
  <c r="N20" i="2"/>
  <c r="N380" i="2"/>
  <c r="N60" i="2"/>
  <c r="N21" i="2"/>
  <c r="N35" i="2"/>
  <c r="N143" i="2"/>
  <c r="E36" i="2"/>
  <c r="E144" i="2"/>
  <c r="E60" i="2"/>
  <c r="E21" i="2"/>
  <c r="L48" i="2"/>
  <c r="L14" i="2"/>
  <c r="K363" i="2"/>
  <c r="L66" i="2"/>
  <c r="L30" i="2"/>
  <c r="K367" i="2"/>
  <c r="N79" i="2"/>
  <c r="N19" i="2"/>
  <c r="N68" i="2"/>
  <c r="N48" i="2"/>
  <c r="N14" i="2"/>
  <c r="I9" i="2"/>
  <c r="I189" i="2"/>
  <c r="I73" i="2"/>
  <c r="F380" i="2"/>
  <c r="I63" i="2"/>
  <c r="I27" i="2"/>
  <c r="I64" i="2"/>
  <c r="I28" i="2"/>
  <c r="I40" i="2"/>
  <c r="I205" i="2"/>
  <c r="H153" i="2"/>
  <c r="I53" i="2"/>
  <c r="H168" i="2"/>
  <c r="G62" i="2"/>
  <c r="G26" i="2"/>
  <c r="H213" i="2"/>
  <c r="H157" i="2"/>
  <c r="M79" i="2"/>
  <c r="M19" i="2"/>
  <c r="G4" i="2"/>
  <c r="M235" i="2"/>
  <c r="L80" i="2"/>
  <c r="H220" i="2"/>
  <c r="N82" i="2"/>
  <c r="H236" i="2"/>
  <c r="M80" i="2"/>
  <c r="J128" i="2"/>
  <c r="F71" i="2"/>
  <c r="F51" i="2"/>
  <c r="J142" i="2"/>
  <c r="H37" i="2"/>
  <c r="H200" i="2"/>
  <c r="J133" i="2"/>
  <c r="F61" i="2"/>
  <c r="F25" i="2"/>
  <c r="L207" i="2"/>
  <c r="L203" i="2"/>
  <c r="F85" i="2"/>
  <c r="G85" i="2"/>
  <c r="I87" i="2"/>
  <c r="L192" i="2"/>
  <c r="L108" i="2"/>
  <c r="L116" i="2"/>
  <c r="L179" i="2"/>
  <c r="K55" i="2"/>
  <c r="E119" i="2"/>
  <c r="L182" i="2"/>
  <c r="E112" i="2"/>
  <c r="K65" i="2"/>
  <c r="K29" i="2"/>
  <c r="L89" i="2"/>
  <c r="H97" i="2"/>
  <c r="F224" i="2"/>
  <c r="E102" i="2"/>
  <c r="N130" i="2"/>
  <c r="F9" i="2"/>
  <c r="F189" i="2"/>
  <c r="N138" i="2"/>
  <c r="J46" i="2"/>
  <c r="J12" i="2"/>
  <c r="F162" i="2"/>
  <c r="E92" i="2"/>
  <c r="I104" i="2"/>
  <c r="F146" i="2"/>
  <c r="H114" i="2"/>
  <c r="L99" i="2"/>
  <c r="E83" i="2"/>
  <c r="K158" i="2"/>
  <c r="M123" i="2"/>
  <c r="F126" i="2"/>
  <c r="K148" i="2"/>
  <c r="M57" i="2"/>
  <c r="M32" i="2"/>
  <c r="M175" i="2"/>
  <c r="M164" i="2"/>
  <c r="I241" i="2"/>
  <c r="I232" i="2"/>
  <c r="J347" i="2"/>
  <c r="J290" i="2"/>
  <c r="J317" i="2"/>
  <c r="I228" i="2"/>
  <c r="G136" i="2"/>
  <c r="I121" i="2"/>
  <c r="K78" i="2"/>
  <c r="K18" i="2"/>
  <c r="F60" i="2"/>
  <c r="F21" i="2"/>
  <c r="N265" i="2"/>
  <c r="N351" i="2"/>
  <c r="F346" i="2"/>
  <c r="N321" i="2"/>
  <c r="N249" i="2"/>
  <c r="F49" i="2"/>
  <c r="F22" i="2"/>
  <c r="F260" i="2"/>
  <c r="J196" i="2"/>
  <c r="F4" i="2"/>
  <c r="L55" i="2"/>
  <c r="L310" i="2"/>
  <c r="H275" i="2"/>
  <c r="H330" i="2"/>
  <c r="L46" i="2"/>
  <c r="L12" i="2"/>
  <c r="H300" i="2"/>
  <c r="L334" i="2"/>
  <c r="L363" i="2"/>
  <c r="L65" i="2"/>
  <c r="L29" i="2"/>
  <c r="L245" i="2"/>
  <c r="L306" i="2"/>
  <c r="E381" i="2"/>
  <c r="L284" i="2"/>
  <c r="N155" i="2"/>
  <c r="I270" i="2"/>
  <c r="I358" i="2"/>
  <c r="I295" i="2"/>
  <c r="F340" i="2"/>
  <c r="E327" i="2"/>
  <c r="E172" i="2"/>
  <c r="F368" i="2"/>
  <c r="F313" i="2"/>
  <c r="F15" i="2"/>
  <c r="F281" i="2"/>
  <c r="F375" i="2"/>
  <c r="F286" i="2"/>
  <c r="F261" i="2"/>
  <c r="H62" i="2"/>
  <c r="H26" i="2"/>
  <c r="J64" i="2"/>
  <c r="J28" i="2"/>
  <c r="H48" i="2"/>
  <c r="H14" i="2"/>
  <c r="J73" i="2"/>
  <c r="E69" i="2"/>
  <c r="H367" i="2"/>
  <c r="K121" i="2"/>
  <c r="H61" i="2"/>
  <c r="H25" i="2"/>
  <c r="K128" i="2"/>
  <c r="F83" i="2"/>
  <c r="H51" i="2"/>
  <c r="I114" i="2"/>
  <c r="H4" i="2"/>
  <c r="E271" i="2"/>
  <c r="J104" i="2"/>
  <c r="E229" i="2"/>
  <c r="N328" i="2"/>
  <c r="M116" i="2"/>
  <c r="M108" i="2"/>
  <c r="E250" i="2"/>
  <c r="N57" i="2"/>
  <c r="N32" i="2"/>
  <c r="M66" i="2"/>
  <c r="M30" i="2"/>
  <c r="E266" i="2"/>
  <c r="J63" i="2"/>
  <c r="J27" i="2"/>
  <c r="J87" i="2"/>
  <c r="J97" i="2"/>
  <c r="E233" i="2"/>
  <c r="J53" i="2"/>
  <c r="M89" i="2"/>
  <c r="E49" i="2"/>
  <c r="E22" i="2"/>
  <c r="E352" i="2"/>
  <c r="F102" i="2"/>
  <c r="E322" i="2"/>
  <c r="E203" i="2"/>
  <c r="F119" i="2"/>
  <c r="F112" i="2"/>
  <c r="E59" i="2"/>
  <c r="E20" i="2"/>
  <c r="E296" i="2"/>
  <c r="I153" i="2"/>
  <c r="I220" i="2"/>
  <c r="I37" i="2"/>
  <c r="I200" i="2"/>
  <c r="M46" i="2"/>
  <c r="M12" i="2"/>
  <c r="I213" i="2"/>
  <c r="I157" i="2"/>
  <c r="M48" i="2"/>
  <c r="M14" i="2"/>
  <c r="I168" i="2"/>
  <c r="L148" i="2"/>
  <c r="H85" i="2"/>
  <c r="L158" i="2"/>
  <c r="L142" i="2"/>
  <c r="G146" i="2"/>
  <c r="N123" i="2"/>
  <c r="G176" i="2"/>
  <c r="N80" i="2"/>
  <c r="G6" i="2"/>
  <c r="G208" i="2"/>
  <c r="K290" i="2"/>
  <c r="F92" i="2"/>
  <c r="M99" i="2"/>
  <c r="K347" i="2"/>
  <c r="K317" i="2"/>
  <c r="H136" i="2"/>
  <c r="H162" i="2"/>
  <c r="H9" i="2"/>
  <c r="H189" i="2"/>
  <c r="H71" i="2"/>
  <c r="N164" i="2"/>
  <c r="G126" i="2"/>
  <c r="F184" i="2"/>
  <c r="F39" i="2"/>
  <c r="F204" i="2"/>
  <c r="F214" i="2"/>
  <c r="M133" i="2"/>
  <c r="L78" i="2"/>
  <c r="L18" i="2"/>
  <c r="F382" i="2"/>
  <c r="M179" i="2"/>
  <c r="F38" i="2"/>
  <c r="F201" i="2"/>
  <c r="F196" i="2"/>
  <c r="M182" i="2"/>
  <c r="F7" i="2"/>
  <c r="F209" i="2"/>
  <c r="F222" i="2"/>
  <c r="M192" i="2"/>
  <c r="F381" i="2"/>
  <c r="E39" i="2"/>
  <c r="E204" i="2"/>
  <c r="E139" i="2"/>
  <c r="E212" i="2"/>
  <c r="E156" i="2"/>
  <c r="E131" i="2"/>
  <c r="M306" i="2"/>
  <c r="M334" i="2"/>
  <c r="M245" i="2"/>
  <c r="F327" i="2"/>
  <c r="F172" i="2"/>
  <c r="H340" i="2"/>
  <c r="H381" i="2"/>
  <c r="F356" i="2"/>
  <c r="H368" i="2"/>
  <c r="F379" i="2"/>
  <c r="H281" i="2"/>
  <c r="F365" i="2"/>
  <c r="M363" i="2"/>
  <c r="H237" i="2"/>
  <c r="M380" i="2"/>
  <c r="F331" i="2"/>
  <c r="H224" i="2"/>
  <c r="F317" i="2"/>
  <c r="K196" i="2"/>
  <c r="F341" i="2"/>
  <c r="I193" i="2"/>
  <c r="I381" i="2"/>
  <c r="F307" i="2"/>
  <c r="I372" i="2"/>
  <c r="I300" i="2"/>
  <c r="I348" i="2"/>
  <c r="I330" i="2"/>
  <c r="I322" i="2"/>
  <c r="I275" i="2"/>
  <c r="I299" i="2"/>
  <c r="G313" i="2"/>
  <c r="G15" i="2"/>
  <c r="I236" i="2"/>
  <c r="G286" i="2"/>
  <c r="I258" i="2"/>
  <c r="G261" i="2"/>
  <c r="I278" i="2"/>
  <c r="F242" i="2"/>
  <c r="F264" i="2"/>
  <c r="F231" i="2"/>
  <c r="K198" i="2"/>
  <c r="K206" i="2"/>
  <c r="K219" i="2"/>
  <c r="F285" i="2"/>
  <c r="J241" i="2"/>
  <c r="F273" i="2"/>
  <c r="F294" i="2"/>
  <c r="F251" i="2"/>
  <c r="G375" i="2"/>
  <c r="G382" i="2"/>
  <c r="L296" i="2"/>
  <c r="J180" i="2"/>
  <c r="J8" i="2"/>
  <c r="J188" i="2"/>
  <c r="L233" i="2"/>
  <c r="E359" i="2"/>
  <c r="E382" i="2"/>
  <c r="L275" i="2"/>
  <c r="J261" i="2"/>
  <c r="J239" i="2"/>
  <c r="J282" i="2"/>
  <c r="H267" i="2"/>
  <c r="H288" i="2"/>
  <c r="N190" i="2"/>
  <c r="H245" i="2"/>
  <c r="H334" i="2"/>
  <c r="H225" i="2"/>
  <c r="H382" i="2"/>
  <c r="N269" i="2"/>
  <c r="H310" i="2"/>
  <c r="H359" i="2"/>
  <c r="N227" i="2"/>
  <c r="N247" i="2"/>
  <c r="N290" i="2"/>
  <c r="L319" i="2"/>
  <c r="G273" i="2"/>
  <c r="L367" i="2"/>
  <c r="G317" i="2"/>
  <c r="G294" i="2"/>
  <c r="L345" i="2"/>
  <c r="G341" i="2"/>
  <c r="J328" i="2"/>
  <c r="J375" i="2"/>
  <c r="J351" i="2"/>
  <c r="J302" i="2"/>
  <c r="J253" i="2"/>
  <c r="K74" i="2"/>
  <c r="K79" i="2"/>
  <c r="K19" i="2"/>
  <c r="K54" i="2"/>
  <c r="K64" i="2"/>
  <c r="K28" i="2"/>
  <c r="K52" i="2"/>
  <c r="N361" i="2"/>
  <c r="K50" i="2"/>
  <c r="K23" i="2"/>
  <c r="L206" i="2"/>
  <c r="N313" i="2"/>
  <c r="N15" i="2"/>
  <c r="L198" i="2"/>
  <c r="K56" i="2"/>
  <c r="L193" i="2"/>
  <c r="N336" i="2"/>
  <c r="L219" i="2"/>
  <c r="K70" i="2"/>
  <c r="H264" i="2"/>
  <c r="H331" i="2"/>
  <c r="H222" i="2"/>
  <c r="K62" i="2"/>
  <c r="K26" i="2"/>
  <c r="H307" i="2"/>
  <c r="H38" i="2"/>
  <c r="H201" i="2"/>
  <c r="G184" i="2"/>
  <c r="H285" i="2"/>
  <c r="H242" i="2"/>
  <c r="K60" i="2"/>
  <c r="K21" i="2"/>
  <c r="H7" i="2"/>
  <c r="H209" i="2"/>
  <c r="E259" i="2"/>
  <c r="K72" i="2"/>
  <c r="E228" i="2"/>
  <c r="K68" i="2"/>
  <c r="E237" i="2"/>
  <c r="E191" i="2"/>
  <c r="E248" i="2"/>
  <c r="K66" i="2"/>
  <c r="K30" i="2"/>
  <c r="K58" i="2"/>
  <c r="K33" i="2"/>
  <c r="M296" i="2"/>
  <c r="M319" i="2"/>
  <c r="G231" i="2"/>
  <c r="M275" i="2"/>
  <c r="G196" i="2"/>
  <c r="M345" i="2"/>
  <c r="G214" i="2"/>
  <c r="I288" i="2"/>
  <c r="G251" i="2"/>
  <c r="I310" i="2"/>
  <c r="K8" i="2"/>
  <c r="K188" i="2"/>
  <c r="I334" i="2"/>
  <c r="K239" i="2"/>
  <c r="H294" i="2"/>
  <c r="K261" i="2"/>
  <c r="H341" i="2"/>
  <c r="E280" i="2"/>
  <c r="H273" i="2"/>
  <c r="E326" i="2"/>
  <c r="E171" i="2"/>
  <c r="E300" i="2"/>
  <c r="N302" i="2"/>
  <c r="N253" i="2"/>
  <c r="E291" i="2"/>
  <c r="H317" i="2"/>
  <c r="I245" i="2"/>
  <c r="E337" i="2"/>
  <c r="I225" i="2"/>
  <c r="E349" i="2"/>
  <c r="I267" i="2"/>
  <c r="E270" i="2"/>
  <c r="E314" i="2"/>
  <c r="E16" i="2"/>
  <c r="K328" i="2"/>
  <c r="K282" i="2"/>
  <c r="K302" i="2"/>
  <c r="K253" i="2"/>
  <c r="M219" i="2"/>
  <c r="M233" i="2"/>
  <c r="M367" i="2"/>
  <c r="M193" i="2"/>
  <c r="H356" i="2"/>
  <c r="I222" i="2"/>
  <c r="I356" i="2"/>
  <c r="H39" i="2"/>
  <c r="H204" i="2"/>
  <c r="I242" i="2"/>
  <c r="H196" i="2"/>
  <c r="I331" i="2"/>
  <c r="I379" i="2"/>
  <c r="H379" i="2"/>
  <c r="I285" i="2"/>
  <c r="I7" i="2"/>
  <c r="I209" i="2"/>
  <c r="I307" i="2"/>
  <c r="H251" i="2"/>
  <c r="F337" i="2"/>
  <c r="I382" i="2"/>
  <c r="F291" i="2"/>
  <c r="I38" i="2"/>
  <c r="I201" i="2"/>
  <c r="F280" i="2"/>
  <c r="I264" i="2"/>
  <c r="I359" i="2"/>
  <c r="F314" i="2"/>
  <c r="F16" i="2"/>
  <c r="F326" i="2"/>
  <c r="F171" i="2"/>
  <c r="F259" i="2"/>
  <c r="F349" i="2"/>
  <c r="F237" i="2"/>
  <c r="F300" i="2"/>
  <c r="F270" i="2"/>
  <c r="N345" i="2"/>
  <c r="N275" i="2"/>
  <c r="N319" i="2"/>
  <c r="N296" i="2"/>
  <c r="E373" i="2"/>
  <c r="J288" i="2"/>
  <c r="E362" i="2"/>
  <c r="J334" i="2"/>
  <c r="K375" i="2"/>
  <c r="J310" i="2"/>
  <c r="K351" i="2"/>
  <c r="L282" i="2"/>
  <c r="L8" i="2"/>
  <c r="L188" i="2"/>
  <c r="L328" i="2"/>
  <c r="L351" i="2"/>
  <c r="J225" i="2"/>
  <c r="L302" i="2"/>
  <c r="L253" i="2"/>
  <c r="J245" i="2"/>
  <c r="J267" i="2"/>
  <c r="G365" i="2"/>
  <c r="M206" i="2"/>
  <c r="M198" i="2"/>
  <c r="F191" i="2"/>
  <c r="F228" i="2"/>
  <c r="F362" i="2"/>
  <c r="F373" i="2"/>
  <c r="F248" i="2"/>
  <c r="K85" i="2"/>
  <c r="L375" i="2"/>
  <c r="N98" i="2"/>
  <c r="L239" i="2"/>
  <c r="L261" i="2"/>
  <c r="K81" i="2"/>
  <c r="K4" i="2"/>
  <c r="K46" i="2"/>
  <c r="K12" i="2"/>
  <c r="E101" i="2"/>
  <c r="K48" i="2"/>
  <c r="K14" i="2"/>
  <c r="K83" i="2"/>
  <c r="J382" i="2"/>
  <c r="J359" i="2"/>
  <c r="L91" i="2"/>
  <c r="H214" i="2"/>
  <c r="K87" i="2"/>
  <c r="H231" i="2"/>
  <c r="N159" i="2"/>
  <c r="N148" i="2"/>
  <c r="N135" i="2"/>
  <c r="H365" i="2"/>
  <c r="N122" i="2"/>
  <c r="M93" i="2"/>
  <c r="K89" i="2"/>
  <c r="N233" i="2"/>
  <c r="N367" i="2"/>
  <c r="F103" i="2"/>
  <c r="H129" i="2"/>
  <c r="H166" i="2"/>
  <c r="H141" i="2"/>
  <c r="H110" i="2"/>
  <c r="G107" i="2"/>
  <c r="N198" i="2"/>
  <c r="I317" i="2"/>
  <c r="N206" i="2"/>
  <c r="F138" i="2"/>
  <c r="F153" i="2"/>
  <c r="I251" i="2"/>
  <c r="F163" i="2"/>
  <c r="N219" i="2"/>
  <c r="F127" i="2"/>
  <c r="I273" i="2"/>
  <c r="E243" i="2"/>
  <c r="I294" i="2"/>
  <c r="J168" i="2"/>
  <c r="E181" i="2"/>
  <c r="J114" i="2"/>
  <c r="J35" i="2"/>
  <c r="J143" i="2"/>
  <c r="E276" i="2"/>
  <c r="L213" i="2"/>
  <c r="L157" i="2"/>
  <c r="E194" i="2"/>
  <c r="L118" i="2"/>
  <c r="E297" i="2"/>
  <c r="L133" i="2"/>
  <c r="L146" i="2"/>
  <c r="E234" i="2"/>
  <c r="I131" i="2"/>
  <c r="E308" i="2"/>
  <c r="I155" i="2"/>
  <c r="E223" i="2"/>
  <c r="I112" i="2"/>
  <c r="E265" i="2"/>
  <c r="H248" i="2"/>
  <c r="E286" i="2"/>
  <c r="H191" i="2"/>
  <c r="E357" i="2"/>
  <c r="J283" i="2"/>
  <c r="E320" i="2"/>
  <c r="H228" i="2"/>
  <c r="E380" i="2"/>
  <c r="J297" i="2"/>
  <c r="E303" i="2"/>
  <c r="E254" i="2"/>
  <c r="E346" i="2"/>
  <c r="L7" i="2"/>
  <c r="L209" i="2"/>
  <c r="J299" i="2"/>
  <c r="E235" i="2"/>
  <c r="L38" i="2"/>
  <c r="L201" i="2"/>
  <c r="E125" i="2"/>
  <c r="J301" i="2"/>
  <c r="E332" i="2"/>
  <c r="M120" i="2"/>
  <c r="G237" i="2"/>
  <c r="J314" i="2"/>
  <c r="J16" i="2"/>
  <c r="E246" i="2"/>
  <c r="J177" i="2"/>
  <c r="E368" i="2"/>
  <c r="J285" i="2"/>
  <c r="K116" i="2"/>
  <c r="K245" i="2"/>
  <c r="J329" i="2"/>
  <c r="K225" i="2"/>
  <c r="J295" i="2"/>
  <c r="I196" i="2"/>
  <c r="J320" i="2"/>
  <c r="I184" i="2"/>
  <c r="J322" i="2"/>
  <c r="I39" i="2"/>
  <c r="I204" i="2"/>
  <c r="J278" i="2"/>
  <c r="I231" i="2"/>
  <c r="J287" i="2"/>
  <c r="I214" i="2"/>
  <c r="J291" i="2"/>
  <c r="M282" i="2"/>
  <c r="J303" i="2"/>
  <c r="J254" i="2"/>
  <c r="M8" i="2"/>
  <c r="M188" i="2"/>
  <c r="M317" i="2"/>
  <c r="M328" i="2"/>
  <c r="M251" i="2"/>
  <c r="J327" i="2"/>
  <c r="J172" i="2"/>
  <c r="M239" i="2"/>
  <c r="M294" i="2"/>
  <c r="M261" i="2"/>
  <c r="J293" i="2"/>
  <c r="F175" i="2"/>
  <c r="M273" i="2"/>
  <c r="M302" i="2"/>
  <c r="M253" i="2"/>
  <c r="E268" i="2"/>
  <c r="J281" i="2"/>
  <c r="H314" i="2"/>
  <c r="H16" i="2"/>
  <c r="E289" i="2"/>
  <c r="J331" i="2"/>
  <c r="M375" i="2"/>
  <c r="E298" i="2"/>
  <c r="H270" i="2"/>
  <c r="J318" i="2"/>
  <c r="E277" i="2"/>
  <c r="M351" i="2"/>
  <c r="H291" i="2"/>
  <c r="E321" i="2"/>
  <c r="M382" i="2"/>
  <c r="J309" i="2"/>
  <c r="E257" i="2"/>
  <c r="K310" i="2"/>
  <c r="J316" i="2"/>
  <c r="E311" i="2"/>
  <c r="K288" i="2"/>
  <c r="J276" i="2"/>
  <c r="H303" i="2"/>
  <c r="H254" i="2"/>
  <c r="H283" i="2"/>
  <c r="K267" i="2"/>
  <c r="J307" i="2"/>
  <c r="H329" i="2"/>
  <c r="H262" i="2"/>
  <c r="G280" i="2"/>
  <c r="J289" i="2"/>
  <c r="N382" i="2"/>
  <c r="J311" i="2"/>
  <c r="G259" i="2"/>
  <c r="G307" i="2"/>
  <c r="G335" i="2"/>
  <c r="H362" i="2"/>
  <c r="G326" i="2"/>
  <c r="G171" i="2"/>
  <c r="G331" i="2"/>
  <c r="H240" i="2"/>
  <c r="G300" i="2"/>
  <c r="G352" i="2"/>
  <c r="G271" i="2"/>
  <c r="H337" i="2"/>
  <c r="G309" i="2"/>
  <c r="G315" i="2"/>
  <c r="N294" i="2"/>
  <c r="K359" i="2"/>
  <c r="G362" i="2"/>
  <c r="G292" i="2"/>
  <c r="G356" i="2"/>
  <c r="N365" i="2"/>
  <c r="K382" i="2"/>
  <c r="G358" i="2"/>
  <c r="N341" i="2"/>
  <c r="K237" i="2"/>
  <c r="G360" i="2"/>
  <c r="N317" i="2"/>
  <c r="K334" i="2"/>
  <c r="G350" i="2"/>
  <c r="G329" i="2"/>
  <c r="L382" i="2"/>
  <c r="G322" i="2"/>
  <c r="G346" i="2"/>
  <c r="G349" i="2"/>
  <c r="G320" i="2"/>
  <c r="G249" i="2"/>
  <c r="G316" i="2"/>
  <c r="G373" i="2"/>
  <c r="G318" i="2"/>
  <c r="I341" i="2"/>
  <c r="I283" i="2"/>
  <c r="G348" i="2"/>
  <c r="I380" i="2"/>
  <c r="I243" i="2"/>
  <c r="G342" i="2"/>
  <c r="I357" i="2"/>
  <c r="I365" i="2"/>
  <c r="G303" i="2"/>
  <c r="G254" i="2"/>
  <c r="I262" i="2"/>
  <c r="G340" i="2"/>
  <c r="I332" i="2"/>
  <c r="G337" i="2"/>
  <c r="E360" i="2"/>
  <c r="G333" i="2"/>
  <c r="E383" i="2"/>
  <c r="G314" i="2"/>
  <c r="G16" i="2"/>
  <c r="E347" i="2"/>
  <c r="G327" i="2"/>
  <c r="G172" i="2"/>
  <c r="E335" i="2"/>
  <c r="G311" i="2"/>
  <c r="E371" i="2"/>
  <c r="E355" i="2"/>
  <c r="E306" i="2"/>
  <c r="E318" i="2"/>
  <c r="E342" i="2"/>
  <c r="K300" i="2"/>
  <c r="E378" i="2"/>
  <c r="E330" i="2"/>
  <c r="K326" i="2"/>
  <c r="K171" i="2"/>
  <c r="E295" i="2"/>
  <c r="K280" i="2"/>
  <c r="E366" i="2"/>
  <c r="H315" i="2"/>
  <c r="K259" i="2"/>
  <c r="H292" i="2"/>
  <c r="I308" i="2"/>
  <c r="H339" i="2"/>
  <c r="I286" i="2"/>
  <c r="I265" i="2"/>
  <c r="H363" i="2"/>
  <c r="H352" i="2"/>
  <c r="H271" i="2"/>
  <c r="F298" i="2"/>
  <c r="H376" i="2"/>
  <c r="F289" i="2"/>
  <c r="F347" i="2"/>
  <c r="F321" i="2"/>
  <c r="F311" i="2"/>
  <c r="F335" i="2"/>
  <c r="G37" i="2"/>
  <c r="G200" i="2"/>
  <c r="F360" i="2"/>
  <c r="G59" i="2"/>
  <c r="G20" i="2"/>
  <c r="G67" i="2"/>
  <c r="G69" i="2"/>
  <c r="L259" i="2"/>
  <c r="G47" i="2"/>
  <c r="G13" i="2"/>
  <c r="L280" i="2"/>
  <c r="G35" i="2"/>
  <c r="G143" i="2"/>
  <c r="F277" i="2"/>
  <c r="G51" i="2"/>
  <c r="F268" i="2"/>
  <c r="G73" i="2"/>
  <c r="K349" i="2"/>
  <c r="G63" i="2"/>
  <c r="G27" i="2"/>
  <c r="K373" i="2"/>
  <c r="G65" i="2"/>
  <c r="G29" i="2"/>
  <c r="G39" i="2"/>
  <c r="G204" i="2"/>
  <c r="I352" i="2"/>
  <c r="G339" i="2"/>
  <c r="G55" i="2"/>
  <c r="I329" i="2"/>
  <c r="G363" i="2"/>
  <c r="G71" i="2"/>
  <c r="M365" i="2"/>
  <c r="G61" i="2"/>
  <c r="G25" i="2"/>
  <c r="I303" i="2"/>
  <c r="I254" i="2"/>
  <c r="M341" i="2"/>
  <c r="G57" i="2"/>
  <c r="G32" i="2"/>
  <c r="M107" i="2"/>
  <c r="G53" i="2"/>
  <c r="M127" i="2"/>
  <c r="J265" i="2"/>
  <c r="G49" i="2"/>
  <c r="G22" i="2"/>
  <c r="J308" i="2"/>
  <c r="N273" i="2"/>
  <c r="G78" i="2"/>
  <c r="G18" i="2"/>
  <c r="J357" i="2"/>
  <c r="G86" i="2"/>
  <c r="G45" i="2"/>
  <c r="G11" i="2"/>
  <c r="J286" i="2"/>
  <c r="F132" i="2"/>
  <c r="J332" i="2"/>
  <c r="F115" i="2"/>
  <c r="L326" i="2"/>
  <c r="L171" i="2"/>
  <c r="G82" i="2"/>
  <c r="F371" i="2"/>
  <c r="L349" i="2"/>
  <c r="F383" i="2"/>
  <c r="H117" i="2"/>
  <c r="L300" i="2"/>
  <c r="H134" i="2"/>
  <c r="G88" i="2"/>
  <c r="G80" i="2"/>
  <c r="J136" i="2"/>
  <c r="I376" i="2"/>
  <c r="J121" i="2"/>
  <c r="J99" i="2"/>
  <c r="L103" i="2"/>
  <c r="G90" i="2"/>
  <c r="L138" i="2"/>
  <c r="L125" i="2"/>
  <c r="J380" i="2"/>
  <c r="G84" i="2"/>
  <c r="N110" i="2"/>
  <c r="N129" i="2"/>
  <c r="K101" i="2"/>
  <c r="H92" i="2"/>
  <c r="L373" i="2"/>
  <c r="F274" i="2"/>
  <c r="F318" i="2"/>
  <c r="F295" i="2"/>
  <c r="K123" i="2"/>
  <c r="F284" i="2"/>
  <c r="F342" i="2"/>
  <c r="I119" i="2"/>
  <c r="F306" i="2"/>
  <c r="F330" i="2"/>
  <c r="E113" i="2"/>
  <c r="F36" i="2"/>
  <c r="F144" i="2"/>
  <c r="I97" i="2"/>
  <c r="F169" i="2"/>
  <c r="F212" i="2"/>
  <c r="F156" i="2"/>
  <c r="L163" i="2"/>
  <c r="L149" i="2"/>
  <c r="L9" i="2"/>
  <c r="L189" i="2"/>
  <c r="E6" i="2"/>
  <c r="E208" i="2"/>
  <c r="E185" i="2"/>
  <c r="E37" i="2"/>
  <c r="E200" i="2"/>
  <c r="E40" i="2"/>
  <c r="E205" i="2"/>
  <c r="E176" i="2"/>
  <c r="E215" i="2"/>
  <c r="E197" i="2"/>
  <c r="K194" i="2"/>
  <c r="K181" i="2"/>
  <c r="H158" i="2"/>
  <c r="H179" i="2"/>
  <c r="J161" i="2"/>
  <c r="J212" i="2"/>
  <c r="J156" i="2"/>
  <c r="J202" i="2"/>
  <c r="N141" i="2"/>
  <c r="N166" i="2"/>
  <c r="I292" i="2"/>
  <c r="N153" i="2"/>
  <c r="I271" i="2"/>
  <c r="I229" i="2"/>
  <c r="I249" i="2"/>
  <c r="G142" i="2"/>
  <c r="G149" i="2"/>
  <c r="G147" i="2"/>
  <c r="G162" i="2"/>
  <c r="H226" i="2"/>
  <c r="G153" i="2"/>
  <c r="G192" i="2"/>
  <c r="G139" i="2"/>
  <c r="K329" i="2"/>
  <c r="H246" i="2"/>
  <c r="G175" i="2"/>
  <c r="H268" i="2"/>
  <c r="K318" i="2"/>
  <c r="I147" i="2"/>
  <c r="G127" i="2"/>
  <c r="H289" i="2"/>
  <c r="K337" i="2"/>
  <c r="G9" i="2"/>
  <c r="G189" i="2"/>
  <c r="E274" i="2"/>
  <c r="K372" i="2"/>
  <c r="G131" i="2"/>
  <c r="E241" i="2"/>
  <c r="G135" i="2"/>
  <c r="E252" i="2"/>
  <c r="K350" i="2"/>
  <c r="G159" i="2"/>
  <c r="E232" i="2"/>
  <c r="M149" i="2"/>
  <c r="K342" i="2"/>
  <c r="G180" i="2"/>
  <c r="E263" i="2"/>
  <c r="M9" i="2"/>
  <c r="M189" i="2"/>
  <c r="G185" i="2"/>
  <c r="K362" i="2"/>
  <c r="E284" i="2"/>
  <c r="M138" i="2"/>
  <c r="G36" i="2"/>
  <c r="G144" i="2"/>
  <c r="E221" i="2"/>
  <c r="K346" i="2"/>
  <c r="M163" i="2"/>
  <c r="G191" i="2"/>
  <c r="G207" i="2"/>
  <c r="G277" i="2"/>
  <c r="G182" i="2"/>
  <c r="K320" i="2"/>
  <c r="H383" i="2"/>
  <c r="G193" i="2"/>
  <c r="G235" i="2"/>
  <c r="G133" i="2"/>
  <c r="H311" i="2"/>
  <c r="K331" i="2"/>
  <c r="H36" i="2"/>
  <c r="H144" i="2"/>
  <c r="G257" i="2"/>
  <c r="H360" i="2"/>
  <c r="G195" i="2"/>
  <c r="G155" i="2"/>
  <c r="H335" i="2"/>
  <c r="G222" i="2"/>
  <c r="K360" i="2"/>
  <c r="H192" i="2"/>
  <c r="I339" i="2"/>
  <c r="G164" i="2"/>
  <c r="M280" i="2"/>
  <c r="I363" i="2"/>
  <c r="G226" i="2"/>
  <c r="I315" i="2"/>
  <c r="H169" i="2"/>
  <c r="G137" i="2"/>
  <c r="M237" i="2"/>
  <c r="K368" i="2"/>
  <c r="G213" i="2"/>
  <c r="G157" i="2"/>
  <c r="M259" i="2"/>
  <c r="G177" i="2"/>
  <c r="G285" i="2"/>
  <c r="K374" i="2"/>
  <c r="G197" i="2"/>
  <c r="G169" i="2"/>
  <c r="K243" i="2"/>
  <c r="G274" i="2"/>
  <c r="G236" i="2"/>
  <c r="K322" i="2"/>
  <c r="G129" i="2"/>
  <c r="K265" i="2"/>
  <c r="G272" i="2"/>
  <c r="G40" i="2"/>
  <c r="G205" i="2"/>
  <c r="G167" i="2"/>
  <c r="K366" i="2"/>
  <c r="K223" i="2"/>
  <c r="G283" i="2"/>
  <c r="G232" i="2"/>
  <c r="K286" i="2"/>
  <c r="G347" i="2"/>
  <c r="K316" i="2"/>
  <c r="G281" i="2"/>
  <c r="G242" i="2"/>
  <c r="G321" i="2"/>
  <c r="E130" i="2"/>
  <c r="G371" i="2"/>
  <c r="K356" i="2"/>
  <c r="G293" i="2"/>
  <c r="G220" i="2"/>
  <c r="G298" i="2"/>
  <c r="E142" i="2"/>
  <c r="G295" i="2"/>
  <c r="G238" i="2"/>
  <c r="K340" i="2"/>
  <c r="E154" i="2"/>
  <c r="G224" i="2"/>
  <c r="G250" i="2"/>
  <c r="K348" i="2"/>
  <c r="E167" i="2"/>
  <c r="G234" i="2"/>
  <c r="G278" i="2"/>
  <c r="K352" i="2"/>
  <c r="G38" i="2"/>
  <c r="G201" i="2"/>
  <c r="G297" i="2"/>
  <c r="K335" i="2"/>
  <c r="G244" i="2"/>
  <c r="K308" i="2"/>
  <c r="G260" i="2"/>
  <c r="K357" i="2"/>
  <c r="G199" i="2"/>
  <c r="K364" i="2"/>
  <c r="K332" i="2"/>
  <c r="G246" i="2"/>
  <c r="G252" i="2"/>
  <c r="K358" i="2"/>
  <c r="G264" i="2"/>
  <c r="G203" i="2"/>
  <c r="K333" i="2"/>
  <c r="G228" i="2"/>
  <c r="G268" i="2"/>
  <c r="G230" i="2"/>
  <c r="K327" i="2"/>
  <c r="K172" i="2"/>
  <c r="G287" i="2"/>
  <c r="G240" i="2"/>
  <c r="G299" i="2"/>
  <c r="M349" i="2"/>
  <c r="G215" i="2"/>
  <c r="G266" i="2"/>
  <c r="M300" i="2"/>
  <c r="I134" i="2"/>
  <c r="F263" i="2"/>
  <c r="M326" i="2"/>
  <c r="M171" i="2"/>
  <c r="M373" i="2"/>
  <c r="G7" i="2"/>
  <c r="G209" i="2"/>
  <c r="G258" i="2"/>
  <c r="I158" i="2"/>
  <c r="F6" i="2"/>
  <c r="F208" i="2"/>
  <c r="G289" i="2"/>
  <c r="I179" i="2"/>
  <c r="F37" i="2"/>
  <c r="F200" i="2"/>
  <c r="K380" i="2"/>
  <c r="G291" i="2"/>
  <c r="F232" i="2"/>
  <c r="G276" i="2"/>
  <c r="K161" i="2"/>
  <c r="F241" i="2"/>
  <c r="G301" i="2"/>
  <c r="K136" i="2"/>
  <c r="G262" i="2"/>
  <c r="F252" i="2"/>
  <c r="G212" i="2"/>
  <c r="G156" i="2"/>
  <c r="G270" i="2"/>
  <c r="G132" i="2"/>
  <c r="F215" i="2"/>
  <c r="G248" i="2"/>
  <c r="F221" i="2"/>
  <c r="F176" i="2"/>
  <c r="J271" i="2"/>
  <c r="F197" i="2"/>
  <c r="F185" i="2"/>
  <c r="J292" i="2"/>
  <c r="J339" i="2"/>
  <c r="J315" i="2"/>
  <c r="F40" i="2"/>
  <c r="F205" i="2"/>
  <c r="I226" i="2"/>
  <c r="I246" i="2"/>
  <c r="I268" i="2"/>
  <c r="N127" i="2"/>
  <c r="L223" i="2"/>
  <c r="L243" i="2"/>
  <c r="L181" i="2"/>
  <c r="L265" i="2"/>
  <c r="I335" i="2"/>
  <c r="J147" i="2"/>
  <c r="I311" i="2"/>
  <c r="L194" i="2"/>
  <c r="I289" i="2"/>
  <c r="H298" i="2"/>
  <c r="H277" i="2"/>
  <c r="H235" i="2"/>
  <c r="H347" i="2"/>
  <c r="G125" i="2"/>
  <c r="H321" i="2"/>
  <c r="H257" i="2"/>
  <c r="G113" i="2"/>
  <c r="G108" i="2"/>
  <c r="J229" i="2"/>
  <c r="G123" i="2"/>
  <c r="J249" i="2"/>
  <c r="G121" i="2"/>
  <c r="G117" i="2"/>
  <c r="G115" i="2"/>
  <c r="K202" i="2"/>
  <c r="G119" i="2"/>
  <c r="K212" i="2"/>
  <c r="K156" i="2"/>
  <c r="G111" i="2"/>
  <c r="N237" i="2"/>
  <c r="N259" i="2"/>
  <c r="L287" i="2"/>
  <c r="L314" i="2"/>
  <c r="L16" i="2"/>
  <c r="L291" i="2"/>
  <c r="L316" i="2"/>
  <c r="L268" i="2"/>
  <c r="L281" i="2"/>
  <c r="I360" i="2"/>
  <c r="L272" i="2"/>
  <c r="I383" i="2"/>
  <c r="L285" i="2"/>
  <c r="G100" i="2"/>
  <c r="L293" i="2"/>
  <c r="L301" i="2"/>
  <c r="G93" i="2"/>
  <c r="G104" i="2"/>
  <c r="L276" i="2"/>
  <c r="L318" i="2"/>
  <c r="F378" i="2"/>
  <c r="L278" i="2"/>
  <c r="L297" i="2"/>
  <c r="F355" i="2"/>
  <c r="N280" i="2"/>
  <c r="L307" i="2"/>
  <c r="N326" i="2"/>
  <c r="N171" i="2"/>
  <c r="F366" i="2"/>
  <c r="N349" i="2"/>
  <c r="L283" i="2"/>
  <c r="L380" i="2"/>
  <c r="N300" i="2"/>
  <c r="L295" i="2"/>
  <c r="L357" i="2"/>
  <c r="L320" i="2"/>
  <c r="L289" i="2"/>
  <c r="L308" i="2"/>
  <c r="L309" i="2"/>
  <c r="L332" i="2"/>
  <c r="G91" i="2"/>
  <c r="L286" i="2"/>
  <c r="L270" i="2"/>
  <c r="G102" i="2"/>
  <c r="L274" i="2"/>
  <c r="L303" i="2"/>
  <c r="L254" i="2"/>
  <c r="G98" i="2"/>
  <c r="L311" i="2"/>
  <c r="L299" i="2"/>
  <c r="J363" i="2"/>
  <c r="H371" i="2"/>
  <c r="N373" i="2"/>
  <c r="J270" i="2"/>
  <c r="J262" i="2"/>
  <c r="J228" i="2"/>
  <c r="K193" i="2"/>
  <c r="J236" i="2"/>
  <c r="K199" i="2"/>
  <c r="J266" i="2"/>
  <c r="K159" i="2"/>
  <c r="J203" i="2"/>
  <c r="J242" i="2"/>
  <c r="K142" i="2"/>
  <c r="J220" i="2"/>
  <c r="J230" i="2"/>
  <c r="K9" i="2"/>
  <c r="K189" i="2"/>
  <c r="J182" i="2"/>
  <c r="J224" i="2"/>
  <c r="K149" i="2"/>
  <c r="J197" i="2"/>
  <c r="J246" i="2"/>
  <c r="K139" i="2"/>
  <c r="J244" i="2"/>
  <c r="J7" i="2"/>
  <c r="J209" i="2"/>
  <c r="K38" i="2"/>
  <c r="K201" i="2"/>
  <c r="J250" i="2"/>
  <c r="J9" i="2"/>
  <c r="J189" i="2"/>
  <c r="K177" i="2"/>
  <c r="J240" i="2"/>
  <c r="J191" i="2"/>
  <c r="K137" i="2"/>
  <c r="M327" i="2"/>
  <c r="M172" i="2"/>
  <c r="J252" i="2"/>
  <c r="J40" i="2"/>
  <c r="J205" i="2"/>
  <c r="K164" i="2"/>
  <c r="M348" i="2"/>
  <c r="J258" i="2"/>
  <c r="K191" i="2"/>
  <c r="J185" i="2"/>
  <c r="M358" i="2"/>
  <c r="J248" i="2"/>
  <c r="K180" i="2"/>
  <c r="J193" i="2"/>
  <c r="N322" i="2"/>
  <c r="M364" i="2"/>
  <c r="J234" i="2"/>
  <c r="K162" i="2"/>
  <c r="N307" i="2"/>
  <c r="J38" i="2"/>
  <c r="J201" i="2"/>
  <c r="M360" i="2"/>
  <c r="J268" i="2"/>
  <c r="N311" i="2"/>
  <c r="K167" i="2"/>
  <c r="M333" i="2"/>
  <c r="J199" i="2"/>
  <c r="J232" i="2"/>
  <c r="N299" i="2"/>
  <c r="K153" i="2"/>
  <c r="M350" i="2"/>
  <c r="J274" i="2"/>
  <c r="J215" i="2"/>
  <c r="N297" i="2"/>
  <c r="K169" i="2"/>
  <c r="M320" i="2"/>
  <c r="N318" i="2"/>
  <c r="J260" i="2"/>
  <c r="J207" i="2"/>
  <c r="K182" i="2"/>
  <c r="M356" i="2"/>
  <c r="N285" i="2"/>
  <c r="J222" i="2"/>
  <c r="J195" i="2"/>
  <c r="K155" i="2"/>
  <c r="M316" i="2"/>
  <c r="N291" i="2"/>
  <c r="J226" i="2"/>
  <c r="J213" i="2"/>
  <c r="J157" i="2"/>
  <c r="K195" i="2"/>
  <c r="M335" i="2"/>
  <c r="N274" i="2"/>
  <c r="J272" i="2"/>
  <c r="K185" i="2"/>
  <c r="N278" i="2"/>
  <c r="M307" i="2"/>
  <c r="J238" i="2"/>
  <c r="N295" i="2"/>
  <c r="K175" i="2"/>
  <c r="M322" i="2"/>
  <c r="J264" i="2"/>
  <c r="N287" i="2"/>
  <c r="M314" i="2"/>
  <c r="M16" i="2"/>
  <c r="K36" i="2"/>
  <c r="K144" i="2"/>
  <c r="K197" i="2"/>
  <c r="N276" i="2"/>
  <c r="M352" i="2"/>
  <c r="N283" i="2"/>
  <c r="M342" i="2"/>
  <c r="K147" i="2"/>
  <c r="K272" i="2"/>
  <c r="N270" i="2"/>
  <c r="M331" i="2"/>
  <c r="K262" i="2"/>
  <c r="N301" i="2"/>
  <c r="M318" i="2"/>
  <c r="K285" i="2"/>
  <c r="N320" i="2"/>
  <c r="M329" i="2"/>
  <c r="N316" i="2"/>
  <c r="K311" i="2"/>
  <c r="M340" i="2"/>
  <c r="N309" i="2"/>
  <c r="K281" i="2"/>
  <c r="M309" i="2"/>
  <c r="N281" i="2"/>
  <c r="J333" i="2"/>
  <c r="J337" i="2"/>
  <c r="K291" i="2"/>
  <c r="J379" i="2"/>
  <c r="M346" i="2"/>
  <c r="G381" i="2"/>
  <c r="N303" i="2"/>
  <c r="N254" i="2"/>
  <c r="J335" i="2"/>
  <c r="K283" i="2"/>
  <c r="J376" i="2"/>
  <c r="N314" i="2"/>
  <c r="N16" i="2"/>
  <c r="M337" i="2"/>
  <c r="G374" i="2"/>
  <c r="J374" i="2"/>
  <c r="J348" i="2"/>
  <c r="K314" i="2"/>
  <c r="K16" i="2"/>
  <c r="N293" i="2"/>
  <c r="M311" i="2"/>
  <c r="J372" i="2"/>
  <c r="G366" i="2"/>
  <c r="J360" i="2"/>
  <c r="N272" i="2"/>
  <c r="K295" i="2"/>
  <c r="J368" i="2"/>
  <c r="M362" i="2"/>
  <c r="G379" i="2"/>
  <c r="J346" i="2"/>
  <c r="N289" i="2"/>
  <c r="J352" i="2"/>
  <c r="K278" i="2"/>
  <c r="J342" i="2"/>
  <c r="G368" i="2"/>
  <c r="J366" i="2"/>
  <c r="K297" i="2"/>
  <c r="J362" i="2"/>
  <c r="G383" i="2"/>
  <c r="J356" i="2"/>
  <c r="J383" i="2"/>
  <c r="K303" i="2"/>
  <c r="K254" i="2"/>
  <c r="J350" i="2"/>
  <c r="G364" i="2"/>
  <c r="J364" i="2"/>
  <c r="K307" i="2"/>
  <c r="J340" i="2"/>
  <c r="G376" i="2"/>
  <c r="J358" i="2"/>
  <c r="J381" i="2"/>
  <c r="K264" i="2"/>
  <c r="G372" i="2"/>
  <c r="K266" i="2"/>
  <c r="K268" i="2"/>
  <c r="K301" i="2"/>
  <c r="K287" i="2"/>
  <c r="K309" i="2"/>
  <c r="K276" i="2"/>
  <c r="K274" i="2"/>
  <c r="K299" i="2"/>
  <c r="K270" i="2"/>
  <c r="K289" i="2"/>
  <c r="K293" i="2"/>
  <c r="K244" i="2"/>
  <c r="K236" i="2"/>
  <c r="K228" i="2"/>
  <c r="K238" i="2"/>
  <c r="K40" i="2"/>
  <c r="K205" i="2"/>
  <c r="K232" i="2"/>
  <c r="K213" i="2"/>
  <c r="K157" i="2"/>
  <c r="K258" i="2"/>
  <c r="K250" i="2"/>
  <c r="K7" i="2"/>
  <c r="K209" i="2"/>
  <c r="K226" i="2"/>
  <c r="K215" i="2"/>
  <c r="K242" i="2"/>
  <c r="K230" i="2"/>
  <c r="K220" i="2"/>
  <c r="K203" i="2"/>
  <c r="K260" i="2"/>
  <c r="K234" i="2"/>
  <c r="K207" i="2"/>
  <c r="K248" i="2"/>
  <c r="K252" i="2"/>
  <c r="K222" i="2"/>
  <c r="K240" i="2"/>
  <c r="K246" i="2"/>
  <c r="K224" i="2"/>
  <c r="M303" i="2"/>
  <c r="M254" i="2"/>
  <c r="L376" i="2"/>
  <c r="M262" i="2"/>
  <c r="L350" i="2"/>
  <c r="M299" i="2"/>
  <c r="L335" i="2"/>
  <c r="L358" i="2"/>
  <c r="M301" i="2"/>
  <c r="L333" i="2"/>
  <c r="M281" i="2"/>
  <c r="L374" i="2"/>
  <c r="M258" i="2"/>
  <c r="L346" i="2"/>
  <c r="L356" i="2"/>
  <c r="M297" i="2"/>
  <c r="L342" i="2"/>
  <c r="M250" i="2"/>
  <c r="L352" i="2"/>
  <c r="M276" i="2"/>
  <c r="L348" i="2"/>
  <c r="M272" i="2"/>
  <c r="L381" i="2"/>
  <c r="M289" i="2"/>
  <c r="L331" i="2"/>
  <c r="L379" i="2"/>
  <c r="M291" i="2"/>
  <c r="L360" i="2"/>
  <c r="M278" i="2"/>
  <c r="L368" i="2"/>
  <c r="M268" i="2"/>
  <c r="L362" i="2"/>
  <c r="L366" i="2"/>
  <c r="M293" i="2"/>
  <c r="L364" i="2"/>
  <c r="M252" i="2"/>
  <c r="L327" i="2"/>
  <c r="L172" i="2"/>
  <c r="M266" i="2"/>
  <c r="L337" i="2"/>
  <c r="M285" i="2"/>
  <c r="L322" i="2"/>
  <c r="L372" i="2"/>
  <c r="M295" i="2"/>
  <c r="L329" i="2"/>
  <c r="M283" i="2"/>
  <c r="L340" i="2"/>
  <c r="M260" i="2"/>
  <c r="M264" i="2"/>
  <c r="M270" i="2"/>
  <c r="M274" i="2"/>
  <c r="M287" i="2"/>
  <c r="K131" i="2"/>
  <c r="K133" i="2"/>
  <c r="K135" i="2"/>
  <c r="L242" i="2"/>
  <c r="L236" i="2"/>
  <c r="L266" i="2"/>
  <c r="L234" i="2"/>
  <c r="L244" i="2"/>
  <c r="L238" i="2"/>
  <c r="L228" i="2"/>
  <c r="L246" i="2"/>
  <c r="L260" i="2"/>
  <c r="L250" i="2"/>
  <c r="L222" i="2"/>
  <c r="L232" i="2"/>
  <c r="L264" i="2"/>
  <c r="L262" i="2"/>
  <c r="L248" i="2"/>
  <c r="L230" i="2"/>
  <c r="L240" i="2"/>
  <c r="L258" i="2"/>
  <c r="L226" i="2"/>
  <c r="L252" i="2"/>
  <c r="L224" i="2"/>
  <c r="M222" i="2"/>
  <c r="M226" i="2"/>
  <c r="M197" i="2"/>
  <c r="M248" i="2"/>
  <c r="M207" i="2"/>
  <c r="M232" i="2"/>
  <c r="M213" i="2"/>
  <c r="M157" i="2"/>
  <c r="M203" i="2"/>
  <c r="M244" i="2"/>
  <c r="M228" i="2"/>
  <c r="M240" i="2"/>
  <c r="M224" i="2"/>
  <c r="M236" i="2"/>
  <c r="M246" i="2"/>
  <c r="M199" i="2"/>
  <c r="M220" i="2"/>
  <c r="M238" i="2"/>
  <c r="M38" i="2"/>
  <c r="M201" i="2"/>
  <c r="M242" i="2"/>
  <c r="M7" i="2"/>
  <c r="M209" i="2"/>
  <c r="M40" i="2"/>
  <c r="M205" i="2"/>
  <c r="M215" i="2"/>
  <c r="M230" i="2"/>
  <c r="M234" i="2"/>
  <c r="K381" i="2"/>
  <c r="K383" i="2"/>
  <c r="K379" i="2"/>
  <c r="K376" i="2"/>
  <c r="N368" i="2"/>
  <c r="N329" i="2"/>
  <c r="N333" i="2"/>
  <c r="N374" i="2"/>
  <c r="N364" i="2"/>
  <c r="N356" i="2"/>
  <c r="N327" i="2"/>
  <c r="N172" i="2"/>
  <c r="N346" i="2"/>
  <c r="N358" i="2"/>
  <c r="N350" i="2"/>
  <c r="N342" i="2"/>
  <c r="N362" i="2"/>
  <c r="N335" i="2"/>
  <c r="N383" i="2"/>
  <c r="N340" i="2"/>
  <c r="N379" i="2"/>
  <c r="N337" i="2"/>
  <c r="N348" i="2"/>
  <c r="N360" i="2"/>
  <c r="N352" i="2"/>
  <c r="N331" i="2"/>
  <c r="N381" i="2"/>
  <c r="N366" i="2"/>
  <c r="N372" i="2"/>
  <c r="N376" i="2"/>
  <c r="N252" i="2"/>
  <c r="N232" i="2"/>
  <c r="N195" i="2"/>
  <c r="N180" i="2"/>
  <c r="N238" i="2"/>
  <c r="N9" i="2"/>
  <c r="N189" i="2"/>
  <c r="N266" i="2"/>
  <c r="N175" i="2"/>
  <c r="N260" i="2"/>
  <c r="N207" i="2"/>
  <c r="N215" i="2"/>
  <c r="N185" i="2"/>
  <c r="N262" i="2"/>
  <c r="N38" i="2"/>
  <c r="N201" i="2"/>
  <c r="N230" i="2"/>
  <c r="N182" i="2"/>
  <c r="N244" i="2"/>
  <c r="N199" i="2"/>
  <c r="N234" i="2"/>
  <c r="N193" i="2"/>
  <c r="N222" i="2"/>
  <c r="N197" i="2"/>
  <c r="N191" i="2"/>
  <c r="N240" i="2"/>
  <c r="N177" i="2"/>
  <c r="N213" i="2"/>
  <c r="N157" i="2"/>
  <c r="N264" i="2"/>
  <c r="N40" i="2"/>
  <c r="N205" i="2"/>
  <c r="N7" i="2"/>
  <c r="N209" i="2"/>
  <c r="N246" i="2"/>
  <c r="N203" i="2"/>
  <c r="N248" i="2"/>
  <c r="N169" i="2"/>
  <c r="N220" i="2"/>
  <c r="N228" i="2"/>
  <c r="N242" i="2"/>
  <c r="N258" i="2"/>
  <c r="N268" i="2"/>
  <c r="N224" i="2"/>
  <c r="N226" i="2"/>
  <c r="N236" i="2"/>
  <c r="N250" i="2"/>
  <c r="M383" i="2"/>
  <c r="M366" i="2"/>
  <c r="L383" i="2"/>
  <c r="M372" i="2"/>
  <c r="M379" i="2"/>
  <c r="M374" i="2"/>
  <c r="M368" i="2"/>
  <c r="M381" i="2"/>
  <c r="M376" i="2"/>
</calcChain>
</file>

<file path=xl/sharedStrings.xml><?xml version="1.0" encoding="utf-8"?>
<sst xmlns="http://schemas.openxmlformats.org/spreadsheetml/2006/main" count="978" uniqueCount="432">
  <si>
    <t>Delta Air Lines Inc- Company Financial (Multiple Periods)</t>
  </si>
  <si>
    <t>DAL US Equity    Periodicity:A    Currency:USD    Estimate Source:BST    Actual Source:Bloomberg</t>
  </si>
  <si>
    <t>In Millions of USD</t>
  </si>
  <si>
    <t>12 Months Ending</t>
  </si>
  <si>
    <t>Field Expression</t>
  </si>
  <si>
    <t>Calcrt Field</t>
  </si>
  <si>
    <t>Segment Id</t>
  </si>
  <si>
    <t xml:space="preserve">  Highlights</t>
  </si>
  <si>
    <t>Highlights</t>
  </si>
  <si>
    <t xml:space="preserve">  Adjusted Diluted EPS</t>
  </si>
  <si>
    <t>IS_COMP_EPS_ADJUSTED_OLD</t>
  </si>
  <si>
    <t>Non-GAAP Diluted EPS</t>
  </si>
  <si>
    <t xml:space="preserve">    YOY Growth</t>
  </si>
  <si>
    <t xml:space="preserve">  Adjusted Revenue</t>
  </si>
  <si>
    <t>IS_COMP_SALES</t>
  </si>
  <si>
    <t>Adjusted Revenue (ex-Refinery)</t>
  </si>
  <si>
    <t xml:space="preserve">  </t>
  </si>
  <si>
    <t>REV_PASS_MILES_KM</t>
  </si>
  <si>
    <t>Revenue Passenger Miles (Km)</t>
  </si>
  <si>
    <t xml:space="preserve">  Available Seat Miles (Km)</t>
  </si>
  <si>
    <t>AVAIL_SEAT_MILES_KM</t>
  </si>
  <si>
    <t>Available Seat Miles (Km)</t>
  </si>
  <si>
    <t xml:space="preserve">  Load Factor (%)</t>
  </si>
  <si>
    <t>LOAD_FACTOR</t>
  </si>
  <si>
    <t>Load Factor (%)</t>
  </si>
  <si>
    <t xml:space="preserve">  Passenger Revenue</t>
  </si>
  <si>
    <t>TOTAL_PASSENGER_REVENUE</t>
  </si>
  <si>
    <t>Passenger Revenue</t>
  </si>
  <si>
    <t xml:space="preserve">  Passenger Revenue per ASM (ASK)</t>
  </si>
  <si>
    <t>PASSENGER_REVENUE_PER_ASM</t>
  </si>
  <si>
    <t xml:space="preserve">  Yield</t>
  </si>
  <si>
    <t>YIELD_PER_PASS_MILES_KM</t>
  </si>
  <si>
    <t>Yield per Passenger Mile (Km) (Cents)</t>
  </si>
  <si>
    <t xml:space="preserve">  Cost per ASM (ASK)</t>
  </si>
  <si>
    <t>OP_EXP_PER_ASM_ASK</t>
  </si>
  <si>
    <t>Cost per Available Seat Mile (Km) (Cents)</t>
  </si>
  <si>
    <t xml:space="preserve">  Cost per ASM (Km) -Ex Fuel </t>
  </si>
  <si>
    <t>CONS_COST_PER_ASM_EX_FUEL</t>
  </si>
  <si>
    <t xml:space="preserve">  Cost per ASM Ex-Fuel &amp; Abnormals</t>
  </si>
  <si>
    <t>COST_PER_SEAT_EXCL_ABN_ITMS</t>
  </si>
  <si>
    <t xml:space="preserve">  Size of Fleet</t>
  </si>
  <si>
    <t>SIZE_OF_FLEET</t>
  </si>
  <si>
    <t xml:space="preserve">  EBITDAR</t>
  </si>
  <si>
    <t>AIRLINES_EBITDAR_RATIO</t>
  </si>
  <si>
    <t>EBITDAR</t>
  </si>
  <si>
    <t xml:space="preserve">  Adjusted Pre-Tax Profit</t>
  </si>
  <si>
    <t>IS_COMP_PTP_EX_STK_BASED_COMP</t>
  </si>
  <si>
    <t xml:space="preserve">  Adjusted Net Income</t>
  </si>
  <si>
    <t>IS_COMP_NET_INCOME_ADJUST_OLD</t>
  </si>
  <si>
    <t>Adjusted Net Income</t>
  </si>
  <si>
    <t xml:space="preserve">  Company Operating Metrics</t>
  </si>
  <si>
    <t>Company Operating Metrics</t>
  </si>
  <si>
    <t xml:space="preserve">  Company-Level Industry Statistics</t>
  </si>
  <si>
    <t>Company-Level Industry Statistics</t>
  </si>
  <si>
    <t xml:space="preserve">  Revenue Passenger Miles (RPM)</t>
  </si>
  <si>
    <t>Revenue Passenger Miles (RPM)</t>
  </si>
  <si>
    <t xml:space="preserve">  Available Seat Miles (ASM)</t>
  </si>
  <si>
    <t>Available Seat Miles (ASM)</t>
  </si>
  <si>
    <t xml:space="preserve">  Yield (%)</t>
  </si>
  <si>
    <t>Passenger (Cents)</t>
  </si>
  <si>
    <t xml:space="preserve">  Available Seat Miles/Kilometers per Gallon/Liter</t>
  </si>
  <si>
    <t>ASM_PER_GALLON_LITER</t>
  </si>
  <si>
    <t xml:space="preserve">  Fuel Gallons</t>
  </si>
  <si>
    <t>FUEL_GALLONS_LITRES</t>
  </si>
  <si>
    <t>Consumption</t>
  </si>
  <si>
    <t xml:space="preserve">  Fuel Price per Gallon</t>
  </si>
  <si>
    <t>FUEL_PRICE_PER_GALLON_LITRE</t>
  </si>
  <si>
    <t xml:space="preserve">  Aircraft in Fleet (End of Period)</t>
  </si>
  <si>
    <t>Aircraft in Fleet (End of Period)</t>
  </si>
  <si>
    <t xml:space="preserve">  Cost per Available Seat Mile</t>
  </si>
  <si>
    <t>Total Operating Expenses</t>
  </si>
  <si>
    <t xml:space="preserve">  Cost per ASM (Km) Ex-Fuel</t>
  </si>
  <si>
    <t xml:space="preserve">  CASM Excl. Fuel &amp; Profit Sharing</t>
  </si>
  <si>
    <t xml:space="preserve">  Fuel Cost per ASM (Km)</t>
  </si>
  <si>
    <t>FUEL_COST_PER_AVAIL_SEAT_MILE</t>
  </si>
  <si>
    <t xml:space="preserve">  Fuel Cost Excluding Hedges</t>
  </si>
  <si>
    <t>FUEL_COST_EXCLUDING_HEDGE</t>
  </si>
  <si>
    <t>Expense</t>
  </si>
  <si>
    <t xml:space="preserve">  Fuel Expenses</t>
  </si>
  <si>
    <t>FUEL_EXPENSES</t>
  </si>
  <si>
    <t xml:space="preserve">  Fuel Surcharge</t>
  </si>
  <si>
    <t>IS_FUEL_SURCHARGE</t>
  </si>
  <si>
    <t xml:space="preserve">  Business Breakdown</t>
  </si>
  <si>
    <t>Business Breakdown</t>
  </si>
  <si>
    <t xml:space="preserve">  Revenue</t>
  </si>
  <si>
    <t xml:space="preserve">    Passenger</t>
  </si>
  <si>
    <t xml:space="preserve">      YOY Growth</t>
  </si>
  <si>
    <t xml:space="preserve">    Cargo</t>
  </si>
  <si>
    <t>SALES_REV_TURN</t>
  </si>
  <si>
    <t>SEG0000176318 Segment</t>
  </si>
  <si>
    <t xml:space="preserve">    Other Services</t>
  </si>
  <si>
    <t>SEG0000176281 Segment</t>
  </si>
  <si>
    <t xml:space="preserve">      Loyalty Program</t>
  </si>
  <si>
    <t>SEG0000176219 Segment</t>
  </si>
  <si>
    <t xml:space="preserve">        YOY Growth</t>
  </si>
  <si>
    <t xml:space="preserve">      Ancillary Businesses &amp; Refinery</t>
  </si>
  <si>
    <t>SEG0000176238 Segment</t>
  </si>
  <si>
    <t xml:space="preserve">        Refinery</t>
  </si>
  <si>
    <t>SEG0000598441 Segment</t>
  </si>
  <si>
    <t xml:space="preserve">          YOY Growth</t>
  </si>
  <si>
    <t xml:space="preserve">        Ancillary Business</t>
  </si>
  <si>
    <t>SEG0000598440 Segment</t>
  </si>
  <si>
    <t xml:space="preserve">      Miscellaneous</t>
  </si>
  <si>
    <t>SEG0000176278 Segment</t>
  </si>
  <si>
    <t xml:space="preserve">  Regional Breakdown</t>
  </si>
  <si>
    <t>Regional Breakdown</t>
  </si>
  <si>
    <t xml:space="preserve">    Domestic</t>
  </si>
  <si>
    <t>Revenue</t>
  </si>
  <si>
    <t>SEG0000176251 Segment</t>
  </si>
  <si>
    <t xml:space="preserve">    Atlantic</t>
  </si>
  <si>
    <t>SEG0000176300 Segment</t>
  </si>
  <si>
    <t xml:space="preserve">    Latin America</t>
  </si>
  <si>
    <t>SEG0000176272 Segment</t>
  </si>
  <si>
    <t xml:space="preserve">    Pacific</t>
  </si>
  <si>
    <t>SEG0000176226 Segment</t>
  </si>
  <si>
    <t xml:space="preserve">  Income Statement</t>
  </si>
  <si>
    <t>Income Statement</t>
  </si>
  <si>
    <t xml:space="preserve">  Operating Expense:</t>
  </si>
  <si>
    <t>IS_TOT_OPER_EXP</t>
  </si>
  <si>
    <t xml:space="preserve">    Salaries &amp; Related Costs</t>
  </si>
  <si>
    <t>IS_PERSONNEL_EXP</t>
  </si>
  <si>
    <t>Salaries &amp; Related</t>
  </si>
  <si>
    <t xml:space="preserve">      As % of Revenue</t>
  </si>
  <si>
    <t>AIRLINE_SALARIES_PCT_SALES</t>
  </si>
  <si>
    <t xml:space="preserve">    Aircraft Fuel &amp; Related Taxes</t>
  </si>
  <si>
    <t>IS_FUEL_COST</t>
  </si>
  <si>
    <t>Aircraft Fuel</t>
  </si>
  <si>
    <t xml:space="preserve">    Contracted Services</t>
  </si>
  <si>
    <t>IS_PROFESSIONAL_EXPENSES</t>
  </si>
  <si>
    <t>Contracted Services</t>
  </si>
  <si>
    <t xml:space="preserve">    Ancillary Businesses &amp; Refinery</t>
  </si>
  <si>
    <t>IS_FACILITIES_EXPENSES</t>
  </si>
  <si>
    <t>Ancillary Business &amp; Refinery</t>
  </si>
  <si>
    <t xml:space="preserve">    Landing Fees &amp; Other Rents</t>
  </si>
  <si>
    <t>OTHER_RENTALS_LANDING_FEES</t>
  </si>
  <si>
    <t xml:space="preserve">    Aircraft Maintenance Materials &amp; Outside Repairs</t>
  </si>
  <si>
    <t>MAINTENANCE_MATERIALS_REPAIRS</t>
  </si>
  <si>
    <t xml:space="preserve">    Passenger Commissions &amp; Other</t>
  </si>
  <si>
    <t>COMMISSIONS_TO_AGENTS</t>
  </si>
  <si>
    <t xml:space="preserve">    Depreciation &amp; Amortization</t>
  </si>
  <si>
    <t>IS_D_AND_A_GAAP</t>
  </si>
  <si>
    <t>Depreciation &amp; Amortization</t>
  </si>
  <si>
    <t xml:space="preserve">    Regional Carrier Expense</t>
  </si>
  <si>
    <t>IS_REGIONAL_CAPACITY_PURCH_EXPN</t>
  </si>
  <si>
    <t>Regional Carriers Expense Non-Fuel</t>
  </si>
  <si>
    <t xml:space="preserve">    Passenger Service</t>
  </si>
  <si>
    <t>CB_IS_PASSENGER_SERVICE_COST</t>
  </si>
  <si>
    <t>Passenger Services</t>
  </si>
  <si>
    <t xml:space="preserve">    Profit Sharing</t>
  </si>
  <si>
    <t>CB_PROFIT_SHARING_COST</t>
  </si>
  <si>
    <t>Profit Sharing</t>
  </si>
  <si>
    <t xml:space="preserve">    Aircraft Rent</t>
  </si>
  <si>
    <t>AIRCRAFT_RENTALS</t>
  </si>
  <si>
    <t xml:space="preserve">    Other</t>
  </si>
  <si>
    <t>CB_IS_OTHER_OPEX</t>
  </si>
  <si>
    <t>Other</t>
  </si>
  <si>
    <t xml:space="preserve">  EBITDA</t>
  </si>
  <si>
    <t>EBITDA</t>
  </si>
  <si>
    <t xml:space="preserve">  Operating Income</t>
  </si>
  <si>
    <t>IS_EBIT_AS_REPORTED</t>
  </si>
  <si>
    <t xml:space="preserve">    Operating Margin (%)</t>
  </si>
  <si>
    <t>OPER_MARGIN</t>
  </si>
  <si>
    <t xml:space="preserve">  Non Operating Expense:</t>
  </si>
  <si>
    <t xml:space="preserve">    Interest Expense</t>
  </si>
  <si>
    <t>IS_INT_EXPENSE</t>
  </si>
  <si>
    <t>Interest Expense</t>
  </si>
  <si>
    <t xml:space="preserve">    Unrealized (gain) loss on Investment</t>
  </si>
  <si>
    <t>IS_NET_INCR_FAIR_VALUE_INVEST</t>
  </si>
  <si>
    <t>Operating Income</t>
  </si>
  <si>
    <t xml:space="preserve">    Loss on Extinguishment of Debt</t>
  </si>
  <si>
    <t>IS_G_L_ON_EXT_DBT_OR_SETTLE_DBT</t>
  </si>
  <si>
    <t xml:space="preserve">  Total non-operating expense</t>
  </si>
  <si>
    <t>NOI_LOSS_GAAP_RATIO</t>
  </si>
  <si>
    <t xml:space="preserve">  Pre-Tax Income</t>
  </si>
  <si>
    <t>PRETAX_INC</t>
  </si>
  <si>
    <t>Pre-Tax Income</t>
  </si>
  <si>
    <t xml:space="preserve">    As % of Revenue</t>
  </si>
  <si>
    <t>ADJUSTED_PTP_MARGIN_AS_REPORTED</t>
  </si>
  <si>
    <t xml:space="preserve">  Income Tax Expense</t>
  </si>
  <si>
    <t>IS_INC_TAX_EXP</t>
  </si>
  <si>
    <t>Income Tax Expense</t>
  </si>
  <si>
    <t xml:space="preserve">    Tax Rate (%)</t>
  </si>
  <si>
    <t>EFF_TAX_RATE</t>
  </si>
  <si>
    <t>Tax Rate (%)</t>
  </si>
  <si>
    <t xml:space="preserve">  Net Income</t>
  </si>
  <si>
    <t>IS_COMP_NET_INCOME_GAAP</t>
  </si>
  <si>
    <t>Net Income</t>
  </si>
  <si>
    <t xml:space="preserve">  Basic Weighted Avg. Shares</t>
  </si>
  <si>
    <t>IS_AVG_NUM_SH_FOR_EPS</t>
  </si>
  <si>
    <t xml:space="preserve">  Basic EPS</t>
  </si>
  <si>
    <t>IS_EPS</t>
  </si>
  <si>
    <t>Basic EPS</t>
  </si>
  <si>
    <t xml:space="preserve">  Diluted Weighted Avg. Shares</t>
  </si>
  <si>
    <t>IS_SH_FOR_DILUTED_EPS</t>
  </si>
  <si>
    <t>Diluted Weighted Avg. Shares</t>
  </si>
  <si>
    <t xml:space="preserve">  Diluted EPS</t>
  </si>
  <si>
    <t>IS_COMP_EPS_GAAP</t>
  </si>
  <si>
    <t>Diluted EPS</t>
  </si>
  <si>
    <t xml:space="preserve">  Dividend Per Share</t>
  </si>
  <si>
    <t>IS_DIV_PER_SHR</t>
  </si>
  <si>
    <t xml:space="preserve">  Adjusted Results</t>
  </si>
  <si>
    <t>Non-GAAP Results</t>
  </si>
  <si>
    <t xml:space="preserve">    Sales (Ex-Refinery)</t>
  </si>
  <si>
    <t xml:space="preserve">    Total Operating Expenses</t>
  </si>
  <si>
    <t>CB_IS_ADJUSTED_OPEX</t>
  </si>
  <si>
    <t xml:space="preserve">    Operating Income</t>
  </si>
  <si>
    <t>IS_COMPARABLE_EBIT</t>
  </si>
  <si>
    <t>ADJ_OPERATING_MARGIN</t>
  </si>
  <si>
    <t xml:space="preserve">    EBITDA</t>
  </si>
  <si>
    <t>IS_COMPARABLE_EBITDA</t>
  </si>
  <si>
    <t xml:space="preserve">      EBITDA Margin (%)</t>
  </si>
  <si>
    <t>EBITDA_TO_REVENUE</t>
  </si>
  <si>
    <t xml:space="preserve">    Pre-Tax Income</t>
  </si>
  <si>
    <t xml:space="preserve">    Income Tax Expense</t>
  </si>
  <si>
    <t>CB_IS_ADJ_INC_TAX_EXPN</t>
  </si>
  <si>
    <t xml:space="preserve">    Net Income</t>
  </si>
  <si>
    <t xml:space="preserve">      Net Income Margin (%)</t>
  </si>
  <si>
    <t>ADJ_PROFIT_MARGIN</t>
  </si>
  <si>
    <t xml:space="preserve">    Diluted EPS</t>
  </si>
  <si>
    <t xml:space="preserve">  Company Specific Adjustments</t>
  </si>
  <si>
    <t>Company Specific Adjustments</t>
  </si>
  <si>
    <t xml:space="preserve">    Early Extinguishment of Debt</t>
  </si>
  <si>
    <t xml:space="preserve">     Restructuring Expense</t>
  </si>
  <si>
    <t>IS_RESTRUCTURING_OP</t>
  </si>
  <si>
    <t xml:space="preserve">  Condensed Balance Sheet</t>
  </si>
  <si>
    <t>Condensed Balance Sheet</t>
  </si>
  <si>
    <t xml:space="preserve">  Assets</t>
  </si>
  <si>
    <t>Assets</t>
  </si>
  <si>
    <t xml:space="preserve">    Current Assets</t>
  </si>
  <si>
    <t>BS_CUR_ASSET_REPORT</t>
  </si>
  <si>
    <t>Current Assets</t>
  </si>
  <si>
    <t xml:space="preserve">      Cash, Cash Equivalents &amp; STI</t>
  </si>
  <si>
    <t>BS_CASH_CASH_EQUIVALENTS_AND_STI</t>
  </si>
  <si>
    <t>Cash, Cash Equivalents &amp; STI</t>
  </si>
  <si>
    <t xml:space="preserve">        Cash &amp; Cash Equivalents</t>
  </si>
  <si>
    <t>BS_CASH_NEAR_CASH_ITEM</t>
  </si>
  <si>
    <t>Cash &amp; Cash Equivalents</t>
  </si>
  <si>
    <t xml:space="preserve">        Short-Term Investments</t>
  </si>
  <si>
    <t>BS_MKT_SEC_OTHER_ST_INVEST</t>
  </si>
  <si>
    <t>Short-Term Investments</t>
  </si>
  <si>
    <t xml:space="preserve">      Accounts &amp; Notes Receivable</t>
  </si>
  <si>
    <t>BS_ACCTS_REC_EXCL_NOTES_REC</t>
  </si>
  <si>
    <t>Accounts &amp; Notes Receivable</t>
  </si>
  <si>
    <t xml:space="preserve">      Inventories</t>
  </si>
  <si>
    <t>BS_INVENTORIES</t>
  </si>
  <si>
    <t>Inventories</t>
  </si>
  <si>
    <t xml:space="preserve">      Other Current Assets</t>
  </si>
  <si>
    <t>BS_OTHER_CUR_ASSET</t>
  </si>
  <si>
    <t>Other Current Assets</t>
  </si>
  <si>
    <t xml:space="preserve">    Non-Current Assets</t>
  </si>
  <si>
    <t>BS_TOTAL_NON_CURRENT_ASSETS</t>
  </si>
  <si>
    <t>Non-Current Assets</t>
  </si>
  <si>
    <t xml:space="preserve">      Net Fixed Asset</t>
  </si>
  <si>
    <t>BS_NET_FIX_ASSET</t>
  </si>
  <si>
    <t xml:space="preserve">        Property, Plant &amp; Equipment</t>
  </si>
  <si>
    <t>CB_BS_PP_AND_E_NET</t>
  </si>
  <si>
    <t>Property, Plant &amp; Equipment</t>
  </si>
  <si>
    <t xml:space="preserve">          Accumulated Depreciation</t>
  </si>
  <si>
    <t>CB_BS_ACCUMULATED_DEPRECIATION</t>
  </si>
  <si>
    <t xml:space="preserve">            YOY Growth</t>
  </si>
  <si>
    <t xml:space="preserve">        Operating Lease Right-of-Use Assets</t>
  </si>
  <si>
    <t>BS_OPER_LEA_RT_OF_USE_ASSETS</t>
  </si>
  <si>
    <t>Operating Lease Right-of-Use Assets</t>
  </si>
  <si>
    <t xml:space="preserve">      Deferred Tax Assets</t>
  </si>
  <si>
    <t>BS_DEFERRED_TAX_ASSETS_LT</t>
  </si>
  <si>
    <t xml:space="preserve">      Total Intangibles</t>
  </si>
  <si>
    <t>BS_DISCLOSED_INTANGIBLES</t>
  </si>
  <si>
    <t>Total Intangibles</t>
  </si>
  <si>
    <t xml:space="preserve">        Goodwill</t>
  </si>
  <si>
    <t>BS_GOODWILL</t>
  </si>
  <si>
    <t>Goodwill</t>
  </si>
  <si>
    <t xml:space="preserve">        Other Intangibles</t>
  </si>
  <si>
    <t>BS_OTHER_INTANGIBLE_ASSETS</t>
  </si>
  <si>
    <t>Other Intangibles</t>
  </si>
  <si>
    <t xml:space="preserve">      Long-Term Restricted Cash</t>
  </si>
  <si>
    <t>BS_LONG_TERM_RESTRCTD_CASH_INVT</t>
  </si>
  <si>
    <t xml:space="preserve">    Total Assets</t>
  </si>
  <si>
    <t>BS_TOT_ASSET</t>
  </si>
  <si>
    <t>Total Assets</t>
  </si>
  <si>
    <t xml:space="preserve">  Liabilities &amp; Shareholders' Equity</t>
  </si>
  <si>
    <t>Liabilities &amp; Shareholders' Equity</t>
  </si>
  <si>
    <t xml:space="preserve">    Current Liabilities</t>
  </si>
  <si>
    <t>BS_CUR_LIAB</t>
  </si>
  <si>
    <t>Current Liabilities</t>
  </si>
  <si>
    <t xml:space="preserve">      Accounts Payable</t>
  </si>
  <si>
    <t>BS_ACCT_PAYABLE</t>
  </si>
  <si>
    <t>Accounts Payable</t>
  </si>
  <si>
    <t xml:space="preserve">      Accrued Salaries &amp; Benefits</t>
  </si>
  <si>
    <t>BS_ST_ACC_CMPNSTN_POSTRET_OBLIG</t>
  </si>
  <si>
    <t>Accrued Salaries &amp; Benefits</t>
  </si>
  <si>
    <t xml:space="preserve">      Accrued Expenses</t>
  </si>
  <si>
    <t>BS_SHORTTERM_ACCRUD_EXPNSS</t>
  </si>
  <si>
    <t>Other Current Liabilities</t>
  </si>
  <si>
    <t xml:space="preserve">      Short-Term Debt</t>
  </si>
  <si>
    <t>CB_BS_CURRENT_PORTION_OF_LT_DEBT</t>
  </si>
  <si>
    <t>Short-Term Debt</t>
  </si>
  <si>
    <t xml:space="preserve">      Current Maturities of Operating Leases</t>
  </si>
  <si>
    <t>BS_ST_OPERATING_LEASE_LIABS</t>
  </si>
  <si>
    <t>Current Maturities of Operating Leases</t>
  </si>
  <si>
    <t xml:space="preserve">      Air Traffic Liability</t>
  </si>
  <si>
    <t>BS_ST_AIR_TRAFFC_LIBLTS</t>
  </si>
  <si>
    <t>Air Traffic Liability</t>
  </si>
  <si>
    <t xml:space="preserve">      Frequent Flyer Deferred Revenue</t>
  </si>
  <si>
    <t>CB_BS_ST_DEFER_REVENUE</t>
  </si>
  <si>
    <t>Frequent Flyer Deferred Revenue</t>
  </si>
  <si>
    <t xml:space="preserve">      Other</t>
  </si>
  <si>
    <t>CB_BS_OTHER_CURRENT_LIABS</t>
  </si>
  <si>
    <t xml:space="preserve">    Non-Current Liabilities</t>
  </si>
  <si>
    <t>BS_ADJ_TOTAL_LT_LIABILITIES</t>
  </si>
  <si>
    <t>Non-Current Liabilities</t>
  </si>
  <si>
    <t xml:space="preserve">      Long-Term Borrowings</t>
  </si>
  <si>
    <t>CB_BS_LT_BORROWING</t>
  </si>
  <si>
    <t>Long-Term Debt</t>
  </si>
  <si>
    <t xml:space="preserve">      Long-Term Leases</t>
  </si>
  <si>
    <t xml:space="preserve">        Operating Lease Liabilities</t>
  </si>
  <si>
    <t>BS_TOTAL_OPERATING_LEASE_LIABS</t>
  </si>
  <si>
    <t>Pension Liabilities</t>
  </si>
  <si>
    <t xml:space="preserve">      Pension Liabilities</t>
  </si>
  <si>
    <t>BS_PENSION_RSRV</t>
  </si>
  <si>
    <t xml:space="preserve">      Deferred Revenue</t>
  </si>
  <si>
    <t>LT_DEFERRED_REVENUE</t>
  </si>
  <si>
    <t>Deferred Revenue</t>
  </si>
  <si>
    <t xml:space="preserve">      Non-Current Operating Leases</t>
  </si>
  <si>
    <t>BS_LT_OPERATING_LEASE_LIABS</t>
  </si>
  <si>
    <t>Non-Current Operating Leases</t>
  </si>
  <si>
    <t xml:space="preserve">      Other Non-Current Liabilities</t>
  </si>
  <si>
    <t>CB_BS_OTHER_NONCURRENT_LIABS</t>
  </si>
  <si>
    <t>Other Non-Current Liabilities</t>
  </si>
  <si>
    <t xml:space="preserve">    Total Liabilities</t>
  </si>
  <si>
    <t>BS_TOTAL_LIABILITIES</t>
  </si>
  <si>
    <t>Total Liabilities</t>
  </si>
  <si>
    <t xml:space="preserve">    Total Shareholders' Equity</t>
  </si>
  <si>
    <t>HEADLINE_NAV</t>
  </si>
  <si>
    <t>Total Shareholders' Equity</t>
  </si>
  <si>
    <t xml:space="preserve">      Share Capital &amp; APIC</t>
  </si>
  <si>
    <t>BS_SH_CAP_AND_APIC</t>
  </si>
  <si>
    <t>Share Capital &amp; APIC</t>
  </si>
  <si>
    <t xml:space="preserve">      Retained Earnings</t>
  </si>
  <si>
    <t>BS_PURE_RETAINED_EARNINGS</t>
  </si>
  <si>
    <t>Retained Earnings</t>
  </si>
  <si>
    <t xml:space="preserve">      Treasury Stock</t>
  </si>
  <si>
    <t>BS_AMT_OF_TSY_STOCK</t>
  </si>
  <si>
    <t xml:space="preserve">      Other Equity</t>
  </si>
  <si>
    <t>BS_CAPITAL_RESERVE</t>
  </si>
  <si>
    <t>Other Equity</t>
  </si>
  <si>
    <t xml:space="preserve">    Total Liabilities &amp; Shareholders' Equity</t>
  </si>
  <si>
    <t>Total Liabilities &amp; Shareholders' Equity</t>
  </si>
  <si>
    <t xml:space="preserve">  Special Company Reference Items</t>
  </si>
  <si>
    <t>Special Company Reference Items</t>
  </si>
  <si>
    <t xml:space="preserve">    Net Debt (Cash)</t>
  </si>
  <si>
    <t>NET_DEBT</t>
  </si>
  <si>
    <t>Net Debt (Cash)</t>
  </si>
  <si>
    <t xml:space="preserve">    Total Debt </t>
  </si>
  <si>
    <t>CB_BS_TOTAL_DEBT</t>
  </si>
  <si>
    <t xml:space="preserve">    Total Debt Including Operating Leases</t>
  </si>
  <si>
    <t>TOTAL_DEBT_AND_PREFERRED_EQUITY</t>
  </si>
  <si>
    <t>Total Debt</t>
  </si>
  <si>
    <t xml:space="preserve">    </t>
  </si>
  <si>
    <t xml:space="preserve">    Load Factor (%)</t>
  </si>
  <si>
    <t xml:space="preserve">    Return on Assets (%)</t>
  </si>
  <si>
    <t>RETURN_ON_ASSET</t>
  </si>
  <si>
    <t xml:space="preserve">    Return on Equity (%)</t>
  </si>
  <si>
    <t>RETURN_TOT_EQY</t>
  </si>
  <si>
    <t xml:space="preserve">    Annualized Days Sales Outstanding</t>
  </si>
  <si>
    <t>ANNUALIZED_DAYS_SALES_OUTSTDG</t>
  </si>
  <si>
    <t xml:space="preserve">    Book Value per Share</t>
  </si>
  <si>
    <t>BV_PER_WEIGHTED_DILUTED_SHARE</t>
  </si>
  <si>
    <t xml:space="preserve">  Condensed Cash Flow Statement</t>
  </si>
  <si>
    <t>Condensed Cash Flow Statement</t>
  </si>
  <si>
    <t xml:space="preserve">  Cash Flow from Operating Activities</t>
  </si>
  <si>
    <t>Cash Flow from Operating Activities</t>
  </si>
  <si>
    <t>CF_DEPR_AMORT</t>
  </si>
  <si>
    <t>DEPR_EXP_TO_NET_SALES</t>
  </si>
  <si>
    <t xml:space="preserve">    Deferred Income Taxes</t>
  </si>
  <si>
    <t>CF_DEF_INC_TAX</t>
  </si>
  <si>
    <t>Deferred Income Taxes</t>
  </si>
  <si>
    <t xml:space="preserve">    Change in Air Traffic Liabilities</t>
  </si>
  <si>
    <t>CB_CF_CHG_IN_AIR_TRAFFIC_LIAB</t>
  </si>
  <si>
    <t xml:space="preserve">    Pension/Postretirement Benefit Expenses</t>
  </si>
  <si>
    <t>CF_CHANGE_IN_PENSION_PROVISIONS</t>
  </si>
  <si>
    <t>Pension/Postretirement Benefit Expenses</t>
  </si>
  <si>
    <t xml:space="preserve">    Change in Non-Cash Working Capital</t>
  </si>
  <si>
    <t xml:space="preserve">      Other Current Assets &amp; Liabilities</t>
  </si>
  <si>
    <t>CF_CHG_IN_OTH_CURR_AST_LIBLTS</t>
  </si>
  <si>
    <t xml:space="preserve">  Cash Flow From Operating Activities</t>
  </si>
  <si>
    <t>CB_CF_NET_CASH_OPERATING_ACT</t>
  </si>
  <si>
    <t>Cash Flow From Operating Activities</t>
  </si>
  <si>
    <t xml:space="preserve">  Cash Flow from Investing Activities</t>
  </si>
  <si>
    <t>Cash Flow from Investing Activities</t>
  </si>
  <si>
    <t xml:space="preserve">    Capital Expenditures</t>
  </si>
  <si>
    <t>HEADLINE_CAPEX</t>
  </si>
  <si>
    <t>Capital Expenditures</t>
  </si>
  <si>
    <t xml:space="preserve">    Proceeds from Short-Term Investments</t>
  </si>
  <si>
    <t>CB_CF_PROCEEDS_FROM_ST_INV</t>
  </si>
  <si>
    <t xml:space="preserve">    Other, Net </t>
  </si>
  <si>
    <t>CB_CF_OTHER_INVESTING_ACTIVITIES</t>
  </si>
  <si>
    <t>CB_CF_NET_CASH_INVESTING_ACT</t>
  </si>
  <si>
    <t xml:space="preserve">  Cash Flow from Financing Activities</t>
  </si>
  <si>
    <t>Cash Flow from Financing Activities</t>
  </si>
  <si>
    <t xml:space="preserve">    Dividends Paid</t>
  </si>
  <si>
    <t>CF_DVD_PAID</t>
  </si>
  <si>
    <t xml:space="preserve">    Change in Debt</t>
  </si>
  <si>
    <t>CF_PROCEEDS_REPAYMNTS_BORROWINGS</t>
  </si>
  <si>
    <t xml:space="preserve">      Cash from Long-Term Debt</t>
  </si>
  <si>
    <t>CF_PROC_LT_DEBT_AND_CAPITAL_LEASE</t>
  </si>
  <si>
    <t>Cash from Long-Term Debt</t>
  </si>
  <si>
    <t xml:space="preserve">      Repayments of Long-Term Debt</t>
  </si>
  <si>
    <t>CF_PYMT_LT_DEBT_AND_CAPITAL_LEASE</t>
  </si>
  <si>
    <t>Repayments of Long-Term Debt</t>
  </si>
  <si>
    <t xml:space="preserve">    Cash (Repurchase) of Equity</t>
  </si>
  <si>
    <t>CF_DECR_CAP_STOCK</t>
  </si>
  <si>
    <t>Cash (Repurchase) of Equity</t>
  </si>
  <si>
    <t>CF_OTHER_FNC_ACT</t>
  </si>
  <si>
    <t>CB_CF_NET_CASH_FINANCING_ACT</t>
  </si>
  <si>
    <t xml:space="preserve">    Net Changes in Cash</t>
  </si>
  <si>
    <t>CF_NET_CHNG_CASH</t>
  </si>
  <si>
    <t>Net Changes in Cash</t>
  </si>
  <si>
    <t xml:space="preserve">      Cash &amp; Cash Equivalents (BOP)</t>
  </si>
  <si>
    <t>CF_CASH_AND_CASH_EQUIV_BEG_BAL</t>
  </si>
  <si>
    <t>Cash &amp; Cash Equivalents (Beg of Period)</t>
  </si>
  <si>
    <t xml:space="preserve">      Cash &amp; Cash Equivalents (EOP)</t>
  </si>
  <si>
    <t>CF_CASH_AND_CASH_EQUIV_END_BAL</t>
  </si>
  <si>
    <t>Cash &amp; Cash Equivalents (End of Period)</t>
  </si>
  <si>
    <t xml:space="preserve">    Free Cash Flow</t>
  </si>
  <si>
    <t>CF_FREE_CASH_FLOW</t>
  </si>
  <si>
    <t>Free Cash Flow</t>
  </si>
  <si>
    <t xml:space="preserve">    Free Cash Flow per Basic Share</t>
  </si>
  <si>
    <t>FREE_CASH_FLOW_PER_SH</t>
  </si>
  <si>
    <t xml:space="preserve">    Capital Expenditures/Revenue (%)</t>
  </si>
  <si>
    <t>CAP_EXPEND_TO_SALES</t>
  </si>
  <si>
    <t>Source: Bloomberg</t>
  </si>
  <si>
    <t xml:space="preserve"> 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</si>
</sst>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b/>
      <sz val="16"/>
      <color indexed="9"/>
      <name val="Arial"/>
      <family val="2"/>
    </font>
    <font>
      <b/>
      <sz val="10"/>
      <color indexed="9"/>
      <name val="Arial"/>
      <family val="2"/>
    </font>
    <font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0">
    <xf numFmtId="0" fontId="0" fillId="0" borderId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24" fillId="12" borderId="0" applyNumberFormat="0" applyBorder="0" applyAlignment="0" applyProtection="0"/>
    <xf numFmtId="0" fontId="24" fillId="16" borderId="0" applyNumberFormat="0" applyBorder="0" applyAlignment="0" applyProtection="0"/>
    <xf numFmtId="0" fontId="24" fillId="20" borderId="0" applyNumberFormat="0" applyBorder="0" applyAlignment="0" applyProtection="0"/>
    <xf numFmtId="0" fontId="24" fillId="24" borderId="0" applyNumberFormat="0" applyBorder="0" applyAlignment="0" applyProtection="0"/>
    <xf numFmtId="0" fontId="24" fillId="28" borderId="0" applyNumberFormat="0" applyBorder="0" applyAlignment="0" applyProtection="0"/>
    <xf numFmtId="0" fontId="24" fillId="32" borderId="0" applyNumberFormat="0" applyBorder="0" applyAlignment="0" applyProtection="0"/>
    <xf numFmtId="0" fontId="24" fillId="9" borderId="0" applyNumberFormat="0" applyBorder="0" applyAlignment="0" applyProtection="0"/>
    <xf numFmtId="0" fontId="24" fillId="13" borderId="0" applyNumberFormat="0" applyBorder="0" applyAlignment="0" applyProtection="0"/>
    <xf numFmtId="0" fontId="24" fillId="17" borderId="0" applyNumberFormat="0" applyBorder="0" applyAlignment="0" applyProtection="0"/>
    <xf numFmtId="0" fontId="24" fillId="21" borderId="0" applyNumberFormat="0" applyBorder="0" applyAlignment="0" applyProtection="0"/>
    <xf numFmtId="0" fontId="24" fillId="25" borderId="0" applyNumberFormat="0" applyBorder="0" applyAlignment="0" applyProtection="0"/>
    <xf numFmtId="0" fontId="24" fillId="29" borderId="0" applyNumberFormat="0" applyBorder="0" applyAlignment="0" applyProtection="0"/>
    <xf numFmtId="0" fontId="14" fillId="3" borderId="0" applyNumberFormat="0" applyBorder="0" applyAlignment="0" applyProtection="0"/>
    <xf numFmtId="0" fontId="18" fillId="6" borderId="9" applyNumberFormat="0" applyAlignment="0" applyProtection="0"/>
    <xf numFmtId="0" fontId="20" fillId="7" borderId="12" applyNumberFormat="0" applyAlignment="0" applyProtection="0"/>
    <xf numFmtId="0" fontId="22" fillId="0" borderId="0" applyNumberFormat="0" applyFill="0" applyBorder="0" applyAlignment="0" applyProtection="0"/>
    <xf numFmtId="0" fontId="5" fillId="33" borderId="3">
      <alignment horizontal="left"/>
    </xf>
    <xf numFmtId="4" fontId="1" fillId="34" borderId="2"/>
    <xf numFmtId="0" fontId="7" fillId="35" borderId="4" applyNumberFormat="0" applyAlignment="0" applyProtection="0"/>
    <xf numFmtId="0" fontId="3" fillId="0" borderId="0"/>
    <xf numFmtId="0" fontId="6" fillId="34" borderId="5"/>
    <xf numFmtId="0" fontId="13" fillId="2" borderId="0" applyNumberFormat="0" applyBorder="0" applyAlignment="0" applyProtection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2" fillId="0" borderId="8" applyNumberFormat="0" applyFill="0" applyAlignment="0" applyProtection="0"/>
    <xf numFmtId="0" fontId="12" fillId="0" borderId="0" applyNumberFormat="0" applyFill="0" applyBorder="0" applyAlignment="0" applyProtection="0"/>
    <xf numFmtId="0" fontId="16" fillId="5" borderId="9" applyNumberFormat="0" applyAlignment="0" applyProtection="0"/>
    <xf numFmtId="0" fontId="19" fillId="0" borderId="11" applyNumberFormat="0" applyFill="0" applyAlignment="0" applyProtection="0"/>
    <xf numFmtId="0" fontId="15" fillId="4" borderId="0" applyNumberFormat="0" applyBorder="0" applyAlignment="0" applyProtection="0"/>
    <xf numFmtId="0" fontId="8" fillId="8" borderId="13" applyNumberFormat="0" applyFont="0" applyAlignment="0" applyProtection="0"/>
    <xf numFmtId="0" fontId="17" fillId="6" borderId="10" applyNumberFormat="0" applyAlignment="0" applyProtection="0"/>
    <xf numFmtId="0" fontId="9" fillId="0" borderId="0" applyNumberFormat="0" applyFill="0" applyBorder="0" applyAlignment="0" applyProtection="0"/>
    <xf numFmtId="0" fontId="23" fillId="0" borderId="14" applyNumberFormat="0" applyFill="0" applyAlignment="0" applyProtection="0"/>
    <xf numFmtId="0" fontId="21" fillId="0" borderId="0" applyNumberFormat="0" applyFill="0" applyBorder="0" applyAlignment="0" applyProtection="0"/>
    <xf numFmtId="0" fontId="4" fillId="33" borderId="15" applyNumberFormat="0" applyProtection="0">
      <alignment horizontal="left" vertical="center" readingOrder="1"/>
    </xf>
    <xf numFmtId="0" fontId="5" fillId="33" borderId="1">
      <alignment horizontal="left"/>
    </xf>
    <xf numFmtId="4" fontId="1" fillId="34" borderId="2">
      <alignment horizontal="right"/>
    </xf>
  </cellStyleXfs>
  <cellXfs count="10">
    <xf numFmtId="0" fontId="0" fillId="0" borderId="0" xfId="0"/>
    <xf numFmtId="14" fontId="5" fillId="33" borderId="1" xfId="48" applyNumberFormat="1">
      <alignment horizontal="left"/>
    </xf>
    <xf numFmtId="0" fontId="3" fillId="0" borderId="0" xfId="32"/>
    <xf numFmtId="0" fontId="5" fillId="33" borderId="3" xfId="29">
      <alignment horizontal="left"/>
    </xf>
    <xf numFmtId="4" fontId="1" fillId="34" borderId="2" xfId="30"/>
    <xf numFmtId="0" fontId="7" fillId="35" borderId="4" xfId="31"/>
    <xf numFmtId="0" fontId="4" fillId="33" borderId="15" xfId="47">
      <alignment horizontal="left" vertical="center" readingOrder="1"/>
    </xf>
    <xf numFmtId="0" fontId="5" fillId="33" borderId="1" xfId="48">
      <alignment horizontal="left"/>
    </xf>
    <xf numFmtId="0" fontId="2" fillId="34" borderId="5" xfId="33" applyFont="1"/>
    <xf numFmtId="4" fontId="1" fillId="34" borderId="2" xfId="49">
      <alignment horizontal="right"/>
    </xf>
  </cellXfs>
  <cellStyles count="5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title_header_row_left" xfId="47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fa_column_header_bottom_left" xfId="48" xr:uid="{00000000-0005-0000-0000-00001D000000}"/>
    <cellStyle name="fa_column_header_top_left" xfId="29" xr:uid="{00000000-0005-0000-0000-00001E000000}"/>
    <cellStyle name="fa_data_standard" xfId="30" xr:uid="{00000000-0005-0000-0000-00001F000000}"/>
    <cellStyle name="fa_data_standard_2_grouped" xfId="49" xr:uid="{00000000-0005-0000-0000-000020000000}"/>
    <cellStyle name="fa_footer_italic" xfId="31" xr:uid="{00000000-0005-0000-0000-000021000000}"/>
    <cellStyle name="fa_grey_text_italics" xfId="32" xr:uid="{00000000-0005-0000-0000-000022000000}"/>
    <cellStyle name="fa_row_header_standard" xfId="33" xr:uid="{00000000-0005-0000-0000-000023000000}"/>
    <cellStyle name="Good" xfId="34" builtinId="26" customBuiltin="1"/>
    <cellStyle name="Heading 1" xfId="35" builtinId="16" customBuiltin="1"/>
    <cellStyle name="Heading 2" xfId="36" builtinId="17" customBuiltin="1"/>
    <cellStyle name="Heading 3" xfId="37" builtinId="18" customBuiltin="1"/>
    <cellStyle name="Heading 4" xfId="38" builtinId="19" customBuiltin="1"/>
    <cellStyle name="Input" xfId="39" builtinId="20" customBuiltin="1"/>
    <cellStyle name="Linked Cell" xfId="40" builtinId="24" customBuiltin="1"/>
    <cellStyle name="Neutral" xfId="41" builtinId="28" customBuiltin="1"/>
    <cellStyle name="Normal" xfId="0" builtinId="0"/>
    <cellStyle name="Note" xfId="42" builtinId="10" customBuiltin="1"/>
    <cellStyle name="Output" xfId="43" builtinId="21" customBuiltin="1"/>
    <cellStyle name="Title" xfId="44" builtinId="15" customBuiltin="1"/>
    <cellStyle name="Total" xfId="45" builtinId="25" customBuiltin="1"/>
    <cellStyle name="Warning Text" xfId="4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4"/>
  <sheetViews>
    <sheetView tabSelected="1" workbookViewId="0">
      <selection activeCell="A12" sqref="A12"/>
    </sheetView>
  </sheetViews>
  <sheetFormatPr baseColWidth="10" defaultColWidth="8.83203125" defaultRowHeight="15" x14ac:dyDescent="0.2"/>
  <cols>
    <col min="1" max="1" width="34.33203125" customWidth="1"/>
    <col min="2" max="4" width="0" hidden="1" customWidth="1"/>
    <col min="5" max="14" width="19" customWidth="1"/>
  </cols>
  <sheetData>
    <row r="1" spans="1:14" ht="20" x14ac:dyDescent="0.2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x14ac:dyDescent="0.2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x14ac:dyDescent="0.2">
      <c r="A3" s="3" t="s">
        <v>2</v>
      </c>
      <c r="B3" s="3"/>
      <c r="C3" s="3"/>
      <c r="D3" s="3"/>
      <c r="E3" s="3" t="str">
        <f>_xll.BQL("DAL US Equity", "FISCAL_PERIOD", "FPT=A", "FPO=5A", "ACT_EST_MAPPING=PRECISE", "FS=MRC", "CURRENCY=USD", "XLFILL=b")</f>
        <v>2028 A (Fwd)</v>
      </c>
      <c r="F3" s="3" t="str">
        <f>_xll.BQL("DAL US Equity", "FISCAL_PERIOD", "FPT=A", "FPO=4A", "ACT_EST_MAPPING=PRECISE", "FS=MRC", "CURRENCY=USD", "XLFILL=b")</f>
        <v>2027 A (Fwd)</v>
      </c>
      <c r="G3" s="3" t="str">
        <f>_xll.BQL("DAL US Equity", "FISCAL_PERIOD", "FPT=A", "FPO=3A", "ACT_EST_MAPPING=PRECISE", "FS=MRC", "CURRENCY=USD", "XLFILL=b")</f>
        <v>2026 A (Fwd)</v>
      </c>
      <c r="H3" s="3" t="str">
        <f>_xll.BQL("DAL US Equity", "FISCAL_PERIOD", "FPT=A", "FPO=2A", "ACT_EST_MAPPING=PRECISE", "FS=MRC", "CURRENCY=USD", "XLFILL=b")</f>
        <v>2025 A (Fwd)</v>
      </c>
      <c r="I3" s="3" t="str">
        <f>_xll.BQL("DAL US Equity", "FISCAL_PERIOD", "FPT=A", "FPO=1A", "ACT_EST_MAPPING=PRECISE", "FS=MRC", "CURRENCY=USD", "XLFILL=b")</f>
        <v>2024 A (Fwd)</v>
      </c>
      <c r="J3" s="3" t="str">
        <f>_xll.BQL("DAL US Equity", "FISCAL_PERIOD", "FPT=A", "FPO=0A", "ACT_EST_MAPPING=PRECISE", "FS=MRC", "CURRENCY=USD", "XLFILL=b")</f>
        <v>2023 A (Rep)</v>
      </c>
      <c r="K3" s="3" t="str">
        <f>_xll.BQL("DAL US Equity", "FISCAL_PERIOD", "FPT=A", "FPO=-1A", "ACT_EST_MAPPING=PRECISE", "FS=MRC", "CURRENCY=USD", "XLFILL=b")</f>
        <v>2022 A (Rep)</v>
      </c>
      <c r="L3" s="3" t="str">
        <f>_xll.BQL("DAL US Equity", "FISCAL_PERIOD", "FPT=A", "FPO=-2A", "ACT_EST_MAPPING=PRECISE", "FS=MRC", "CURRENCY=USD", "XLFILL=b")</f>
        <v>2021 A (Rep)</v>
      </c>
      <c r="M3" s="3" t="str">
        <f>_xll.BQL("DAL US Equity", "FISCAL_PERIOD", "FPT=A", "FPO=-3A", "ACT_EST_MAPPING=PRECISE", "FS=MRC", "CURRENCY=USD", "XLFILL=b")</f>
        <v>2020 A (Rep)</v>
      </c>
      <c r="N3" s="3" t="str">
        <f>_xll.BQL("DAL US Equity", "FISCAL_PERIOD", "FPT=A", "FPO=-4A", "ACT_EST_MAPPING=PRECISE", "FS=MRC", "CURRENCY=USD", "XLFILL=b")</f>
        <v>2019 A (Rep)</v>
      </c>
    </row>
    <row r="4" spans="1:14" x14ac:dyDescent="0.2">
      <c r="A4" s="7" t="s">
        <v>3</v>
      </c>
      <c r="B4" s="7" t="s">
        <v>4</v>
      </c>
      <c r="C4" s="7" t="s">
        <v>5</v>
      </c>
      <c r="D4" s="7" t="s">
        <v>6</v>
      </c>
      <c r="E4" s="1">
        <f>_xll.BQL("DAL US Equity", "IS_COMP_SALES().period_end_date", "FPT=A", "FPO=5A", "ACT_EST_MAPPING=PRECISE", "FS=MRC", "CURRENCY=USD", "XLFILL=b")</f>
        <v>47118</v>
      </c>
      <c r="F4" s="1">
        <f>_xll.BQL("DAL US Equity", "IS_COMP_SALES().period_end_date", "FPT=A", "FPO=4A", "ACT_EST_MAPPING=PRECISE", "FS=MRC", "CURRENCY=USD", "XLFILL=b")</f>
        <v>46752</v>
      </c>
      <c r="G4" s="1">
        <f>_xll.BQL("DAL US Equity", "IS_COMP_SALES().period_end_date", "FPT=A", "FPO=3A", "ACT_EST_MAPPING=PRECISE", "FS=MRC", "CURRENCY=USD", "XLFILL=b")</f>
        <v>46387</v>
      </c>
      <c r="H4" s="1">
        <f>_xll.BQL("DAL US Equity", "IS_COMP_SALES().period_end_date", "FPT=A", "FPO=2A", "ACT_EST_MAPPING=PRECISE", "FS=MRC", "CURRENCY=USD", "XLFILL=b")</f>
        <v>46022</v>
      </c>
      <c r="I4" s="1">
        <f>_xll.BQL("DAL US Equity", "IS_COMP_SALES().period_end_date", "FPT=A", "FPO=1A", "ACT_EST_MAPPING=PRECISE", "FS=MRC", "CURRENCY=USD", "XLFILL=b")</f>
        <v>45657</v>
      </c>
      <c r="J4" s="1">
        <f>_xll.BQL("DAL US Equity", "IS_COMP_SALES().period_end_date", "FPT=A", "FPO=0A", "ACT_EST_MAPPING=PRECISE", "FS=MRC", "CURRENCY=USD", "XLFILL=b")</f>
        <v>45291</v>
      </c>
      <c r="K4" s="1">
        <f>_xll.BQL("DAL US Equity", "IS_COMP_SALES().period_end_date", "FPT=A", "FPO=-1A", "ACT_EST_MAPPING=PRECISE", "FS=MRC", "CURRENCY=USD", "XLFILL=b")</f>
        <v>44926</v>
      </c>
      <c r="L4" s="1">
        <f>_xll.BQL("DAL US Equity", "IS_COMP_SALES().period_end_date", "FPT=A", "FPO=-2A", "ACT_EST_MAPPING=PRECISE", "FS=MRC", "CURRENCY=USD", "XLFILL=b")</f>
        <v>44561</v>
      </c>
      <c r="M4" s="1">
        <f>_xll.BQL("DAL US Equity", "IS_COMP_SALES().period_end_date", "FPT=A", "FPO=-3A", "ACT_EST_MAPPING=PRECISE", "FS=MRC", "CURRENCY=USD", "XLFILL=b")</f>
        <v>44196</v>
      </c>
      <c r="N4" s="1">
        <f>_xll.BQL("DAL US Equity", "IS_COMP_SALES().period_end_date", "FPT=A", "FPO=-4A", "ACT_EST_MAPPING=PRECISE", "FS=MRC", "CURRENCY=USD", "XLFILL=b")</f>
        <v>43830</v>
      </c>
    </row>
    <row r="5" spans="1:14" x14ac:dyDescent="0.2">
      <c r="A5" s="8" t="s">
        <v>7</v>
      </c>
      <c r="B5" s="4"/>
      <c r="C5" s="4" t="s">
        <v>8</v>
      </c>
      <c r="D5" s="4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x14ac:dyDescent="0.2">
      <c r="A6" s="8" t="s">
        <v>9</v>
      </c>
      <c r="B6" s="4" t="s">
        <v>10</v>
      </c>
      <c r="C6" s="4" t="s">
        <v>11</v>
      </c>
      <c r="D6" s="4"/>
      <c r="E6" s="9">
        <f>_xll.BQL("DAL US Equity", "IS_COMP_EPS_ADJUSTED_OLD", "FPT=A", "FPO=5A", "ACT_EST_MAPPING=PRECISE", "FS=MRC", "CURRENCY=USD", "XLFILL=b")</f>
        <v>9.9600000000000009</v>
      </c>
      <c r="F6" s="9">
        <f>_xll.BQL("DAL US Equity", "IS_COMP_EPS_ADJUSTED_OLD", "FPT=A", "FPO=4A", "ACT_EST_MAPPING=PRECISE", "FS=MRC", "CURRENCY=USD", "XLFILL=b")</f>
        <v>9.2899999999999991</v>
      </c>
      <c r="G6" s="9">
        <f>_xll.BQL("DAL US Equity", "IS_COMP_EPS_ADJUSTED_OLD", "FPT=A", "FPO=3A", "ACT_EST_MAPPING=PRECISE", "FS=MRC", "CURRENCY=USD", "XLFILL=b")</f>
        <v>8.15</v>
      </c>
      <c r="H6" s="9">
        <f>_xll.BQL("DAL US Equity", "IS_COMP_EPS_ADJUSTED_OLD", "FPT=A", "FPO=2A", "ACT_EST_MAPPING=PRECISE", "FS=MRC", "CURRENCY=USD", "XLFILL=b")</f>
        <v>7.2942105263157897</v>
      </c>
      <c r="I6" s="9">
        <f>_xll.BQL("DAL US Equity", "IS_COMP_EPS_ADJUSTED_OLD", "FPT=A", "FPO=1A", "ACT_EST_MAPPING=PRECISE", "FS=MRC", "CURRENCY=USD", "XLFILL=b")</f>
        <v>6.1624999999999996</v>
      </c>
      <c r="J6" s="9">
        <f>_xll.BQL("DAL US Equity", "IS_COMP_EPS_ADJUSTED_OLD", "FPT=A", "FPO=0A", "ACT_EST_MAPPING=PRECISE", "FS=MRC", "CURRENCY=USD", "XLFILL=b")</f>
        <v>6.25</v>
      </c>
      <c r="K6" s="9">
        <f>_xll.BQL("DAL US Equity", "IS_COMP_EPS_ADJUSTED_OLD", "FPT=A", "FPO=-1A", "ACT_EST_MAPPING=PRECISE", "FS=MRC", "CURRENCY=USD", "XLFILL=b")</f>
        <v>3.2</v>
      </c>
      <c r="L6" s="9">
        <f>_xll.BQL("DAL US Equity", "IS_COMP_EPS_ADJUSTED_OLD", "FPT=A", "FPO=-2A", "ACT_EST_MAPPING=PRECISE", "FS=MRC", "CURRENCY=USD", "XLFILL=b")</f>
        <v>-4.08</v>
      </c>
      <c r="M6" s="9">
        <f>_xll.BQL("DAL US Equity", "IS_COMP_EPS_ADJUSTED_OLD", "FPT=A", "FPO=-3A", "ACT_EST_MAPPING=PRECISE", "FS=MRC", "CURRENCY=USD", "XLFILL=b")</f>
        <v>-10.76</v>
      </c>
      <c r="N6" s="9">
        <f>_xll.BQL("DAL US Equity", "IS_COMP_EPS_ADJUSTED_OLD", "FPT=A", "FPO=-4A", "ACT_EST_MAPPING=PRECISE", "FS=MRC", "CURRENCY=USD", "XLFILL=b")</f>
        <v>7.31</v>
      </c>
    </row>
    <row r="7" spans="1:14" x14ac:dyDescent="0.2">
      <c r="A7" s="8" t="s">
        <v>12</v>
      </c>
      <c r="B7" s="4" t="s">
        <v>10</v>
      </c>
      <c r="C7" s="4" t="s">
        <v>11</v>
      </c>
      <c r="D7" s="4"/>
      <c r="E7" s="9">
        <f>_xll.BQL("DAL US Equity", "FA_GROWTH(IS_COMP_EPS_ADJUSTED_OLD, YOY)", "FPT=A", "FPO=5A", "ACT_EST_MAPPING=PRECISE", "FS=MRC", "CURRENCY=USD", "XLFILL=b")</f>
        <v>7.2120559741657884</v>
      </c>
      <c r="F7" s="9">
        <f>_xll.BQL("DAL US Equity", "FA_GROWTH(IS_COMP_EPS_ADJUSTED_OLD, YOY)", "FPT=A", "FPO=4A", "ACT_EST_MAPPING=PRECISE", "FS=MRC", "CURRENCY=USD", "XLFILL=b")</f>
        <v>13.987730061349678</v>
      </c>
      <c r="G7" s="9">
        <f>_xll.BQL("DAL US Equity", "FA_GROWTH(IS_COMP_EPS_ADJUSTED_OLD, YOY)", "FPT=A", "FPO=3A", "ACT_EST_MAPPING=PRECISE", "FS=MRC", "CURRENCY=USD", "XLFILL=b")</f>
        <v>11.732448228587923</v>
      </c>
      <c r="H7" s="9">
        <f>_xll.BQL("DAL US Equity", "FA_GROWTH(IS_COMP_EPS_ADJUSTED_OLD, YOY)", "FPT=A", "FPO=2A", "ACT_EST_MAPPING=PRECISE", "FS=MRC", "CURRENCY=USD", "XLFILL=b")</f>
        <v>18.364471015266371</v>
      </c>
      <c r="I7" s="9">
        <f>_xll.BQL("DAL US Equity", "FA_GROWTH(IS_COMP_EPS_ADJUSTED_OLD, YOY)", "FPT=A", "FPO=1A", "ACT_EST_MAPPING=PRECISE", "FS=MRC", "CURRENCY=USD", "XLFILL=b")</f>
        <v>-1.4000000000000057</v>
      </c>
      <c r="J7" s="9">
        <f>_xll.BQL("DAL US Equity", "FA_GROWTH(IS_COMP_EPS_ADJUSTED_OLD, YOY)", "FPT=A", "FPO=0A", "ACT_EST_MAPPING=PRECISE", "FS=MRC", "CURRENCY=USD", "XLFILL=b")</f>
        <v>95.3125</v>
      </c>
      <c r="K7" s="9">
        <f>_xll.BQL("DAL US Equity", "FA_GROWTH(IS_COMP_EPS_ADJUSTED_OLD, YOY)", "FPT=A", "FPO=-1A", "ACT_EST_MAPPING=PRECISE", "FS=MRC", "CURRENCY=USD", "XLFILL=b")</f>
        <v>178.43137254901961</v>
      </c>
      <c r="L7" s="9">
        <f>_xll.BQL("DAL US Equity", "FA_GROWTH(IS_COMP_EPS_ADJUSTED_OLD, YOY)", "FPT=A", "FPO=-2A", "ACT_EST_MAPPING=PRECISE", "FS=MRC", "CURRENCY=USD", "XLFILL=b")</f>
        <v>62.081784386617102</v>
      </c>
      <c r="M7" s="9">
        <f>_xll.BQL("DAL US Equity", "FA_GROWTH(IS_COMP_EPS_ADJUSTED_OLD, YOY)", "FPT=A", "FPO=-3A", "ACT_EST_MAPPING=PRECISE", "FS=MRC", "CURRENCY=USD", "XLFILL=b")</f>
        <v>-247.19562243502054</v>
      </c>
      <c r="N7" s="9">
        <f>_xll.BQL("DAL US Equity", "FA_GROWTH(IS_COMP_EPS_ADJUSTED_OLD, YOY)", "FPT=A", "FPO=-4A", "ACT_EST_MAPPING=PRECISE", "FS=MRC", "CURRENCY=USD", "XLFILL=b")</f>
        <v>29.380530973451311</v>
      </c>
    </row>
    <row r="8" spans="1:14" x14ac:dyDescent="0.2">
      <c r="A8" s="8" t="s">
        <v>13</v>
      </c>
      <c r="B8" s="4" t="s">
        <v>14</v>
      </c>
      <c r="C8" s="4" t="s">
        <v>15</v>
      </c>
      <c r="D8" s="4"/>
      <c r="E8" s="9">
        <f>_xll.BQL("DAL US Equity", "IS_COMP_SALES/1M", "FPT=A", "FPO=5A", "ACT_EST_MAPPING=PRECISE", "FS=MRC", "CURRENCY=USD", "XLFILL=b")</f>
        <v>67201.5</v>
      </c>
      <c r="F8" s="9">
        <f>_xll.BQL("DAL US Equity", "IS_COMP_SALES/1M", "FPT=A", "FPO=4A", "ACT_EST_MAPPING=PRECISE", "FS=MRC", "CURRENCY=USD", "XLFILL=b")</f>
        <v>64918</v>
      </c>
      <c r="G8" s="9">
        <f>_xll.BQL("DAL US Equity", "IS_COMP_SALES/1M", "FPT=A", "FPO=3A", "ACT_EST_MAPPING=PRECISE", "FS=MRC", "CURRENCY=USD", "XLFILL=b")</f>
        <v>62186.727272727272</v>
      </c>
      <c r="H8" s="9">
        <f>_xll.BQL("DAL US Equity", "IS_COMP_SALES/1M", "FPT=A", "FPO=2A", "ACT_EST_MAPPING=PRECISE", "FS=MRC", "CURRENCY=USD", "XLFILL=b")</f>
        <v>60097.733333333337</v>
      </c>
      <c r="I8" s="9">
        <f>_xll.BQL("DAL US Equity", "IS_COMP_SALES/1M", "FPT=A", "FPO=1A", "ACT_EST_MAPPING=PRECISE", "FS=MRC", "CURRENCY=USD", "XLFILL=b")</f>
        <v>56803.3125</v>
      </c>
      <c r="J8" s="9">
        <f>_xll.BQL("DAL US Equity", "IS_COMP_SALES/1M", "FPT=A", "FPO=0A", "ACT_EST_MAPPING=PRECISE", "FS=MRC", "CURRENCY=USD", "XLFILL=b")</f>
        <v>54669</v>
      </c>
      <c r="K8" s="9">
        <f>_xll.BQL("DAL US Equity", "IS_COMP_SALES/1M", "FPT=A", "FPO=-1A", "ACT_EST_MAPPING=PRECISE", "FS=MRC", "CURRENCY=USD", "XLFILL=b")</f>
        <v>45605</v>
      </c>
      <c r="L8" s="9">
        <f>_xll.BQL("DAL US Equity", "IS_COMP_SALES/1M", "FPT=A", "FPO=-2A", "ACT_EST_MAPPING=PRECISE", "FS=MRC", "CURRENCY=USD", "XLFILL=b")</f>
        <v>26670</v>
      </c>
      <c r="M8" s="9">
        <f>_xll.BQL("DAL US Equity", "IS_COMP_SALES/1M", "FPT=A", "FPO=-3A", "ACT_EST_MAPPING=PRECISE", "FS=MRC", "CURRENCY=USD", "XLFILL=b")</f>
        <v>15945</v>
      </c>
      <c r="N8" s="9">
        <f>_xll.BQL("DAL US Equity", "IS_COMP_SALES/1M", "FPT=A", "FPO=-4A", "ACT_EST_MAPPING=PRECISE", "FS=MRC", "CURRENCY=USD", "XLFILL=b")</f>
        <v>47007</v>
      </c>
    </row>
    <row r="9" spans="1:14" x14ac:dyDescent="0.2">
      <c r="A9" s="8" t="s">
        <v>12</v>
      </c>
      <c r="B9" s="4" t="s">
        <v>14</v>
      </c>
      <c r="C9" s="4" t="s">
        <v>15</v>
      </c>
      <c r="D9" s="4"/>
      <c r="E9" s="9">
        <f>_xll.BQL("DAL US Equity", "FA_GROWTH(IS_COMP_SALES, YOY)", "FPT=A", "FPO=5A", "ACT_EST_MAPPING=PRECISE", "FS=MRC", "CURRENCY=USD", "XLFILL=b")</f>
        <v>3.5175144027850518</v>
      </c>
      <c r="F9" s="9">
        <f>_xll.BQL("DAL US Equity", "FA_GROWTH(IS_COMP_SALES, YOY)", "FPT=A", "FPO=4A", "ACT_EST_MAPPING=PRECISE", "FS=MRC", "CURRENCY=USD", "XLFILL=b")</f>
        <v>4.3920509199566125</v>
      </c>
      <c r="G9" s="9">
        <f>_xll.BQL("DAL US Equity", "FA_GROWTH(IS_COMP_SALES, YOY)", "FPT=A", "FPO=3A", "ACT_EST_MAPPING=PRECISE", "FS=MRC", "CURRENCY=USD", "XLFILL=b")</f>
        <v>3.4759945567452397</v>
      </c>
      <c r="H9" s="9">
        <f>_xll.BQL("DAL US Equity", "FA_GROWTH(IS_COMP_SALES, YOY)", "FPT=A", "FPO=2A", "ACT_EST_MAPPING=PRECISE", "FS=MRC", "CURRENCY=USD", "XLFILL=b")</f>
        <v>5.7996984477504476</v>
      </c>
      <c r="I9" s="9">
        <f>_xll.BQL("DAL US Equity", "FA_GROWTH(IS_COMP_SALES, YOY)", "FPT=A", "FPO=1A", "ACT_EST_MAPPING=PRECISE", "FS=MRC", "CURRENCY=USD", "XLFILL=b")</f>
        <v>3.9040635460681554</v>
      </c>
      <c r="J9" s="9">
        <f>_xll.BQL("DAL US Equity", "FA_GROWTH(IS_COMP_SALES, YOY)", "FPT=A", "FPO=0A", "ACT_EST_MAPPING=PRECISE", "FS=MRC", "CURRENCY=USD", "XLFILL=b")</f>
        <v>19.875013704637649</v>
      </c>
      <c r="K9" s="9">
        <f>_xll.BQL("DAL US Equity", "FA_GROWTH(IS_COMP_SALES, YOY)", "FPT=A", "FPO=-1A", "ACT_EST_MAPPING=PRECISE", "FS=MRC", "CURRENCY=USD", "XLFILL=b")</f>
        <v>70.99737532808399</v>
      </c>
      <c r="L9" s="9">
        <f>_xll.BQL("DAL US Equity", "FA_GROWTH(IS_COMP_SALES, YOY)", "FPT=A", "FPO=-2A", "ACT_EST_MAPPING=PRECISE", "FS=MRC", "CURRENCY=USD", "XLFILL=b")</f>
        <v>67.262464722483543</v>
      </c>
      <c r="M9" s="9">
        <f>_xll.BQL("DAL US Equity", "FA_GROWTH(IS_COMP_SALES, YOY)", "FPT=A", "FPO=-3A", "ACT_EST_MAPPING=PRECISE", "FS=MRC", "CURRENCY=USD", "XLFILL=b")</f>
        <v>-66.079520071478711</v>
      </c>
      <c r="N9" s="9">
        <f>_xll.BQL("DAL US Equity", "FA_GROWTH(IS_COMP_SALES, YOY)", "FPT=A", "FPO=-4A", "ACT_EST_MAPPING=PRECISE", "FS=MRC", "CURRENCY=USD", "XLFILL=b")</f>
        <v>5.7810882577973803</v>
      </c>
    </row>
    <row r="10" spans="1:14" x14ac:dyDescent="0.2">
      <c r="A10" s="8" t="s">
        <v>16</v>
      </c>
      <c r="B10" s="4"/>
      <c r="C10" s="4"/>
      <c r="D10" s="4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 x14ac:dyDescent="0.2">
      <c r="A11" s="8" t="s">
        <v>431</v>
      </c>
      <c r="B11" s="4" t="s">
        <v>17</v>
      </c>
      <c r="C11" s="4" t="s">
        <v>18</v>
      </c>
      <c r="D11" s="4"/>
      <c r="E11" s="9">
        <f>_xll.BQL("DAL US Equity", "REV_PASS_MILES_KM/1M", "FPT=A", "FPO=5A", "ACT_EST_MAPPING=PRECISE", "FS=MRC", "CURRENCY=USD", "XLFILL=b")</f>
        <v>281378.21149245487</v>
      </c>
      <c r="F11" s="9">
        <f>_xll.BQL("DAL US Equity", "REV_PASS_MILES_KM/1M", "FPT=A", "FPO=4A", "ACT_EST_MAPPING=PRECISE", "FS=MRC", "CURRENCY=USD", "XLFILL=b")</f>
        <v>273126.69509729167</v>
      </c>
      <c r="G11" s="9">
        <f>_xll.BQL("DAL US Equity", "REV_PASS_MILES_KM/1M", "FPT=A", "FPO=3A", "ACT_EST_MAPPING=PRECISE", "FS=MRC", "CURRENCY=USD", "XLFILL=b")</f>
        <v>262359.15255661815</v>
      </c>
      <c r="H11" s="9">
        <f>_xll.BQL("DAL US Equity", "REV_PASS_MILES_KM/1M", "FPT=A", "FPO=2A", "ACT_EST_MAPPING=PRECISE", "FS=MRC", "CURRENCY=USD", "XLFILL=b")</f>
        <v>254359.7314225407</v>
      </c>
      <c r="I11" s="9">
        <f>_xll.BQL("DAL US Equity", "REV_PASS_MILES_KM/1M", "FPT=A", "FPO=1A", "ACT_EST_MAPPING=PRECISE", "FS=MRC", "CURRENCY=USD", "XLFILL=b")</f>
        <v>244608.01815909805</v>
      </c>
      <c r="J11" s="9">
        <f>_xll.BQL("DAL US Equity", "REV_PASS_MILES_KM/1M", "FPT=A", "FPO=0A", "ACT_EST_MAPPING=PRECISE", "FS=MRC", "CURRENCY=USD", "XLFILL=b")</f>
        <v>232241</v>
      </c>
      <c r="K11" s="9">
        <f>_xll.BQL("DAL US Equity", "REV_PASS_MILES_KM/1M", "FPT=A", "FPO=-1A", "ACT_EST_MAPPING=PRECISE", "FS=MRC", "CURRENCY=USD", "XLFILL=b")</f>
        <v>195480</v>
      </c>
      <c r="L11" s="9">
        <f>_xll.BQL("DAL US Equity", "REV_PASS_MILES_KM/1M", "FPT=A", "FPO=-2A", "ACT_EST_MAPPING=PRECISE", "FS=MRC", "CURRENCY=USD", "XLFILL=b")</f>
        <v>134692</v>
      </c>
      <c r="M11" s="9">
        <f>_xll.BQL("DAL US Equity", "REV_PASS_MILES_KM/1M", "FPT=A", "FPO=-3A", "ACT_EST_MAPPING=PRECISE", "FS=MRC", "CURRENCY=USD", "XLFILL=b")</f>
        <v>73412</v>
      </c>
      <c r="N11" s="9">
        <f>_xll.BQL("DAL US Equity", "REV_PASS_MILES_KM/1M", "FPT=A", "FPO=-4A", "ACT_EST_MAPPING=PRECISE", "FS=MRC", "CURRENCY=USD", "XLFILL=b")</f>
        <v>237680</v>
      </c>
    </row>
    <row r="12" spans="1:14" x14ac:dyDescent="0.2">
      <c r="A12" s="8" t="s">
        <v>12</v>
      </c>
      <c r="B12" s="4" t="s">
        <v>17</v>
      </c>
      <c r="C12" s="4" t="s">
        <v>18</v>
      </c>
      <c r="D12" s="4"/>
      <c r="E12" s="9">
        <f>_xll.BQL("DAL US Equity", "FA_GROWTH(REV_PASS_MILES_KM, YOY)", "FPT=A", "FPO=5A", "ACT_EST_MAPPING=PRECISE", "FS=MRC", "CURRENCY=USD", "XLFILL=b")</f>
        <v>3.0211314174998272</v>
      </c>
      <c r="F12" s="9">
        <f>_xll.BQL("DAL US Equity", "FA_GROWTH(REV_PASS_MILES_KM, YOY)", "FPT=A", "FPO=4A", "ACT_EST_MAPPING=PRECISE", "FS=MRC", "CURRENCY=USD", "XLFILL=b")</f>
        <v>4.1041230830892443</v>
      </c>
      <c r="G12" s="9">
        <f>_xll.BQL("DAL US Equity", "FA_GROWTH(REV_PASS_MILES_KM, YOY)", "FPT=A", "FPO=3A", "ACT_EST_MAPPING=PRECISE", "FS=MRC", "CURRENCY=USD", "XLFILL=b")</f>
        <v>3.1449243515628926</v>
      </c>
      <c r="H12" s="9">
        <f>_xll.BQL("DAL US Equity", "FA_GROWTH(REV_PASS_MILES_KM, YOY)", "FPT=A", "FPO=2A", "ACT_EST_MAPPING=PRECISE", "FS=MRC", "CURRENCY=USD", "XLFILL=b")</f>
        <v>3.9866695036545958</v>
      </c>
      <c r="I12" s="9">
        <f>_xll.BQL("DAL US Equity", "FA_GROWTH(REV_PASS_MILES_KM, YOY)", "FPT=A", "FPO=1A", "ACT_EST_MAPPING=PRECISE", "FS=MRC", "CURRENCY=USD", "XLFILL=b")</f>
        <v>5.3250796194892596</v>
      </c>
      <c r="J12" s="9">
        <f>_xll.BQL("DAL US Equity", "FA_GROWTH(REV_PASS_MILES_KM, YOY)", "FPT=A", "FPO=0A", "ACT_EST_MAPPING=PRECISE", "FS=MRC", "CURRENCY=USD", "XLFILL=b")</f>
        <v>18.805504399427051</v>
      </c>
      <c r="K12" s="9">
        <f>_xll.BQL("DAL US Equity", "FA_GROWTH(REV_PASS_MILES_KM, YOY)", "FPT=A", "FPO=-1A", "ACT_EST_MAPPING=PRECISE", "FS=MRC", "CURRENCY=USD", "XLFILL=b")</f>
        <v>45.131113948861106</v>
      </c>
      <c r="L12" s="9">
        <f>_xll.BQL("DAL US Equity", "FA_GROWTH(REV_PASS_MILES_KM, YOY)", "FPT=A", "FPO=-2A", "ACT_EST_MAPPING=PRECISE", "FS=MRC", "CURRENCY=USD", "XLFILL=b")</f>
        <v>83.474091429194132</v>
      </c>
      <c r="M12" s="9">
        <f>_xll.BQL("DAL US Equity", "FA_GROWTH(REV_PASS_MILES_KM, YOY)", "FPT=A", "FPO=-3A", "ACT_EST_MAPPING=PRECISE", "FS=MRC", "CURRENCY=USD", "XLFILL=b")</f>
        <v>-69.113093234601138</v>
      </c>
      <c r="N12" s="9">
        <f>_xll.BQL("DAL US Equity", "FA_GROWTH(REV_PASS_MILES_KM, YOY)", "FPT=A", "FPO=-4A", "ACT_EST_MAPPING=PRECISE", "FS=MRC", "CURRENCY=USD", "XLFILL=b")</f>
        <v>5.5215922359407399</v>
      </c>
    </row>
    <row r="13" spans="1:14" x14ac:dyDescent="0.2">
      <c r="A13" s="8" t="s">
        <v>19</v>
      </c>
      <c r="B13" s="4" t="s">
        <v>20</v>
      </c>
      <c r="C13" s="4" t="s">
        <v>21</v>
      </c>
      <c r="D13" s="4"/>
      <c r="E13" s="9">
        <f>_xll.BQL("DAL US Equity", "AVAIL_SEAT_MILES_KM/1M", "FPT=A", "FPO=5A", "ACT_EST_MAPPING=PRECISE", "FS=MRC", "CURRENCY=USD", "XLFILL=b")</f>
        <v>327631.5700330179</v>
      </c>
      <c r="F13" s="9">
        <f>_xll.BQL("DAL US Equity", "AVAIL_SEAT_MILES_KM/1M", "FPT=A", "FPO=4A", "ACT_EST_MAPPING=PRECISE", "FS=MRC", "CURRENCY=USD", "XLFILL=b")</f>
        <v>318979.68008156802</v>
      </c>
      <c r="G13" s="9">
        <f>_xll.BQL("DAL US Equity", "AVAIL_SEAT_MILES_KM/1M", "FPT=A", "FPO=3A", "ACT_EST_MAPPING=PRECISE", "FS=MRC", "CURRENCY=USD", "XLFILL=b")</f>
        <v>308082.05025277822</v>
      </c>
      <c r="H13" s="9">
        <f>_xll.BQL("DAL US Equity", "AVAIL_SEAT_MILES_KM/1M", "FPT=A", "FPO=2A", "ACT_EST_MAPPING=PRECISE", "FS=MRC", "CURRENCY=USD", "XLFILL=b")</f>
        <v>297935.72331525333</v>
      </c>
      <c r="I13" s="9">
        <f>_xll.BQL("DAL US Equity", "AVAIL_SEAT_MILES_KM/1M", "FPT=A", "FPO=1A", "ACT_EST_MAPPING=PRECISE", "FS=MRC", "CURRENCY=USD", "XLFILL=b")</f>
        <v>286751.29339819343</v>
      </c>
      <c r="J13" s="9">
        <f>_xll.BQL("DAL US Equity", "AVAIL_SEAT_MILES_KM/1M", "FPT=A", "FPO=0A", "ACT_EST_MAPPING=PRECISE", "FS=MRC", "CURRENCY=USD", "XLFILL=b")</f>
        <v>272033</v>
      </c>
      <c r="K13" s="9">
        <f>_xll.BQL("DAL US Equity", "AVAIL_SEAT_MILES_KM/1M", "FPT=A", "FPO=-1A", "ACT_EST_MAPPING=PRECISE", "FS=MRC", "CURRENCY=USD", "XLFILL=b")</f>
        <v>233226</v>
      </c>
      <c r="L13" s="9">
        <f>_xll.BQL("DAL US Equity", "AVAIL_SEAT_MILES_KM/1M", "FPT=A", "FPO=-2A", "ACT_EST_MAPPING=PRECISE", "FS=MRC", "CURRENCY=USD", "XLFILL=b")</f>
        <v>194474</v>
      </c>
      <c r="M13" s="9">
        <f>_xll.BQL("DAL US Equity", "AVAIL_SEAT_MILES_KM/1M", "FPT=A", "FPO=-3A", "ACT_EST_MAPPING=PRECISE", "FS=MRC", "CURRENCY=USD", "XLFILL=b")</f>
        <v>134339</v>
      </c>
      <c r="N13" s="9">
        <f>_xll.BQL("DAL US Equity", "AVAIL_SEAT_MILES_KM/1M", "FPT=A", "FPO=-4A", "ACT_EST_MAPPING=PRECISE", "FS=MRC", "CURRENCY=USD", "XLFILL=b")</f>
        <v>275379</v>
      </c>
    </row>
    <row r="14" spans="1:14" x14ac:dyDescent="0.2">
      <c r="A14" s="8" t="s">
        <v>12</v>
      </c>
      <c r="B14" s="4" t="s">
        <v>20</v>
      </c>
      <c r="C14" s="4" t="s">
        <v>21</v>
      </c>
      <c r="D14" s="4"/>
      <c r="E14" s="9">
        <f>_xll.BQL("DAL US Equity", "FA_GROWTH(AVAIL_SEAT_MILES_KM, YOY)", "FPT=A", "FPO=5A", "ACT_EST_MAPPING=PRECISE", "FS=MRC", "CURRENCY=USD", "XLFILL=b")</f>
        <v>2.7123639816923353</v>
      </c>
      <c r="F14" s="9">
        <f>_xll.BQL("DAL US Equity", "FA_GROWTH(AVAIL_SEAT_MILES_KM, YOY)", "FPT=A", "FPO=4A", "ACT_EST_MAPPING=PRECISE", "FS=MRC", "CURRENCY=USD", "XLFILL=b")</f>
        <v>3.5372491905479078</v>
      </c>
      <c r="G14" s="9">
        <f>_xll.BQL("DAL US Equity", "FA_GROWTH(AVAIL_SEAT_MILES_KM, YOY)", "FPT=A", "FPO=3A", "ACT_EST_MAPPING=PRECISE", "FS=MRC", "CURRENCY=USD", "XLFILL=b")</f>
        <v>3.4055422507319659</v>
      </c>
      <c r="H14" s="9">
        <f>_xll.BQL("DAL US Equity", "FA_GROWTH(AVAIL_SEAT_MILES_KM, YOY)", "FPT=A", "FPO=2A", "ACT_EST_MAPPING=PRECISE", "FS=MRC", "CURRENCY=USD", "XLFILL=b")</f>
        <v>3.9003938864641232</v>
      </c>
      <c r="I14" s="9">
        <f>_xll.BQL("DAL US Equity", "FA_GROWTH(AVAIL_SEAT_MILES_KM, YOY)", "FPT=A", "FPO=1A", "ACT_EST_MAPPING=PRECISE", "FS=MRC", "CURRENCY=USD", "XLFILL=b")</f>
        <v>5.4104808601138172</v>
      </c>
      <c r="J14" s="9">
        <f>_xll.BQL("DAL US Equity", "FA_GROWTH(AVAIL_SEAT_MILES_KM, YOY)", "FPT=A", "FPO=0A", "ACT_EST_MAPPING=PRECISE", "FS=MRC", "CURRENCY=USD", "XLFILL=b")</f>
        <v>16.639225472288683</v>
      </c>
      <c r="K14" s="9">
        <f>_xll.BQL("DAL US Equity", "FA_GROWTH(AVAIL_SEAT_MILES_KM, YOY)", "FPT=A", "FPO=-1A", "ACT_EST_MAPPING=PRECISE", "FS=MRC", "CURRENCY=USD", "XLFILL=b")</f>
        <v>19.926571161183499</v>
      </c>
      <c r="L14" s="9">
        <f>_xll.BQL("DAL US Equity", "FA_GROWTH(AVAIL_SEAT_MILES_KM, YOY)", "FPT=A", "FPO=-2A", "ACT_EST_MAPPING=PRECISE", "FS=MRC", "CURRENCY=USD", "XLFILL=b")</f>
        <v>44.763620393184404</v>
      </c>
      <c r="M14" s="9">
        <f>_xll.BQL("DAL US Equity", "FA_GROWTH(AVAIL_SEAT_MILES_KM, YOY)", "FPT=A", "FPO=-3A", "ACT_EST_MAPPING=PRECISE", "FS=MRC", "CURRENCY=USD", "XLFILL=b")</f>
        <v>-51.216686820708915</v>
      </c>
      <c r="N14" s="9">
        <f>_xll.BQL("DAL US Equity", "FA_GROWTH(AVAIL_SEAT_MILES_KM, YOY)", "FPT=A", "FPO=-4A", "ACT_EST_MAPPING=PRECISE", "FS=MRC", "CURRENCY=USD", "XLFILL=b")</f>
        <v>4.5617299185540983</v>
      </c>
    </row>
    <row r="15" spans="1:14" x14ac:dyDescent="0.2">
      <c r="A15" s="8" t="s">
        <v>22</v>
      </c>
      <c r="B15" s="4" t="s">
        <v>23</v>
      </c>
      <c r="C15" s="4" t="s">
        <v>24</v>
      </c>
      <c r="D15" s="4"/>
      <c r="E15" s="9">
        <f>_xll.BQL("DAL US Equity", "LOAD_FACTOR", "FPT=A", "FPO=5A", "ACT_EST_MAPPING=PRECISE", "FS=MRC", "CURRENCY=USD", "XLFILL=b")</f>
        <v>85.853164023528493</v>
      </c>
      <c r="F15" s="9">
        <f>_xll.BQL("DAL US Equity", "LOAD_FACTOR", "FPT=A", "FPO=4A", "ACT_EST_MAPPING=PRECISE", "FS=MRC", "CURRENCY=USD", "XLFILL=b")</f>
        <v>85.853164023528464</v>
      </c>
      <c r="G15" s="9">
        <f>_xll.BQL("DAL US Equity", "LOAD_FACTOR", "FPT=A", "FPO=3A", "ACT_EST_MAPPING=PRECISE", "FS=MRC", "CURRENCY=USD", "XLFILL=b")</f>
        <v>85.566741803545085</v>
      </c>
      <c r="H15" s="9">
        <f>_xll.BQL("DAL US Equity", "LOAD_FACTOR", "FPT=A", "FPO=2A", "ACT_EST_MAPPING=PRECISE", "FS=MRC", "CURRENCY=USD", "XLFILL=b")</f>
        <v>85.498284242456066</v>
      </c>
      <c r="I15" s="9">
        <f>_xll.BQL("DAL US Equity", "LOAD_FACTOR", "FPT=A", "FPO=1A", "ACT_EST_MAPPING=PRECISE", "FS=MRC", "CURRENCY=USD", "XLFILL=b")</f>
        <v>85.324023381790752</v>
      </c>
      <c r="J15" s="9">
        <f>_xll.BQL("DAL US Equity", "LOAD_FACTOR", "FPT=A", "FPO=0A", "ACT_EST_MAPPING=PRECISE", "FS=MRC", "CURRENCY=USD", "XLFILL=b")</f>
        <v>85</v>
      </c>
      <c r="K15" s="9">
        <f>_xll.BQL("DAL US Equity", "LOAD_FACTOR", "FPT=A", "FPO=-1A", "ACT_EST_MAPPING=PRECISE", "FS=MRC", "CURRENCY=USD", "XLFILL=b")</f>
        <v>84</v>
      </c>
      <c r="L15" s="9">
        <f>_xll.BQL("DAL US Equity", "LOAD_FACTOR", "FPT=A", "FPO=-2A", "ACT_EST_MAPPING=PRECISE", "FS=MRC", "CURRENCY=USD", "XLFILL=b")</f>
        <v>69</v>
      </c>
      <c r="M15" s="9">
        <f>_xll.BQL("DAL US Equity", "LOAD_FACTOR", "FPT=A", "FPO=-3A", "ACT_EST_MAPPING=PRECISE", "FS=MRC", "CURRENCY=USD", "XLFILL=b")</f>
        <v>55</v>
      </c>
      <c r="N15" s="9">
        <f>_xll.BQL("DAL US Equity", "LOAD_FACTOR", "FPT=A", "FPO=-4A", "ACT_EST_MAPPING=PRECISE", "FS=MRC", "CURRENCY=USD", "XLFILL=b")</f>
        <v>86.3</v>
      </c>
    </row>
    <row r="16" spans="1:14" x14ac:dyDescent="0.2">
      <c r="A16" s="8" t="s">
        <v>12</v>
      </c>
      <c r="B16" s="4" t="s">
        <v>23</v>
      </c>
      <c r="C16" s="4" t="s">
        <v>24</v>
      </c>
      <c r="D16" s="4"/>
      <c r="E16" s="9">
        <f>_xll.BQL("DAL US Equity", "FA_GROWTH(LOAD_FACTOR, YOY)", "FPT=A", "FPO=5A", "ACT_EST_MAPPING=PRECISE", "FS=MRC", "CURRENCY=USD", "XLFILL=b")</f>
        <v>3.3105022690386695E-14</v>
      </c>
      <c r="F16" s="9">
        <f>_xll.BQL("DAL US Equity", "FA_GROWTH(LOAD_FACTOR, YOY)", "FPT=A", "FPO=4A", "ACT_EST_MAPPING=PRECISE", "FS=MRC", "CURRENCY=USD", "XLFILL=b")</f>
        <v>0.33473545205330274</v>
      </c>
      <c r="G16" s="9">
        <f>_xll.BQL("DAL US Equity", "FA_GROWTH(LOAD_FACTOR, YOY)", "FPT=A", "FPO=3A", "ACT_EST_MAPPING=PRECISE", "FS=MRC", "CURRENCY=USD", "XLFILL=b")</f>
        <v>8.0068929681544554E-2</v>
      </c>
      <c r="H16" s="9">
        <f>_xll.BQL("DAL US Equity", "FA_GROWTH(LOAD_FACTOR, YOY)", "FPT=A", "FPO=2A", "ACT_EST_MAPPING=PRECISE", "FS=MRC", "CURRENCY=USD", "XLFILL=b")</f>
        <v>0.2042342282496058</v>
      </c>
      <c r="I16" s="9">
        <f>_xll.BQL("DAL US Equity", "FA_GROWTH(LOAD_FACTOR, YOY)", "FPT=A", "FPO=1A", "ACT_EST_MAPPING=PRECISE", "FS=MRC", "CURRENCY=USD", "XLFILL=b")</f>
        <v>0.38120397857735566</v>
      </c>
      <c r="J16" s="9">
        <f>_xll.BQL("DAL US Equity", "FA_GROWTH(LOAD_FACTOR, YOY)", "FPT=A", "FPO=0A", "ACT_EST_MAPPING=PRECISE", "FS=MRC", "CURRENCY=USD", "XLFILL=b")</f>
        <v>1.1904761904761905</v>
      </c>
      <c r="K16" s="9">
        <f>_xll.BQL("DAL US Equity", "FA_GROWTH(LOAD_FACTOR, YOY)", "FPT=A", "FPO=-1A", "ACT_EST_MAPPING=PRECISE", "FS=MRC", "CURRENCY=USD", "XLFILL=b")</f>
        <v>21.739130434782609</v>
      </c>
      <c r="L16" s="9">
        <f>_xll.BQL("DAL US Equity", "FA_GROWTH(LOAD_FACTOR, YOY)", "FPT=A", "FPO=-2A", "ACT_EST_MAPPING=PRECISE", "FS=MRC", "CURRENCY=USD", "XLFILL=b")</f>
        <v>25.454545454545453</v>
      </c>
      <c r="M16" s="9">
        <f>_xll.BQL("DAL US Equity", "FA_GROWTH(LOAD_FACTOR, YOY)", "FPT=A", "FPO=-3A", "ACT_EST_MAPPING=PRECISE", "FS=MRC", "CURRENCY=USD", "XLFILL=b")</f>
        <v>-36.268829663962919</v>
      </c>
      <c r="N16" s="9">
        <f>_xll.BQL("DAL US Equity", "FA_GROWTH(LOAD_FACTOR, YOY)", "FPT=A", "FPO=-4A", "ACT_EST_MAPPING=PRECISE", "FS=MRC", "CURRENCY=USD", "XLFILL=b")</f>
        <v>0.93567251461987977</v>
      </c>
    </row>
    <row r="17" spans="1:14" x14ac:dyDescent="0.2">
      <c r="A17" s="8" t="s">
        <v>16</v>
      </c>
      <c r="B17" s="4"/>
      <c r="C17" s="4"/>
      <c r="D17" s="4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1:14" x14ac:dyDescent="0.2">
      <c r="A18" s="8" t="s">
        <v>25</v>
      </c>
      <c r="B18" s="4" t="s">
        <v>26</v>
      </c>
      <c r="C18" s="4" t="s">
        <v>27</v>
      </c>
      <c r="D18" s="4"/>
      <c r="E18" s="9">
        <f>_xll.BQL("DAL US Equity", "TOTAL_PASSENGER_REVENUE/1M", "FPT=A", "FPO=5A", "ACT_EST_MAPPING=PRECISE", "FS=MRC", "CURRENCY=USD", "XLFILL=b")</f>
        <v>57836.334303558295</v>
      </c>
      <c r="F18" s="9">
        <f>_xll.BQL("DAL US Equity", "TOTAL_PASSENGER_REVENUE/1M", "FPT=A", "FPO=4A", "ACT_EST_MAPPING=PRECISE", "FS=MRC", "CURRENCY=USD", "XLFILL=b")</f>
        <v>56397.154493539914</v>
      </c>
      <c r="G18" s="9">
        <f>_xll.BQL("DAL US Equity", "TOTAL_PASSENGER_REVENUE/1M", "FPT=A", "FPO=3A", "ACT_EST_MAPPING=PRECISE", "FS=MRC", "CURRENCY=USD", "XLFILL=b")</f>
        <v>55139.796498322983</v>
      </c>
      <c r="H18" s="9">
        <f>_xll.BQL("DAL US Equity", "TOTAL_PASSENGER_REVENUE/1M", "FPT=A", "FPO=2A", "ACT_EST_MAPPING=PRECISE", "FS=MRC", "CURRENCY=USD", "XLFILL=b")</f>
        <v>52863.709194391246</v>
      </c>
      <c r="I18" s="9">
        <f>_xll.BQL("DAL US Equity", "TOTAL_PASSENGER_REVENUE/1M", "FPT=A", "FPO=1A", "ACT_EST_MAPPING=PRECISE", "FS=MRC", "CURRENCY=USD", "XLFILL=b")</f>
        <v>50341.510390915348</v>
      </c>
      <c r="J18" s="9">
        <f>_xll.BQL("DAL US Equity", "TOTAL_PASSENGER_REVENUE/1M", "FPT=A", "FPO=0A", "ACT_EST_MAPPING=PRECISE", "FS=MRC", "CURRENCY=USD", "XLFILL=b")</f>
        <v>48909</v>
      </c>
      <c r="K18" s="9">
        <f>_xll.BQL("DAL US Equity", "TOTAL_PASSENGER_REVENUE/1M", "FPT=A", "FPO=-1A", "ACT_EST_MAPPING=PRECISE", "FS=MRC", "CURRENCY=USD", "XLFILL=b")</f>
        <v>40218</v>
      </c>
      <c r="L18" s="9">
        <f>_xll.BQL("DAL US Equity", "TOTAL_PASSENGER_REVENUE/1M", "FPT=A", "FPO=-2A", "ACT_EST_MAPPING=PRECISE", "FS=MRC", "CURRENCY=USD", "XLFILL=b")</f>
        <v>22519</v>
      </c>
      <c r="M18" s="9">
        <f>_xll.BQL("DAL US Equity", "TOTAL_PASSENGER_REVENUE/1M", "FPT=A", "FPO=-3A", "ACT_EST_MAPPING=PRECISE", "FS=MRC", "CURRENCY=USD", "XLFILL=b")</f>
        <v>12883</v>
      </c>
      <c r="N18" s="9">
        <f>_xll.BQL("DAL US Equity", "TOTAL_PASSENGER_REVENUE/1M", "FPT=A", "FPO=-4A", "ACT_EST_MAPPING=PRECISE", "FS=MRC", "CURRENCY=USD", "XLFILL=b")</f>
        <v>42277</v>
      </c>
    </row>
    <row r="19" spans="1:14" x14ac:dyDescent="0.2">
      <c r="A19" s="8" t="s">
        <v>12</v>
      </c>
      <c r="B19" s="4" t="s">
        <v>26</v>
      </c>
      <c r="C19" s="4" t="s">
        <v>27</v>
      </c>
      <c r="D19" s="4"/>
      <c r="E19" s="9">
        <f>_xll.BQL("DAL US Equity", "FA_GROWTH(TOTAL_PASSENGER_REVENUE, YOY)", "FPT=A", "FPO=5A", "ACT_EST_MAPPING=PRECISE", "FS=MRC", "CURRENCY=USD", "XLFILL=b")</f>
        <v>2.5518659991670889</v>
      </c>
      <c r="F19" s="9">
        <f>_xll.BQL("DAL US Equity", "FA_GROWTH(TOTAL_PASSENGER_REVENUE, YOY)", "FPT=A", "FPO=4A", "ACT_EST_MAPPING=PRECISE", "FS=MRC", "CURRENCY=USD", "XLFILL=b")</f>
        <v>2.2803094589860797</v>
      </c>
      <c r="G19" s="9">
        <f>_xll.BQL("DAL US Equity", "FA_GROWTH(TOTAL_PASSENGER_REVENUE, YOY)", "FPT=A", "FPO=3A", "ACT_EST_MAPPING=PRECISE", "FS=MRC", "CURRENCY=USD", "XLFILL=b")</f>
        <v>4.3055762424124966</v>
      </c>
      <c r="H19" s="9">
        <f>_xll.BQL("DAL US Equity", "FA_GROWTH(TOTAL_PASSENGER_REVENUE, YOY)", "FPT=A", "FPO=2A", "ACT_EST_MAPPING=PRECISE", "FS=MRC", "CURRENCY=USD", "XLFILL=b")</f>
        <v>5.0101770564497325</v>
      </c>
      <c r="I19" s="9">
        <f>_xll.BQL("DAL US Equity", "FA_GROWTH(TOTAL_PASSENGER_REVENUE, YOY)", "FPT=A", "FPO=1A", "ACT_EST_MAPPING=PRECISE", "FS=MRC", "CURRENCY=USD", "XLFILL=b")</f>
        <v>2.9289300351987246</v>
      </c>
      <c r="J19" s="9">
        <f>_xll.BQL("DAL US Equity", "FA_GROWTH(TOTAL_PASSENGER_REVENUE, YOY)", "FPT=A", "FPO=0A", "ACT_EST_MAPPING=PRECISE", "FS=MRC", "CURRENCY=USD", "XLFILL=b")</f>
        <v>21.60972698791586</v>
      </c>
      <c r="K19" s="9">
        <f>_xll.BQL("DAL US Equity", "FA_GROWTH(TOTAL_PASSENGER_REVENUE, YOY)", "FPT=A", "FPO=-1A", "ACT_EST_MAPPING=PRECISE", "FS=MRC", "CURRENCY=USD", "XLFILL=b")</f>
        <v>78.595852391313997</v>
      </c>
      <c r="L19" s="9">
        <f>_xll.BQL("DAL US Equity", "FA_GROWTH(TOTAL_PASSENGER_REVENUE, YOY)", "FPT=A", "FPO=-2A", "ACT_EST_MAPPING=PRECISE", "FS=MRC", "CURRENCY=USD", "XLFILL=b")</f>
        <v>74.796243111076606</v>
      </c>
      <c r="M19" s="9">
        <f>_xll.BQL("DAL US Equity", "FA_GROWTH(TOTAL_PASSENGER_REVENUE, YOY)", "FPT=A", "FPO=-3A", "ACT_EST_MAPPING=PRECISE", "FS=MRC", "CURRENCY=USD", "XLFILL=b")</f>
        <v>-69.527166071386333</v>
      </c>
      <c r="N19" s="9">
        <f>_xll.BQL("DAL US Equity", "FA_GROWTH(TOTAL_PASSENGER_REVENUE, YOY)", "FPT=A", "FPO=-4A", "ACT_EST_MAPPING=PRECISE", "FS=MRC", "CURRENCY=USD", "XLFILL=b")</f>
        <v>6.3438561187272038</v>
      </c>
    </row>
    <row r="20" spans="1:14" x14ac:dyDescent="0.2">
      <c r="A20" s="8" t="s">
        <v>28</v>
      </c>
      <c r="B20" s="4" t="s">
        <v>29</v>
      </c>
      <c r="C20" s="4"/>
      <c r="D20" s="4"/>
      <c r="E20" s="9">
        <f>_xll.BQL("DAL US Equity", "PASSENGER_REVENUE_PER_ASM", "FPT=A", "FPO=5A", "ACT_EST_MAPPING=PRECISE", "FS=MRC", "CURRENCY=USD", "XLFILL=b")</f>
        <v>17.661936796824406</v>
      </c>
      <c r="F20" s="9">
        <f>_xll.BQL("DAL US Equity", "PASSENGER_REVENUE_PER_ASM", "FPT=A", "FPO=4A", "ACT_EST_MAPPING=PRECISE", "FS=MRC", "CURRENCY=USD", "XLFILL=b")</f>
        <v>17.685224359012221</v>
      </c>
      <c r="G20" s="9">
        <f>_xll.BQL("DAL US Equity", "PASSENGER_REVENUE_PER_ASM", "FPT=A", "FPO=3A", "ACT_EST_MAPPING=PRECISE", "FS=MRC", "CURRENCY=USD", "XLFILL=b")</f>
        <v>17.938333273071652</v>
      </c>
      <c r="H20" s="9">
        <f>_xll.BQL("DAL US Equity", "PASSENGER_REVENUE_PER_ASM", "FPT=A", "FPO=2A", "ACT_EST_MAPPING=PRECISE", "FS=MRC", "CURRENCY=USD", "XLFILL=b")</f>
        <v>17.859644660804999</v>
      </c>
      <c r="I20" s="9">
        <f>_xll.BQL("DAL US Equity", "PASSENGER_REVENUE_PER_ASM", "FPT=A", "FPO=1A", "ACT_EST_MAPPING=PRECISE", "FS=MRC", "CURRENCY=USD", "XLFILL=b")</f>
        <v>17.692071745566064</v>
      </c>
      <c r="J20" s="9">
        <f>_xll.BQL("DAL US Equity", "PASSENGER_REVENUE_PER_ASM", "FPT=A", "FPO=0A", "ACT_EST_MAPPING=PRECISE", "FS=MRC", "CURRENCY=USD", "XLFILL=b")</f>
        <v>17.98</v>
      </c>
      <c r="K20" s="9">
        <f>_xll.BQL("DAL US Equity", "PASSENGER_REVENUE_PER_ASM", "FPT=A", "FPO=-1A", "ACT_EST_MAPPING=PRECISE", "FS=MRC", "CURRENCY=USD", "XLFILL=b")</f>
        <v>17.239999999999998</v>
      </c>
      <c r="L20" s="9">
        <f>_xll.BQL("DAL US Equity", "PASSENGER_REVENUE_PER_ASM", "FPT=A", "FPO=-2A", "ACT_EST_MAPPING=PRECISE", "FS=MRC", "CURRENCY=USD", "XLFILL=b")</f>
        <v>11.58</v>
      </c>
      <c r="M20" s="9">
        <f>_xll.BQL("DAL US Equity", "PASSENGER_REVENUE_PER_ASM", "FPT=A", "FPO=-3A", "ACT_EST_MAPPING=PRECISE", "FS=MRC", "CURRENCY=USD", "XLFILL=b")</f>
        <v>9.59</v>
      </c>
      <c r="N20" s="9">
        <f>_xll.BQL("DAL US Equity", "PASSENGER_REVENUE_PER_ASM", "FPT=A", "FPO=-4A", "ACT_EST_MAPPING=PRECISE", "FS=MRC", "CURRENCY=USD", "XLFILL=b")</f>
        <v>15.35</v>
      </c>
    </row>
    <row r="21" spans="1:14" x14ac:dyDescent="0.2">
      <c r="A21" s="8" t="s">
        <v>12</v>
      </c>
      <c r="B21" s="4" t="s">
        <v>29</v>
      </c>
      <c r="C21" s="4"/>
      <c r="D21" s="4"/>
      <c r="E21" s="9">
        <f>_xll.BQL("DAL US Equity", "FA_GROWTH(PASSENGER_REVENUE_PER_ASM, YOY)", "FPT=A", "FPO=5A", "ACT_EST_MAPPING=PRECISE", "FS=MRC", "CURRENCY=USD", "XLFILL=b")</f>
        <v>-0.13167807043367952</v>
      </c>
      <c r="F21" s="9">
        <f>_xll.BQL("DAL US Equity", "FA_GROWTH(PASSENGER_REVENUE_PER_ASM, YOY)", "FPT=A", "FPO=4A", "ACT_EST_MAPPING=PRECISE", "FS=MRC", "CURRENCY=USD", "XLFILL=b")</f>
        <v>-1.4109946013735253</v>
      </c>
      <c r="G21" s="9">
        <f>_xll.BQL("DAL US Equity", "FA_GROWTH(PASSENGER_REVENUE_PER_ASM, YOY)", "FPT=A", "FPO=3A", "ACT_EST_MAPPING=PRECISE", "FS=MRC", "CURRENCY=USD", "XLFILL=b")</f>
        <v>0.44059450096083963</v>
      </c>
      <c r="H21" s="9">
        <f>_xll.BQL("DAL US Equity", "FA_GROWTH(PASSENGER_REVENUE_PER_ASM, YOY)", "FPT=A", "FPO=2A", "ACT_EST_MAPPING=PRECISE", "FS=MRC", "CURRENCY=USD", "XLFILL=b")</f>
        <v>0.94716389153764191</v>
      </c>
      <c r="I21" s="9">
        <f>_xll.BQL("DAL US Equity", "FA_GROWTH(PASSENGER_REVENUE_PER_ASM, YOY)", "FPT=A", "FPO=1A", "ACT_EST_MAPPING=PRECISE", "FS=MRC", "CURRENCY=USD", "XLFILL=b")</f>
        <v>-1.6013807254390218</v>
      </c>
      <c r="J21" s="9">
        <f>_xll.BQL("DAL US Equity", "FA_GROWTH(PASSENGER_REVENUE_PER_ASM, YOY)", "FPT=A", "FPO=0A", "ACT_EST_MAPPING=PRECISE", "FS=MRC", "CURRENCY=USD", "XLFILL=b")</f>
        <v>4.2923433874710097</v>
      </c>
      <c r="K21" s="9">
        <f>_xll.BQL("DAL US Equity", "FA_GROWTH(PASSENGER_REVENUE_PER_ASM, YOY)", "FPT=A", "FPO=-1A", "ACT_EST_MAPPING=PRECISE", "FS=MRC", "CURRENCY=USD", "XLFILL=b")</f>
        <v>48.877374784110522</v>
      </c>
      <c r="L21" s="9">
        <f>_xll.BQL("DAL US Equity", "FA_GROWTH(PASSENGER_REVENUE_PER_ASM, YOY)", "FPT=A", "FPO=-2A", "ACT_EST_MAPPING=PRECISE", "FS=MRC", "CURRENCY=USD", "XLFILL=b")</f>
        <v>20.750782064650682</v>
      </c>
      <c r="M21" s="9">
        <f>_xll.BQL("DAL US Equity", "FA_GROWTH(PASSENGER_REVENUE_PER_ASM, YOY)", "FPT=A", "FPO=-3A", "ACT_EST_MAPPING=PRECISE", "FS=MRC", "CURRENCY=USD", "XLFILL=b")</f>
        <v>-37.524429967426713</v>
      </c>
      <c r="N21" s="9">
        <f>_xll.BQL("DAL US Equity", "FA_GROWTH(PASSENGER_REVENUE_PER_ASM, YOY)", "FPT=A", "FPO=-4A", "ACT_EST_MAPPING=PRECISE", "FS=MRC", "CURRENCY=USD", "XLFILL=b")</f>
        <v>1.722995361166334</v>
      </c>
    </row>
    <row r="22" spans="1:14" x14ac:dyDescent="0.2">
      <c r="A22" s="8" t="s">
        <v>30</v>
      </c>
      <c r="B22" s="4" t="s">
        <v>31</v>
      </c>
      <c r="C22" s="4" t="s">
        <v>32</v>
      </c>
      <c r="D22" s="4"/>
      <c r="E22" s="9">
        <f>_xll.BQL("DAL US Equity", "YIELD_PER_PASS_MILES_KM", "FPT=A", "FPO=5A", "ACT_EST_MAPPING=PRECISE", "FS=MRC", "CURRENCY=USD", "XLFILL=b")</f>
        <v>20.255148771926219</v>
      </c>
      <c r="F22" s="9">
        <f>_xll.BQL("DAL US Equity", "YIELD_PER_PASS_MILES_KM", "FPT=A", "FPO=4A", "ACT_EST_MAPPING=PRECISE", "FS=MRC", "CURRENCY=USD", "XLFILL=b")</f>
        <v>20.146533790937792</v>
      </c>
      <c r="G22" s="9">
        <f>_xll.BQL("DAL US Equity", "YIELD_PER_PASS_MILES_KM", "FPT=A", "FPO=3A", "ACT_EST_MAPPING=PRECISE", "FS=MRC", "CURRENCY=USD", "XLFILL=b")</f>
        <v>20.955782364271077</v>
      </c>
      <c r="H22" s="9">
        <f>_xll.BQL("DAL US Equity", "YIELD_PER_PASS_MILES_KM", "FPT=A", "FPO=2A", "ACT_EST_MAPPING=PRECISE", "FS=MRC", "CURRENCY=USD", "XLFILL=b")</f>
        <v>20.906023282812477</v>
      </c>
      <c r="I22" s="9">
        <f>_xll.BQL("DAL US Equity", "YIELD_PER_PASS_MILES_KM", "FPT=A", "FPO=1A", "ACT_EST_MAPPING=PRECISE", "FS=MRC", "CURRENCY=USD", "XLFILL=b")</f>
        <v>20.758862065972803</v>
      </c>
      <c r="J22" s="9">
        <f>_xll.BQL("DAL US Equity", "YIELD_PER_PASS_MILES_KM", "FPT=A", "FPO=0A", "ACT_EST_MAPPING=PRECISE", "FS=MRC", "CURRENCY=USD", "XLFILL=b")</f>
        <v>21.06</v>
      </c>
      <c r="K22" s="9">
        <f>_xll.BQL("DAL US Equity", "YIELD_PER_PASS_MILES_KM", "FPT=A", "FPO=-1A", "ACT_EST_MAPPING=PRECISE", "FS=MRC", "CURRENCY=USD", "XLFILL=b")</f>
        <v>20.57</v>
      </c>
      <c r="L22" s="9">
        <f>_xll.BQL("DAL US Equity", "YIELD_PER_PASS_MILES_KM", "FPT=A", "FPO=-2A", "ACT_EST_MAPPING=PRECISE", "FS=MRC", "CURRENCY=USD", "XLFILL=b")</f>
        <v>16.72</v>
      </c>
      <c r="M22" s="9">
        <f>_xll.BQL("DAL US Equity", "YIELD_PER_PASS_MILES_KM", "FPT=A", "FPO=-3A", "ACT_EST_MAPPING=PRECISE", "FS=MRC", "CURRENCY=USD", "XLFILL=b")</f>
        <v>17.55</v>
      </c>
      <c r="N22" s="9">
        <f>_xll.BQL("DAL US Equity", "YIELD_PER_PASS_MILES_KM", "FPT=A", "FPO=-4A", "ACT_EST_MAPPING=PRECISE", "FS=MRC", "CURRENCY=USD", "XLFILL=b")</f>
        <v>17.79</v>
      </c>
    </row>
    <row r="23" spans="1:14" x14ac:dyDescent="0.2">
      <c r="A23" s="8" t="s">
        <v>12</v>
      </c>
      <c r="B23" s="4" t="s">
        <v>31</v>
      </c>
      <c r="C23" s="4" t="s">
        <v>32</v>
      </c>
      <c r="D23" s="4"/>
      <c r="E23" s="9">
        <f>_xll.BQL("DAL US Equity", "FA_GROWTH(YIELD_PER_PASS_MILES_KM, YOY)", "FPT=A", "FPO=5A", "ACT_EST_MAPPING=PRECISE", "FS=MRC", "CURRENCY=USD", "XLFILL=b")</f>
        <v>0.53912490414248937</v>
      </c>
      <c r="F23" s="9">
        <f>_xll.BQL("DAL US Equity", "FA_GROWTH(YIELD_PER_PASS_MILES_KM, YOY)", "FPT=A", "FPO=4A", "ACT_EST_MAPPING=PRECISE", "FS=MRC", "CURRENCY=USD", "XLFILL=b")</f>
        <v>-3.8616958282265204</v>
      </c>
      <c r="G23" s="9">
        <f>_xll.BQL("DAL US Equity", "FA_GROWTH(YIELD_PER_PASS_MILES_KM, YOY)", "FPT=A", "FPO=3A", "ACT_EST_MAPPING=PRECISE", "FS=MRC", "CURRENCY=USD", "XLFILL=b")</f>
        <v>0.23801313518821304</v>
      </c>
      <c r="H23" s="9">
        <f>_xll.BQL("DAL US Equity", "FA_GROWTH(YIELD_PER_PASS_MILES_KM, YOY)", "FPT=A", "FPO=2A", "ACT_EST_MAPPING=PRECISE", "FS=MRC", "CURRENCY=USD", "XLFILL=b")</f>
        <v>0.70890791784244944</v>
      </c>
      <c r="I23" s="9">
        <f>_xll.BQL("DAL US Equity", "FA_GROWTH(YIELD_PER_PASS_MILES_KM, YOY)", "FPT=A", "FPO=1A", "ACT_EST_MAPPING=PRECISE", "FS=MRC", "CURRENCY=USD", "XLFILL=b")</f>
        <v>-1.4299047199771882</v>
      </c>
      <c r="J23" s="9">
        <f>_xll.BQL("DAL US Equity", "FA_GROWTH(YIELD_PER_PASS_MILES_KM, YOY)", "FPT=A", "FPO=0A", "ACT_EST_MAPPING=PRECISE", "FS=MRC", "CURRENCY=USD", "XLFILL=b")</f>
        <v>2.3821098687408773</v>
      </c>
      <c r="K23" s="9">
        <f>_xll.BQL("DAL US Equity", "FA_GROWTH(YIELD_PER_PASS_MILES_KM, YOY)", "FPT=A", "FPO=-1A", "ACT_EST_MAPPING=PRECISE", "FS=MRC", "CURRENCY=USD", "XLFILL=b")</f>
        <v>23.026315789473692</v>
      </c>
      <c r="L23" s="9">
        <f>_xll.BQL("DAL US Equity", "FA_GROWTH(YIELD_PER_PASS_MILES_KM, YOY)", "FPT=A", "FPO=-2A", "ACT_EST_MAPPING=PRECISE", "FS=MRC", "CURRENCY=USD", "XLFILL=b")</f>
        <v>-4.7293447293447395</v>
      </c>
      <c r="M23" s="9">
        <f>_xll.BQL("DAL US Equity", "FA_GROWTH(YIELD_PER_PASS_MILES_KM, YOY)", "FPT=A", "FPO=-3A", "ACT_EST_MAPPING=PRECISE", "FS=MRC", "CURRENCY=USD", "XLFILL=b")</f>
        <v>-1.349072512647546</v>
      </c>
      <c r="N23" s="9">
        <f>_xll.BQL("DAL US Equity", "FA_GROWTH(YIELD_PER_PASS_MILES_KM, YOY)", "FPT=A", "FPO=-4A", "ACT_EST_MAPPING=PRECISE", "FS=MRC", "CURRENCY=USD", "XLFILL=b")</f>
        <v>0.79320113314447915</v>
      </c>
    </row>
    <row r="24" spans="1:14" x14ac:dyDescent="0.2">
      <c r="A24" s="8" t="s">
        <v>16</v>
      </c>
      <c r="B24" s="4"/>
      <c r="C24" s="4"/>
      <c r="D24" s="4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1:14" x14ac:dyDescent="0.2">
      <c r="A25" s="8" t="s">
        <v>33</v>
      </c>
      <c r="B25" s="4" t="s">
        <v>34</v>
      </c>
      <c r="C25" s="4" t="s">
        <v>35</v>
      </c>
      <c r="D25" s="4"/>
      <c r="E25" s="9">
        <f>_xll.BQL("DAL US Equity", "OP_EXP_PER_ASM_ASK", "FPT=A", "FPO=5A", "ACT_EST_MAPPING=PRECISE", "FS=MRC", "CURRENCY=USD", "XLFILL=b")</f>
        <v>18.366684637240009</v>
      </c>
      <c r="F25" s="9">
        <f>_xll.BQL("DAL US Equity", "OP_EXP_PER_ASM_ASK", "FPT=A", "FPO=4A", "ACT_EST_MAPPING=PRECISE", "FS=MRC", "CURRENCY=USD", "XLFILL=b")</f>
        <v>18.545800502200674</v>
      </c>
      <c r="G25" s="9">
        <f>_xll.BQL("DAL US Equity", "OP_EXP_PER_ASM_ASK", "FPT=A", "FPO=3A", "ACT_EST_MAPPING=PRECISE", "FS=MRC", "CURRENCY=USD", "XLFILL=b")</f>
        <v>18.685531017683147</v>
      </c>
      <c r="H25" s="9">
        <f>_xll.BQL("DAL US Equity", "OP_EXP_PER_ASM_ASK", "FPT=A", "FPO=2A", "ACT_EST_MAPPING=PRECISE", "FS=MRC", "CURRENCY=USD", "XLFILL=b")</f>
        <v>18.594193346749517</v>
      </c>
      <c r="I25" s="9">
        <f>_xll.BQL("DAL US Equity", "OP_EXP_PER_ASM_ASK", "FPT=A", "FPO=1A", "ACT_EST_MAPPING=PRECISE", "FS=MRC", "CURRENCY=USD", "XLFILL=b")</f>
        <v>19.017110631910761</v>
      </c>
      <c r="J25" s="9">
        <f>_xll.BQL("DAL US Equity", "OP_EXP_PER_ASM_ASK", "FPT=A", "FPO=0A", "ACT_EST_MAPPING=PRECISE", "FS=MRC", "CURRENCY=USD", "XLFILL=b")</f>
        <v>19.309999999999999</v>
      </c>
      <c r="K25" s="9">
        <f>_xll.BQL("DAL US Equity", "OP_EXP_PER_ASM_ASK", "FPT=A", "FPO=-1A", "ACT_EST_MAPPING=PRECISE", "FS=MRC", "CURRENCY=USD", "XLFILL=b")</f>
        <v>20.12</v>
      </c>
      <c r="L25" s="9">
        <f>_xll.BQL("DAL US Equity", "OP_EXP_PER_ASM_ASK", "FPT=A", "FPO=-2A", "ACT_EST_MAPPING=PRECISE", "FS=MRC", "CURRENCY=USD", "XLFILL=b")</f>
        <v>14.4</v>
      </c>
      <c r="M25" s="9">
        <f>_xll.BQL("DAL US Equity", "OP_EXP_PER_ASM_ASK", "FPT=A", "FPO=-3A", "ACT_EST_MAPPING=PRECISE", "FS=MRC", "CURRENCY=USD", "XLFILL=b")</f>
        <v>22.01</v>
      </c>
      <c r="N25" s="9">
        <f>_xll.BQL("DAL US Equity", "OP_EXP_PER_ASM_ASK", "FPT=A", "FPO=-4A", "ACT_EST_MAPPING=PRECISE", "FS=MRC", "CURRENCY=USD", "XLFILL=b")</f>
        <v>14.67</v>
      </c>
    </row>
    <row r="26" spans="1:14" x14ac:dyDescent="0.2">
      <c r="A26" s="8" t="s">
        <v>12</v>
      </c>
      <c r="B26" s="4" t="s">
        <v>34</v>
      </c>
      <c r="C26" s="4" t="s">
        <v>35</v>
      </c>
      <c r="D26" s="4"/>
      <c r="E26" s="9">
        <f>_xll.BQL("DAL US Equity", "FA_GROWTH(OP_EXP_PER_ASM_ASK, YOY)", "FPT=A", "FPO=5A", "ACT_EST_MAPPING=PRECISE", "FS=MRC", "CURRENCY=USD", "XLFILL=b")</f>
        <v>-0.96580282387600458</v>
      </c>
      <c r="F26" s="9">
        <f>_xll.BQL("DAL US Equity", "FA_GROWTH(OP_EXP_PER_ASM_ASK, YOY)", "FPT=A", "FPO=4A", "ACT_EST_MAPPING=PRECISE", "FS=MRC", "CURRENCY=USD", "XLFILL=b")</f>
        <v>-0.74780061294612477</v>
      </c>
      <c r="G26" s="9">
        <f>_xll.BQL("DAL US Equity", "FA_GROWTH(OP_EXP_PER_ASM_ASK, YOY)", "FPT=A", "FPO=3A", "ACT_EST_MAPPING=PRECISE", "FS=MRC", "CURRENCY=USD", "XLFILL=b")</f>
        <v>0.49121609757594925</v>
      </c>
      <c r="H26" s="9">
        <f>_xll.BQL("DAL US Equity", "FA_GROWTH(OP_EXP_PER_ASM_ASK, YOY)", "FPT=A", "FPO=2A", "ACT_EST_MAPPING=PRECISE", "FS=MRC", "CURRENCY=USD", "XLFILL=b")</f>
        <v>-2.2238777138499035</v>
      </c>
      <c r="I26" s="9">
        <f>_xll.BQL("DAL US Equity", "FA_GROWTH(OP_EXP_PER_ASM_ASK, YOY)", "FPT=A", "FPO=1A", "ACT_EST_MAPPING=PRECISE", "FS=MRC", "CURRENCY=USD", "XLFILL=b")</f>
        <v>-1.5167755985978144</v>
      </c>
      <c r="J26" s="9">
        <f>_xll.BQL("DAL US Equity", "FA_GROWTH(OP_EXP_PER_ASM_ASK, YOY)", "FPT=A", "FPO=0A", "ACT_EST_MAPPING=PRECISE", "FS=MRC", "CURRENCY=USD", "XLFILL=b")</f>
        <v>-4.0258449304175059</v>
      </c>
      <c r="K26" s="9">
        <f>_xll.BQL("DAL US Equity", "FA_GROWTH(OP_EXP_PER_ASM_ASK, YOY)", "FPT=A", "FPO=-1A", "ACT_EST_MAPPING=PRECISE", "FS=MRC", "CURRENCY=USD", "XLFILL=b")</f>
        <v>39.722222222222229</v>
      </c>
      <c r="L26" s="9">
        <f>_xll.BQL("DAL US Equity", "FA_GROWTH(OP_EXP_PER_ASM_ASK, YOY)", "FPT=A", "FPO=-2A", "ACT_EST_MAPPING=PRECISE", "FS=MRC", "CURRENCY=USD", "XLFILL=b")</f>
        <v>-34.57519309404816</v>
      </c>
      <c r="M26" s="9">
        <f>_xll.BQL("DAL US Equity", "FA_GROWTH(OP_EXP_PER_ASM_ASK, YOY)", "FPT=A", "FPO=-3A", "ACT_EST_MAPPING=PRECISE", "FS=MRC", "CURRENCY=USD", "XLFILL=b")</f>
        <v>50.034083162917526</v>
      </c>
      <c r="N26" s="9">
        <f>_xll.BQL("DAL US Equity", "FA_GROWTH(OP_EXP_PER_ASM_ASK, YOY)", "FPT=A", "FPO=-4A", "ACT_EST_MAPPING=PRECISE", "FS=MRC", "CURRENCY=USD", "XLFILL=b")</f>
        <v>-1.344989912575651</v>
      </c>
    </row>
    <row r="27" spans="1:14" x14ac:dyDescent="0.2">
      <c r="A27" s="8" t="s">
        <v>36</v>
      </c>
      <c r="B27" s="4" t="s">
        <v>37</v>
      </c>
      <c r="C27" s="4"/>
      <c r="D27" s="4"/>
      <c r="E27" s="9">
        <f>_xll.BQL("DAL US Equity", "CONS_COST_PER_ASM_EX_FUEL", "FPT=A", "FPO=5A", "ACT_EST_MAPPING=PRECISE", "FS=MRC", "CURRENCY=USD", "XLFILL=b")</f>
        <v>14.81253667486888</v>
      </c>
      <c r="F27" s="9">
        <f>_xll.BQL("DAL US Equity", "CONS_COST_PER_ASM_EX_FUEL", "FPT=A", "FPO=4A", "ACT_EST_MAPPING=PRECISE", "FS=MRC", "CURRENCY=USD", "XLFILL=b")</f>
        <v>14.963165711407864</v>
      </c>
      <c r="G27" s="9">
        <f>_xll.BQL("DAL US Equity", "CONS_COST_PER_ASM_EX_FUEL", "FPT=A", "FPO=3A", "ACT_EST_MAPPING=PRECISE", "FS=MRC", "CURRENCY=USD", "XLFILL=b")</f>
        <v>14.824659372166598</v>
      </c>
      <c r="H27" s="9">
        <f>_xll.BQL("DAL US Equity", "CONS_COST_PER_ASM_EX_FUEL", "FPT=A", "FPO=2A", "ACT_EST_MAPPING=PRECISE", "FS=MRC", "CURRENCY=USD", "XLFILL=b")</f>
        <v>15.064325438270995</v>
      </c>
      <c r="I27" s="9">
        <f>_xll.BQL("DAL US Equity", "CONS_COST_PER_ASM_EX_FUEL", "FPT=A", "FPO=1A", "ACT_EST_MAPPING=PRECISE", "FS=MRC", "CURRENCY=USD", "XLFILL=b")</f>
        <v>15.386153565804825</v>
      </c>
      <c r="J27" s="9">
        <f>_xll.BQL("DAL US Equity", "CONS_COST_PER_ASM_EX_FUEL", "FPT=A", "FPO=0A", "ACT_EST_MAPPING=PRECISE", "FS=MRC", "CURRENCY=USD", "XLFILL=b")</f>
        <v>15.24</v>
      </c>
      <c r="K27" s="9">
        <f>_xll.BQL("DAL US Equity", "CONS_COST_PER_ASM_EX_FUEL", "FPT=A", "FPO=-1A", "ACT_EST_MAPPING=PRECISE", "FS=MRC", "CURRENCY=USD", "XLFILL=b")</f>
        <v>15.2</v>
      </c>
      <c r="L27" s="9">
        <f>_xll.BQL("DAL US Equity", "CONS_COST_PER_ASM_EX_FUEL", "FPT=A", "FPO=-2A", "ACT_EST_MAPPING=PRECISE", "FS=MRC", "CURRENCY=USD", "XLFILL=b")</f>
        <v>11.5</v>
      </c>
      <c r="M27" s="9">
        <f>_xll.BQL("DAL US Equity", "CONS_COST_PER_ASM_EX_FUEL", "FPT=A", "FPO=-3A", "ACT_EST_MAPPING=PRECISE", "FS=MRC", "CURRENCY=USD", "XLFILL=b")</f>
        <v>19.649999999999999</v>
      </c>
      <c r="N27" s="9">
        <f>_xll.BQL("DAL US Equity", "CONS_COST_PER_ASM_EX_FUEL", "FPT=A", "FPO=-4A", "ACT_EST_MAPPING=PRECISE", "FS=MRC", "CURRENCY=USD", "XLFILL=b")</f>
        <v>11.57</v>
      </c>
    </row>
    <row r="28" spans="1:14" x14ac:dyDescent="0.2">
      <c r="A28" s="8" t="s">
        <v>12</v>
      </c>
      <c r="B28" s="4" t="s">
        <v>37</v>
      </c>
      <c r="C28" s="4"/>
      <c r="D28" s="4"/>
      <c r="E28" s="9">
        <f>_xll.BQL("DAL US Equity", "FA_GROWTH(CONS_COST_PER_ASM_EX_FUEL, YOY)", "FPT=A", "FPO=5A", "ACT_EST_MAPPING=PRECISE", "FS=MRC", "CURRENCY=USD", "XLFILL=b")</f>
        <v>-1.0066655642538578</v>
      </c>
      <c r="F28" s="9">
        <f>_xll.BQL("DAL US Equity", "FA_GROWTH(CONS_COST_PER_ASM_EX_FUEL, YOY)", "FPT=A", "FPO=4A", "ACT_EST_MAPPING=PRECISE", "FS=MRC", "CURRENCY=USD", "XLFILL=b")</f>
        <v>0.93429694243978645</v>
      </c>
      <c r="G28" s="9">
        <f>_xll.BQL("DAL US Equity", "FA_GROWTH(CONS_COST_PER_ASM_EX_FUEL, YOY)", "FPT=A", "FPO=3A", "ACT_EST_MAPPING=PRECISE", "FS=MRC", "CURRENCY=USD", "XLFILL=b")</f>
        <v>-1.590951198488606</v>
      </c>
      <c r="H28" s="9">
        <f>_xll.BQL("DAL US Equity", "FA_GROWTH(CONS_COST_PER_ASM_EX_FUEL, YOY)", "FPT=A", "FPO=2A", "ACT_EST_MAPPING=PRECISE", "FS=MRC", "CURRENCY=USD", "XLFILL=b")</f>
        <v>-2.0916736997158409</v>
      </c>
      <c r="I28" s="9">
        <f>_xll.BQL("DAL US Equity", "FA_GROWTH(CONS_COST_PER_ASM_EX_FUEL, YOY)", "FPT=A", "FPO=1A", "ACT_EST_MAPPING=PRECISE", "FS=MRC", "CURRENCY=USD", "XLFILL=b")</f>
        <v>0.95901289898179254</v>
      </c>
      <c r="J28" s="9">
        <f>_xll.BQL("DAL US Equity", "FA_GROWTH(CONS_COST_PER_ASM_EX_FUEL, YOY)", "FPT=A", "FPO=0A", "ACT_EST_MAPPING=PRECISE", "FS=MRC", "CURRENCY=USD", "XLFILL=b")</f>
        <v>0.2631578947368482</v>
      </c>
      <c r="K28" s="9">
        <f>_xll.BQL("DAL US Equity", "FA_GROWTH(CONS_COST_PER_ASM_EX_FUEL, YOY)", "FPT=A", "FPO=-1A", "ACT_EST_MAPPING=PRECISE", "FS=MRC", "CURRENCY=USD", "XLFILL=b")</f>
        <v>32.173913043478258</v>
      </c>
      <c r="L28" s="9">
        <f>_xll.BQL("DAL US Equity", "FA_GROWTH(CONS_COST_PER_ASM_EX_FUEL, YOY)", "FPT=A", "FPO=-2A", "ACT_EST_MAPPING=PRECISE", "FS=MRC", "CURRENCY=USD", "XLFILL=b")</f>
        <v>-41.475826972010175</v>
      </c>
      <c r="M28" s="9">
        <f>_xll.BQL("DAL US Equity", "FA_GROWTH(CONS_COST_PER_ASM_EX_FUEL, YOY)", "FPT=A", "FPO=-3A", "ACT_EST_MAPPING=PRECISE", "FS=MRC", "CURRENCY=USD", "XLFILL=b")</f>
        <v>69.83578219533274</v>
      </c>
      <c r="N28" s="9">
        <f>_xll.BQL("DAL US Equity", "FA_GROWTH(CONS_COST_PER_ASM_EX_FUEL, YOY)", "FPT=A", "FPO=-4A", "ACT_EST_MAPPING=PRECISE", "FS=MRC", "CURRENCY=USD", "XLFILL=b")</f>
        <v>1.1363636363636433</v>
      </c>
    </row>
    <row r="29" spans="1:14" x14ac:dyDescent="0.2">
      <c r="A29" s="8" t="s">
        <v>38</v>
      </c>
      <c r="B29" s="4" t="s">
        <v>39</v>
      </c>
      <c r="C29" s="4"/>
      <c r="D29" s="4"/>
      <c r="E29" s="9">
        <f>_xll.BQL("DAL US Equity", "COST_PER_SEAT_EXCL_ABN_ITMS", "FPT=A", "FPO=5A", "ACT_EST_MAPPING=PRECISE", "FS=MRC", "CURRENCY=USD", "XLFILL=b")</f>
        <v>13.454673270714176</v>
      </c>
      <c r="F29" s="9">
        <f>_xll.BQL("DAL US Equity", "COST_PER_SEAT_EXCL_ABN_ITMS", "FPT=A", "FPO=4A", "ACT_EST_MAPPING=PRECISE", "FS=MRC", "CURRENCY=USD", "XLFILL=b")</f>
        <v>13.449588943518858</v>
      </c>
      <c r="G29" s="9">
        <f>_xll.BQL("DAL US Equity", "COST_PER_SEAT_EXCL_ABN_ITMS", "FPT=A", "FPO=3A", "ACT_EST_MAPPING=PRECISE", "FS=MRC", "CURRENCY=USD", "XLFILL=b")</f>
        <v>13.519416067989397</v>
      </c>
      <c r="H29" s="9">
        <f>_xll.BQL("DAL US Equity", "COST_PER_SEAT_EXCL_ABN_ITMS", "FPT=A", "FPO=2A", "ACT_EST_MAPPING=PRECISE", "FS=MRC", "CURRENCY=USD", "XLFILL=b")</f>
        <v>13.572300619891934</v>
      </c>
      <c r="I29" s="9">
        <f>_xll.BQL("DAL US Equity", "COST_PER_SEAT_EXCL_ABN_ITMS", "FPT=A", "FPO=1A", "ACT_EST_MAPPING=PRECISE", "FS=MRC", "CURRENCY=USD", "XLFILL=b")</f>
        <v>13.454627176915277</v>
      </c>
      <c r="J29" s="9">
        <f>_xll.BQL("DAL US Equity", "COST_PER_SEAT_EXCL_ABN_ITMS", "FPT=A", "FPO=0A", "ACT_EST_MAPPING=PRECISE", "FS=MRC", "CURRENCY=USD", "XLFILL=b")</f>
        <v>13.17</v>
      </c>
      <c r="K29" s="9">
        <f>_xll.BQL("DAL US Equity", "COST_PER_SEAT_EXCL_ABN_ITMS", "FPT=A", "FPO=-1A", "ACT_EST_MAPPING=PRECISE", "FS=MRC", "CURRENCY=USD", "XLFILL=b")</f>
        <v>12.87</v>
      </c>
      <c r="L29" s="9">
        <f>_xll.BQL("DAL US Equity", "COST_PER_SEAT_EXCL_ABN_ITMS", "FPT=A", "FPO=-2A", "ACT_EST_MAPPING=PRECISE", "FS=MRC", "CURRENCY=USD", "XLFILL=b")</f>
        <v>12.12</v>
      </c>
      <c r="M29" s="9">
        <f>_xll.BQL("DAL US Equity", "COST_PER_SEAT_EXCL_ABN_ITMS", "FPT=A", "FPO=-3A", "ACT_EST_MAPPING=PRECISE", "FS=MRC", "CURRENCY=USD", "XLFILL=b")</f>
        <v>15.61</v>
      </c>
      <c r="N29" s="9">
        <f>_xll.BQL("DAL US Equity", "COST_PER_SEAT_EXCL_ABN_ITMS", "FPT=A", "FPO=-4A", "ACT_EST_MAPPING=PRECISE", "FS=MRC", "CURRENCY=USD", "XLFILL=b")</f>
        <v>10.88</v>
      </c>
    </row>
    <row r="30" spans="1:14" x14ac:dyDescent="0.2">
      <c r="A30" s="8" t="s">
        <v>12</v>
      </c>
      <c r="B30" s="4" t="s">
        <v>39</v>
      </c>
      <c r="C30" s="4"/>
      <c r="D30" s="4"/>
      <c r="E30" s="9">
        <f>_xll.BQL("DAL US Equity", "FA_GROWTH(COST_PER_SEAT_EXCL_ABN_ITMS, YOY)", "FPT=A", "FPO=5A", "ACT_EST_MAPPING=PRECISE", "FS=MRC", "CURRENCY=USD", "XLFILL=b")</f>
        <v>3.7802844508256106E-2</v>
      </c>
      <c r="F30" s="9">
        <f>_xll.BQL("DAL US Equity", "FA_GROWTH(COST_PER_SEAT_EXCL_ABN_ITMS, YOY)", "FPT=A", "FPO=4A", "ACT_EST_MAPPING=PRECISE", "FS=MRC", "CURRENCY=USD", "XLFILL=b")</f>
        <v>-0.51649512167816225</v>
      </c>
      <c r="G30" s="9">
        <f>_xll.BQL("DAL US Equity", "FA_GROWTH(COST_PER_SEAT_EXCL_ABN_ITMS, YOY)", "FPT=A", "FPO=3A", "ACT_EST_MAPPING=PRECISE", "FS=MRC", "CURRENCY=USD", "XLFILL=b")</f>
        <v>-0.38965060812923397</v>
      </c>
      <c r="H30" s="9">
        <f>_xll.BQL("DAL US Equity", "FA_GROWTH(COST_PER_SEAT_EXCL_ABN_ITMS, YOY)", "FPT=A", "FPO=2A", "ACT_EST_MAPPING=PRECISE", "FS=MRC", "CURRENCY=USD", "XLFILL=b")</f>
        <v>0.87459460176313097</v>
      </c>
      <c r="I30" s="9">
        <f>_xll.BQL("DAL US Equity", "FA_GROWTH(COST_PER_SEAT_EXCL_ABN_ITMS, YOY)", "FPT=A", "FPO=1A", "ACT_EST_MAPPING=PRECISE", "FS=MRC", "CURRENCY=USD", "XLFILL=b")</f>
        <v>2.1611782605563969</v>
      </c>
      <c r="J30" s="9">
        <f>_xll.BQL("DAL US Equity", "FA_GROWTH(COST_PER_SEAT_EXCL_ABN_ITMS, YOY)", "FPT=A", "FPO=0A", "ACT_EST_MAPPING=PRECISE", "FS=MRC", "CURRENCY=USD", "XLFILL=b")</f>
        <v>2.3310023310023364</v>
      </c>
      <c r="K30" s="9">
        <f>_xll.BQL("DAL US Equity", "FA_GROWTH(COST_PER_SEAT_EXCL_ABN_ITMS, YOY)", "FPT=A", "FPO=-1A", "ACT_EST_MAPPING=PRECISE", "FS=MRC", "CURRENCY=USD", "XLFILL=b")</f>
        <v>6.1881188118811883</v>
      </c>
      <c r="L30" s="9">
        <f>_xll.BQL("DAL US Equity", "FA_GROWTH(COST_PER_SEAT_EXCL_ABN_ITMS, YOY)", "FPT=A", "FPO=-2A", "ACT_EST_MAPPING=PRECISE", "FS=MRC", "CURRENCY=USD", "XLFILL=b")</f>
        <v>-22.357463164638052</v>
      </c>
      <c r="M30" s="9">
        <f>_xll.BQL("DAL US Equity", "FA_GROWTH(COST_PER_SEAT_EXCL_ABN_ITMS, YOY)", "FPT=A", "FPO=-3A", "ACT_EST_MAPPING=PRECISE", "FS=MRC", "CURRENCY=USD", "XLFILL=b")</f>
        <v>43.474264705882341</v>
      </c>
      <c r="N30" s="9">
        <f>_xll.BQL("DAL US Equity", "FA_GROWTH(COST_PER_SEAT_EXCL_ABN_ITMS, YOY)", "FPT=A", "FPO=-4A", "ACT_EST_MAPPING=PRECISE", "FS=MRC", "CURRENCY=USD", "XLFILL=b")</f>
        <v>5.5286129970902058</v>
      </c>
    </row>
    <row r="31" spans="1:14" x14ac:dyDescent="0.2">
      <c r="A31" s="8" t="s">
        <v>16</v>
      </c>
      <c r="B31" s="4"/>
      <c r="C31" s="4"/>
      <c r="D31" s="4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spans="1:14" x14ac:dyDescent="0.2">
      <c r="A32" s="8" t="s">
        <v>40</v>
      </c>
      <c r="B32" s="4" t="s">
        <v>41</v>
      </c>
      <c r="C32" s="4"/>
      <c r="D32" s="4"/>
      <c r="E32" s="9">
        <f>_xll.BQL("DAL US Equity", "SIZE_OF_FLEET", "FPT=A", "FPO=5A", "ACT_EST_MAPPING=PRECISE", "FS=MRC", "CURRENCY=USD", "XLFILL=b")</f>
        <v>1278</v>
      </c>
      <c r="F32" s="9">
        <f>_xll.BQL("DAL US Equity", "SIZE_OF_FLEET", "FPT=A", "FPO=4A", "ACT_EST_MAPPING=PRECISE", "FS=MRC", "CURRENCY=USD", "XLFILL=b")</f>
        <v>1307</v>
      </c>
      <c r="G32" s="9">
        <f>_xll.BQL("DAL US Equity", "SIZE_OF_FLEET", "FPT=A", "FPO=3A", "ACT_EST_MAPPING=PRECISE", "FS=MRC", "CURRENCY=USD", "XLFILL=b")</f>
        <v>1297</v>
      </c>
      <c r="H32" s="9">
        <f>_xll.BQL("DAL US Equity", "SIZE_OF_FLEET", "FPT=A", "FPO=2A", "ACT_EST_MAPPING=PRECISE", "FS=MRC", "CURRENCY=USD", "XLFILL=b")</f>
        <v>1247</v>
      </c>
      <c r="I32" s="9">
        <f>_xll.BQL("DAL US Equity", "SIZE_OF_FLEET", "FPT=A", "FPO=1A", "ACT_EST_MAPPING=PRECISE", "FS=MRC", "CURRENCY=USD", "XLFILL=b")</f>
        <v>1217</v>
      </c>
      <c r="J32" s="9">
        <f>_xll.BQL("DAL US Equity", "SIZE_OF_FLEET", "FPT=A", "FPO=0A", "ACT_EST_MAPPING=PRECISE", "FS=MRC", "CURRENCY=USD", "XLFILL=b")</f>
        <v>1273</v>
      </c>
      <c r="K32" s="9">
        <f>_xll.BQL("DAL US Equity", "SIZE_OF_FLEET", "FPT=A", "FPO=-1A", "ACT_EST_MAPPING=PRECISE", "FS=MRC", "CURRENCY=USD", "XLFILL=b")</f>
        <v>1254</v>
      </c>
      <c r="L32" s="9">
        <f>_xll.BQL("DAL US Equity", "SIZE_OF_FLEET", "FPT=A", "FPO=-2A", "ACT_EST_MAPPING=PRECISE", "FS=MRC", "CURRENCY=USD", "XLFILL=b")</f>
        <v>1165</v>
      </c>
      <c r="M32" s="9">
        <f>_xll.BQL("DAL US Equity", "SIZE_OF_FLEET", "FPT=A", "FPO=-3A", "ACT_EST_MAPPING=PRECISE", "FS=MRC", "CURRENCY=USD", "XLFILL=b")</f>
        <v>1090</v>
      </c>
      <c r="N32" s="9">
        <f>_xll.BQL("DAL US Equity", "SIZE_OF_FLEET", "FPT=A", "FPO=-4A", "ACT_EST_MAPPING=PRECISE", "FS=MRC", "CURRENCY=USD", "XLFILL=b")</f>
        <v>1340</v>
      </c>
    </row>
    <row r="33" spans="1:14" x14ac:dyDescent="0.2">
      <c r="A33" s="8" t="s">
        <v>12</v>
      </c>
      <c r="B33" s="4" t="s">
        <v>41</v>
      </c>
      <c r="C33" s="4"/>
      <c r="D33" s="4"/>
      <c r="E33" s="9">
        <f>_xll.BQL("DAL US Equity", "FA_GROWTH(SIZE_OF_FLEET, YOY)", "FPT=A", "FPO=5A", "ACT_EST_MAPPING=PRECISE", "FS=MRC", "CURRENCY=USD", "XLFILL=b")</f>
        <v>-2.2188217291507271</v>
      </c>
      <c r="F33" s="9">
        <f>_xll.BQL("DAL US Equity", "FA_GROWTH(SIZE_OF_FLEET, YOY)", "FPT=A", "FPO=4A", "ACT_EST_MAPPING=PRECISE", "FS=MRC", "CURRENCY=USD", "XLFILL=b")</f>
        <v>0.77101002313030065</v>
      </c>
      <c r="G33" s="9">
        <f>_xll.BQL("DAL US Equity", "FA_GROWTH(SIZE_OF_FLEET, YOY)", "FPT=A", "FPO=3A", "ACT_EST_MAPPING=PRECISE", "FS=MRC", "CURRENCY=USD", "XLFILL=b")</f>
        <v>4.0096230954290295</v>
      </c>
      <c r="H33" s="9">
        <f>_xll.BQL("DAL US Equity", "FA_GROWTH(SIZE_OF_FLEET, YOY)", "FPT=A", "FPO=2A", "ACT_EST_MAPPING=PRECISE", "FS=MRC", "CURRENCY=USD", "XLFILL=b")</f>
        <v>2.4650780608052587</v>
      </c>
      <c r="I33" s="9">
        <f>_xll.BQL("DAL US Equity", "FA_GROWTH(SIZE_OF_FLEET, YOY)", "FPT=A", "FPO=1A", "ACT_EST_MAPPING=PRECISE", "FS=MRC", "CURRENCY=USD", "XLFILL=b")</f>
        <v>-4.3990573448546737</v>
      </c>
      <c r="J33" s="9">
        <f>_xll.BQL("DAL US Equity", "FA_GROWTH(SIZE_OF_FLEET, YOY)", "FPT=A", "FPO=0A", "ACT_EST_MAPPING=PRECISE", "FS=MRC", "CURRENCY=USD", "XLFILL=b")</f>
        <v>1.5151515151515151</v>
      </c>
      <c r="K33" s="9">
        <f>_xll.BQL("DAL US Equity", "FA_GROWTH(SIZE_OF_FLEET, YOY)", "FPT=A", "FPO=-1A", "ACT_EST_MAPPING=PRECISE", "FS=MRC", "CURRENCY=USD", "XLFILL=b")</f>
        <v>7.6394849785407724</v>
      </c>
      <c r="L33" s="9">
        <f>_xll.BQL("DAL US Equity", "FA_GROWTH(SIZE_OF_FLEET, YOY)", "FPT=A", "FPO=-2A", "ACT_EST_MAPPING=PRECISE", "FS=MRC", "CURRENCY=USD", "XLFILL=b")</f>
        <v>6.8807339449541285</v>
      </c>
      <c r="M33" s="9">
        <f>_xll.BQL("DAL US Equity", "FA_GROWTH(SIZE_OF_FLEET, YOY)", "FPT=A", "FPO=-3A", "ACT_EST_MAPPING=PRECISE", "FS=MRC", "CURRENCY=USD", "XLFILL=b")</f>
        <v>-18.656716417910449</v>
      </c>
      <c r="N33" s="9">
        <f>_xll.BQL("DAL US Equity", "FA_GROWTH(SIZE_OF_FLEET, YOY)", "FPT=A", "FPO=-4A", "ACT_EST_MAPPING=PRECISE", "FS=MRC", "CURRENCY=USD", "XLFILL=b")</f>
        <v>30.73170731707317</v>
      </c>
    </row>
    <row r="34" spans="1:14" x14ac:dyDescent="0.2">
      <c r="A34" s="8" t="s">
        <v>16</v>
      </c>
      <c r="B34" s="4"/>
      <c r="C34" s="4"/>
      <c r="D34" s="4"/>
      <c r="E34" s="9"/>
      <c r="F34" s="9"/>
      <c r="G34" s="9"/>
      <c r="H34" s="9"/>
      <c r="I34" s="9"/>
      <c r="J34" s="9"/>
      <c r="K34" s="9"/>
      <c r="L34" s="9"/>
      <c r="M34" s="9"/>
      <c r="N34" s="9"/>
    </row>
    <row r="35" spans="1:14" x14ac:dyDescent="0.2">
      <c r="A35" s="8" t="s">
        <v>42</v>
      </c>
      <c r="B35" s="4" t="s">
        <v>43</v>
      </c>
      <c r="C35" s="4" t="s">
        <v>44</v>
      </c>
      <c r="D35" s="4"/>
      <c r="E35" s="9">
        <f>_xll.BQL("DAL US Equity", "AIRLINES_EBITDAR_RATIO/1M", "FPT=A", "FPO=5A", "ACT_EST_MAPPING=PRECISE", "FS=MRC", "CURRENCY=USD", "XLFILL=b")</f>
        <v>12485.512450022092</v>
      </c>
      <c r="F35" s="9">
        <f>_xll.BQL("DAL US Equity", "AIRLINES_EBITDAR_RATIO/1M", "FPT=A", "FPO=4A", "ACT_EST_MAPPING=PRECISE", "FS=MRC", "CURRENCY=USD", "XLFILL=b")</f>
        <v>12147.132873238395</v>
      </c>
      <c r="G35" s="9">
        <f>_xll.BQL("DAL US Equity", "AIRLINES_EBITDAR_RATIO/1M", "FPT=A", "FPO=3A", "ACT_EST_MAPPING=PRECISE", "FS=MRC", "CURRENCY=USD", "XLFILL=b")</f>
        <v>10812.876201022918</v>
      </c>
      <c r="H35" s="9">
        <f>_xll.BQL("DAL US Equity", "AIRLINES_EBITDAR_RATIO/1M", "FPT=A", "FPO=2A", "ACT_EST_MAPPING=PRECISE", "FS=MRC", "CURRENCY=USD", "XLFILL=b")</f>
        <v>10060.151236755073</v>
      </c>
      <c r="I35" s="9">
        <f>_xll.BQL("DAL US Equity", "AIRLINES_EBITDAR_RATIO/1M", "FPT=A", "FPO=1A", "ACT_EST_MAPPING=PRECISE", "FS=MRC", "CURRENCY=USD", "XLFILL=b")</f>
        <v>9042.653382095883</v>
      </c>
      <c r="J35" s="9">
        <f>_xll.BQL("DAL US Equity", "AIRLINES_EBITDAR_RATIO/1M", "FPT=A", "FPO=0A", "ACT_EST_MAPPING=PRECISE", "FS=MRC", "CURRENCY=USD", "XLFILL=b")</f>
        <v>8843</v>
      </c>
      <c r="K35" s="9">
        <f>_xll.BQL("DAL US Equity", "AIRLINES_EBITDAR_RATIO/1M", "FPT=A", "FPO=-1A", "ACT_EST_MAPPING=PRECISE", "FS=MRC", "CURRENCY=USD", "XLFILL=b")</f>
        <v>6717</v>
      </c>
      <c r="L35" s="9">
        <f>_xll.BQL("DAL US Equity", "AIRLINES_EBITDAR_RATIO/1M", "FPT=A", "FPO=-2A", "ACT_EST_MAPPING=PRECISE", "FS=MRC", "CURRENCY=USD", "XLFILL=b")</f>
        <v>4747</v>
      </c>
      <c r="M35" s="9">
        <f>_xll.BQL("DAL US Equity", "AIRLINES_EBITDAR_RATIO/1M", "FPT=A", "FPO=-3A", "ACT_EST_MAPPING=PRECISE", "FS=MRC", "CURRENCY=USD", "XLFILL=b")</f>
        <v>-9138</v>
      </c>
      <c r="N35" s="9">
        <f>_xll.BQL("DAL US Equity", "AIRLINES_EBITDAR_RATIO/1M", "FPT=A", "FPO=-4A", "ACT_EST_MAPPING=PRECISE", "FS=MRC", "CURRENCY=USD", "XLFILL=b")</f>
        <v>10212</v>
      </c>
    </row>
    <row r="36" spans="1:14" x14ac:dyDescent="0.2">
      <c r="A36" s="8" t="s">
        <v>12</v>
      </c>
      <c r="B36" s="4" t="s">
        <v>43</v>
      </c>
      <c r="C36" s="4" t="s">
        <v>44</v>
      </c>
      <c r="D36" s="4"/>
      <c r="E36" s="9">
        <f>_xll.BQL("DAL US Equity", "FA_GROWTH(AIRLINES_EBITDAR_RATIO, YOY)", "FPT=A", "FPO=5A", "ACT_EST_MAPPING=PRECISE", "FS=MRC", "CURRENCY=USD", "XLFILL=b")</f>
        <v>2.7856744493936212</v>
      </c>
      <c r="F36" s="9">
        <f>_xll.BQL("DAL US Equity", "FA_GROWTH(AIRLINES_EBITDAR_RATIO, YOY)", "FPT=A", "FPO=4A", "ACT_EST_MAPPING=PRECISE", "FS=MRC", "CURRENCY=USD", "XLFILL=b")</f>
        <v>12.339516770655839</v>
      </c>
      <c r="G36" s="9">
        <f>_xll.BQL("DAL US Equity", "FA_GROWTH(AIRLINES_EBITDAR_RATIO, YOY)", "FPT=A", "FPO=3A", "ACT_EST_MAPPING=PRECISE", "FS=MRC", "CURRENCY=USD", "XLFILL=b")</f>
        <v>7.482243025509808</v>
      </c>
      <c r="H36" s="9">
        <f>_xll.BQL("DAL US Equity", "FA_GROWTH(AIRLINES_EBITDAR_RATIO, YOY)", "FPT=A", "FPO=2A", "ACT_EST_MAPPING=PRECISE", "FS=MRC", "CURRENCY=USD", "XLFILL=b")</f>
        <v>11.252204542903293</v>
      </c>
      <c r="I36" s="9">
        <f>_xll.BQL("DAL US Equity", "FA_GROWTH(AIRLINES_EBITDAR_RATIO, YOY)", "FPT=A", "FPO=1A", "ACT_EST_MAPPING=PRECISE", "FS=MRC", "CURRENCY=USD", "XLFILL=b")</f>
        <v>2.2577562150388149</v>
      </c>
      <c r="J36" s="9">
        <f>_xll.BQL("DAL US Equity", "FA_GROWTH(AIRLINES_EBITDAR_RATIO, YOY)", "FPT=A", "FPO=0A", "ACT_EST_MAPPING=PRECISE", "FS=MRC", "CURRENCY=USD", "XLFILL=b")</f>
        <v>31.651034688104808</v>
      </c>
      <c r="K36" s="9">
        <f>_xll.BQL("DAL US Equity", "FA_GROWTH(AIRLINES_EBITDAR_RATIO, YOY)", "FPT=A", "FPO=-1A", "ACT_EST_MAPPING=PRECISE", "FS=MRC", "CURRENCY=USD", "XLFILL=b")</f>
        <v>41.499894670318099</v>
      </c>
      <c r="L36" s="9">
        <f>_xll.BQL("DAL US Equity", "FA_GROWTH(AIRLINES_EBITDAR_RATIO, YOY)", "FPT=A", "FPO=-2A", "ACT_EST_MAPPING=PRECISE", "FS=MRC", "CURRENCY=USD", "XLFILL=b")</f>
        <v>151.94790982709566</v>
      </c>
      <c r="M36" s="9">
        <f>_xll.BQL("DAL US Equity", "FA_GROWTH(AIRLINES_EBITDAR_RATIO, YOY)", "FPT=A", "FPO=-3A", "ACT_EST_MAPPING=PRECISE", "FS=MRC", "CURRENCY=USD", "XLFILL=b")</f>
        <v>-189.48296122209166</v>
      </c>
      <c r="N36" s="9">
        <f>_xll.BQL("DAL US Equity", "FA_GROWTH(AIRLINES_EBITDAR_RATIO, YOY)", "FPT=A", "FPO=-4A", "ACT_EST_MAPPING=PRECISE", "FS=MRC", "CURRENCY=USD", "XLFILL=b")</f>
        <v>18.923954815418657</v>
      </c>
    </row>
    <row r="37" spans="1:14" x14ac:dyDescent="0.2">
      <c r="A37" s="8" t="s">
        <v>45</v>
      </c>
      <c r="B37" s="4" t="s">
        <v>46</v>
      </c>
      <c r="C37" s="4"/>
      <c r="D37" s="4"/>
      <c r="E37" s="9">
        <f>_xll.BQL("DAL US Equity", "IS_COMP_PTP_EX_STK_BASED_COMP/1M", "FPT=A", "FPO=5A", "ACT_EST_MAPPING=PRECISE", "FS=MRC", "CURRENCY=USD", "XLFILL=b")</f>
        <v>8245</v>
      </c>
      <c r="F37" s="9">
        <f>_xll.BQL("DAL US Equity", "IS_COMP_PTP_EX_STK_BASED_COMP/1M", "FPT=A", "FPO=4A", "ACT_EST_MAPPING=PRECISE", "FS=MRC", "CURRENCY=USD", "XLFILL=b")</f>
        <v>7773.333333333333</v>
      </c>
      <c r="G37" s="9">
        <f>_xll.BQL("DAL US Equity", "IS_COMP_PTP_EX_STK_BASED_COMP/1M", "FPT=A", "FPO=3A", "ACT_EST_MAPPING=PRECISE", "FS=MRC", "CURRENCY=USD", "XLFILL=b")</f>
        <v>6950.833333333333</v>
      </c>
      <c r="H37" s="9">
        <f>_xll.BQL("DAL US Equity", "IS_COMP_PTP_EX_STK_BASED_COMP/1M", "FPT=A", "FPO=2A", "ACT_EST_MAPPING=PRECISE", "FS=MRC", "CURRENCY=USD", "XLFILL=b")</f>
        <v>6162.0588235294117</v>
      </c>
      <c r="I37" s="9">
        <f>_xll.BQL("DAL US Equity", "IS_COMP_PTP_EX_STK_BASED_COMP/1M", "FPT=A", "FPO=1A", "ACT_EST_MAPPING=PRECISE", "FS=MRC", "CURRENCY=USD", "XLFILL=b")</f>
        <v>5060.0588235294117</v>
      </c>
      <c r="J37" s="9">
        <f>_xll.BQL("DAL US Equity", "IS_COMP_PTP_EX_STK_BASED_COMP/1M", "FPT=A", "FPO=0A", "ACT_EST_MAPPING=PRECISE", "FS=MRC", "CURRENCY=USD", "XLFILL=b")</f>
        <v>5220</v>
      </c>
      <c r="K37" s="9">
        <f>_xll.BQL("DAL US Equity", "IS_COMP_PTP_EX_STK_BASED_COMP/1M", "FPT=A", "FPO=-1A", "ACT_EST_MAPPING=PRECISE", "FS=MRC", "CURRENCY=USD", "XLFILL=b")</f>
        <v>2703</v>
      </c>
      <c r="L37" s="9">
        <f>_xll.BQL("DAL US Equity", "IS_COMP_PTP_EX_STK_BASED_COMP/1M", "FPT=A", "FPO=-2A", "ACT_EST_MAPPING=PRECISE", "FS=MRC", "CURRENCY=USD", "XLFILL=b")</f>
        <v>-3415</v>
      </c>
      <c r="M37" s="9">
        <f>_xll.BQL("DAL US Equity", "IS_COMP_PTP_EX_STK_BASED_COMP/1M", "FPT=A", "FPO=-3A", "ACT_EST_MAPPING=PRECISE", "FS=MRC", "CURRENCY=USD", "XLFILL=b")</f>
        <v>-8996</v>
      </c>
      <c r="N37" s="9">
        <f>_xll.BQL("DAL US Equity", "IS_COMP_PTP_EX_STK_BASED_COMP/1M", "FPT=A", "FPO=-4A", "ACT_EST_MAPPING=PRECISE", "FS=MRC", "CURRENCY=USD", "XLFILL=b")</f>
        <v>6198</v>
      </c>
    </row>
    <row r="38" spans="1:14" x14ac:dyDescent="0.2">
      <c r="A38" s="8" t="s">
        <v>12</v>
      </c>
      <c r="B38" s="4" t="s">
        <v>46</v>
      </c>
      <c r="C38" s="4"/>
      <c r="D38" s="4"/>
      <c r="E38" s="9">
        <f>_xll.BQL("DAL US Equity", "FA_GROWTH(IS_COMP_PTP_EX_STK_BASED_COMP, YOY)", "FPT=A", "FPO=5A", "ACT_EST_MAPPING=PRECISE", "FS=MRC", "CURRENCY=USD", "XLFILL=b")</f>
        <v>6.0677530017152703</v>
      </c>
      <c r="F38" s="9">
        <f>_xll.BQL("DAL US Equity", "FA_GROWTH(IS_COMP_PTP_EX_STK_BASED_COMP, YOY)", "FPT=A", "FPO=4A", "ACT_EST_MAPPING=PRECISE", "FS=MRC", "CURRENCY=USD", "XLFILL=b")</f>
        <v>11.833113535547296</v>
      </c>
      <c r="G38" s="9">
        <f>_xll.BQL("DAL US Equity", "FA_GROWTH(IS_COMP_PTP_EX_STK_BASED_COMP, YOY)", "FPT=A", "FPO=3A", "ACT_EST_MAPPING=PRECISE", "FS=MRC", "CURRENCY=USD", "XLFILL=b")</f>
        <v>12.800502760409211</v>
      </c>
      <c r="H38" s="9">
        <f>_xll.BQL("DAL US Equity", "FA_GROWTH(IS_COMP_PTP_EX_STK_BASED_COMP, YOY)", "FPT=A", "FPO=2A", "ACT_EST_MAPPING=PRECISE", "FS=MRC", "CURRENCY=USD", "XLFILL=b")</f>
        <v>21.778402948117321</v>
      </c>
      <c r="I38" s="9">
        <f>_xll.BQL("DAL US Equity", "FA_GROWTH(IS_COMP_PTP_EX_STK_BASED_COMP, YOY)", "FPT=A", "FPO=1A", "ACT_EST_MAPPING=PRECISE", "FS=MRC", "CURRENCY=USD", "XLFILL=b")</f>
        <v>-3.0640072120802428</v>
      </c>
      <c r="J38" s="9">
        <f>_xll.BQL("DAL US Equity", "FA_GROWTH(IS_COMP_PTP_EX_STK_BASED_COMP, YOY)", "FPT=A", "FPO=0A", "ACT_EST_MAPPING=PRECISE", "FS=MRC", "CURRENCY=USD", "XLFILL=b")</f>
        <v>93.118756936736958</v>
      </c>
      <c r="K38" s="9">
        <f>_xll.BQL("DAL US Equity", "FA_GROWTH(IS_COMP_PTP_EX_STK_BASED_COMP, YOY)", "FPT=A", "FPO=-1A", "ACT_EST_MAPPING=PRECISE", "FS=MRC", "CURRENCY=USD", "XLFILL=b")</f>
        <v>179.15080527086383</v>
      </c>
      <c r="L38" s="9">
        <f>_xll.BQL("DAL US Equity", "FA_GROWTH(IS_COMP_PTP_EX_STK_BASED_COMP, YOY)", "FPT=A", "FPO=-2A", "ACT_EST_MAPPING=PRECISE", "FS=MRC", "CURRENCY=USD", "XLFILL=b")</f>
        <v>62.038683859493105</v>
      </c>
      <c r="M38" s="9">
        <f>_xll.BQL("DAL US Equity", "FA_GROWTH(IS_COMP_PTP_EX_STK_BASED_COMP, YOY)", "FPT=A", "FPO=-3A", "ACT_EST_MAPPING=PRECISE", "FS=MRC", "CURRENCY=USD", "XLFILL=b")</f>
        <v>-245.14359470797032</v>
      </c>
      <c r="N38" s="9">
        <f>_xll.BQL("DAL US Equity", "FA_GROWTH(IS_COMP_PTP_EX_STK_BASED_COMP, YOY)", "FPT=A", "FPO=-4A", "ACT_EST_MAPPING=PRECISE", "FS=MRC", "CURRENCY=USD", "XLFILL=b")</f>
        <v>21.220418540973988</v>
      </c>
    </row>
    <row r="39" spans="1:14" x14ac:dyDescent="0.2">
      <c r="A39" s="8" t="s">
        <v>47</v>
      </c>
      <c r="B39" s="4" t="s">
        <v>48</v>
      </c>
      <c r="C39" s="4" t="s">
        <v>49</v>
      </c>
      <c r="D39" s="4"/>
      <c r="E39" s="9">
        <f>_xll.BQL("DAL US Equity", "IS_COMP_NET_INCOME_ADJUST_OLD/1M", "FPT=A", "FPO=5A", "ACT_EST_MAPPING=PRECISE", "FS=MRC", "CURRENCY=USD", "XLFILL=b")</f>
        <v>6308</v>
      </c>
      <c r="F39" s="9">
        <f>_xll.BQL("DAL US Equity", "IS_COMP_NET_INCOME_ADJUST_OLD/1M", "FPT=A", "FPO=4A", "ACT_EST_MAPPING=PRECISE", "FS=MRC", "CURRENCY=USD", "XLFILL=b")</f>
        <v>5081.25</v>
      </c>
      <c r="G39" s="9">
        <f>_xll.BQL("DAL US Equity", "IS_COMP_NET_INCOME_ADJUST_OLD/1M", "FPT=A", "FPO=3A", "ACT_EST_MAPPING=PRECISE", "FS=MRC", "CURRENCY=USD", "XLFILL=b")</f>
        <v>5051</v>
      </c>
      <c r="H39" s="9">
        <f>_xll.BQL("DAL US Equity", "IS_COMP_NET_INCOME_ADJUST_OLD/1M", "FPT=A", "FPO=2A", "ACT_EST_MAPPING=PRECISE", "FS=MRC", "CURRENCY=USD", "XLFILL=b")</f>
        <v>4699.5</v>
      </c>
      <c r="I39" s="9">
        <f>_xll.BQL("DAL US Equity", "IS_COMP_NET_INCOME_ADJUST_OLD/1M", "FPT=A", "FPO=1A", "ACT_EST_MAPPING=PRECISE", "FS=MRC", "CURRENCY=USD", "XLFILL=b")</f>
        <v>3935.1052631578946</v>
      </c>
      <c r="J39" s="9">
        <f>_xll.BQL("DAL US Equity", "IS_COMP_NET_INCOME_ADJUST_OLD/1M", "FPT=A", "FPO=0A", "ACT_EST_MAPPING=PRECISE", "FS=MRC", "CURRENCY=USD", "XLFILL=b")</f>
        <v>4020</v>
      </c>
      <c r="K39" s="9">
        <f>_xll.BQL("DAL US Equity", "IS_COMP_NET_INCOME_ADJUST_OLD/1M", "FPT=A", "FPO=-1A", "ACT_EST_MAPPING=PRECISE", "FS=MRC", "CURRENCY=USD", "XLFILL=b")</f>
        <v>2053</v>
      </c>
      <c r="L39" s="9">
        <f>_xll.BQL("DAL US Equity", "IS_COMP_NET_INCOME_ADJUST_OLD/1M", "FPT=A", "FPO=-2A", "ACT_EST_MAPPING=PRECISE", "FS=MRC", "CURRENCY=USD", "XLFILL=b")</f>
        <v>-2598</v>
      </c>
      <c r="M39" s="9">
        <f>_xll.BQL("DAL US Equity", "IS_COMP_NET_INCOME_ADJUST_OLD/1M", "FPT=A", "FPO=-3A", "ACT_EST_MAPPING=PRECISE", "FS=MRC", "CURRENCY=USD", "XLFILL=b")</f>
        <v>-6839</v>
      </c>
      <c r="N39" s="9">
        <f>_xll.BQL("DAL US Equity", "IS_COMP_NET_INCOME_ADJUST_OLD/1M", "FPT=A", "FPO=-4A", "ACT_EST_MAPPING=PRECISE", "FS=MRC", "CURRENCY=USD", "XLFILL=b")</f>
        <v>4773</v>
      </c>
    </row>
    <row r="40" spans="1:14" x14ac:dyDescent="0.2">
      <c r="A40" s="8" t="s">
        <v>12</v>
      </c>
      <c r="B40" s="4" t="s">
        <v>48</v>
      </c>
      <c r="C40" s="4" t="s">
        <v>49</v>
      </c>
      <c r="D40" s="4"/>
      <c r="E40" s="9">
        <f>_xll.BQL("DAL US Equity", "FA_GROWTH(IS_COMP_NET_INCOME_ADJUST_OLD, YOY)", "FPT=A", "FPO=5A", "ACT_EST_MAPPING=PRECISE", "FS=MRC", "CURRENCY=USD", "XLFILL=b")</f>
        <v>24.142681426814267</v>
      </c>
      <c r="F40" s="9">
        <f>_xll.BQL("DAL US Equity", "FA_GROWTH(IS_COMP_NET_INCOME_ADJUST_OLD, YOY)", "FPT=A", "FPO=4A", "ACT_EST_MAPPING=PRECISE", "FS=MRC", "CURRENCY=USD", "XLFILL=b")</f>
        <v>0.59889130865175211</v>
      </c>
      <c r="G40" s="9">
        <f>_xll.BQL("DAL US Equity", "FA_GROWTH(IS_COMP_NET_INCOME_ADJUST_OLD, YOY)", "FPT=A", "FPO=3A", "ACT_EST_MAPPING=PRECISE", "FS=MRC", "CURRENCY=USD", "XLFILL=b")</f>
        <v>7.4795190977763593</v>
      </c>
      <c r="H40" s="9">
        <f>_xll.BQL("DAL US Equity", "FA_GROWTH(IS_COMP_NET_INCOME_ADJUST_OLD, YOY)", "FPT=A", "FPO=2A", "ACT_EST_MAPPING=PRECISE", "FS=MRC", "CURRENCY=USD", "XLFILL=b")</f>
        <v>19.425013709256763</v>
      </c>
      <c r="I40" s="9">
        <f>_xll.BQL("DAL US Equity", "FA_GROWTH(IS_COMP_NET_INCOME_ADJUST_OLD, YOY)", "FPT=A", "FPO=1A", "ACT_EST_MAPPING=PRECISE", "FS=MRC", "CURRENCY=USD", "XLFILL=b")</f>
        <v>-2.1118093741817261</v>
      </c>
      <c r="J40" s="9">
        <f>_xll.BQL("DAL US Equity", "FA_GROWTH(IS_COMP_NET_INCOME_ADJUST_OLD, YOY)", "FPT=A", "FPO=0A", "ACT_EST_MAPPING=PRECISE", "FS=MRC", "CURRENCY=USD", "XLFILL=b")</f>
        <v>95.811008280565034</v>
      </c>
      <c r="K40" s="9">
        <f>_xll.BQL("DAL US Equity", "FA_GROWTH(IS_COMP_NET_INCOME_ADJUST_OLD, YOY)", "FPT=A", "FPO=-1A", "ACT_EST_MAPPING=PRECISE", "FS=MRC", "CURRENCY=USD", "XLFILL=b")</f>
        <v>179.02232486528098</v>
      </c>
      <c r="L40" s="9">
        <f>_xll.BQL("DAL US Equity", "FA_GROWTH(IS_COMP_NET_INCOME_ADJUST_OLD, YOY)", "FPT=A", "FPO=-2A", "ACT_EST_MAPPING=PRECISE", "FS=MRC", "CURRENCY=USD", "XLFILL=b")</f>
        <v>62.011990057025884</v>
      </c>
      <c r="M40" s="9">
        <f>_xll.BQL("DAL US Equity", "FA_GROWTH(IS_COMP_NET_INCOME_ADJUST_OLD, YOY)", "FPT=A", "FPO=-3A", "ACT_EST_MAPPING=PRECISE", "FS=MRC", "CURRENCY=USD", "XLFILL=b")</f>
        <v>-243.285145610727</v>
      </c>
      <c r="N40" s="9">
        <f>_xll.BQL("DAL US Equity", "FA_GROWTH(IS_COMP_NET_INCOME_ADJUST_OLD, YOY)", "FPT=A", "FPO=-4A", "ACT_EST_MAPPING=PRECISE", "FS=MRC", "CURRENCY=USD", "XLFILL=b")</f>
        <v>21.853459280061273</v>
      </c>
    </row>
    <row r="41" spans="1:14" x14ac:dyDescent="0.2">
      <c r="A41" s="8" t="s">
        <v>16</v>
      </c>
      <c r="B41" s="4"/>
      <c r="C41" s="4"/>
      <c r="D41" s="4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spans="1:14" x14ac:dyDescent="0.2">
      <c r="A42" s="8" t="s">
        <v>50</v>
      </c>
      <c r="B42" s="4"/>
      <c r="C42" s="4" t="s">
        <v>51</v>
      </c>
      <c r="D42" s="4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spans="1:14" x14ac:dyDescent="0.2">
      <c r="A43" s="8" t="s">
        <v>16</v>
      </c>
      <c r="B43" s="4"/>
      <c r="C43" s="4"/>
      <c r="D43" s="4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spans="1:14" x14ac:dyDescent="0.2">
      <c r="A44" s="8" t="s">
        <v>52</v>
      </c>
      <c r="B44" s="4"/>
      <c r="C44" s="4" t="s">
        <v>53</v>
      </c>
      <c r="D44" s="4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spans="1:14" x14ac:dyDescent="0.2">
      <c r="A45" s="8" t="s">
        <v>54</v>
      </c>
      <c r="B45" s="4" t="s">
        <v>17</v>
      </c>
      <c r="C45" s="4" t="s">
        <v>55</v>
      </c>
      <c r="D45" s="4"/>
      <c r="E45" s="9">
        <f>_xll.BQL("DAL US Equity", "REV_PASS_MILES_KM/1M", "FPT=A", "FPO=5A", "ACT_EST_MAPPING=PRECISE", "FS=MRC", "CURRENCY=USD", "XLFILL=b")</f>
        <v>281378.21149245487</v>
      </c>
      <c r="F45" s="9">
        <f>_xll.BQL("DAL US Equity", "REV_PASS_MILES_KM/1M", "FPT=A", "FPO=4A", "ACT_EST_MAPPING=PRECISE", "FS=MRC", "CURRENCY=USD", "XLFILL=b")</f>
        <v>273126.69509729167</v>
      </c>
      <c r="G45" s="9">
        <f>_xll.BQL("DAL US Equity", "REV_PASS_MILES_KM/1M", "FPT=A", "FPO=3A", "ACT_EST_MAPPING=PRECISE", "FS=MRC", "CURRENCY=USD", "XLFILL=b")</f>
        <v>262359.15255661815</v>
      </c>
      <c r="H45" s="9">
        <f>_xll.BQL("DAL US Equity", "REV_PASS_MILES_KM/1M", "FPT=A", "FPO=2A", "ACT_EST_MAPPING=PRECISE", "FS=MRC", "CURRENCY=USD", "XLFILL=b")</f>
        <v>254359.7314225407</v>
      </c>
      <c r="I45" s="9">
        <f>_xll.BQL("DAL US Equity", "REV_PASS_MILES_KM/1M", "FPT=A", "FPO=1A", "ACT_EST_MAPPING=PRECISE", "FS=MRC", "CURRENCY=USD", "XLFILL=b")</f>
        <v>244608.01815909805</v>
      </c>
      <c r="J45" s="9">
        <f>_xll.BQL("DAL US Equity", "REV_PASS_MILES_KM/1M", "FPT=A", "FPO=0A", "ACT_EST_MAPPING=PRECISE", "FS=MRC", "CURRENCY=USD", "XLFILL=b")</f>
        <v>232241</v>
      </c>
      <c r="K45" s="9">
        <f>_xll.BQL("DAL US Equity", "REV_PASS_MILES_KM/1M", "FPT=A", "FPO=-1A", "ACT_EST_MAPPING=PRECISE", "FS=MRC", "CURRENCY=USD", "XLFILL=b")</f>
        <v>195480</v>
      </c>
      <c r="L45" s="9">
        <f>_xll.BQL("DAL US Equity", "REV_PASS_MILES_KM/1M", "FPT=A", "FPO=-2A", "ACT_EST_MAPPING=PRECISE", "FS=MRC", "CURRENCY=USD", "XLFILL=b")</f>
        <v>134692</v>
      </c>
      <c r="M45" s="9">
        <f>_xll.BQL("DAL US Equity", "REV_PASS_MILES_KM/1M", "FPT=A", "FPO=-3A", "ACT_EST_MAPPING=PRECISE", "FS=MRC", "CURRENCY=USD", "XLFILL=b")</f>
        <v>73412</v>
      </c>
      <c r="N45" s="9">
        <f>_xll.BQL("DAL US Equity", "REV_PASS_MILES_KM/1M", "FPT=A", "FPO=-4A", "ACT_EST_MAPPING=PRECISE", "FS=MRC", "CURRENCY=USD", "XLFILL=b")</f>
        <v>237680</v>
      </c>
    </row>
    <row r="46" spans="1:14" x14ac:dyDescent="0.2">
      <c r="A46" s="8" t="s">
        <v>12</v>
      </c>
      <c r="B46" s="4" t="s">
        <v>17</v>
      </c>
      <c r="C46" s="4" t="s">
        <v>55</v>
      </c>
      <c r="D46" s="4"/>
      <c r="E46" s="9">
        <f>_xll.BQL("DAL US Equity", "FA_GROWTH(REV_PASS_MILES_KM, YOY)", "FPT=A", "FPO=5A", "ACT_EST_MAPPING=PRECISE", "FS=MRC", "CURRENCY=USD", "XLFILL=b")</f>
        <v>3.0211314174998272</v>
      </c>
      <c r="F46" s="9">
        <f>_xll.BQL("DAL US Equity", "FA_GROWTH(REV_PASS_MILES_KM, YOY)", "FPT=A", "FPO=4A", "ACT_EST_MAPPING=PRECISE", "FS=MRC", "CURRENCY=USD", "XLFILL=b")</f>
        <v>4.1041230830892443</v>
      </c>
      <c r="G46" s="9">
        <f>_xll.BQL("DAL US Equity", "FA_GROWTH(REV_PASS_MILES_KM, YOY)", "FPT=A", "FPO=3A", "ACT_EST_MAPPING=PRECISE", "FS=MRC", "CURRENCY=USD", "XLFILL=b")</f>
        <v>3.1449243515628926</v>
      </c>
      <c r="H46" s="9">
        <f>_xll.BQL("DAL US Equity", "FA_GROWTH(REV_PASS_MILES_KM, YOY)", "FPT=A", "FPO=2A", "ACT_EST_MAPPING=PRECISE", "FS=MRC", "CURRENCY=USD", "XLFILL=b")</f>
        <v>3.9866695036545958</v>
      </c>
      <c r="I46" s="9">
        <f>_xll.BQL("DAL US Equity", "FA_GROWTH(REV_PASS_MILES_KM, YOY)", "FPT=A", "FPO=1A", "ACT_EST_MAPPING=PRECISE", "FS=MRC", "CURRENCY=USD", "XLFILL=b")</f>
        <v>5.3250796194892596</v>
      </c>
      <c r="J46" s="9">
        <f>_xll.BQL("DAL US Equity", "FA_GROWTH(REV_PASS_MILES_KM, YOY)", "FPT=A", "FPO=0A", "ACT_EST_MAPPING=PRECISE", "FS=MRC", "CURRENCY=USD", "XLFILL=b")</f>
        <v>18.805504399427051</v>
      </c>
      <c r="K46" s="9">
        <f>_xll.BQL("DAL US Equity", "FA_GROWTH(REV_PASS_MILES_KM, YOY)", "FPT=A", "FPO=-1A", "ACT_EST_MAPPING=PRECISE", "FS=MRC", "CURRENCY=USD", "XLFILL=b")</f>
        <v>45.131113948861106</v>
      </c>
      <c r="L46" s="9">
        <f>_xll.BQL("DAL US Equity", "FA_GROWTH(REV_PASS_MILES_KM, YOY)", "FPT=A", "FPO=-2A", "ACT_EST_MAPPING=PRECISE", "FS=MRC", "CURRENCY=USD", "XLFILL=b")</f>
        <v>83.474091429194132</v>
      </c>
      <c r="M46" s="9">
        <f>_xll.BQL("DAL US Equity", "FA_GROWTH(REV_PASS_MILES_KM, YOY)", "FPT=A", "FPO=-3A", "ACT_EST_MAPPING=PRECISE", "FS=MRC", "CURRENCY=USD", "XLFILL=b")</f>
        <v>-69.113093234601138</v>
      </c>
      <c r="N46" s="9">
        <f>_xll.BQL("DAL US Equity", "FA_GROWTH(REV_PASS_MILES_KM, YOY)", "FPT=A", "FPO=-4A", "ACT_EST_MAPPING=PRECISE", "FS=MRC", "CURRENCY=USD", "XLFILL=b")</f>
        <v>5.5215922359407399</v>
      </c>
    </row>
    <row r="47" spans="1:14" x14ac:dyDescent="0.2">
      <c r="A47" s="8" t="s">
        <v>56</v>
      </c>
      <c r="B47" s="4" t="s">
        <v>20</v>
      </c>
      <c r="C47" s="4" t="s">
        <v>57</v>
      </c>
      <c r="D47" s="4"/>
      <c r="E47" s="9">
        <f>_xll.BQL("DAL US Equity", "AVAIL_SEAT_MILES_KM/1M", "FPT=A", "FPO=5A", "ACT_EST_MAPPING=PRECISE", "FS=MRC", "CURRENCY=USD", "XLFILL=b")</f>
        <v>327631.5700330179</v>
      </c>
      <c r="F47" s="9">
        <f>_xll.BQL("DAL US Equity", "AVAIL_SEAT_MILES_KM/1M", "FPT=A", "FPO=4A", "ACT_EST_MAPPING=PRECISE", "FS=MRC", "CURRENCY=USD", "XLFILL=b")</f>
        <v>318979.68008156802</v>
      </c>
      <c r="G47" s="9">
        <f>_xll.BQL("DAL US Equity", "AVAIL_SEAT_MILES_KM/1M", "FPT=A", "FPO=3A", "ACT_EST_MAPPING=PRECISE", "FS=MRC", "CURRENCY=USD", "XLFILL=b")</f>
        <v>308082.05025277822</v>
      </c>
      <c r="H47" s="9">
        <f>_xll.BQL("DAL US Equity", "AVAIL_SEAT_MILES_KM/1M", "FPT=A", "FPO=2A", "ACT_EST_MAPPING=PRECISE", "FS=MRC", "CURRENCY=USD", "XLFILL=b")</f>
        <v>297935.72331525333</v>
      </c>
      <c r="I47" s="9">
        <f>_xll.BQL("DAL US Equity", "AVAIL_SEAT_MILES_KM/1M", "FPT=A", "FPO=1A", "ACT_EST_MAPPING=PRECISE", "FS=MRC", "CURRENCY=USD", "XLFILL=b")</f>
        <v>286751.29339819343</v>
      </c>
      <c r="J47" s="9">
        <f>_xll.BQL("DAL US Equity", "AVAIL_SEAT_MILES_KM/1M", "FPT=A", "FPO=0A", "ACT_EST_MAPPING=PRECISE", "FS=MRC", "CURRENCY=USD", "XLFILL=b")</f>
        <v>272033</v>
      </c>
      <c r="K47" s="9">
        <f>_xll.BQL("DAL US Equity", "AVAIL_SEAT_MILES_KM/1M", "FPT=A", "FPO=-1A", "ACT_EST_MAPPING=PRECISE", "FS=MRC", "CURRENCY=USD", "XLFILL=b")</f>
        <v>233226</v>
      </c>
      <c r="L47" s="9">
        <f>_xll.BQL("DAL US Equity", "AVAIL_SEAT_MILES_KM/1M", "FPT=A", "FPO=-2A", "ACT_EST_MAPPING=PRECISE", "FS=MRC", "CURRENCY=USD", "XLFILL=b")</f>
        <v>194474</v>
      </c>
      <c r="M47" s="9">
        <f>_xll.BQL("DAL US Equity", "AVAIL_SEAT_MILES_KM/1M", "FPT=A", "FPO=-3A", "ACT_EST_MAPPING=PRECISE", "FS=MRC", "CURRENCY=USD", "XLFILL=b")</f>
        <v>134339</v>
      </c>
      <c r="N47" s="9">
        <f>_xll.BQL("DAL US Equity", "AVAIL_SEAT_MILES_KM/1M", "FPT=A", "FPO=-4A", "ACT_EST_MAPPING=PRECISE", "FS=MRC", "CURRENCY=USD", "XLFILL=b")</f>
        <v>275379</v>
      </c>
    </row>
    <row r="48" spans="1:14" x14ac:dyDescent="0.2">
      <c r="A48" s="8" t="s">
        <v>12</v>
      </c>
      <c r="B48" s="4" t="s">
        <v>20</v>
      </c>
      <c r="C48" s="4" t="s">
        <v>57</v>
      </c>
      <c r="D48" s="4"/>
      <c r="E48" s="9">
        <f>_xll.BQL("DAL US Equity", "FA_GROWTH(AVAIL_SEAT_MILES_KM, YOY)", "FPT=A", "FPO=5A", "ACT_EST_MAPPING=PRECISE", "FS=MRC", "CURRENCY=USD", "XLFILL=b")</f>
        <v>2.7123639816923353</v>
      </c>
      <c r="F48" s="9">
        <f>_xll.BQL("DAL US Equity", "FA_GROWTH(AVAIL_SEAT_MILES_KM, YOY)", "FPT=A", "FPO=4A", "ACT_EST_MAPPING=PRECISE", "FS=MRC", "CURRENCY=USD", "XLFILL=b")</f>
        <v>3.5372491905479078</v>
      </c>
      <c r="G48" s="9">
        <f>_xll.BQL("DAL US Equity", "FA_GROWTH(AVAIL_SEAT_MILES_KM, YOY)", "FPT=A", "FPO=3A", "ACT_EST_MAPPING=PRECISE", "FS=MRC", "CURRENCY=USD", "XLFILL=b")</f>
        <v>3.4055422507319659</v>
      </c>
      <c r="H48" s="9">
        <f>_xll.BQL("DAL US Equity", "FA_GROWTH(AVAIL_SEAT_MILES_KM, YOY)", "FPT=A", "FPO=2A", "ACT_EST_MAPPING=PRECISE", "FS=MRC", "CURRENCY=USD", "XLFILL=b")</f>
        <v>3.9003938864641232</v>
      </c>
      <c r="I48" s="9">
        <f>_xll.BQL("DAL US Equity", "FA_GROWTH(AVAIL_SEAT_MILES_KM, YOY)", "FPT=A", "FPO=1A", "ACT_EST_MAPPING=PRECISE", "FS=MRC", "CURRENCY=USD", "XLFILL=b")</f>
        <v>5.4104808601138172</v>
      </c>
      <c r="J48" s="9">
        <f>_xll.BQL("DAL US Equity", "FA_GROWTH(AVAIL_SEAT_MILES_KM, YOY)", "FPT=A", "FPO=0A", "ACT_EST_MAPPING=PRECISE", "FS=MRC", "CURRENCY=USD", "XLFILL=b")</f>
        <v>16.639225472288683</v>
      </c>
      <c r="K48" s="9">
        <f>_xll.BQL("DAL US Equity", "FA_GROWTH(AVAIL_SEAT_MILES_KM, YOY)", "FPT=A", "FPO=-1A", "ACT_EST_MAPPING=PRECISE", "FS=MRC", "CURRENCY=USD", "XLFILL=b")</f>
        <v>19.926571161183499</v>
      </c>
      <c r="L48" s="9">
        <f>_xll.BQL("DAL US Equity", "FA_GROWTH(AVAIL_SEAT_MILES_KM, YOY)", "FPT=A", "FPO=-2A", "ACT_EST_MAPPING=PRECISE", "FS=MRC", "CURRENCY=USD", "XLFILL=b")</f>
        <v>44.763620393184404</v>
      </c>
      <c r="M48" s="9">
        <f>_xll.BQL("DAL US Equity", "FA_GROWTH(AVAIL_SEAT_MILES_KM, YOY)", "FPT=A", "FPO=-3A", "ACT_EST_MAPPING=PRECISE", "FS=MRC", "CURRENCY=USD", "XLFILL=b")</f>
        <v>-51.216686820708915</v>
      </c>
      <c r="N48" s="9">
        <f>_xll.BQL("DAL US Equity", "FA_GROWTH(AVAIL_SEAT_MILES_KM, YOY)", "FPT=A", "FPO=-4A", "ACT_EST_MAPPING=PRECISE", "FS=MRC", "CURRENCY=USD", "XLFILL=b")</f>
        <v>4.5617299185540983</v>
      </c>
    </row>
    <row r="49" spans="1:14" x14ac:dyDescent="0.2">
      <c r="A49" s="8" t="s">
        <v>58</v>
      </c>
      <c r="B49" s="4" t="s">
        <v>31</v>
      </c>
      <c r="C49" s="4" t="s">
        <v>59</v>
      </c>
      <c r="D49" s="4"/>
      <c r="E49" s="9">
        <f>_xll.BQL("DAL US Equity", "YIELD_PER_PASS_MILES_KM", "FPT=A", "FPO=5A", "ACT_EST_MAPPING=PRECISE", "FS=MRC", "CURRENCY=USD", "XLFILL=b")</f>
        <v>20.255148771926219</v>
      </c>
      <c r="F49" s="9">
        <f>_xll.BQL("DAL US Equity", "YIELD_PER_PASS_MILES_KM", "FPT=A", "FPO=4A", "ACT_EST_MAPPING=PRECISE", "FS=MRC", "CURRENCY=USD", "XLFILL=b")</f>
        <v>20.146533790937792</v>
      </c>
      <c r="G49" s="9">
        <f>_xll.BQL("DAL US Equity", "YIELD_PER_PASS_MILES_KM", "FPT=A", "FPO=3A", "ACT_EST_MAPPING=PRECISE", "FS=MRC", "CURRENCY=USD", "XLFILL=b")</f>
        <v>20.955782364271077</v>
      </c>
      <c r="H49" s="9">
        <f>_xll.BQL("DAL US Equity", "YIELD_PER_PASS_MILES_KM", "FPT=A", "FPO=2A", "ACT_EST_MAPPING=PRECISE", "FS=MRC", "CURRENCY=USD", "XLFILL=b")</f>
        <v>20.906023282812477</v>
      </c>
      <c r="I49" s="9">
        <f>_xll.BQL("DAL US Equity", "YIELD_PER_PASS_MILES_KM", "FPT=A", "FPO=1A", "ACT_EST_MAPPING=PRECISE", "FS=MRC", "CURRENCY=USD", "XLFILL=b")</f>
        <v>20.758862065972803</v>
      </c>
      <c r="J49" s="9">
        <f>_xll.BQL("DAL US Equity", "YIELD_PER_PASS_MILES_KM", "FPT=A", "FPO=0A", "ACT_EST_MAPPING=PRECISE", "FS=MRC", "CURRENCY=USD", "XLFILL=b")</f>
        <v>21.06</v>
      </c>
      <c r="K49" s="9">
        <f>_xll.BQL("DAL US Equity", "YIELD_PER_PASS_MILES_KM", "FPT=A", "FPO=-1A", "ACT_EST_MAPPING=PRECISE", "FS=MRC", "CURRENCY=USD", "XLFILL=b")</f>
        <v>20.57</v>
      </c>
      <c r="L49" s="9">
        <f>_xll.BQL("DAL US Equity", "YIELD_PER_PASS_MILES_KM", "FPT=A", "FPO=-2A", "ACT_EST_MAPPING=PRECISE", "FS=MRC", "CURRENCY=USD", "XLFILL=b")</f>
        <v>16.72</v>
      </c>
      <c r="M49" s="9">
        <f>_xll.BQL("DAL US Equity", "YIELD_PER_PASS_MILES_KM", "FPT=A", "FPO=-3A", "ACT_EST_MAPPING=PRECISE", "FS=MRC", "CURRENCY=USD", "XLFILL=b")</f>
        <v>17.55</v>
      </c>
      <c r="N49" s="9">
        <f>_xll.BQL("DAL US Equity", "YIELD_PER_PASS_MILES_KM", "FPT=A", "FPO=-4A", "ACT_EST_MAPPING=PRECISE", "FS=MRC", "CURRENCY=USD", "XLFILL=b")</f>
        <v>17.79</v>
      </c>
    </row>
    <row r="50" spans="1:14" x14ac:dyDescent="0.2">
      <c r="A50" s="8" t="s">
        <v>12</v>
      </c>
      <c r="B50" s="4" t="s">
        <v>31</v>
      </c>
      <c r="C50" s="4" t="s">
        <v>59</v>
      </c>
      <c r="D50" s="4"/>
      <c r="E50" s="9">
        <f>_xll.BQL("DAL US Equity", "FA_GROWTH(YIELD_PER_PASS_MILES_KM, YOY)", "FPT=A", "FPO=5A", "ACT_EST_MAPPING=PRECISE", "FS=MRC", "CURRENCY=USD", "XLFILL=b")</f>
        <v>0.53912490414248937</v>
      </c>
      <c r="F50" s="9">
        <f>_xll.BQL("DAL US Equity", "FA_GROWTH(YIELD_PER_PASS_MILES_KM, YOY)", "FPT=A", "FPO=4A", "ACT_EST_MAPPING=PRECISE", "FS=MRC", "CURRENCY=USD", "XLFILL=b")</f>
        <v>-3.8616958282265204</v>
      </c>
      <c r="G50" s="9">
        <f>_xll.BQL("DAL US Equity", "FA_GROWTH(YIELD_PER_PASS_MILES_KM, YOY)", "FPT=A", "FPO=3A", "ACT_EST_MAPPING=PRECISE", "FS=MRC", "CURRENCY=USD", "XLFILL=b")</f>
        <v>0.23801313518821304</v>
      </c>
      <c r="H50" s="9">
        <f>_xll.BQL("DAL US Equity", "FA_GROWTH(YIELD_PER_PASS_MILES_KM, YOY)", "FPT=A", "FPO=2A", "ACT_EST_MAPPING=PRECISE", "FS=MRC", "CURRENCY=USD", "XLFILL=b")</f>
        <v>0.70890791784244944</v>
      </c>
      <c r="I50" s="9">
        <f>_xll.BQL("DAL US Equity", "FA_GROWTH(YIELD_PER_PASS_MILES_KM, YOY)", "FPT=A", "FPO=1A", "ACT_EST_MAPPING=PRECISE", "FS=MRC", "CURRENCY=USD", "XLFILL=b")</f>
        <v>-1.4299047199771882</v>
      </c>
      <c r="J50" s="9">
        <f>_xll.BQL("DAL US Equity", "FA_GROWTH(YIELD_PER_PASS_MILES_KM, YOY)", "FPT=A", "FPO=0A", "ACT_EST_MAPPING=PRECISE", "FS=MRC", "CURRENCY=USD", "XLFILL=b")</f>
        <v>2.3821098687408773</v>
      </c>
      <c r="K50" s="9">
        <f>_xll.BQL("DAL US Equity", "FA_GROWTH(YIELD_PER_PASS_MILES_KM, YOY)", "FPT=A", "FPO=-1A", "ACT_EST_MAPPING=PRECISE", "FS=MRC", "CURRENCY=USD", "XLFILL=b")</f>
        <v>23.026315789473692</v>
      </c>
      <c r="L50" s="9">
        <f>_xll.BQL("DAL US Equity", "FA_GROWTH(YIELD_PER_PASS_MILES_KM, YOY)", "FPT=A", "FPO=-2A", "ACT_EST_MAPPING=PRECISE", "FS=MRC", "CURRENCY=USD", "XLFILL=b")</f>
        <v>-4.7293447293447395</v>
      </c>
      <c r="M50" s="9">
        <f>_xll.BQL("DAL US Equity", "FA_GROWTH(YIELD_PER_PASS_MILES_KM, YOY)", "FPT=A", "FPO=-3A", "ACT_EST_MAPPING=PRECISE", "FS=MRC", "CURRENCY=USD", "XLFILL=b")</f>
        <v>-1.349072512647546</v>
      </c>
      <c r="N50" s="9">
        <f>_xll.BQL("DAL US Equity", "FA_GROWTH(YIELD_PER_PASS_MILES_KM, YOY)", "FPT=A", "FPO=-4A", "ACT_EST_MAPPING=PRECISE", "FS=MRC", "CURRENCY=USD", "XLFILL=b")</f>
        <v>0.79320113314447915</v>
      </c>
    </row>
    <row r="51" spans="1:14" x14ac:dyDescent="0.2">
      <c r="A51" s="8" t="s">
        <v>60</v>
      </c>
      <c r="B51" s="4" t="s">
        <v>61</v>
      </c>
      <c r="C51" s="4" t="s">
        <v>55</v>
      </c>
      <c r="D51" s="4"/>
      <c r="E51" s="9">
        <f>_xll.BQL("DAL US Equity", "ASM_PER_GALLON_LITER", "FPT=A", "FPO=5A", "ACT_EST_MAPPING=PRECISE", "FS=MRC", "CURRENCY=USD", "XLFILL=b")</f>
        <v>74.57019544531309</v>
      </c>
      <c r="F51" s="9">
        <f>_xll.BQL("DAL US Equity", "ASM_PER_GALLON_LITER", "FPT=A", "FPO=4A", "ACT_EST_MAPPING=PRECISE", "FS=MRC", "CURRENCY=USD", "XLFILL=b")</f>
        <v>73.496194388017003</v>
      </c>
      <c r="G51" s="9">
        <f>_xll.BQL("DAL US Equity", "ASM_PER_GALLON_LITER", "FPT=A", "FPO=3A", "ACT_EST_MAPPING=PRECISE", "FS=MRC", "CURRENCY=USD", "XLFILL=b")</f>
        <v>72.322132393790227</v>
      </c>
      <c r="H51" s="9">
        <f>_xll.BQL("DAL US Equity", "ASM_PER_GALLON_LITER", "FPT=A", "FPO=2A", "ACT_EST_MAPPING=PRECISE", "FS=MRC", "CURRENCY=USD", "XLFILL=b")</f>
        <v>71.352360442572802</v>
      </c>
      <c r="I51" s="9">
        <f>_xll.BQL("DAL US Equity", "ASM_PER_GALLON_LITER", "FPT=A", "FPO=1A", "ACT_EST_MAPPING=PRECISE", "FS=MRC", "CURRENCY=USD", "XLFILL=b")</f>
        <v>70.37608258616406</v>
      </c>
      <c r="J51" s="9">
        <f>_xll.BQL("DAL US Equity", "ASM_PER_GALLON_LITER", "FPT=A", "FPO=0A", "ACT_EST_MAPPING=PRECISE", "FS=MRC", "CURRENCY=USD", "XLFILL=b")</f>
        <v>69.290117167600613</v>
      </c>
      <c r="K51" s="9">
        <f>_xll.BQL("DAL US Equity", "ASM_PER_GALLON_LITER", "FPT=A", "FPO=-1A", "ACT_EST_MAPPING=PRECISE", "FS=MRC", "CURRENCY=USD", "XLFILL=b")</f>
        <v>68.354630715123093</v>
      </c>
      <c r="L51" s="9">
        <f>_xll.BQL("DAL US Equity", "ASM_PER_GALLON_LITER", "FPT=A", "FPO=-2A", "ACT_EST_MAPPING=PRECISE", "FS=MRC", "CURRENCY=USD", "XLFILL=b")</f>
        <v>70.005039596832248</v>
      </c>
      <c r="M51" s="9">
        <f>_xll.BQL("DAL US Equity", "ASM_PER_GALLON_LITER", "FPT=A", "FPO=-3A", "ACT_EST_MAPPING=PRECISE", "FS=MRC", "CURRENCY=USD", "XLFILL=b")</f>
        <v>69.425839793281654</v>
      </c>
      <c r="N51" s="9">
        <f>_xll.BQL("DAL US Equity", "ASM_PER_GALLON_LITER", "FPT=A", "FPO=-4A", "ACT_EST_MAPPING=PRECISE", "FS=MRC", "CURRENCY=USD", "XLFILL=b")</f>
        <v>65.348599905078316</v>
      </c>
    </row>
    <row r="52" spans="1:14" x14ac:dyDescent="0.2">
      <c r="A52" s="8" t="s">
        <v>12</v>
      </c>
      <c r="B52" s="4" t="s">
        <v>61</v>
      </c>
      <c r="C52" s="4" t="s">
        <v>55</v>
      </c>
      <c r="D52" s="4"/>
      <c r="E52" s="9">
        <f>_xll.BQL("DAL US Equity", "FA_GROWTH(ASM_PER_GALLON_LITER, YOY)", "FPT=A", "FPO=5A", "ACT_EST_MAPPING=PRECISE", "FS=MRC", "CURRENCY=USD", "XLFILL=b")</f>
        <v>1.4613015901557955</v>
      </c>
      <c r="F52" s="9">
        <f>_xll.BQL("DAL US Equity", "FA_GROWTH(ASM_PER_GALLON_LITER, YOY)", "FPT=A", "FPO=4A", "ACT_EST_MAPPING=PRECISE", "FS=MRC", "CURRENCY=USD", "XLFILL=b")</f>
        <v>1.6233785638870124</v>
      </c>
      <c r="G52" s="9">
        <f>_xll.BQL("DAL US Equity", "FA_GROWTH(ASM_PER_GALLON_LITER, YOY)", "FPT=A", "FPO=3A", "ACT_EST_MAPPING=PRECISE", "FS=MRC", "CURRENCY=USD", "XLFILL=b")</f>
        <v>1.3591308615472297</v>
      </c>
      <c r="H52" s="9">
        <f>_xll.BQL("DAL US Equity", "FA_GROWTH(ASM_PER_GALLON_LITER, YOY)", "FPT=A", "FPO=2A", "ACT_EST_MAPPING=PRECISE", "FS=MRC", "CURRENCY=USD", "XLFILL=b")</f>
        <v>1.3872296105902873</v>
      </c>
      <c r="I52" s="9">
        <f>_xll.BQL("DAL US Equity", "FA_GROWTH(ASM_PER_GALLON_LITER, YOY)", "FPT=A", "FPO=1A", "ACT_EST_MAPPING=PRECISE", "FS=MRC", "CURRENCY=USD", "XLFILL=b")</f>
        <v>1.5672731739458419</v>
      </c>
      <c r="J52" s="9">
        <f>_xll.BQL("DAL US Equity", "FA_GROWTH(ASM_PER_GALLON_LITER, YOY)", "FPT=A", "FPO=0A", "ACT_EST_MAPPING=PRECISE", "FS=MRC", "CURRENCY=USD", "XLFILL=b")</f>
        <v>1.3685780212554761</v>
      </c>
      <c r="K52" s="9">
        <f>_xll.BQL("DAL US Equity", "FA_GROWTH(ASM_PER_GALLON_LITER, YOY)", "FPT=A", "FPO=-1A", "ACT_EST_MAPPING=PRECISE", "FS=MRC", "CURRENCY=USD", "XLFILL=b")</f>
        <v>-2.3575572433271446</v>
      </c>
      <c r="L52" s="9">
        <f>_xll.BQL("DAL US Equity", "FA_GROWTH(ASM_PER_GALLON_LITER, YOY)", "FPT=A", "FPO=-2A", "ACT_EST_MAPPING=PRECISE", "FS=MRC", "CURRENCY=USD", "XLFILL=b")</f>
        <v>0.8342712241943141</v>
      </c>
      <c r="M52" s="9">
        <f>_xll.BQL("DAL US Equity", "FA_GROWTH(ASM_PER_GALLON_LITER, YOY)", "FPT=A", "FPO=-3A", "ACT_EST_MAPPING=PRECISE", "FS=MRC", "CURRENCY=USD", "XLFILL=b")</f>
        <v>6.2392153682339107</v>
      </c>
      <c r="N52" s="9">
        <f>_xll.BQL("DAL US Equity", "FA_GROWTH(ASM_PER_GALLON_LITER, YOY)", "FPT=A", "FPO=-4A", "ACT_EST_MAPPING=PRECISE", "FS=MRC", "CURRENCY=USD", "XLFILL=b")</f>
        <v>2.055622960373289</v>
      </c>
    </row>
    <row r="53" spans="1:14" x14ac:dyDescent="0.2">
      <c r="A53" s="8" t="s">
        <v>62</v>
      </c>
      <c r="B53" s="4" t="s">
        <v>63</v>
      </c>
      <c r="C53" s="4" t="s">
        <v>64</v>
      </c>
      <c r="D53" s="4"/>
      <c r="E53" s="9">
        <f>_xll.BQL("DAL US Equity", "FUEL_GALLONS_LITRES/1M", "FPT=A", "FPO=5A", "ACT_EST_MAPPING=PRECISE", "FS=MRC", "CURRENCY=USD", "XLFILL=b")</f>
        <v>4393.2723420974953</v>
      </c>
      <c r="F53" s="9">
        <f>_xll.BQL("DAL US Equity", "FUEL_GALLONS_LITRES/1M", "FPT=A", "FPO=4A", "ACT_EST_MAPPING=PRECISE", "FS=MRC", "CURRENCY=USD", "XLFILL=b")</f>
        <v>4370.2614772071965</v>
      </c>
      <c r="G53" s="9">
        <f>_xll.BQL("DAL US Equity", "FUEL_GALLONS_LITRES/1M", "FPT=A", "FPO=3A", "ACT_EST_MAPPING=PRECISE", "FS=MRC", "CURRENCY=USD", "XLFILL=b")</f>
        <v>4260.1830015437245</v>
      </c>
      <c r="H53" s="9">
        <f>_xll.BQL("DAL US Equity", "FUEL_GALLONS_LITRES/1M", "FPT=A", "FPO=2A", "ACT_EST_MAPPING=PRECISE", "FS=MRC", "CURRENCY=USD", "XLFILL=b")</f>
        <v>4175.5432593260011</v>
      </c>
      <c r="I53" s="9">
        <f>_xll.BQL("DAL US Equity", "FUEL_GALLONS_LITRES/1M", "FPT=A", "FPO=1A", "ACT_EST_MAPPING=PRECISE", "FS=MRC", "CURRENCY=USD", "XLFILL=b")</f>
        <v>4074.54128909463</v>
      </c>
      <c r="J53" s="9">
        <f>_xll.BQL("DAL US Equity", "FUEL_GALLONS_LITRES/1M", "FPT=A", "FPO=0A", "ACT_EST_MAPPING=PRECISE", "FS=MRC", "CURRENCY=USD", "XLFILL=b")</f>
        <v>3926</v>
      </c>
      <c r="K53" s="9">
        <f>_xll.BQL("DAL US Equity", "FUEL_GALLONS_LITRES/1M", "FPT=A", "FPO=-1A", "ACT_EST_MAPPING=PRECISE", "FS=MRC", "CURRENCY=USD", "XLFILL=b")</f>
        <v>3412</v>
      </c>
      <c r="L53" s="9">
        <f>_xll.BQL("DAL US Equity", "FUEL_GALLONS_LITRES/1M", "FPT=A", "FPO=-2A", "ACT_EST_MAPPING=PRECISE", "FS=MRC", "CURRENCY=USD", "XLFILL=b")</f>
        <v>2778</v>
      </c>
      <c r="M53" s="9">
        <f>_xll.BQL("DAL US Equity", "FUEL_GALLONS_LITRES/1M", "FPT=A", "FPO=-3A", "ACT_EST_MAPPING=PRECISE", "FS=MRC", "CURRENCY=USD", "XLFILL=b")</f>
        <v>1935</v>
      </c>
      <c r="N53" s="9">
        <f>_xll.BQL("DAL US Equity", "FUEL_GALLONS_LITRES/1M", "FPT=A", "FPO=-4A", "ACT_EST_MAPPING=PRECISE", "FS=MRC", "CURRENCY=USD", "XLFILL=b")</f>
        <v>4214</v>
      </c>
    </row>
    <row r="54" spans="1:14" x14ac:dyDescent="0.2">
      <c r="A54" s="8" t="s">
        <v>12</v>
      </c>
      <c r="B54" s="4" t="s">
        <v>63</v>
      </c>
      <c r="C54" s="4" t="s">
        <v>64</v>
      </c>
      <c r="D54" s="4"/>
      <c r="E54" s="9">
        <f>_xll.BQL("DAL US Equity", "FA_GROWTH(FUEL_GALLONS_LITRES, YOY)", "FPT=A", "FPO=5A", "ACT_EST_MAPPING=PRECISE", "FS=MRC", "CURRENCY=USD", "XLFILL=b")</f>
        <v>0.52653290907902095</v>
      </c>
      <c r="F54" s="9">
        <f>_xll.BQL("DAL US Equity", "FA_GROWTH(FUEL_GALLONS_LITRES, YOY)", "FPT=A", "FPO=4A", "ACT_EST_MAPPING=PRECISE", "FS=MRC", "CURRENCY=USD", "XLFILL=b")</f>
        <v>2.5838907770765607</v>
      </c>
      <c r="G54" s="9">
        <f>_xll.BQL("DAL US Equity", "FA_GROWTH(FUEL_GALLONS_LITRES, YOY)", "FPT=A", "FPO=3A", "ACT_EST_MAPPING=PRECISE", "FS=MRC", "CURRENCY=USD", "XLFILL=b")</f>
        <v>2.0270354529002304</v>
      </c>
      <c r="H54" s="9">
        <f>_xll.BQL("DAL US Equity", "FA_GROWTH(FUEL_GALLONS_LITRES, YOY)", "FPT=A", "FPO=2A", "ACT_EST_MAPPING=PRECISE", "FS=MRC", "CURRENCY=USD", "XLFILL=b")</f>
        <v>2.4788549940995628</v>
      </c>
      <c r="I54" s="9">
        <f>_xll.BQL("DAL US Equity", "FA_GROWTH(FUEL_GALLONS_LITRES, YOY)", "FPT=A", "FPO=1A", "ACT_EST_MAPPING=PRECISE", "FS=MRC", "CURRENCY=USD", "XLFILL=b")</f>
        <v>3.783527485854044</v>
      </c>
      <c r="J54" s="9">
        <f>_xll.BQL("DAL US Equity", "FA_GROWTH(FUEL_GALLONS_LITRES, YOY)", "FPT=A", "FPO=0A", "ACT_EST_MAPPING=PRECISE", "FS=MRC", "CURRENCY=USD", "XLFILL=b")</f>
        <v>15.064478311840563</v>
      </c>
      <c r="K54" s="9">
        <f>_xll.BQL("DAL US Equity", "FA_GROWTH(FUEL_GALLONS_LITRES, YOY)", "FPT=A", "FPO=-1A", "ACT_EST_MAPPING=PRECISE", "FS=MRC", "CURRENCY=USD", "XLFILL=b")</f>
        <v>22.822174226061914</v>
      </c>
      <c r="L54" s="9">
        <f>_xll.BQL("DAL US Equity", "FA_GROWTH(FUEL_GALLONS_LITRES, YOY)", "FPT=A", "FPO=-2A", "ACT_EST_MAPPING=PRECISE", "FS=MRC", "CURRENCY=USD", "XLFILL=b")</f>
        <v>43.565891472868216</v>
      </c>
      <c r="M54" s="9">
        <f>_xll.BQL("DAL US Equity", "FA_GROWTH(FUEL_GALLONS_LITRES, YOY)", "FPT=A", "FPO=-3A", "ACT_EST_MAPPING=PRECISE", "FS=MRC", "CURRENCY=USD", "XLFILL=b")</f>
        <v>-54.081632653061227</v>
      </c>
      <c r="N54" s="9">
        <f>_xll.BQL("DAL US Equity", "FA_GROWTH(FUEL_GALLONS_LITRES, YOY)", "FPT=A", "FPO=-4A", "ACT_EST_MAPPING=PRECISE", "FS=MRC", "CURRENCY=USD", "XLFILL=b")</f>
        <v>2.4556284950158034</v>
      </c>
    </row>
    <row r="55" spans="1:14" x14ac:dyDescent="0.2">
      <c r="A55" s="8" t="s">
        <v>65</v>
      </c>
      <c r="B55" s="4" t="s">
        <v>66</v>
      </c>
      <c r="C55" s="4" t="s">
        <v>55</v>
      </c>
      <c r="D55" s="4"/>
      <c r="E55" s="9">
        <f>_xll.BQL("DAL US Equity", "FUEL_PRICE_PER_GALLON_LITRE", "FPT=A", "FPO=5A", "ACT_EST_MAPPING=PRECISE", "FS=MRC", "CURRENCY=USD", "XLFILL=b")</f>
        <v>2.4299096204000605</v>
      </c>
      <c r="F55" s="9">
        <f>_xll.BQL("DAL US Equity", "FUEL_PRICE_PER_GALLON_LITRE", "FPT=A", "FPO=4A", "ACT_EST_MAPPING=PRECISE", "FS=MRC", "CURRENCY=USD", "XLFILL=b")</f>
        <v>2.4845204467667119</v>
      </c>
      <c r="G55" s="9">
        <f>_xll.BQL("DAL US Equity", "FUEL_PRICE_PER_GALLON_LITRE", "FPT=A", "FPO=3A", "ACT_EST_MAPPING=PRECISE", "FS=MRC", "CURRENCY=USD", "XLFILL=b")</f>
        <v>2.6571068131223838</v>
      </c>
      <c r="H55" s="9">
        <f>_xll.BQL("DAL US Equity", "FUEL_PRICE_PER_GALLON_LITRE", "FPT=A", "FPO=2A", "ACT_EST_MAPPING=PRECISE", "FS=MRC", "CURRENCY=USD", "XLFILL=b")</f>
        <v>2.6663707520681279</v>
      </c>
      <c r="I55" s="9">
        <f>_xll.BQL("DAL US Equity", "FUEL_PRICE_PER_GALLON_LITRE", "FPT=A", "FPO=1A", "ACT_EST_MAPPING=PRECISE", "FS=MRC", "CURRENCY=USD", "XLFILL=b")</f>
        <v>2.6672772623763761</v>
      </c>
      <c r="J55" s="9">
        <f>_xll.BQL("DAL US Equity", "FUEL_PRICE_PER_GALLON_LITRE", "FPT=A", "FPO=0A", "ACT_EST_MAPPING=PRECISE", "FS=MRC", "CURRENCY=USD", "XLFILL=b")</f>
        <v>2.82</v>
      </c>
      <c r="K55" s="9">
        <f>_xll.BQL("DAL US Equity", "FUEL_PRICE_PER_GALLON_LITRE", "FPT=A", "FPO=-1A", "ACT_EST_MAPPING=PRECISE", "FS=MRC", "CURRENCY=USD", "XLFILL=b")</f>
        <v>3.36</v>
      </c>
      <c r="L55" s="9">
        <f>_xll.BQL("DAL US Equity", "FUEL_PRICE_PER_GALLON_LITRE", "FPT=A", "FPO=-2A", "ACT_EST_MAPPING=PRECISE", "FS=MRC", "CURRENCY=USD", "XLFILL=b")</f>
        <v>2.02</v>
      </c>
      <c r="M55" s="9">
        <f>_xll.BQL("DAL US Equity", "FUEL_PRICE_PER_GALLON_LITRE", "FPT=A", "FPO=-3A", "ACT_EST_MAPPING=PRECISE", "FS=MRC", "CURRENCY=USD", "XLFILL=b")</f>
        <v>2.02</v>
      </c>
      <c r="N55" s="9">
        <f>_xll.BQL("DAL US Equity", "FUEL_PRICE_PER_GALLON_LITRE", "FPT=A", "FPO=-4A", "ACT_EST_MAPPING=PRECISE", "FS=MRC", "CURRENCY=USD", "XLFILL=b")</f>
        <v>2.02</v>
      </c>
    </row>
    <row r="56" spans="1:14" x14ac:dyDescent="0.2">
      <c r="A56" s="8" t="s">
        <v>12</v>
      </c>
      <c r="B56" s="4" t="s">
        <v>66</v>
      </c>
      <c r="C56" s="4" t="s">
        <v>55</v>
      </c>
      <c r="D56" s="4"/>
      <c r="E56" s="9">
        <f>_xll.BQL("DAL US Equity", "FA_GROWTH(FUEL_PRICE_PER_GALLON_LITRE, YOY)", "FPT=A", "FPO=5A", "ACT_EST_MAPPING=PRECISE", "FS=MRC", "CURRENCY=USD", "XLFILL=b")</f>
        <v>-2.1980429437689049</v>
      </c>
      <c r="F56" s="9">
        <f>_xll.BQL("DAL US Equity", "FA_GROWTH(FUEL_PRICE_PER_GALLON_LITRE, YOY)", "FPT=A", "FPO=4A", "ACT_EST_MAPPING=PRECISE", "FS=MRC", "CURRENCY=USD", "XLFILL=b")</f>
        <v>-6.4952739386816196</v>
      </c>
      <c r="G56" s="9">
        <f>_xll.BQL("DAL US Equity", "FA_GROWTH(FUEL_PRICE_PER_GALLON_LITRE, YOY)", "FPT=A", "FPO=3A", "ACT_EST_MAPPING=PRECISE", "FS=MRC", "CURRENCY=USD", "XLFILL=b")</f>
        <v>-0.34743626476395451</v>
      </c>
      <c r="H56" s="9">
        <f>_xll.BQL("DAL US Equity", "FA_GROWTH(FUEL_PRICE_PER_GALLON_LITRE, YOY)", "FPT=A", "FPO=2A", "ACT_EST_MAPPING=PRECISE", "FS=MRC", "CURRENCY=USD", "XLFILL=b")</f>
        <v>-3.3986354588443971E-2</v>
      </c>
      <c r="I56" s="9">
        <f>_xll.BQL("DAL US Equity", "FA_GROWTH(FUEL_PRICE_PER_GALLON_LITRE, YOY)", "FPT=A", "FPO=1A", "ACT_EST_MAPPING=PRECISE", "FS=MRC", "CURRENCY=USD", "XLFILL=b")</f>
        <v>-5.4156999157313397</v>
      </c>
      <c r="J56" s="9">
        <f>_xll.BQL("DAL US Equity", "FA_GROWTH(FUEL_PRICE_PER_GALLON_LITRE, YOY)", "FPT=A", "FPO=0A", "ACT_EST_MAPPING=PRECISE", "FS=MRC", "CURRENCY=USD", "XLFILL=b")</f>
        <v>-16.071428571428573</v>
      </c>
      <c r="K56" s="9">
        <f>_xll.BQL("DAL US Equity", "FA_GROWTH(FUEL_PRICE_PER_GALLON_LITRE, YOY)", "FPT=A", "FPO=-1A", "ACT_EST_MAPPING=PRECISE", "FS=MRC", "CURRENCY=USD", "XLFILL=b")</f>
        <v>66.336633663366342</v>
      </c>
      <c r="L56" s="9">
        <f>_xll.BQL("DAL US Equity", "FA_GROWTH(FUEL_PRICE_PER_GALLON_LITRE, YOY)", "FPT=A", "FPO=-2A", "ACT_EST_MAPPING=PRECISE", "FS=MRC", "CURRENCY=USD", "XLFILL=b")</f>
        <v>0</v>
      </c>
      <c r="M56" s="9">
        <f>_xll.BQL("DAL US Equity", "FA_GROWTH(FUEL_PRICE_PER_GALLON_LITRE, YOY)", "FPT=A", "FPO=-3A", "ACT_EST_MAPPING=PRECISE", "FS=MRC", "CURRENCY=USD", "XLFILL=b")</f>
        <v>0</v>
      </c>
      <c r="N56" s="9">
        <f>_xll.BQL("DAL US Equity", "FA_GROWTH(FUEL_PRICE_PER_GALLON_LITRE, YOY)", "FPT=A", "FPO=-4A", "ACT_EST_MAPPING=PRECISE", "FS=MRC", "CURRENCY=USD", "XLFILL=b")</f>
        <v>-8.181818181818187</v>
      </c>
    </row>
    <row r="57" spans="1:14" x14ac:dyDescent="0.2">
      <c r="A57" s="8" t="s">
        <v>67</v>
      </c>
      <c r="B57" s="4" t="s">
        <v>41</v>
      </c>
      <c r="C57" s="4" t="s">
        <v>68</v>
      </c>
      <c r="D57" s="4"/>
      <c r="E57" s="9">
        <f>_xll.BQL("DAL US Equity", "SIZE_OF_FLEET", "FPT=A", "FPO=5A", "ACT_EST_MAPPING=PRECISE", "FS=MRC", "CURRENCY=USD", "XLFILL=b")</f>
        <v>1278</v>
      </c>
      <c r="F57" s="9">
        <f>_xll.BQL("DAL US Equity", "SIZE_OF_FLEET", "FPT=A", "FPO=4A", "ACT_EST_MAPPING=PRECISE", "FS=MRC", "CURRENCY=USD", "XLFILL=b")</f>
        <v>1307</v>
      </c>
      <c r="G57" s="9">
        <f>_xll.BQL("DAL US Equity", "SIZE_OF_FLEET", "FPT=A", "FPO=3A", "ACT_EST_MAPPING=PRECISE", "FS=MRC", "CURRENCY=USD", "XLFILL=b")</f>
        <v>1297</v>
      </c>
      <c r="H57" s="9">
        <f>_xll.BQL("DAL US Equity", "SIZE_OF_FLEET", "FPT=A", "FPO=2A", "ACT_EST_MAPPING=PRECISE", "FS=MRC", "CURRENCY=USD", "XLFILL=b")</f>
        <v>1247</v>
      </c>
      <c r="I57" s="9">
        <f>_xll.BQL("DAL US Equity", "SIZE_OF_FLEET", "FPT=A", "FPO=1A", "ACT_EST_MAPPING=PRECISE", "FS=MRC", "CURRENCY=USD", "XLFILL=b")</f>
        <v>1217</v>
      </c>
      <c r="J57" s="9">
        <f>_xll.BQL("DAL US Equity", "SIZE_OF_FLEET", "FPT=A", "FPO=0A", "ACT_EST_MAPPING=PRECISE", "FS=MRC", "CURRENCY=USD", "XLFILL=b")</f>
        <v>1273</v>
      </c>
      <c r="K57" s="9">
        <f>_xll.BQL("DAL US Equity", "SIZE_OF_FLEET", "FPT=A", "FPO=-1A", "ACT_EST_MAPPING=PRECISE", "FS=MRC", "CURRENCY=USD", "XLFILL=b")</f>
        <v>1254</v>
      </c>
      <c r="L57" s="9">
        <f>_xll.BQL("DAL US Equity", "SIZE_OF_FLEET", "FPT=A", "FPO=-2A", "ACT_EST_MAPPING=PRECISE", "FS=MRC", "CURRENCY=USD", "XLFILL=b")</f>
        <v>1165</v>
      </c>
      <c r="M57" s="9">
        <f>_xll.BQL("DAL US Equity", "SIZE_OF_FLEET", "FPT=A", "FPO=-3A", "ACT_EST_MAPPING=PRECISE", "FS=MRC", "CURRENCY=USD", "XLFILL=b")</f>
        <v>1090</v>
      </c>
      <c r="N57" s="9">
        <f>_xll.BQL("DAL US Equity", "SIZE_OF_FLEET", "FPT=A", "FPO=-4A", "ACT_EST_MAPPING=PRECISE", "FS=MRC", "CURRENCY=USD", "XLFILL=b")</f>
        <v>1340</v>
      </c>
    </row>
    <row r="58" spans="1:14" x14ac:dyDescent="0.2">
      <c r="A58" s="8" t="s">
        <v>12</v>
      </c>
      <c r="B58" s="4" t="s">
        <v>41</v>
      </c>
      <c r="C58" s="4" t="s">
        <v>68</v>
      </c>
      <c r="D58" s="4"/>
      <c r="E58" s="9">
        <f>_xll.BQL("DAL US Equity", "FA_GROWTH(SIZE_OF_FLEET, YOY)", "FPT=A", "FPO=5A", "ACT_EST_MAPPING=PRECISE", "FS=MRC", "CURRENCY=USD", "XLFILL=b")</f>
        <v>-2.2188217291507271</v>
      </c>
      <c r="F58" s="9">
        <f>_xll.BQL("DAL US Equity", "FA_GROWTH(SIZE_OF_FLEET, YOY)", "FPT=A", "FPO=4A", "ACT_EST_MAPPING=PRECISE", "FS=MRC", "CURRENCY=USD", "XLFILL=b")</f>
        <v>0.77101002313030065</v>
      </c>
      <c r="G58" s="9">
        <f>_xll.BQL("DAL US Equity", "FA_GROWTH(SIZE_OF_FLEET, YOY)", "FPT=A", "FPO=3A", "ACT_EST_MAPPING=PRECISE", "FS=MRC", "CURRENCY=USD", "XLFILL=b")</f>
        <v>4.0096230954290295</v>
      </c>
      <c r="H58" s="9">
        <f>_xll.BQL("DAL US Equity", "FA_GROWTH(SIZE_OF_FLEET, YOY)", "FPT=A", "FPO=2A", "ACT_EST_MAPPING=PRECISE", "FS=MRC", "CURRENCY=USD", "XLFILL=b")</f>
        <v>2.4650780608052587</v>
      </c>
      <c r="I58" s="9">
        <f>_xll.BQL("DAL US Equity", "FA_GROWTH(SIZE_OF_FLEET, YOY)", "FPT=A", "FPO=1A", "ACT_EST_MAPPING=PRECISE", "FS=MRC", "CURRENCY=USD", "XLFILL=b")</f>
        <v>-4.3990573448546737</v>
      </c>
      <c r="J58" s="9">
        <f>_xll.BQL("DAL US Equity", "FA_GROWTH(SIZE_OF_FLEET, YOY)", "FPT=A", "FPO=0A", "ACT_EST_MAPPING=PRECISE", "FS=MRC", "CURRENCY=USD", "XLFILL=b")</f>
        <v>1.5151515151515151</v>
      </c>
      <c r="K58" s="9">
        <f>_xll.BQL("DAL US Equity", "FA_GROWTH(SIZE_OF_FLEET, YOY)", "FPT=A", "FPO=-1A", "ACT_EST_MAPPING=PRECISE", "FS=MRC", "CURRENCY=USD", "XLFILL=b")</f>
        <v>7.6394849785407724</v>
      </c>
      <c r="L58" s="9">
        <f>_xll.BQL("DAL US Equity", "FA_GROWTH(SIZE_OF_FLEET, YOY)", "FPT=A", "FPO=-2A", "ACT_EST_MAPPING=PRECISE", "FS=MRC", "CURRENCY=USD", "XLFILL=b")</f>
        <v>6.8807339449541285</v>
      </c>
      <c r="M58" s="9">
        <f>_xll.BQL("DAL US Equity", "FA_GROWTH(SIZE_OF_FLEET, YOY)", "FPT=A", "FPO=-3A", "ACT_EST_MAPPING=PRECISE", "FS=MRC", "CURRENCY=USD", "XLFILL=b")</f>
        <v>-18.656716417910449</v>
      </c>
      <c r="N58" s="9">
        <f>_xll.BQL("DAL US Equity", "FA_GROWTH(SIZE_OF_FLEET, YOY)", "FPT=A", "FPO=-4A", "ACT_EST_MAPPING=PRECISE", "FS=MRC", "CURRENCY=USD", "XLFILL=b")</f>
        <v>30.73170731707317</v>
      </c>
    </row>
    <row r="59" spans="1:14" x14ac:dyDescent="0.2">
      <c r="A59" s="8" t="s">
        <v>28</v>
      </c>
      <c r="B59" s="4" t="s">
        <v>29</v>
      </c>
      <c r="C59" s="4"/>
      <c r="D59" s="4"/>
      <c r="E59" s="9">
        <f>_xll.BQL("DAL US Equity", "PASSENGER_REVENUE_PER_ASM", "FPT=A", "FPO=5A", "ACT_EST_MAPPING=PRECISE", "FS=MRC", "CURRENCY=USD", "XLFILL=b")</f>
        <v>17.661936796824406</v>
      </c>
      <c r="F59" s="9">
        <f>_xll.BQL("DAL US Equity", "PASSENGER_REVENUE_PER_ASM", "FPT=A", "FPO=4A", "ACT_EST_MAPPING=PRECISE", "FS=MRC", "CURRENCY=USD", "XLFILL=b")</f>
        <v>17.685224359012221</v>
      </c>
      <c r="G59" s="9">
        <f>_xll.BQL("DAL US Equity", "PASSENGER_REVENUE_PER_ASM", "FPT=A", "FPO=3A", "ACT_EST_MAPPING=PRECISE", "FS=MRC", "CURRENCY=USD", "XLFILL=b")</f>
        <v>17.938333273071652</v>
      </c>
      <c r="H59" s="9">
        <f>_xll.BQL("DAL US Equity", "PASSENGER_REVENUE_PER_ASM", "FPT=A", "FPO=2A", "ACT_EST_MAPPING=PRECISE", "FS=MRC", "CURRENCY=USD", "XLFILL=b")</f>
        <v>17.859644660804999</v>
      </c>
      <c r="I59" s="9">
        <f>_xll.BQL("DAL US Equity", "PASSENGER_REVENUE_PER_ASM", "FPT=A", "FPO=1A", "ACT_EST_MAPPING=PRECISE", "FS=MRC", "CURRENCY=USD", "XLFILL=b")</f>
        <v>17.692071745566064</v>
      </c>
      <c r="J59" s="9">
        <f>_xll.BQL("DAL US Equity", "PASSENGER_REVENUE_PER_ASM", "FPT=A", "FPO=0A", "ACT_EST_MAPPING=PRECISE", "FS=MRC", "CURRENCY=USD", "XLFILL=b")</f>
        <v>17.98</v>
      </c>
      <c r="K59" s="9">
        <f>_xll.BQL("DAL US Equity", "PASSENGER_REVENUE_PER_ASM", "FPT=A", "FPO=-1A", "ACT_EST_MAPPING=PRECISE", "FS=MRC", "CURRENCY=USD", "XLFILL=b")</f>
        <v>17.239999999999998</v>
      </c>
      <c r="L59" s="9">
        <f>_xll.BQL("DAL US Equity", "PASSENGER_REVENUE_PER_ASM", "FPT=A", "FPO=-2A", "ACT_EST_MAPPING=PRECISE", "FS=MRC", "CURRENCY=USD", "XLFILL=b")</f>
        <v>11.58</v>
      </c>
      <c r="M59" s="9">
        <f>_xll.BQL("DAL US Equity", "PASSENGER_REVENUE_PER_ASM", "FPT=A", "FPO=-3A", "ACT_EST_MAPPING=PRECISE", "FS=MRC", "CURRENCY=USD", "XLFILL=b")</f>
        <v>9.59</v>
      </c>
      <c r="N59" s="9">
        <f>_xll.BQL("DAL US Equity", "PASSENGER_REVENUE_PER_ASM", "FPT=A", "FPO=-4A", "ACT_EST_MAPPING=PRECISE", "FS=MRC", "CURRENCY=USD", "XLFILL=b")</f>
        <v>15.35</v>
      </c>
    </row>
    <row r="60" spans="1:14" x14ac:dyDescent="0.2">
      <c r="A60" s="8" t="s">
        <v>12</v>
      </c>
      <c r="B60" s="4" t="s">
        <v>29</v>
      </c>
      <c r="C60" s="4"/>
      <c r="D60" s="4"/>
      <c r="E60" s="9">
        <f>_xll.BQL("DAL US Equity", "FA_GROWTH(PASSENGER_REVENUE_PER_ASM, YOY)", "FPT=A", "FPO=5A", "ACT_EST_MAPPING=PRECISE", "FS=MRC", "CURRENCY=USD", "XLFILL=b")</f>
        <v>-0.13167807043367952</v>
      </c>
      <c r="F60" s="9">
        <f>_xll.BQL("DAL US Equity", "FA_GROWTH(PASSENGER_REVENUE_PER_ASM, YOY)", "FPT=A", "FPO=4A", "ACT_EST_MAPPING=PRECISE", "FS=MRC", "CURRENCY=USD", "XLFILL=b")</f>
        <v>-1.4109946013735253</v>
      </c>
      <c r="G60" s="9">
        <f>_xll.BQL("DAL US Equity", "FA_GROWTH(PASSENGER_REVENUE_PER_ASM, YOY)", "FPT=A", "FPO=3A", "ACT_EST_MAPPING=PRECISE", "FS=MRC", "CURRENCY=USD", "XLFILL=b")</f>
        <v>0.44059450096083963</v>
      </c>
      <c r="H60" s="9">
        <f>_xll.BQL("DAL US Equity", "FA_GROWTH(PASSENGER_REVENUE_PER_ASM, YOY)", "FPT=A", "FPO=2A", "ACT_EST_MAPPING=PRECISE", "FS=MRC", "CURRENCY=USD", "XLFILL=b")</f>
        <v>0.94716389153764191</v>
      </c>
      <c r="I60" s="9">
        <f>_xll.BQL("DAL US Equity", "FA_GROWTH(PASSENGER_REVENUE_PER_ASM, YOY)", "FPT=A", "FPO=1A", "ACT_EST_MAPPING=PRECISE", "FS=MRC", "CURRENCY=USD", "XLFILL=b")</f>
        <v>-1.6013807254390218</v>
      </c>
      <c r="J60" s="9">
        <f>_xll.BQL("DAL US Equity", "FA_GROWTH(PASSENGER_REVENUE_PER_ASM, YOY)", "FPT=A", "FPO=0A", "ACT_EST_MAPPING=PRECISE", "FS=MRC", "CURRENCY=USD", "XLFILL=b")</f>
        <v>4.2923433874710097</v>
      </c>
      <c r="K60" s="9">
        <f>_xll.BQL("DAL US Equity", "FA_GROWTH(PASSENGER_REVENUE_PER_ASM, YOY)", "FPT=A", "FPO=-1A", "ACT_EST_MAPPING=PRECISE", "FS=MRC", "CURRENCY=USD", "XLFILL=b")</f>
        <v>48.877374784110522</v>
      </c>
      <c r="L60" s="9">
        <f>_xll.BQL("DAL US Equity", "FA_GROWTH(PASSENGER_REVENUE_PER_ASM, YOY)", "FPT=A", "FPO=-2A", "ACT_EST_MAPPING=PRECISE", "FS=MRC", "CURRENCY=USD", "XLFILL=b")</f>
        <v>20.750782064650682</v>
      </c>
      <c r="M60" s="9">
        <f>_xll.BQL("DAL US Equity", "FA_GROWTH(PASSENGER_REVENUE_PER_ASM, YOY)", "FPT=A", "FPO=-3A", "ACT_EST_MAPPING=PRECISE", "FS=MRC", "CURRENCY=USD", "XLFILL=b")</f>
        <v>-37.524429967426713</v>
      </c>
      <c r="N60" s="9">
        <f>_xll.BQL("DAL US Equity", "FA_GROWTH(PASSENGER_REVENUE_PER_ASM, YOY)", "FPT=A", "FPO=-4A", "ACT_EST_MAPPING=PRECISE", "FS=MRC", "CURRENCY=USD", "XLFILL=b")</f>
        <v>1.722995361166334</v>
      </c>
    </row>
    <row r="61" spans="1:14" x14ac:dyDescent="0.2">
      <c r="A61" s="8" t="s">
        <v>69</v>
      </c>
      <c r="B61" s="4" t="s">
        <v>34</v>
      </c>
      <c r="C61" s="4" t="s">
        <v>70</v>
      </c>
      <c r="D61" s="4"/>
      <c r="E61" s="9">
        <f>_xll.BQL("DAL US Equity", "OP_EXP_PER_ASM_ASK", "FPT=A", "FPO=5A", "ACT_EST_MAPPING=PRECISE", "FS=MRC", "CURRENCY=USD", "XLFILL=b")</f>
        <v>18.366684637240009</v>
      </c>
      <c r="F61" s="9">
        <f>_xll.BQL("DAL US Equity", "OP_EXP_PER_ASM_ASK", "FPT=A", "FPO=4A", "ACT_EST_MAPPING=PRECISE", "FS=MRC", "CURRENCY=USD", "XLFILL=b")</f>
        <v>18.545800502200674</v>
      </c>
      <c r="G61" s="9">
        <f>_xll.BQL("DAL US Equity", "OP_EXP_PER_ASM_ASK", "FPT=A", "FPO=3A", "ACT_EST_MAPPING=PRECISE", "FS=MRC", "CURRENCY=USD", "XLFILL=b")</f>
        <v>18.685531017683147</v>
      </c>
      <c r="H61" s="9">
        <f>_xll.BQL("DAL US Equity", "OP_EXP_PER_ASM_ASK", "FPT=A", "FPO=2A", "ACT_EST_MAPPING=PRECISE", "FS=MRC", "CURRENCY=USD", "XLFILL=b")</f>
        <v>18.594193346749517</v>
      </c>
      <c r="I61" s="9">
        <f>_xll.BQL("DAL US Equity", "OP_EXP_PER_ASM_ASK", "FPT=A", "FPO=1A", "ACT_EST_MAPPING=PRECISE", "FS=MRC", "CURRENCY=USD", "XLFILL=b")</f>
        <v>19.017110631910761</v>
      </c>
      <c r="J61" s="9">
        <f>_xll.BQL("DAL US Equity", "OP_EXP_PER_ASM_ASK", "FPT=A", "FPO=0A", "ACT_EST_MAPPING=PRECISE", "FS=MRC", "CURRENCY=USD", "XLFILL=b")</f>
        <v>19.309999999999999</v>
      </c>
      <c r="K61" s="9">
        <f>_xll.BQL("DAL US Equity", "OP_EXP_PER_ASM_ASK", "FPT=A", "FPO=-1A", "ACT_EST_MAPPING=PRECISE", "FS=MRC", "CURRENCY=USD", "XLFILL=b")</f>
        <v>20.12</v>
      </c>
      <c r="L61" s="9">
        <f>_xll.BQL("DAL US Equity", "OP_EXP_PER_ASM_ASK", "FPT=A", "FPO=-2A", "ACT_EST_MAPPING=PRECISE", "FS=MRC", "CURRENCY=USD", "XLFILL=b")</f>
        <v>14.4</v>
      </c>
      <c r="M61" s="9">
        <f>_xll.BQL("DAL US Equity", "OP_EXP_PER_ASM_ASK", "FPT=A", "FPO=-3A", "ACT_EST_MAPPING=PRECISE", "FS=MRC", "CURRENCY=USD", "XLFILL=b")</f>
        <v>22.01</v>
      </c>
      <c r="N61" s="9">
        <f>_xll.BQL("DAL US Equity", "OP_EXP_PER_ASM_ASK", "FPT=A", "FPO=-4A", "ACT_EST_MAPPING=PRECISE", "FS=MRC", "CURRENCY=USD", "XLFILL=b")</f>
        <v>14.67</v>
      </c>
    </row>
    <row r="62" spans="1:14" x14ac:dyDescent="0.2">
      <c r="A62" s="8" t="s">
        <v>12</v>
      </c>
      <c r="B62" s="4" t="s">
        <v>34</v>
      </c>
      <c r="C62" s="4" t="s">
        <v>70</v>
      </c>
      <c r="D62" s="4"/>
      <c r="E62" s="9">
        <f>_xll.BQL("DAL US Equity", "FA_GROWTH(OP_EXP_PER_ASM_ASK, YOY)", "FPT=A", "FPO=5A", "ACT_EST_MAPPING=PRECISE", "FS=MRC", "CURRENCY=USD", "XLFILL=b")</f>
        <v>-0.96580282387600458</v>
      </c>
      <c r="F62" s="9">
        <f>_xll.BQL("DAL US Equity", "FA_GROWTH(OP_EXP_PER_ASM_ASK, YOY)", "FPT=A", "FPO=4A", "ACT_EST_MAPPING=PRECISE", "FS=MRC", "CURRENCY=USD", "XLFILL=b")</f>
        <v>-0.74780061294612477</v>
      </c>
      <c r="G62" s="9">
        <f>_xll.BQL("DAL US Equity", "FA_GROWTH(OP_EXP_PER_ASM_ASK, YOY)", "FPT=A", "FPO=3A", "ACT_EST_MAPPING=PRECISE", "FS=MRC", "CURRENCY=USD", "XLFILL=b")</f>
        <v>0.49121609757594925</v>
      </c>
      <c r="H62" s="9">
        <f>_xll.BQL("DAL US Equity", "FA_GROWTH(OP_EXP_PER_ASM_ASK, YOY)", "FPT=A", "FPO=2A", "ACT_EST_MAPPING=PRECISE", "FS=MRC", "CURRENCY=USD", "XLFILL=b")</f>
        <v>-2.2238777138499035</v>
      </c>
      <c r="I62" s="9">
        <f>_xll.BQL("DAL US Equity", "FA_GROWTH(OP_EXP_PER_ASM_ASK, YOY)", "FPT=A", "FPO=1A", "ACT_EST_MAPPING=PRECISE", "FS=MRC", "CURRENCY=USD", "XLFILL=b")</f>
        <v>-1.5167755985978144</v>
      </c>
      <c r="J62" s="9">
        <f>_xll.BQL("DAL US Equity", "FA_GROWTH(OP_EXP_PER_ASM_ASK, YOY)", "FPT=A", "FPO=0A", "ACT_EST_MAPPING=PRECISE", "FS=MRC", "CURRENCY=USD", "XLFILL=b")</f>
        <v>-4.0258449304175059</v>
      </c>
      <c r="K62" s="9">
        <f>_xll.BQL("DAL US Equity", "FA_GROWTH(OP_EXP_PER_ASM_ASK, YOY)", "FPT=A", "FPO=-1A", "ACT_EST_MAPPING=PRECISE", "FS=MRC", "CURRENCY=USD", "XLFILL=b")</f>
        <v>39.722222222222229</v>
      </c>
      <c r="L62" s="9">
        <f>_xll.BQL("DAL US Equity", "FA_GROWTH(OP_EXP_PER_ASM_ASK, YOY)", "FPT=A", "FPO=-2A", "ACT_EST_MAPPING=PRECISE", "FS=MRC", "CURRENCY=USD", "XLFILL=b")</f>
        <v>-34.57519309404816</v>
      </c>
      <c r="M62" s="9">
        <f>_xll.BQL("DAL US Equity", "FA_GROWTH(OP_EXP_PER_ASM_ASK, YOY)", "FPT=A", "FPO=-3A", "ACT_EST_MAPPING=PRECISE", "FS=MRC", "CURRENCY=USD", "XLFILL=b")</f>
        <v>50.034083162917526</v>
      </c>
      <c r="N62" s="9">
        <f>_xll.BQL("DAL US Equity", "FA_GROWTH(OP_EXP_PER_ASM_ASK, YOY)", "FPT=A", "FPO=-4A", "ACT_EST_MAPPING=PRECISE", "FS=MRC", "CURRENCY=USD", "XLFILL=b")</f>
        <v>-1.344989912575651</v>
      </c>
    </row>
    <row r="63" spans="1:14" x14ac:dyDescent="0.2">
      <c r="A63" s="8" t="s">
        <v>71</v>
      </c>
      <c r="B63" s="4" t="s">
        <v>37</v>
      </c>
      <c r="C63" s="4"/>
      <c r="D63" s="4"/>
      <c r="E63" s="9">
        <f>_xll.BQL("DAL US Equity", "CONS_COST_PER_ASM_EX_FUEL", "FPT=A", "FPO=5A", "ACT_EST_MAPPING=PRECISE", "FS=MRC", "CURRENCY=USD", "XLFILL=b")</f>
        <v>14.81253667486888</v>
      </c>
      <c r="F63" s="9">
        <f>_xll.BQL("DAL US Equity", "CONS_COST_PER_ASM_EX_FUEL", "FPT=A", "FPO=4A", "ACT_EST_MAPPING=PRECISE", "FS=MRC", "CURRENCY=USD", "XLFILL=b")</f>
        <v>14.963165711407864</v>
      </c>
      <c r="G63" s="9">
        <f>_xll.BQL("DAL US Equity", "CONS_COST_PER_ASM_EX_FUEL", "FPT=A", "FPO=3A", "ACT_EST_MAPPING=PRECISE", "FS=MRC", "CURRENCY=USD", "XLFILL=b")</f>
        <v>14.824659372166598</v>
      </c>
      <c r="H63" s="9">
        <f>_xll.BQL("DAL US Equity", "CONS_COST_PER_ASM_EX_FUEL", "FPT=A", "FPO=2A", "ACT_EST_MAPPING=PRECISE", "FS=MRC", "CURRENCY=USD", "XLFILL=b")</f>
        <v>15.064325438270995</v>
      </c>
      <c r="I63" s="9">
        <f>_xll.BQL("DAL US Equity", "CONS_COST_PER_ASM_EX_FUEL", "FPT=A", "FPO=1A", "ACT_EST_MAPPING=PRECISE", "FS=MRC", "CURRENCY=USD", "XLFILL=b")</f>
        <v>15.386153565804825</v>
      </c>
      <c r="J63" s="9">
        <f>_xll.BQL("DAL US Equity", "CONS_COST_PER_ASM_EX_FUEL", "FPT=A", "FPO=0A", "ACT_EST_MAPPING=PRECISE", "FS=MRC", "CURRENCY=USD", "XLFILL=b")</f>
        <v>15.24</v>
      </c>
      <c r="K63" s="9">
        <f>_xll.BQL("DAL US Equity", "CONS_COST_PER_ASM_EX_FUEL", "FPT=A", "FPO=-1A", "ACT_EST_MAPPING=PRECISE", "FS=MRC", "CURRENCY=USD", "XLFILL=b")</f>
        <v>15.2</v>
      </c>
      <c r="L63" s="9">
        <f>_xll.BQL("DAL US Equity", "CONS_COST_PER_ASM_EX_FUEL", "FPT=A", "FPO=-2A", "ACT_EST_MAPPING=PRECISE", "FS=MRC", "CURRENCY=USD", "XLFILL=b")</f>
        <v>11.5</v>
      </c>
      <c r="M63" s="9">
        <f>_xll.BQL("DAL US Equity", "CONS_COST_PER_ASM_EX_FUEL", "FPT=A", "FPO=-3A", "ACT_EST_MAPPING=PRECISE", "FS=MRC", "CURRENCY=USD", "XLFILL=b")</f>
        <v>19.649999999999999</v>
      </c>
      <c r="N63" s="9">
        <f>_xll.BQL("DAL US Equity", "CONS_COST_PER_ASM_EX_FUEL", "FPT=A", "FPO=-4A", "ACT_EST_MAPPING=PRECISE", "FS=MRC", "CURRENCY=USD", "XLFILL=b")</f>
        <v>11.57</v>
      </c>
    </row>
    <row r="64" spans="1:14" x14ac:dyDescent="0.2">
      <c r="A64" s="8" t="s">
        <v>12</v>
      </c>
      <c r="B64" s="4" t="s">
        <v>37</v>
      </c>
      <c r="C64" s="4"/>
      <c r="D64" s="4"/>
      <c r="E64" s="9">
        <f>_xll.BQL("DAL US Equity", "FA_GROWTH(CONS_COST_PER_ASM_EX_FUEL, YOY)", "FPT=A", "FPO=5A", "ACT_EST_MAPPING=PRECISE", "FS=MRC", "CURRENCY=USD", "XLFILL=b")</f>
        <v>-1.0066655642538578</v>
      </c>
      <c r="F64" s="9">
        <f>_xll.BQL("DAL US Equity", "FA_GROWTH(CONS_COST_PER_ASM_EX_FUEL, YOY)", "FPT=A", "FPO=4A", "ACT_EST_MAPPING=PRECISE", "FS=MRC", "CURRENCY=USD", "XLFILL=b")</f>
        <v>0.93429694243978645</v>
      </c>
      <c r="G64" s="9">
        <f>_xll.BQL("DAL US Equity", "FA_GROWTH(CONS_COST_PER_ASM_EX_FUEL, YOY)", "FPT=A", "FPO=3A", "ACT_EST_MAPPING=PRECISE", "FS=MRC", "CURRENCY=USD", "XLFILL=b")</f>
        <v>-1.590951198488606</v>
      </c>
      <c r="H64" s="9">
        <f>_xll.BQL("DAL US Equity", "FA_GROWTH(CONS_COST_PER_ASM_EX_FUEL, YOY)", "FPT=A", "FPO=2A", "ACT_EST_MAPPING=PRECISE", "FS=MRC", "CURRENCY=USD", "XLFILL=b")</f>
        <v>-2.0916736997158409</v>
      </c>
      <c r="I64" s="9">
        <f>_xll.BQL("DAL US Equity", "FA_GROWTH(CONS_COST_PER_ASM_EX_FUEL, YOY)", "FPT=A", "FPO=1A", "ACT_EST_MAPPING=PRECISE", "FS=MRC", "CURRENCY=USD", "XLFILL=b")</f>
        <v>0.95901289898179254</v>
      </c>
      <c r="J64" s="9">
        <f>_xll.BQL("DAL US Equity", "FA_GROWTH(CONS_COST_PER_ASM_EX_FUEL, YOY)", "FPT=A", "FPO=0A", "ACT_EST_MAPPING=PRECISE", "FS=MRC", "CURRENCY=USD", "XLFILL=b")</f>
        <v>0.2631578947368482</v>
      </c>
      <c r="K64" s="9">
        <f>_xll.BQL("DAL US Equity", "FA_GROWTH(CONS_COST_PER_ASM_EX_FUEL, YOY)", "FPT=A", "FPO=-1A", "ACT_EST_MAPPING=PRECISE", "FS=MRC", "CURRENCY=USD", "XLFILL=b")</f>
        <v>32.173913043478258</v>
      </c>
      <c r="L64" s="9">
        <f>_xll.BQL("DAL US Equity", "FA_GROWTH(CONS_COST_PER_ASM_EX_FUEL, YOY)", "FPT=A", "FPO=-2A", "ACT_EST_MAPPING=PRECISE", "FS=MRC", "CURRENCY=USD", "XLFILL=b")</f>
        <v>-41.475826972010175</v>
      </c>
      <c r="M64" s="9">
        <f>_xll.BQL("DAL US Equity", "FA_GROWTH(CONS_COST_PER_ASM_EX_FUEL, YOY)", "FPT=A", "FPO=-3A", "ACT_EST_MAPPING=PRECISE", "FS=MRC", "CURRENCY=USD", "XLFILL=b")</f>
        <v>69.83578219533274</v>
      </c>
      <c r="N64" s="9">
        <f>_xll.BQL("DAL US Equity", "FA_GROWTH(CONS_COST_PER_ASM_EX_FUEL, YOY)", "FPT=A", "FPO=-4A", "ACT_EST_MAPPING=PRECISE", "FS=MRC", "CURRENCY=USD", "XLFILL=b")</f>
        <v>1.1363636363636433</v>
      </c>
    </row>
    <row r="65" spans="1:14" x14ac:dyDescent="0.2">
      <c r="A65" s="8" t="s">
        <v>72</v>
      </c>
      <c r="B65" s="4" t="s">
        <v>39</v>
      </c>
      <c r="C65" s="4"/>
      <c r="D65" s="4"/>
      <c r="E65" s="9">
        <f>_xll.BQL("DAL US Equity", "COST_PER_SEAT_EXCL_ABN_ITMS", "FPT=A", "FPO=5A", "ACT_EST_MAPPING=PRECISE", "FS=MRC", "CURRENCY=USD", "XLFILL=b")</f>
        <v>13.454673270714176</v>
      </c>
      <c r="F65" s="9">
        <f>_xll.BQL("DAL US Equity", "COST_PER_SEAT_EXCL_ABN_ITMS", "FPT=A", "FPO=4A", "ACT_EST_MAPPING=PRECISE", "FS=MRC", "CURRENCY=USD", "XLFILL=b")</f>
        <v>13.449588943518858</v>
      </c>
      <c r="G65" s="9">
        <f>_xll.BQL("DAL US Equity", "COST_PER_SEAT_EXCL_ABN_ITMS", "FPT=A", "FPO=3A", "ACT_EST_MAPPING=PRECISE", "FS=MRC", "CURRENCY=USD", "XLFILL=b")</f>
        <v>13.519416067989397</v>
      </c>
      <c r="H65" s="9">
        <f>_xll.BQL("DAL US Equity", "COST_PER_SEAT_EXCL_ABN_ITMS", "FPT=A", "FPO=2A", "ACT_EST_MAPPING=PRECISE", "FS=MRC", "CURRENCY=USD", "XLFILL=b")</f>
        <v>13.572300619891934</v>
      </c>
      <c r="I65" s="9">
        <f>_xll.BQL("DAL US Equity", "COST_PER_SEAT_EXCL_ABN_ITMS", "FPT=A", "FPO=1A", "ACT_EST_MAPPING=PRECISE", "FS=MRC", "CURRENCY=USD", "XLFILL=b")</f>
        <v>13.454627176915277</v>
      </c>
      <c r="J65" s="9">
        <f>_xll.BQL("DAL US Equity", "COST_PER_SEAT_EXCL_ABN_ITMS", "FPT=A", "FPO=0A", "ACT_EST_MAPPING=PRECISE", "FS=MRC", "CURRENCY=USD", "XLFILL=b")</f>
        <v>13.17</v>
      </c>
      <c r="K65" s="9">
        <f>_xll.BQL("DAL US Equity", "COST_PER_SEAT_EXCL_ABN_ITMS", "FPT=A", "FPO=-1A", "ACT_EST_MAPPING=PRECISE", "FS=MRC", "CURRENCY=USD", "XLFILL=b")</f>
        <v>12.87</v>
      </c>
      <c r="L65" s="9">
        <f>_xll.BQL("DAL US Equity", "COST_PER_SEAT_EXCL_ABN_ITMS", "FPT=A", "FPO=-2A", "ACT_EST_MAPPING=PRECISE", "FS=MRC", "CURRENCY=USD", "XLFILL=b")</f>
        <v>12.12</v>
      </c>
      <c r="M65" s="9">
        <f>_xll.BQL("DAL US Equity", "COST_PER_SEAT_EXCL_ABN_ITMS", "FPT=A", "FPO=-3A", "ACT_EST_MAPPING=PRECISE", "FS=MRC", "CURRENCY=USD", "XLFILL=b")</f>
        <v>15.61</v>
      </c>
      <c r="N65" s="9">
        <f>_xll.BQL("DAL US Equity", "COST_PER_SEAT_EXCL_ABN_ITMS", "FPT=A", "FPO=-4A", "ACT_EST_MAPPING=PRECISE", "FS=MRC", "CURRENCY=USD", "XLFILL=b")</f>
        <v>10.88</v>
      </c>
    </row>
    <row r="66" spans="1:14" x14ac:dyDescent="0.2">
      <c r="A66" s="8" t="s">
        <v>12</v>
      </c>
      <c r="B66" s="4" t="s">
        <v>39</v>
      </c>
      <c r="C66" s="4"/>
      <c r="D66" s="4"/>
      <c r="E66" s="9">
        <f>_xll.BQL("DAL US Equity", "FA_GROWTH(COST_PER_SEAT_EXCL_ABN_ITMS, YOY)", "FPT=A", "FPO=5A", "ACT_EST_MAPPING=PRECISE", "FS=MRC", "CURRENCY=USD", "XLFILL=b")</f>
        <v>3.7802844508256106E-2</v>
      </c>
      <c r="F66" s="9">
        <f>_xll.BQL("DAL US Equity", "FA_GROWTH(COST_PER_SEAT_EXCL_ABN_ITMS, YOY)", "FPT=A", "FPO=4A", "ACT_EST_MAPPING=PRECISE", "FS=MRC", "CURRENCY=USD", "XLFILL=b")</f>
        <v>-0.51649512167816225</v>
      </c>
      <c r="G66" s="9">
        <f>_xll.BQL("DAL US Equity", "FA_GROWTH(COST_PER_SEAT_EXCL_ABN_ITMS, YOY)", "FPT=A", "FPO=3A", "ACT_EST_MAPPING=PRECISE", "FS=MRC", "CURRENCY=USD", "XLFILL=b")</f>
        <v>-0.38965060812923397</v>
      </c>
      <c r="H66" s="9">
        <f>_xll.BQL("DAL US Equity", "FA_GROWTH(COST_PER_SEAT_EXCL_ABN_ITMS, YOY)", "FPT=A", "FPO=2A", "ACT_EST_MAPPING=PRECISE", "FS=MRC", "CURRENCY=USD", "XLFILL=b")</f>
        <v>0.87459460176313097</v>
      </c>
      <c r="I66" s="9">
        <f>_xll.BQL("DAL US Equity", "FA_GROWTH(COST_PER_SEAT_EXCL_ABN_ITMS, YOY)", "FPT=A", "FPO=1A", "ACT_EST_MAPPING=PRECISE", "FS=MRC", "CURRENCY=USD", "XLFILL=b")</f>
        <v>2.1611782605563969</v>
      </c>
      <c r="J66" s="9">
        <f>_xll.BQL("DAL US Equity", "FA_GROWTH(COST_PER_SEAT_EXCL_ABN_ITMS, YOY)", "FPT=A", "FPO=0A", "ACT_EST_MAPPING=PRECISE", "FS=MRC", "CURRENCY=USD", "XLFILL=b")</f>
        <v>2.3310023310023364</v>
      </c>
      <c r="K66" s="9">
        <f>_xll.BQL("DAL US Equity", "FA_GROWTH(COST_PER_SEAT_EXCL_ABN_ITMS, YOY)", "FPT=A", "FPO=-1A", "ACT_EST_MAPPING=PRECISE", "FS=MRC", "CURRENCY=USD", "XLFILL=b")</f>
        <v>6.1881188118811883</v>
      </c>
      <c r="L66" s="9">
        <f>_xll.BQL("DAL US Equity", "FA_GROWTH(COST_PER_SEAT_EXCL_ABN_ITMS, YOY)", "FPT=A", "FPO=-2A", "ACT_EST_MAPPING=PRECISE", "FS=MRC", "CURRENCY=USD", "XLFILL=b")</f>
        <v>-22.357463164638052</v>
      </c>
      <c r="M66" s="9">
        <f>_xll.BQL("DAL US Equity", "FA_GROWTH(COST_PER_SEAT_EXCL_ABN_ITMS, YOY)", "FPT=A", "FPO=-3A", "ACT_EST_MAPPING=PRECISE", "FS=MRC", "CURRENCY=USD", "XLFILL=b")</f>
        <v>43.474264705882341</v>
      </c>
      <c r="N66" s="9">
        <f>_xll.BQL("DAL US Equity", "FA_GROWTH(COST_PER_SEAT_EXCL_ABN_ITMS, YOY)", "FPT=A", "FPO=-4A", "ACT_EST_MAPPING=PRECISE", "FS=MRC", "CURRENCY=USD", "XLFILL=b")</f>
        <v>5.5286129970902058</v>
      </c>
    </row>
    <row r="67" spans="1:14" x14ac:dyDescent="0.2">
      <c r="A67" s="8" t="s">
        <v>73</v>
      </c>
      <c r="B67" s="4" t="s">
        <v>74</v>
      </c>
      <c r="C67" s="4"/>
      <c r="D67" s="4"/>
      <c r="E67" s="9">
        <f>_xll.BQL("DAL US Equity", "FUEL_COST_PER_AVAIL_SEAT_MILE", "FPT=A", "FPO=5A", "ACT_EST_MAPPING=PRECISE", "FS=MRC", "CURRENCY=USD", "XLFILL=b")</f>
        <v>2.7010214242536073</v>
      </c>
      <c r="F67" s="9">
        <f>_xll.BQL("DAL US Equity", "FUEL_COST_PER_AVAIL_SEAT_MILE", "FPT=A", "FPO=4A", "ACT_EST_MAPPING=PRECISE", "FS=MRC", "CURRENCY=USD", "XLFILL=b")</f>
        <v>2.9759513619173061</v>
      </c>
      <c r="G67" s="9">
        <f>_xll.BQL("DAL US Equity", "FUEL_COST_PER_AVAIL_SEAT_MILE", "FPT=A", "FPO=3A", "ACT_EST_MAPPING=PRECISE", "FS=MRC", "CURRENCY=USD", "XLFILL=b")</f>
        <v>3.6080500502966633</v>
      </c>
      <c r="H67" s="9">
        <f>_xll.BQL("DAL US Equity", "FUEL_COST_PER_AVAIL_SEAT_MILE", "FPT=A", "FPO=2A", "ACT_EST_MAPPING=PRECISE", "FS=MRC", "CURRENCY=USD", "XLFILL=b")</f>
        <v>3.6808146207641297</v>
      </c>
      <c r="I67" s="9">
        <f>_xll.BQL("DAL US Equity", "FUEL_COST_PER_AVAIL_SEAT_MILE", "FPT=A", "FPO=1A", "ACT_EST_MAPPING=PRECISE", "FS=MRC", "CURRENCY=USD", "XLFILL=b")</f>
        <v>3.798427277370787</v>
      </c>
      <c r="J67" s="9">
        <f>_xll.BQL("DAL US Equity", "FUEL_COST_PER_AVAIL_SEAT_MILE", "FPT=A", "FPO=0A", "ACT_EST_MAPPING=PRECISE", "FS=MRC", "CURRENCY=USD", "XLFILL=b")</f>
        <v>4.0689916296919852</v>
      </c>
      <c r="K67" s="9">
        <f>_xll.BQL("DAL US Equity", "FUEL_COST_PER_AVAIL_SEAT_MILE", "FPT=A", "FPO=-1A", "ACT_EST_MAPPING=PRECISE", "FS=MRC", "CURRENCY=USD", "XLFILL=b")</f>
        <v>4.9231217788754256</v>
      </c>
      <c r="L67" s="9">
        <f>_xll.BQL("DAL US Equity", "FUEL_COST_PER_AVAIL_SEAT_MILE", "FPT=A", "FPO=-2A", "ACT_EST_MAPPING=PRECISE", "FS=MRC", "CURRENCY=USD", "XLFILL=b")</f>
        <v>2.8965311558357416</v>
      </c>
      <c r="M67" s="9">
        <f>_xll.BQL("DAL US Equity", "FUEL_COST_PER_AVAIL_SEAT_MILE", "FPT=A", "FPO=-3A", "ACT_EST_MAPPING=PRECISE", "FS=MRC", "CURRENCY=USD", "XLFILL=b")</f>
        <v>2.3641682608922205</v>
      </c>
      <c r="N67" s="9">
        <f>_xll.BQL("DAL US Equity", "FUEL_COST_PER_AVAIL_SEAT_MILE", "FPT=A", "FPO=-4A", "ACT_EST_MAPPING=PRECISE", "FS=MRC", "CURRENCY=USD", "XLFILL=b")</f>
        <v>3.0935547009757465</v>
      </c>
    </row>
    <row r="68" spans="1:14" x14ac:dyDescent="0.2">
      <c r="A68" s="8" t="s">
        <v>12</v>
      </c>
      <c r="B68" s="4" t="s">
        <v>74</v>
      </c>
      <c r="C68" s="4"/>
      <c r="D68" s="4"/>
      <c r="E68" s="9">
        <f>_xll.BQL("DAL US Equity", "FA_GROWTH(FUEL_COST_PER_AVAIL_SEAT_MILE, YOY)", "FPT=A", "FPO=5A", "ACT_EST_MAPPING=PRECISE", "FS=MRC", "CURRENCY=USD", "XLFILL=b")</f>
        <v>-9.2383881397366228</v>
      </c>
      <c r="F68" s="9">
        <f>_xll.BQL("DAL US Equity", "FA_GROWTH(FUEL_COST_PER_AVAIL_SEAT_MILE, YOY)", "FPT=A", "FPO=4A", "ACT_EST_MAPPING=PRECISE", "FS=MRC", "CURRENCY=USD", "XLFILL=b")</f>
        <v>-17.519121951409304</v>
      </c>
      <c r="G68" s="9">
        <f>_xll.BQL("DAL US Equity", "FA_GROWTH(FUEL_COST_PER_AVAIL_SEAT_MILE, YOY)", "FPT=A", "FPO=3A", "ACT_EST_MAPPING=PRECISE", "FS=MRC", "CURRENCY=USD", "XLFILL=b")</f>
        <v>-1.9768605041120122</v>
      </c>
      <c r="H68" s="9">
        <f>_xll.BQL("DAL US Equity", "FA_GROWTH(FUEL_COST_PER_AVAIL_SEAT_MILE, YOY)", "FPT=A", "FPO=2A", "ACT_EST_MAPPING=PRECISE", "FS=MRC", "CURRENCY=USD", "XLFILL=b")</f>
        <v>-3.0963514112100361</v>
      </c>
      <c r="I68" s="9">
        <f>_xll.BQL("DAL US Equity", "FA_GROWTH(FUEL_COST_PER_AVAIL_SEAT_MILE, YOY)", "FPT=A", "FPO=1A", "ACT_EST_MAPPING=PRECISE", "FS=MRC", "CURRENCY=USD", "XLFILL=b")</f>
        <v>-6.6494202235967599</v>
      </c>
      <c r="J68" s="9">
        <f>_xll.BQL("DAL US Equity", "FA_GROWTH(FUEL_COST_PER_AVAIL_SEAT_MILE, YOY)", "FPT=A", "FPO=0A", "ACT_EST_MAPPING=PRECISE", "FS=MRC", "CURRENCY=USD", "XLFILL=b")</f>
        <v>-17.349360579468478</v>
      </c>
      <c r="K68" s="9">
        <f>_xll.BQL("DAL US Equity", "FA_GROWTH(FUEL_COST_PER_AVAIL_SEAT_MILE, YOY)", "FPT=A", "FPO=-1A", "ACT_EST_MAPPING=PRECISE", "FS=MRC", "CURRENCY=USD", "XLFILL=b")</f>
        <v>69.966125479321761</v>
      </c>
      <c r="L68" s="9">
        <f>_xll.BQL("DAL US Equity", "FA_GROWTH(FUEL_COST_PER_AVAIL_SEAT_MILE, YOY)", "FPT=A", "FPO=-2A", "ACT_EST_MAPPING=PRECISE", "FS=MRC", "CURRENCY=USD", "XLFILL=b")</f>
        <v>22.517978256869544</v>
      </c>
      <c r="M68" s="9">
        <f>_xll.BQL("DAL US Equity", "FA_GROWTH(FUEL_COST_PER_AVAIL_SEAT_MILE, YOY)", "FPT=A", "FPO=-3A", "ACT_EST_MAPPING=PRECISE", "FS=MRC", "CURRENCY=USD", "XLFILL=b")</f>
        <v>-23.577615739378011</v>
      </c>
      <c r="N68" s="9">
        <f>_xll.BQL("DAL US Equity", "FA_GROWTH(FUEL_COST_PER_AVAIL_SEAT_MILE, YOY)", "FPT=A", "FPO=-4A", "ACT_EST_MAPPING=PRECISE", "FS=MRC", "CURRENCY=USD", "XLFILL=b")</f>
        <v>-9.6747190884171417</v>
      </c>
    </row>
    <row r="69" spans="1:14" x14ac:dyDescent="0.2">
      <c r="A69" s="8" t="s">
        <v>75</v>
      </c>
      <c r="B69" s="4" t="s">
        <v>76</v>
      </c>
      <c r="C69" s="4" t="s">
        <v>77</v>
      </c>
      <c r="D69" s="4"/>
      <c r="E69" s="9">
        <f>_xll.BQL("DAL US Equity", "FUEL_COST_EXCLUDING_HEDGE/1M", "FPT=A", "FPO=5A", "ACT_EST_MAPPING=PRECISE", "FS=MRC", "CURRENCY=USD", "XLFILL=b")</f>
        <v>11203.232293612371</v>
      </c>
      <c r="F69" s="9">
        <f>_xll.BQL("DAL US Equity", "FUEL_COST_EXCLUDING_HEDGE/1M", "FPT=A", "FPO=4A", "ACT_EST_MAPPING=PRECISE", "FS=MRC", "CURRENCY=USD", "XLFILL=b")</f>
        <v>11219.427687118188</v>
      </c>
      <c r="G69" s="9">
        <f>_xll.BQL("DAL US Equity", "FUEL_COST_EXCLUDING_HEDGE/1M", "FPT=A", "FPO=3A", "ACT_EST_MAPPING=PRECISE", "FS=MRC", "CURRENCY=USD", "XLFILL=b")</f>
        <v>11400.196148398665</v>
      </c>
      <c r="H69" s="9">
        <f>_xll.BQL("DAL US Equity", "FUEL_COST_EXCLUDING_HEDGE/1M", "FPT=A", "FPO=2A", "ACT_EST_MAPPING=PRECISE", "FS=MRC", "CURRENCY=USD", "XLFILL=b")</f>
        <v>11154.818368278875</v>
      </c>
      <c r="I69" s="9">
        <f>_xll.BQL("DAL US Equity", "FUEL_COST_EXCLUDING_HEDGE/1M", "FPT=A", "FPO=1A", "ACT_EST_MAPPING=PRECISE", "FS=MRC", "CURRENCY=USD", "XLFILL=b")</f>
        <v>10855.634232881557</v>
      </c>
      <c r="J69" s="9">
        <f>_xll.BQL("DAL US Equity", "FUEL_COST_EXCLUDING_HEDGE/1M", "FPT=A", "FPO=0A", "ACT_EST_MAPPING=PRECISE", "FS=MRC", "CURRENCY=USD", "XLFILL=b")</f>
        <v>11121</v>
      </c>
      <c r="K69" s="9">
        <f>_xll.BQL("DAL US Equity", "FUEL_COST_EXCLUDING_HEDGE/1M", "FPT=A", "FPO=-1A", "ACT_EST_MAPPING=PRECISE", "FS=MRC", "CURRENCY=USD", "XLFILL=b")</f>
        <v>11453</v>
      </c>
      <c r="L69" s="9">
        <f>_xll.BQL("DAL US Equity", "FUEL_COST_EXCLUDING_HEDGE/1M", "FPT=A", "FPO=-2A", "ACT_EST_MAPPING=PRECISE", "FS=MRC", "CURRENCY=USD", "XLFILL=b")</f>
        <v>5624</v>
      </c>
      <c r="M69" s="9">
        <f>_xll.BQL("DAL US Equity", "FUEL_COST_EXCLUDING_HEDGE/1M", "FPT=A", "FPO=-3A", "ACT_EST_MAPPING=PRECISE", "FS=MRC", "CURRENCY=USD", "XLFILL=b")</f>
        <v>3167</v>
      </c>
      <c r="N69" s="9">
        <f>_xll.BQL("DAL US Equity", "FUEL_COST_EXCLUDING_HEDGE/1M", "FPT=A", "FPO=-4A", "ACT_EST_MAPPING=PRECISE", "FS=MRC", "CURRENCY=USD", "XLFILL=b")</f>
        <v>8505</v>
      </c>
    </row>
    <row r="70" spans="1:14" x14ac:dyDescent="0.2">
      <c r="A70" s="8" t="s">
        <v>12</v>
      </c>
      <c r="B70" s="4" t="s">
        <v>76</v>
      </c>
      <c r="C70" s="4" t="s">
        <v>77</v>
      </c>
      <c r="D70" s="4"/>
      <c r="E70" s="9">
        <f>_xll.BQL("DAL US Equity", "FA_GROWTH(FUEL_COST_EXCLUDING_HEDGE, YOY)", "FPT=A", "FPO=5A", "ACT_EST_MAPPING=PRECISE", "FS=MRC", "CURRENCY=USD", "XLFILL=b")</f>
        <v>-0.14435133375307976</v>
      </c>
      <c r="F70" s="9">
        <f>_xll.BQL("DAL US Equity", "FA_GROWTH(FUEL_COST_EXCLUDING_HEDGE, YOY)", "FPT=A", "FPO=4A", "ACT_EST_MAPPING=PRECISE", "FS=MRC", "CURRENCY=USD", "XLFILL=b")</f>
        <v>-1.5856609739637451</v>
      </c>
      <c r="G70" s="9">
        <f>_xll.BQL("DAL US Equity", "FA_GROWTH(FUEL_COST_EXCLUDING_HEDGE, YOY)", "FPT=A", "FPO=3A", "ACT_EST_MAPPING=PRECISE", "FS=MRC", "CURRENCY=USD", "XLFILL=b")</f>
        <v>2.1997469794539515</v>
      </c>
      <c r="H70" s="9">
        <f>_xll.BQL("DAL US Equity", "FA_GROWTH(FUEL_COST_EXCLUDING_HEDGE, YOY)", "FPT=A", "FPO=2A", "ACT_EST_MAPPING=PRECISE", "FS=MRC", "CURRENCY=USD", "XLFILL=b")</f>
        <v>2.7560263083578618</v>
      </c>
      <c r="I70" s="9">
        <f>_xll.BQL("DAL US Equity", "FA_GROWTH(FUEL_COST_EXCLUDING_HEDGE, YOY)", "FPT=A", "FPO=1A", "ACT_EST_MAPPING=PRECISE", "FS=MRC", "CURRENCY=USD", "XLFILL=b")</f>
        <v>-2.3861682143552065</v>
      </c>
      <c r="J70" s="9">
        <f>_xll.BQL("DAL US Equity", "FA_GROWTH(FUEL_COST_EXCLUDING_HEDGE, YOY)", "FPT=A", "FPO=0A", "ACT_EST_MAPPING=PRECISE", "FS=MRC", "CURRENCY=USD", "XLFILL=b")</f>
        <v>-2.8988038068628308</v>
      </c>
      <c r="K70" s="9">
        <f>_xll.BQL("DAL US Equity", "FA_GROWTH(FUEL_COST_EXCLUDING_HEDGE, YOY)", "FPT=A", "FPO=-1A", "ACT_EST_MAPPING=PRECISE", "FS=MRC", "CURRENCY=USD", "XLFILL=b")</f>
        <v>103.64509246088194</v>
      </c>
      <c r="L70" s="9">
        <f>_xll.BQL("DAL US Equity", "FA_GROWTH(FUEL_COST_EXCLUDING_HEDGE, YOY)", "FPT=A", "FPO=-2A", "ACT_EST_MAPPING=PRECISE", "FS=MRC", "CURRENCY=USD", "XLFILL=b")</f>
        <v>77.581307230817814</v>
      </c>
      <c r="M70" s="9">
        <f>_xll.BQL("DAL US Equity", "FA_GROWTH(FUEL_COST_EXCLUDING_HEDGE, YOY)", "FPT=A", "FPO=-3A", "ACT_EST_MAPPING=PRECISE", "FS=MRC", "CURRENCY=USD", "XLFILL=b")</f>
        <v>-62.763080540858319</v>
      </c>
      <c r="N70" s="9">
        <f>_xll.BQL("DAL US Equity", "FA_GROWTH(FUEL_COST_EXCLUDING_HEDGE, YOY)", "FPT=A", "FPO=-4A", "ACT_EST_MAPPING=PRECISE", "FS=MRC", "CURRENCY=USD", "XLFILL=b")</f>
        <v>-5.1522248243559723</v>
      </c>
    </row>
    <row r="71" spans="1:14" x14ac:dyDescent="0.2">
      <c r="A71" s="8" t="s">
        <v>78</v>
      </c>
      <c r="B71" s="4" t="s">
        <v>79</v>
      </c>
      <c r="C71" s="4"/>
      <c r="D71" s="4"/>
      <c r="E71" s="9">
        <f>_xll.BQL("DAL US Equity", "FUEL_EXPENSES/1M", "FPT=A", "FPO=5A", "ACT_EST_MAPPING=PRECISE", "FS=MRC", "CURRENCY=USD", "XLFILL=b")</f>
        <v>10189.518747161501</v>
      </c>
      <c r="F71" s="9">
        <f>_xll.BQL("DAL US Equity", "FUEL_EXPENSES/1M", "FPT=A", "FPO=4A", "ACT_EST_MAPPING=PRECISE", "FS=MRC", "CURRENCY=USD", "XLFILL=b")</f>
        <v>10619.381403924299</v>
      </c>
      <c r="G71" s="9">
        <f>_xll.BQL("DAL US Equity", "FUEL_EXPENSES/1M", "FPT=A", "FPO=3A", "ACT_EST_MAPPING=PRECISE", "FS=MRC", "CURRENCY=USD", "XLFILL=b")</f>
        <v>11169.491917231149</v>
      </c>
      <c r="H71" s="9">
        <f>_xll.BQL("DAL US Equity", "FUEL_EXPENSES/1M", "FPT=A", "FPO=2A", "ACT_EST_MAPPING=PRECISE", "FS=MRC", "CURRENCY=USD", "XLFILL=b")</f>
        <v>11035.976496050207</v>
      </c>
      <c r="I71" s="9">
        <f>_xll.BQL("DAL US Equity", "FUEL_EXPENSES/1M", "FPT=A", "FPO=1A", "ACT_EST_MAPPING=PRECISE", "FS=MRC", "CURRENCY=USD", "XLFILL=b")</f>
        <v>10944.175908153651</v>
      </c>
      <c r="J71" s="9">
        <f>_xll.BQL("DAL US Equity", "FUEL_EXPENSES/1M", "FPT=A", "FPO=0A", "ACT_EST_MAPPING=PRECISE", "FS=MRC", "CURRENCY=USD", "XLFILL=b")</f>
        <v>11069</v>
      </c>
      <c r="K71" s="9">
        <f>_xll.BQL("DAL US Equity", "FUEL_EXPENSES/1M", "FPT=A", "FPO=-1A", "ACT_EST_MAPPING=PRECISE", "FS=MRC", "CURRENCY=USD", "XLFILL=b")</f>
        <v>11482</v>
      </c>
      <c r="L71" s="9">
        <f>_xll.BQL("DAL US Equity", "FUEL_EXPENSES/1M", "FPT=A", "FPO=-2A", "ACT_EST_MAPPING=PRECISE", "FS=MRC", "CURRENCY=USD", "XLFILL=b")</f>
        <v>5633</v>
      </c>
      <c r="M71" s="9">
        <f>_xll.BQL("DAL US Equity", "FUEL_EXPENSES/1M", "FPT=A", "FPO=-3A", "ACT_EST_MAPPING=PRECISE", "FS=MRC", "CURRENCY=USD", "XLFILL=b")</f>
        <v>3176</v>
      </c>
      <c r="N71" s="9">
        <f>_xll.BQL("DAL US Equity", "FUEL_EXPENSES/1M", "FPT=A", "FPO=-4A", "ACT_EST_MAPPING=PRECISE", "FS=MRC", "CURRENCY=USD", "XLFILL=b")</f>
        <v>8519</v>
      </c>
    </row>
    <row r="72" spans="1:14" x14ac:dyDescent="0.2">
      <c r="A72" s="8" t="s">
        <v>12</v>
      </c>
      <c r="B72" s="4" t="s">
        <v>79</v>
      </c>
      <c r="C72" s="4"/>
      <c r="D72" s="4"/>
      <c r="E72" s="9">
        <f>_xll.BQL("DAL US Equity", "FA_GROWTH(FUEL_EXPENSES, YOY)", "FPT=A", "FPO=5A", "ACT_EST_MAPPING=PRECISE", "FS=MRC", "CURRENCY=USD", "XLFILL=b")</f>
        <v>-4.0479067509897169</v>
      </c>
      <c r="F72" s="9">
        <f>_xll.BQL("DAL US Equity", "FA_GROWTH(FUEL_EXPENSES, YOY)", "FPT=A", "FPO=4A", "ACT_EST_MAPPING=PRECISE", "FS=MRC", "CURRENCY=USD", "XLFILL=b")</f>
        <v>-4.9251167142007253</v>
      </c>
      <c r="G72" s="9">
        <f>_xll.BQL("DAL US Equity", "FA_GROWTH(FUEL_EXPENSES, YOY)", "FPT=A", "FPO=3A", "ACT_EST_MAPPING=PRECISE", "FS=MRC", "CURRENCY=USD", "XLFILL=b")</f>
        <v>1.2098197312102641</v>
      </c>
      <c r="H72" s="9">
        <f>_xll.BQL("DAL US Equity", "FA_GROWTH(FUEL_EXPENSES, YOY)", "FPT=A", "FPO=2A", "ACT_EST_MAPPING=PRECISE", "FS=MRC", "CURRENCY=USD", "XLFILL=b")</f>
        <v>0.83880767877792795</v>
      </c>
      <c r="I72" s="9">
        <f>_xll.BQL("DAL US Equity", "FA_GROWTH(FUEL_EXPENSES, YOY)", "FPT=A", "FPO=1A", "ACT_EST_MAPPING=PRECISE", "FS=MRC", "CURRENCY=USD", "XLFILL=b")</f>
        <v>-1.1276907746530827</v>
      </c>
      <c r="J72" s="9">
        <f>_xll.BQL("DAL US Equity", "FA_GROWTH(FUEL_EXPENSES, YOY)", "FPT=A", "FPO=0A", "ACT_EST_MAPPING=PRECISE", "FS=MRC", "CURRENCY=USD", "XLFILL=b")</f>
        <v>-3.5969343319979097</v>
      </c>
      <c r="K72" s="9">
        <f>_xll.BQL("DAL US Equity", "FA_GROWTH(FUEL_EXPENSES, YOY)", "FPT=A", "FPO=-1A", "ACT_EST_MAPPING=PRECISE", "FS=MRC", "CURRENCY=USD", "XLFILL=b")</f>
        <v>103.83454642286526</v>
      </c>
      <c r="L72" s="9">
        <f>_xll.BQL("DAL US Equity", "FA_GROWTH(FUEL_EXPENSES, YOY)", "FPT=A", "FPO=-2A", "ACT_EST_MAPPING=PRECISE", "FS=MRC", "CURRENCY=USD", "XLFILL=b")</f>
        <v>77.361460957178835</v>
      </c>
      <c r="M72" s="9">
        <f>_xll.BQL("DAL US Equity", "FA_GROWTH(FUEL_EXPENSES, YOY)", "FPT=A", "FPO=-3A", "ACT_EST_MAPPING=PRECISE", "FS=MRC", "CURRENCY=USD", "XLFILL=b")</f>
        <v>-62.718628947059514</v>
      </c>
      <c r="N72" s="9">
        <f>_xll.BQL("DAL US Equity", "FA_GROWTH(FUEL_EXPENSES, YOY)", "FPT=A", "FPO=-4A", "ACT_EST_MAPPING=PRECISE", "FS=MRC", "CURRENCY=USD", "XLFILL=b")</f>
        <v>-5.5543237250554327</v>
      </c>
    </row>
    <row r="73" spans="1:14" x14ac:dyDescent="0.2">
      <c r="A73" s="8" t="s">
        <v>80</v>
      </c>
      <c r="B73" s="4" t="s">
        <v>81</v>
      </c>
      <c r="C73" s="4"/>
      <c r="D73" s="4"/>
      <c r="E73" s="9">
        <f>_xll.BQL("DAL US Equity", "IS_FUEL_SURCHARGE/1M", "FPT=A", "FPO=5A", "ACT_EST_MAPPING=PRECISE", "FS=MRC", "CURRENCY=USD", "XLFILL=b")</f>
        <v>12053.107584897067</v>
      </c>
      <c r="F73" s="9">
        <f>_xll.BQL("DAL US Equity", "IS_FUEL_SURCHARGE/1M", "FPT=A", "FPO=4A", "ACT_EST_MAPPING=PRECISE", "FS=MRC", "CURRENCY=USD", "XLFILL=b")</f>
        <v>11532.311261786115</v>
      </c>
      <c r="G73" s="9">
        <f>_xll.BQL("DAL US Equity", "IS_FUEL_SURCHARGE/1M", "FPT=A", "FPO=3A", "ACT_EST_MAPPING=PRECISE", "FS=MRC", "CURRENCY=USD", "XLFILL=b")</f>
        <v>11110.088051844335</v>
      </c>
      <c r="H73" s="9">
        <f>_xll.BQL("DAL US Equity", "IS_FUEL_SURCHARGE/1M", "FPT=A", "FPO=2A", "ACT_EST_MAPPING=PRECISE", "FS=MRC", "CURRENCY=USD", "XLFILL=b")</f>
        <v>10976.383925622929</v>
      </c>
      <c r="I73" s="9">
        <f>_xll.BQL("DAL US Equity", "IS_FUEL_SURCHARGE/1M", "FPT=A", "FPO=1A", "ACT_EST_MAPPING=PRECISE", "FS=MRC", "CURRENCY=USD", "XLFILL=b")</f>
        <v>10955.419825044661</v>
      </c>
      <c r="J73" s="9">
        <f>_xll.BQL("DAL US Equity", "IS_FUEL_SURCHARGE/1M", "FPT=A", "FPO=0A", "ACT_EST_MAPPING=PRECISE", "FS=MRC", "CURRENCY=USD", "XLFILL=b")</f>
        <v>11069</v>
      </c>
      <c r="K73" s="9">
        <f>_xll.BQL("DAL US Equity", "IS_FUEL_SURCHARGE/1M", "FPT=A", "FPO=-1A", "ACT_EST_MAPPING=PRECISE", "FS=MRC", "CURRENCY=USD", "XLFILL=b")</f>
        <v>11482</v>
      </c>
      <c r="L73" s="9">
        <f>_xll.BQL("DAL US Equity", "IS_FUEL_SURCHARGE/1M", "FPT=A", "FPO=-2A", "ACT_EST_MAPPING=PRECISE", "FS=MRC", "CURRENCY=USD", "XLFILL=b")</f>
        <v>5527</v>
      </c>
      <c r="M73" s="9">
        <f>_xll.BQL("DAL US Equity", "IS_FUEL_SURCHARGE/1M", "FPT=A", "FPO=-3A", "ACT_EST_MAPPING=PRECISE", "FS=MRC", "CURRENCY=USD", "XLFILL=b")</f>
        <v>2938</v>
      </c>
      <c r="N73" s="9">
        <f>_xll.BQL("DAL US Equity", "IS_FUEL_SURCHARGE/1M", "FPT=A", "FPO=-4A", "ACT_EST_MAPPING=PRECISE", "FS=MRC", "CURRENCY=USD", "XLFILL=b")</f>
        <v>0</v>
      </c>
    </row>
    <row r="74" spans="1:14" x14ac:dyDescent="0.2">
      <c r="A74" s="8" t="s">
        <v>12</v>
      </c>
      <c r="B74" s="4" t="s">
        <v>81</v>
      </c>
      <c r="C74" s="4"/>
      <c r="D74" s="4"/>
      <c r="E74" s="9">
        <f>_xll.BQL("DAL US Equity", "FA_GROWTH(IS_FUEL_SURCHARGE, YOY)", "FPT=A", "FPO=5A", "ACT_EST_MAPPING=PRECISE", "FS=MRC", "CURRENCY=USD", "XLFILL=b")</f>
        <v>4.5159752567265512</v>
      </c>
      <c r="F74" s="9">
        <f>_xll.BQL("DAL US Equity", "FA_GROWTH(IS_FUEL_SURCHARGE, YOY)", "FPT=A", "FPO=4A", "ACT_EST_MAPPING=PRECISE", "FS=MRC", "CURRENCY=USD", "XLFILL=b")</f>
        <v>3.8003588087826965</v>
      </c>
      <c r="G74" s="9">
        <f>_xll.BQL("DAL US Equity", "FA_GROWTH(IS_FUEL_SURCHARGE, YOY)", "FPT=A", "FPO=3A", "ACT_EST_MAPPING=PRECISE", "FS=MRC", "CURRENCY=USD", "XLFILL=b")</f>
        <v>1.2181072302809324</v>
      </c>
      <c r="H74" s="9">
        <f>_xll.BQL("DAL US Equity", "FA_GROWTH(IS_FUEL_SURCHARGE, YOY)", "FPT=A", "FPO=2A", "ACT_EST_MAPPING=PRECISE", "FS=MRC", "CURRENCY=USD", "XLFILL=b")</f>
        <v>0.19135825840597204</v>
      </c>
      <c r="I74" s="9">
        <f>_xll.BQL("DAL US Equity", "FA_GROWTH(IS_FUEL_SURCHARGE, YOY)", "FPT=A", "FPO=1A", "ACT_EST_MAPPING=PRECISE", "FS=MRC", "CURRENCY=USD", "XLFILL=b")</f>
        <v>-1.026110533520096</v>
      </c>
      <c r="J74" s="9">
        <f>_xll.BQL("DAL US Equity", "FA_GROWTH(IS_FUEL_SURCHARGE, YOY)", "FPT=A", "FPO=0A", "ACT_EST_MAPPING=PRECISE", "FS=MRC", "CURRENCY=USD", "XLFILL=b")</f>
        <v>-3.5969343319979097</v>
      </c>
      <c r="K74" s="9">
        <f>_xll.BQL("DAL US Equity", "FA_GROWTH(IS_FUEL_SURCHARGE, YOY)", "FPT=A", "FPO=-1A", "ACT_EST_MAPPING=PRECISE", "FS=MRC", "CURRENCY=USD", "XLFILL=b")</f>
        <v>107.74380314818166</v>
      </c>
      <c r="L74" s="9">
        <f>_xll.BQL("DAL US Equity", "FA_GROWTH(IS_FUEL_SURCHARGE, YOY)", "FPT=A", "FPO=-2A", "ACT_EST_MAPPING=PRECISE", "FS=MRC", "CURRENCY=USD", "XLFILL=b")</f>
        <v>88.121170864533696</v>
      </c>
      <c r="M74" s="9" t="str">
        <f>_xll.BQL("DAL US Equity", "FA_GROWTH(IS_FUEL_SURCHARGE, YOY)", "FPT=A", "FPO=-3A", "ACT_EST_MAPPING=PRECISE", "FS=MRC", "CURRENCY=USD", "XLFILL=b")</f>
        <v/>
      </c>
      <c r="N74" s="9">
        <f>_xll.BQL("DAL US Equity", "FA_GROWTH(IS_FUEL_SURCHARGE, YOY)", "FPT=A", "FPO=-4A", "ACT_EST_MAPPING=PRECISE", "FS=MRC", "CURRENCY=USD", "XLFILL=b")</f>
        <v>-100</v>
      </c>
    </row>
    <row r="75" spans="1:14" x14ac:dyDescent="0.2">
      <c r="A75" s="8" t="s">
        <v>16</v>
      </c>
      <c r="B75" s="4"/>
      <c r="C75" s="4"/>
      <c r="D75" s="4"/>
      <c r="E75" s="9"/>
      <c r="F75" s="9"/>
      <c r="G75" s="9"/>
      <c r="H75" s="9"/>
      <c r="I75" s="9"/>
      <c r="J75" s="9"/>
      <c r="K75" s="9"/>
      <c r="L75" s="9"/>
      <c r="M75" s="9"/>
      <c r="N75" s="9"/>
    </row>
    <row r="76" spans="1:14" x14ac:dyDescent="0.2">
      <c r="A76" s="8" t="s">
        <v>82</v>
      </c>
      <c r="B76" s="4"/>
      <c r="C76" s="4" t="s">
        <v>83</v>
      </c>
      <c r="D76" s="4"/>
      <c r="E76" s="9"/>
      <c r="F76" s="9"/>
      <c r="G76" s="9"/>
      <c r="H76" s="9"/>
      <c r="I76" s="9"/>
      <c r="J76" s="9"/>
      <c r="K76" s="9"/>
      <c r="L76" s="9"/>
      <c r="M76" s="9"/>
      <c r="N76" s="9"/>
    </row>
    <row r="77" spans="1:14" x14ac:dyDescent="0.2">
      <c r="A77" s="8" t="s">
        <v>84</v>
      </c>
      <c r="B77" s="4"/>
      <c r="C77" s="4"/>
      <c r="D77" s="4"/>
      <c r="E77" s="9"/>
      <c r="F77" s="9"/>
      <c r="G77" s="9"/>
      <c r="H77" s="9"/>
      <c r="I77" s="9"/>
      <c r="J77" s="9"/>
      <c r="K77" s="9"/>
      <c r="L77" s="9"/>
      <c r="M77" s="9"/>
      <c r="N77" s="9"/>
    </row>
    <row r="78" spans="1:14" x14ac:dyDescent="0.2">
      <c r="A78" s="8" t="s">
        <v>85</v>
      </c>
      <c r="B78" s="4" t="s">
        <v>26</v>
      </c>
      <c r="C78" s="4"/>
      <c r="D78" s="4"/>
      <c r="E78" s="9">
        <f>_xll.BQL("DAL US Equity", "TOTAL_PASSENGER_REVENUE/1M", "FPT=A", "FPO=5A", "ACT_EST_MAPPING=PRECISE", "FS=MRC", "CURRENCY=USD", "XLFILL=b")</f>
        <v>57836.334303558295</v>
      </c>
      <c r="F78" s="9">
        <f>_xll.BQL("DAL US Equity", "TOTAL_PASSENGER_REVENUE/1M", "FPT=A", "FPO=4A", "ACT_EST_MAPPING=PRECISE", "FS=MRC", "CURRENCY=USD", "XLFILL=b")</f>
        <v>56397.154493539914</v>
      </c>
      <c r="G78" s="9">
        <f>_xll.BQL("DAL US Equity", "TOTAL_PASSENGER_REVENUE/1M", "FPT=A", "FPO=3A", "ACT_EST_MAPPING=PRECISE", "FS=MRC", "CURRENCY=USD", "XLFILL=b")</f>
        <v>55139.796498322983</v>
      </c>
      <c r="H78" s="9">
        <f>_xll.BQL("DAL US Equity", "TOTAL_PASSENGER_REVENUE/1M", "FPT=A", "FPO=2A", "ACT_EST_MAPPING=PRECISE", "FS=MRC", "CURRENCY=USD", "XLFILL=b")</f>
        <v>52863.709194391246</v>
      </c>
      <c r="I78" s="9">
        <f>_xll.BQL("DAL US Equity", "TOTAL_PASSENGER_REVENUE/1M", "FPT=A", "FPO=1A", "ACT_EST_MAPPING=PRECISE", "FS=MRC", "CURRENCY=USD", "XLFILL=b")</f>
        <v>50341.510390915348</v>
      </c>
      <c r="J78" s="9">
        <f>_xll.BQL("DAL US Equity", "TOTAL_PASSENGER_REVENUE/1M", "FPT=A", "FPO=0A", "ACT_EST_MAPPING=PRECISE", "FS=MRC", "CURRENCY=USD", "XLFILL=b")</f>
        <v>48909</v>
      </c>
      <c r="K78" s="9">
        <f>_xll.BQL("DAL US Equity", "TOTAL_PASSENGER_REVENUE/1M", "FPT=A", "FPO=-1A", "ACT_EST_MAPPING=PRECISE", "FS=MRC", "CURRENCY=USD", "XLFILL=b")</f>
        <v>40218</v>
      </c>
      <c r="L78" s="9">
        <f>_xll.BQL("DAL US Equity", "TOTAL_PASSENGER_REVENUE/1M", "FPT=A", "FPO=-2A", "ACT_EST_MAPPING=PRECISE", "FS=MRC", "CURRENCY=USD", "XLFILL=b")</f>
        <v>22519</v>
      </c>
      <c r="M78" s="9">
        <f>_xll.BQL("DAL US Equity", "TOTAL_PASSENGER_REVENUE/1M", "FPT=A", "FPO=-3A", "ACT_EST_MAPPING=PRECISE", "FS=MRC", "CURRENCY=USD", "XLFILL=b")</f>
        <v>12883</v>
      </c>
      <c r="N78" s="9">
        <f>_xll.BQL("DAL US Equity", "TOTAL_PASSENGER_REVENUE/1M", "FPT=A", "FPO=-4A", "ACT_EST_MAPPING=PRECISE", "FS=MRC", "CURRENCY=USD", "XLFILL=b")</f>
        <v>42277</v>
      </c>
    </row>
    <row r="79" spans="1:14" x14ac:dyDescent="0.2">
      <c r="A79" s="8" t="s">
        <v>86</v>
      </c>
      <c r="B79" s="4" t="s">
        <v>26</v>
      </c>
      <c r="C79" s="4"/>
      <c r="D79" s="4"/>
      <c r="E79" s="9">
        <f>_xll.BQL("DAL US Equity", "FA_GROWTH(TOTAL_PASSENGER_REVENUE, YOY)", "FPT=A", "FPO=5A", "ACT_EST_MAPPING=PRECISE", "FS=MRC", "CURRENCY=USD", "XLFILL=b")</f>
        <v>2.5518659991670889</v>
      </c>
      <c r="F79" s="9">
        <f>_xll.BQL("DAL US Equity", "FA_GROWTH(TOTAL_PASSENGER_REVENUE, YOY)", "FPT=A", "FPO=4A", "ACT_EST_MAPPING=PRECISE", "FS=MRC", "CURRENCY=USD", "XLFILL=b")</f>
        <v>2.2803094589860797</v>
      </c>
      <c r="G79" s="9">
        <f>_xll.BQL("DAL US Equity", "FA_GROWTH(TOTAL_PASSENGER_REVENUE, YOY)", "FPT=A", "FPO=3A", "ACT_EST_MAPPING=PRECISE", "FS=MRC", "CURRENCY=USD", "XLFILL=b")</f>
        <v>4.3055762424124966</v>
      </c>
      <c r="H79" s="9">
        <f>_xll.BQL("DAL US Equity", "FA_GROWTH(TOTAL_PASSENGER_REVENUE, YOY)", "FPT=A", "FPO=2A", "ACT_EST_MAPPING=PRECISE", "FS=MRC", "CURRENCY=USD", "XLFILL=b")</f>
        <v>5.0101770564497325</v>
      </c>
      <c r="I79" s="9">
        <f>_xll.BQL("DAL US Equity", "FA_GROWTH(TOTAL_PASSENGER_REVENUE, YOY)", "FPT=A", "FPO=1A", "ACT_EST_MAPPING=PRECISE", "FS=MRC", "CURRENCY=USD", "XLFILL=b")</f>
        <v>2.9289300351987246</v>
      </c>
      <c r="J79" s="9">
        <f>_xll.BQL("DAL US Equity", "FA_GROWTH(TOTAL_PASSENGER_REVENUE, YOY)", "FPT=A", "FPO=0A", "ACT_EST_MAPPING=PRECISE", "FS=MRC", "CURRENCY=USD", "XLFILL=b")</f>
        <v>21.60972698791586</v>
      </c>
      <c r="K79" s="9">
        <f>_xll.BQL("DAL US Equity", "FA_GROWTH(TOTAL_PASSENGER_REVENUE, YOY)", "FPT=A", "FPO=-1A", "ACT_EST_MAPPING=PRECISE", "FS=MRC", "CURRENCY=USD", "XLFILL=b")</f>
        <v>78.595852391313997</v>
      </c>
      <c r="L79" s="9">
        <f>_xll.BQL("DAL US Equity", "FA_GROWTH(TOTAL_PASSENGER_REVENUE, YOY)", "FPT=A", "FPO=-2A", "ACT_EST_MAPPING=PRECISE", "FS=MRC", "CURRENCY=USD", "XLFILL=b")</f>
        <v>74.796243111076606</v>
      </c>
      <c r="M79" s="9">
        <f>_xll.BQL("DAL US Equity", "FA_GROWTH(TOTAL_PASSENGER_REVENUE, YOY)", "FPT=A", "FPO=-3A", "ACT_EST_MAPPING=PRECISE", "FS=MRC", "CURRENCY=USD", "XLFILL=b")</f>
        <v>-69.527166071386333</v>
      </c>
      <c r="N79" s="9">
        <f>_xll.BQL("DAL US Equity", "FA_GROWTH(TOTAL_PASSENGER_REVENUE, YOY)", "FPT=A", "FPO=-4A", "ACT_EST_MAPPING=PRECISE", "FS=MRC", "CURRENCY=USD", "XLFILL=b")</f>
        <v>6.3438561187272038</v>
      </c>
    </row>
    <row r="80" spans="1:14" x14ac:dyDescent="0.2">
      <c r="A80" s="8" t="s">
        <v>87</v>
      </c>
      <c r="B80" s="4" t="s">
        <v>88</v>
      </c>
      <c r="C80" s="4"/>
      <c r="D80" s="4" t="s">
        <v>89</v>
      </c>
      <c r="E80" s="9">
        <f>_xll.BQL("SEG0000176318 Segment", "SALES_REV_TURN/1M", "FPT=A", "FPO=5A", "ACT_EST_MAPPING=PRECISE", "FS=MRC", "CURRENCY=USD", "XLFILL=b")</f>
        <v>813.15464429082124</v>
      </c>
      <c r="F80" s="9">
        <f>_xll.BQL("SEG0000176318 Segment", "SALES_REV_TURN/1M", "FPT=A", "FPO=4A", "ACT_EST_MAPPING=PRECISE", "FS=MRC", "CURRENCY=USD", "XLFILL=b")</f>
        <v>798.01537854971286</v>
      </c>
      <c r="G80" s="9">
        <f>_xll.BQL("SEG0000176318 Segment", "SALES_REV_TURN/1M", "FPT=A", "FPO=3A", "ACT_EST_MAPPING=PRECISE", "FS=MRC", "CURRENCY=USD", "XLFILL=b")</f>
        <v>812.78877449804236</v>
      </c>
      <c r="H80" s="9">
        <f>_xll.BQL("SEG0000176318 Segment", "SALES_REV_TURN/1M", "FPT=A", "FPO=2A", "ACT_EST_MAPPING=PRECISE", "FS=MRC", "CURRENCY=USD", "XLFILL=b")</f>
        <v>780.8352758253817</v>
      </c>
      <c r="I80" s="9">
        <f>_xll.BQL("SEG0000176318 Segment", "SALES_REV_TURN/1M", "FPT=A", "FPO=1A", "ACT_EST_MAPPING=PRECISE", "FS=MRC", "CURRENCY=USD", "XLFILL=b")</f>
        <v>753.72452337431275</v>
      </c>
      <c r="J80" s="9">
        <f>_xll.BQL("SEG0000176318 Segment", "SALES_REV_TURN/1M", "FPT=A", "FPO=0A", "ACT_EST_MAPPING=PRECISE", "FS=MRC", "CURRENCY=USD", "XLFILL=b")</f>
        <v>723</v>
      </c>
      <c r="K80" s="9">
        <f>_xll.BQL("SEG0000176318 Segment", "SALES_REV_TURN/1M", "FPT=A", "FPO=-1A", "ACT_EST_MAPPING=PRECISE", "FS=MRC", "CURRENCY=USD", "XLFILL=b")</f>
        <v>1050</v>
      </c>
      <c r="L80" s="9">
        <f>_xll.BQL("SEG0000176318 Segment", "SALES_REV_TURN/1M", "FPT=A", "FPO=-2A", "ACT_EST_MAPPING=PRECISE", "FS=MRC", "CURRENCY=USD", "XLFILL=b")</f>
        <v>1032</v>
      </c>
      <c r="M80" s="9">
        <f>_xll.BQL("SEG0000176318 Segment", "SALES_REV_TURN/1M", "FPT=A", "FPO=-3A", "ACT_EST_MAPPING=PRECISE", "FS=MRC", "CURRENCY=USD", "XLFILL=b")</f>
        <v>608</v>
      </c>
      <c r="N80" s="9">
        <f>_xll.BQL("SEG0000176318 Segment", "SALES_REV_TURN/1M", "FPT=A", "FPO=-4A", "ACT_EST_MAPPING=PRECISE", "FS=MRC", "CURRENCY=USD", "XLFILL=b")</f>
        <v>753</v>
      </c>
    </row>
    <row r="81" spans="1:14" x14ac:dyDescent="0.2">
      <c r="A81" s="8" t="s">
        <v>86</v>
      </c>
      <c r="B81" s="4" t="s">
        <v>88</v>
      </c>
      <c r="C81" s="4"/>
      <c r="D81" s="4" t="s">
        <v>89</v>
      </c>
      <c r="E81" s="9">
        <f>_xll.BQL("SEG0000176318 Segment", "FA_GROWTH(SALES_REV_TURN, YOY)", "FPT=A", "FPO=5A", "ACT_EST_MAPPING=PRECISE", "FS=MRC", "CURRENCY=USD", "XLFILL=b")</f>
        <v>1.8971145353892684</v>
      </c>
      <c r="F81" s="9">
        <f>_xll.BQL("SEG0000176318 Segment", "FA_GROWTH(SALES_REV_TURN, YOY)", "FPT=A", "FPO=4A", "ACT_EST_MAPPING=PRECISE", "FS=MRC", "CURRENCY=USD", "XLFILL=b")</f>
        <v>-1.817618108401303</v>
      </c>
      <c r="G81" s="9">
        <f>_xll.BQL("SEG0000176318 Segment", "FA_GROWTH(SALES_REV_TURN, YOY)", "FPT=A", "FPO=3A", "ACT_EST_MAPPING=PRECISE", "FS=MRC", "CURRENCY=USD", "XLFILL=b")</f>
        <v>4.0922201726713938</v>
      </c>
      <c r="H81" s="9">
        <f>_xll.BQL("SEG0000176318 Segment", "FA_GROWTH(SALES_REV_TURN, YOY)", "FPT=A", "FPO=2A", "ACT_EST_MAPPING=PRECISE", "FS=MRC", "CURRENCY=USD", "XLFILL=b")</f>
        <v>3.5969046528694841</v>
      </c>
      <c r="I81" s="9">
        <f>_xll.BQL("SEG0000176318 Segment", "FA_GROWTH(SALES_REV_TURN, YOY)", "FPT=A", "FPO=1A", "ACT_EST_MAPPING=PRECISE", "FS=MRC", "CURRENCY=USD", "XLFILL=b")</f>
        <v>4.2495882952023178</v>
      </c>
      <c r="J81" s="9">
        <f>_xll.BQL("SEG0000176318 Segment", "FA_GROWTH(SALES_REV_TURN, YOY)", "FPT=A", "FPO=0A", "ACT_EST_MAPPING=PRECISE", "FS=MRC", "CURRENCY=USD", "XLFILL=b")</f>
        <v>-31.142857142857142</v>
      </c>
      <c r="K81" s="9">
        <f>_xll.BQL("SEG0000176318 Segment", "FA_GROWTH(SALES_REV_TURN, YOY)", "FPT=A", "FPO=-1A", "ACT_EST_MAPPING=PRECISE", "FS=MRC", "CURRENCY=USD", "XLFILL=b")</f>
        <v>1.7441860465116279</v>
      </c>
      <c r="L81" s="9">
        <f>_xll.BQL("SEG0000176318 Segment", "FA_GROWTH(SALES_REV_TURN, YOY)", "FPT=A", "FPO=-2A", "ACT_EST_MAPPING=PRECISE", "FS=MRC", "CURRENCY=USD", "XLFILL=b")</f>
        <v>69.736842105263165</v>
      </c>
      <c r="M81" s="9">
        <f>_xll.BQL("SEG0000176318 Segment", "FA_GROWTH(SALES_REV_TURN, YOY)", "FPT=A", "FPO=-3A", "ACT_EST_MAPPING=PRECISE", "FS=MRC", "CURRENCY=USD", "XLFILL=b")</f>
        <v>-19.256308100929616</v>
      </c>
      <c r="N81" s="9">
        <f>_xll.BQL("SEG0000176318 Segment", "FA_GROWTH(SALES_REV_TURN, YOY)", "FPT=A", "FPO=-4A", "ACT_EST_MAPPING=PRECISE", "FS=MRC", "CURRENCY=USD", "XLFILL=b")</f>
        <v>-12.947976878612717</v>
      </c>
    </row>
    <row r="82" spans="1:14" x14ac:dyDescent="0.2">
      <c r="A82" s="8" t="s">
        <v>90</v>
      </c>
      <c r="B82" s="4" t="s">
        <v>88</v>
      </c>
      <c r="C82" s="4"/>
      <c r="D82" s="4" t="s">
        <v>91</v>
      </c>
      <c r="E82" s="9">
        <f>_xll.BQL("SEG0000176281 Segment", "SALES_REV_TURN/1M", "FPT=A", "FPO=5A", "ACT_EST_MAPPING=PRECISE", "FS=MRC", "CURRENCY=USD", "XLFILL=b")</f>
        <v>9009.7616856248387</v>
      </c>
      <c r="F82" s="9">
        <f>_xll.BQL("SEG0000176281 Segment", "SALES_REV_TURN/1M", "FPT=A", "FPO=4A", "ACT_EST_MAPPING=PRECISE", "FS=MRC", "CURRENCY=USD", "XLFILL=b")</f>
        <v>9151.7157363006409</v>
      </c>
      <c r="G82" s="9">
        <f>_xll.BQL("SEG0000176281 Segment", "SALES_REV_TURN/1M", "FPT=A", "FPO=3A", "ACT_EST_MAPPING=PRECISE", "FS=MRC", "CURRENCY=USD", "XLFILL=b")</f>
        <v>8349.1913493390603</v>
      </c>
      <c r="H82" s="9">
        <f>_xll.BQL("SEG0000176281 Segment", "SALES_REV_TURN/1M", "FPT=A", "FPO=2A", "ACT_EST_MAPPING=PRECISE", "FS=MRC", "CURRENCY=USD", "XLFILL=b")</f>
        <v>8721.7561421011287</v>
      </c>
      <c r="I82" s="9">
        <f>_xll.BQL("SEG0000176281 Segment", "SALES_REV_TURN/1M", "FPT=A", "FPO=1A", "ACT_EST_MAPPING=PRECISE", "FS=MRC", "CURRENCY=USD", "XLFILL=b")</f>
        <v>9411.312766666666</v>
      </c>
      <c r="J82" s="9">
        <f>_xll.BQL("SEG0000176281 Segment", "SALES_REV_TURN/1M", "FPT=A", "FPO=0A", "ACT_EST_MAPPING=PRECISE", "FS=MRC", "CURRENCY=USD", "XLFILL=b")</f>
        <v>8416</v>
      </c>
      <c r="K82" s="9">
        <f>_xll.BQL("SEG0000176281 Segment", "SALES_REV_TURN/1M", "FPT=A", "FPO=-1A", "ACT_EST_MAPPING=PRECISE", "FS=MRC", "CURRENCY=USD", "XLFILL=b")</f>
        <v>9314</v>
      </c>
      <c r="L82" s="9">
        <f>_xll.BQL("SEG0000176281 Segment", "SALES_REV_TURN/1M", "FPT=A", "FPO=-2A", "ACT_EST_MAPPING=PRECISE", "FS=MRC", "CURRENCY=USD", "XLFILL=b")</f>
        <v>6348</v>
      </c>
      <c r="M82" s="9">
        <f>_xll.BQL("SEG0000176281 Segment", "SALES_REV_TURN/1M", "FPT=A", "FPO=-3A", "ACT_EST_MAPPING=PRECISE", "FS=MRC", "CURRENCY=USD", "XLFILL=b")</f>
        <v>3604</v>
      </c>
      <c r="N82" s="9">
        <f>_xll.BQL("SEG0000176281 Segment", "SALES_REV_TURN/1M", "FPT=A", "FPO=-4A", "ACT_EST_MAPPING=PRECISE", "FS=MRC", "CURRENCY=USD", "XLFILL=b")</f>
        <v>3977</v>
      </c>
    </row>
    <row r="83" spans="1:14" x14ac:dyDescent="0.2">
      <c r="A83" s="8" t="s">
        <v>86</v>
      </c>
      <c r="B83" s="4" t="s">
        <v>88</v>
      </c>
      <c r="C83" s="4"/>
      <c r="D83" s="4" t="s">
        <v>91</v>
      </c>
      <c r="E83" s="9">
        <f>_xll.BQL("SEG0000176281 Segment", "FA_GROWTH(SALES_REV_TURN, YOY)", "FPT=A", "FPO=5A", "ACT_EST_MAPPING=PRECISE", "FS=MRC", "CURRENCY=USD", "XLFILL=b")</f>
        <v>-1.551119536118631</v>
      </c>
      <c r="F83" s="9">
        <f>_xll.BQL("SEG0000176281 Segment", "FA_GROWTH(SALES_REV_TURN, YOY)", "FPT=A", "FPO=4A", "ACT_EST_MAPPING=PRECISE", "FS=MRC", "CURRENCY=USD", "XLFILL=b")</f>
        <v>9.6120013709484429</v>
      </c>
      <c r="G83" s="9">
        <f>_xll.BQL("SEG0000176281 Segment", "FA_GROWTH(SALES_REV_TURN, YOY)", "FPT=A", "FPO=3A", "ACT_EST_MAPPING=PRECISE", "FS=MRC", "CURRENCY=USD", "XLFILL=b")</f>
        <v>-4.2716717446804866</v>
      </c>
      <c r="H83" s="9">
        <f>_xll.BQL("SEG0000176281 Segment", "FA_GROWTH(SALES_REV_TURN, YOY)", "FPT=A", "FPO=2A", "ACT_EST_MAPPING=PRECISE", "FS=MRC", "CURRENCY=USD", "XLFILL=b")</f>
        <v>-7.326890962627802</v>
      </c>
      <c r="I83" s="9">
        <f>_xll.BQL("SEG0000176281 Segment", "FA_GROWTH(SALES_REV_TURN, YOY)", "FPT=A", "FPO=1A", "ACT_EST_MAPPING=PRECISE", "FS=MRC", "CURRENCY=USD", "XLFILL=b")</f>
        <v>11.826434965145745</v>
      </c>
      <c r="J83" s="9">
        <f>_xll.BQL("SEG0000176281 Segment", "FA_GROWTH(SALES_REV_TURN, YOY)", "FPT=A", "FPO=0A", "ACT_EST_MAPPING=PRECISE", "FS=MRC", "CURRENCY=USD", "XLFILL=b")</f>
        <v>-9.6414000429461026</v>
      </c>
      <c r="K83" s="9">
        <f>_xll.BQL("SEG0000176281 Segment", "FA_GROWTH(SALES_REV_TURN, YOY)", "FPT=A", "FPO=-1A", "ACT_EST_MAPPING=PRECISE", "FS=MRC", "CURRENCY=USD", "XLFILL=b")</f>
        <v>46.723377441713929</v>
      </c>
      <c r="L83" s="9">
        <f>_xll.BQL("SEG0000176281 Segment", "FA_GROWTH(SALES_REV_TURN, YOY)", "FPT=A", "FPO=-2A", "ACT_EST_MAPPING=PRECISE", "FS=MRC", "CURRENCY=USD", "XLFILL=b")</f>
        <v>76.137624861265266</v>
      </c>
      <c r="M83" s="9">
        <f>_xll.BQL("SEG0000176281 Segment", "FA_GROWTH(SALES_REV_TURN, YOY)", "FPT=A", "FPO=-3A", "ACT_EST_MAPPING=PRECISE", "FS=MRC", "CURRENCY=USD", "XLFILL=b")</f>
        <v>-9.3789288408347993</v>
      </c>
      <c r="N83" s="9">
        <f>_xll.BQL("SEG0000176281 Segment", "FA_GROWTH(SALES_REV_TURN, YOY)", "FPT=A", "FPO=-4A", "ACT_EST_MAPPING=PRECISE", "FS=MRC", "CURRENCY=USD", "XLFILL=b")</f>
        <v>4.1644840230487166</v>
      </c>
    </row>
    <row r="84" spans="1:14" x14ac:dyDescent="0.2">
      <c r="A84" s="8" t="s">
        <v>92</v>
      </c>
      <c r="B84" s="4" t="s">
        <v>88</v>
      </c>
      <c r="C84" s="4"/>
      <c r="D84" s="4" t="s">
        <v>93</v>
      </c>
      <c r="E84" s="9" t="str">
        <f>_xll.BQL("SEG0000176219 Segment", "SALES_REV_TURN/1M", "FPT=A", "FPO=5A", "ACT_EST_MAPPING=PRECISE", "FS=MRC", "CURRENCY=USD", "XLFILL=b")</f>
        <v/>
      </c>
      <c r="F84" s="9" t="str">
        <f>_xll.BQL("SEG0000176219 Segment", "SALES_REV_TURN/1M", "FPT=A", "FPO=4A", "ACT_EST_MAPPING=PRECISE", "FS=MRC", "CURRENCY=USD", "XLFILL=b")</f>
        <v/>
      </c>
      <c r="G84" s="9">
        <f>_xll.BQL("SEG0000176219 Segment", "SALES_REV_TURN/1M", "FPT=A", "FPO=3A", "ACT_EST_MAPPING=PRECISE", "FS=MRC", "CURRENCY=USD", "XLFILL=b")</f>
        <v>3855.1203875000001</v>
      </c>
      <c r="H84" s="9">
        <f>_xll.BQL("SEG0000176219 Segment", "SALES_REV_TURN/1M", "FPT=A", "FPO=2A", "ACT_EST_MAPPING=PRECISE", "FS=MRC", "CURRENCY=USD", "XLFILL=b")</f>
        <v>3602.9162500000002</v>
      </c>
      <c r="I84" s="9">
        <f>_xll.BQL("SEG0000176219 Segment", "SALES_REV_TURN/1M", "FPT=A", "FPO=1A", "ACT_EST_MAPPING=PRECISE", "FS=MRC", "CURRENCY=USD", "XLFILL=b")</f>
        <v>3351.55</v>
      </c>
      <c r="J84" s="9">
        <f>_xll.BQL("SEG0000176219 Segment", "SALES_REV_TURN/1M", "FPT=A", "FPO=0A", "ACT_EST_MAPPING=PRECISE", "FS=MRC", "CURRENCY=USD", "XLFILL=b")</f>
        <v>3093</v>
      </c>
      <c r="K84" s="9">
        <f>_xll.BQL("SEG0000176219 Segment", "SALES_REV_TURN/1M", "FPT=A", "FPO=-1A", "ACT_EST_MAPPING=PRECISE", "FS=MRC", "CURRENCY=USD", "XLFILL=b")</f>
        <v>2597</v>
      </c>
      <c r="L84" s="9">
        <f>_xll.BQL("SEG0000176219 Segment", "SALES_REV_TURN/1M", "FPT=A", "FPO=-2A", "ACT_EST_MAPPING=PRECISE", "FS=MRC", "CURRENCY=USD", "XLFILL=b")</f>
        <v>1770</v>
      </c>
      <c r="M84" s="9">
        <f>_xll.BQL("SEG0000176219 Segment", "SALES_REV_TURN/1M", "FPT=A", "FPO=-3A", "ACT_EST_MAPPING=PRECISE", "FS=MRC", "CURRENCY=USD", "XLFILL=b")</f>
        <v>1458</v>
      </c>
      <c r="N84" s="9">
        <f>_xll.BQL("SEG0000176219 Segment", "SALES_REV_TURN/1M", "FPT=A", "FPO=-4A", "ACT_EST_MAPPING=PRECISE", "FS=MRC", "CURRENCY=USD", "XLFILL=b")</f>
        <v>1962</v>
      </c>
    </row>
    <row r="85" spans="1:14" x14ac:dyDescent="0.2">
      <c r="A85" s="8" t="s">
        <v>94</v>
      </c>
      <c r="B85" s="4" t="s">
        <v>88</v>
      </c>
      <c r="C85" s="4"/>
      <c r="D85" s="4" t="s">
        <v>93</v>
      </c>
      <c r="E85" s="9" t="str">
        <f>_xll.BQL("SEG0000176219 Segment", "FA_GROWTH(SALES_REV_TURN, YOY)", "FPT=A", "FPO=5A", "ACT_EST_MAPPING=PRECISE", "FS=MRC", "CURRENCY=USD", "XLFILL=b")</f>
        <v/>
      </c>
      <c r="F85" s="9" t="str">
        <f>_xll.BQL("SEG0000176219 Segment", "FA_GROWTH(SALES_REV_TURN, YOY)", "FPT=A", "FPO=4A", "ACT_EST_MAPPING=PRECISE", "FS=MRC", "CURRENCY=USD", "XLFILL=b")</f>
        <v/>
      </c>
      <c r="G85" s="9">
        <f>_xll.BQL("SEG0000176219 Segment", "FA_GROWTH(SALES_REV_TURN, YOY)", "FPT=A", "FPO=3A", "ACT_EST_MAPPING=PRECISE", "FS=MRC", "CURRENCY=USD", "XLFILL=b")</f>
        <v>7</v>
      </c>
      <c r="H85" s="9">
        <f>_xll.BQL("SEG0000176219 Segment", "FA_GROWTH(SALES_REV_TURN, YOY)", "FPT=A", "FPO=2A", "ACT_EST_MAPPING=PRECISE", "FS=MRC", "CURRENCY=USD", "XLFILL=b")</f>
        <v>7.5</v>
      </c>
      <c r="I85" s="9">
        <f>_xll.BQL("SEG0000176219 Segment", "FA_GROWTH(SALES_REV_TURN, YOY)", "FPT=A", "FPO=1A", "ACT_EST_MAPPING=PRECISE", "FS=MRC", "CURRENCY=USD", "XLFILL=b")</f>
        <v>8.3591981894600718</v>
      </c>
      <c r="J85" s="9">
        <f>_xll.BQL("SEG0000176219 Segment", "FA_GROWTH(SALES_REV_TURN, YOY)", "FPT=A", "FPO=0A", "ACT_EST_MAPPING=PRECISE", "FS=MRC", "CURRENCY=USD", "XLFILL=b")</f>
        <v>19.098960338852521</v>
      </c>
      <c r="K85" s="9">
        <f>_xll.BQL("SEG0000176219 Segment", "FA_GROWTH(SALES_REV_TURN, YOY)", "FPT=A", "FPO=-1A", "ACT_EST_MAPPING=PRECISE", "FS=MRC", "CURRENCY=USD", "XLFILL=b")</f>
        <v>46.72316384180791</v>
      </c>
      <c r="L85" s="9">
        <f>_xll.BQL("SEG0000176219 Segment", "FA_GROWTH(SALES_REV_TURN, YOY)", "FPT=A", "FPO=-2A", "ACT_EST_MAPPING=PRECISE", "FS=MRC", "CURRENCY=USD", "XLFILL=b")</f>
        <v>21.399176954732511</v>
      </c>
      <c r="M85" s="9">
        <f>_xll.BQL("SEG0000176219 Segment", "FA_GROWTH(SALES_REV_TURN, YOY)", "FPT=A", "FPO=-3A", "ACT_EST_MAPPING=PRECISE", "FS=MRC", "CURRENCY=USD", "XLFILL=b")</f>
        <v>-25.688073394495412</v>
      </c>
      <c r="N85" s="9">
        <f>_xll.BQL("SEG0000176219 Segment", "FA_GROWTH(SALES_REV_TURN, YOY)", "FPT=A", "FPO=-4A", "ACT_EST_MAPPING=PRECISE", "FS=MRC", "CURRENCY=USD", "XLFILL=b")</f>
        <v>34.475668265935575</v>
      </c>
    </row>
    <row r="86" spans="1:14" x14ac:dyDescent="0.2">
      <c r="A86" s="8" t="s">
        <v>95</v>
      </c>
      <c r="B86" s="4" t="s">
        <v>88</v>
      </c>
      <c r="C86" s="4"/>
      <c r="D86" s="4" t="s">
        <v>96</v>
      </c>
      <c r="E86" s="9" t="str">
        <f>_xll.BQL("SEG0000176238 Segment", "SALES_REV_TURN/1M", "FPT=A", "FPO=5A", "ACT_EST_MAPPING=PRECISE", "FS=MRC", "CURRENCY=USD", "XLFILL=b")</f>
        <v/>
      </c>
      <c r="F86" s="9" t="str">
        <f>_xll.BQL("SEG0000176238 Segment", "SALES_REV_TURN/1M", "FPT=A", "FPO=4A", "ACT_EST_MAPPING=PRECISE", "FS=MRC", "CURRENCY=USD", "XLFILL=b")</f>
        <v/>
      </c>
      <c r="G86" s="9" t="str">
        <f>_xll.BQL("SEG0000176238 Segment", "SALES_REV_TURN/1M", "FPT=A", "FPO=3A", "ACT_EST_MAPPING=PRECISE", "FS=MRC", "CURRENCY=USD", "XLFILL=b")</f>
        <v/>
      </c>
      <c r="H86" s="9" t="str">
        <f>_xll.BQL("SEG0000176238 Segment", "SALES_REV_TURN/1M", "FPT=A", "FPO=2A", "ACT_EST_MAPPING=PRECISE", "FS=MRC", "CURRENCY=USD", "XLFILL=b")</f>
        <v/>
      </c>
      <c r="I86" s="9">
        <f>_xll.BQL("SEG0000176238 Segment", "SALES_REV_TURN/1M", "FPT=A", "FPO=1A", "ACT_EST_MAPPING=PRECISE", "FS=MRC", "CURRENCY=USD", "XLFILL=b")</f>
        <v>2829</v>
      </c>
      <c r="J86" s="9">
        <f>_xll.BQL("SEG0000176238 Segment", "SALES_REV_TURN/1M", "FPT=A", "FPO=0A", "ACT_EST_MAPPING=PRECISE", "FS=MRC", "CURRENCY=USD", "XLFILL=b")</f>
        <v>4219</v>
      </c>
      <c r="K86" s="9">
        <f>_xll.BQL("SEG0000176238 Segment", "SALES_REV_TURN/1M", "FPT=A", "FPO=-1A", "ACT_EST_MAPPING=PRECISE", "FS=MRC", "CURRENCY=USD", "XLFILL=b")</f>
        <v>5823</v>
      </c>
      <c r="L86" s="9">
        <f>_xll.BQL("SEG0000176238 Segment", "SALES_REV_TURN/1M", "FPT=A", "FPO=-2A", "ACT_EST_MAPPING=PRECISE", "FS=MRC", "CURRENCY=USD", "XLFILL=b")</f>
        <v>4022</v>
      </c>
      <c r="M86" s="9">
        <f>_xll.BQL("SEG0000176238 Segment", "SALES_REV_TURN/1M", "FPT=A", "FPO=-3A", "ACT_EST_MAPPING=PRECISE", "FS=MRC", "CURRENCY=USD", "XLFILL=b")</f>
        <v>1798</v>
      </c>
      <c r="N86" s="9">
        <f>_xll.BQL("SEG0000176238 Segment", "SALES_REV_TURN/1M", "FPT=A", "FPO=-4A", "ACT_EST_MAPPING=PRECISE", "FS=MRC", "CURRENCY=USD", "XLFILL=b")</f>
        <v>1297</v>
      </c>
    </row>
    <row r="87" spans="1:14" x14ac:dyDescent="0.2">
      <c r="A87" s="8" t="s">
        <v>94</v>
      </c>
      <c r="B87" s="4" t="s">
        <v>88</v>
      </c>
      <c r="C87" s="4"/>
      <c r="D87" s="4" t="s">
        <v>96</v>
      </c>
      <c r="E87" s="9" t="str">
        <f>_xll.BQL("SEG0000176238 Segment", "FA_GROWTH(SALES_REV_TURN, YOY)", "FPT=A", "FPO=5A", "ACT_EST_MAPPING=PRECISE", "FS=MRC", "CURRENCY=USD", "XLFILL=b")</f>
        <v/>
      </c>
      <c r="F87" s="9" t="str">
        <f>_xll.BQL("SEG0000176238 Segment", "FA_GROWTH(SALES_REV_TURN, YOY)", "FPT=A", "FPO=4A", "ACT_EST_MAPPING=PRECISE", "FS=MRC", "CURRENCY=USD", "XLFILL=b")</f>
        <v/>
      </c>
      <c r="G87" s="9" t="str">
        <f>_xll.BQL("SEG0000176238 Segment", "FA_GROWTH(SALES_REV_TURN, YOY)", "FPT=A", "FPO=3A", "ACT_EST_MAPPING=PRECISE", "FS=MRC", "CURRENCY=USD", "XLFILL=b")</f>
        <v/>
      </c>
      <c r="H87" s="9" t="str">
        <f>_xll.BQL("SEG0000176238 Segment", "FA_GROWTH(SALES_REV_TURN, YOY)", "FPT=A", "FPO=2A", "ACT_EST_MAPPING=PRECISE", "FS=MRC", "CURRENCY=USD", "XLFILL=b")</f>
        <v/>
      </c>
      <c r="I87" s="9">
        <f>_xll.BQL("SEG0000176238 Segment", "FA_GROWTH(SALES_REV_TURN, YOY)", "FPT=A", "FPO=1A", "ACT_EST_MAPPING=PRECISE", "FS=MRC", "CURRENCY=USD", "XLFILL=b")</f>
        <v>-32.946195780990756</v>
      </c>
      <c r="J87" s="9">
        <f>_xll.BQL("SEG0000176238 Segment", "FA_GROWTH(SALES_REV_TURN, YOY)", "FPT=A", "FPO=0A", "ACT_EST_MAPPING=PRECISE", "FS=MRC", "CURRENCY=USD", "XLFILL=b")</f>
        <v>-27.545938519663405</v>
      </c>
      <c r="K87" s="9">
        <f>_xll.BQL("SEG0000176238 Segment", "FA_GROWTH(SALES_REV_TURN, YOY)", "FPT=A", "FPO=-1A", "ACT_EST_MAPPING=PRECISE", "FS=MRC", "CURRENCY=USD", "XLFILL=b")</f>
        <v>44.778717056190949</v>
      </c>
      <c r="L87" s="9">
        <f>_xll.BQL("SEG0000176238 Segment", "FA_GROWTH(SALES_REV_TURN, YOY)", "FPT=A", "FPO=-2A", "ACT_EST_MAPPING=PRECISE", "FS=MRC", "CURRENCY=USD", "XLFILL=b")</f>
        <v>123.69299221357063</v>
      </c>
      <c r="M87" s="9">
        <f>_xll.BQL("SEG0000176238 Segment", "FA_GROWTH(SALES_REV_TURN, YOY)", "FPT=A", "FPO=-3A", "ACT_EST_MAPPING=PRECISE", "FS=MRC", "CURRENCY=USD", "XLFILL=b")</f>
        <v>38.627602158828061</v>
      </c>
      <c r="N87" s="9">
        <f>_xll.BQL("SEG0000176238 Segment", "FA_GROWTH(SALES_REV_TURN, YOY)", "FPT=A", "FPO=-4A", "ACT_EST_MAPPING=PRECISE", "FS=MRC", "CURRENCY=USD", "XLFILL=b")</f>
        <v>-27.984453081621322</v>
      </c>
    </row>
    <row r="88" spans="1:14" x14ac:dyDescent="0.2">
      <c r="A88" s="8" t="s">
        <v>97</v>
      </c>
      <c r="B88" s="4" t="s">
        <v>88</v>
      </c>
      <c r="C88" s="4"/>
      <c r="D88" s="4" t="s">
        <v>98</v>
      </c>
      <c r="E88" s="9">
        <f>_xll.BQL("SEG0000598441 Segment", "SALES_REV_TURN/1M", "FPT=A", "FPO=5A", "ACT_EST_MAPPING=PRECISE", "FS=MRC", "CURRENCY=USD", "XLFILL=b")</f>
        <v>3000</v>
      </c>
      <c r="F88" s="9">
        <f>_xll.BQL("SEG0000598441 Segment", "SALES_REV_TURN/1M", "FPT=A", "FPO=4A", "ACT_EST_MAPPING=PRECISE", "FS=MRC", "CURRENCY=USD", "XLFILL=b")</f>
        <v>3437.0243481872794</v>
      </c>
      <c r="G88" s="9">
        <f>_xll.BQL("SEG0000598441 Segment", "SALES_REV_TURN/1M", "FPT=A", "FPO=3A", "ACT_EST_MAPPING=PRECISE", "FS=MRC", "CURRENCY=USD", "XLFILL=b")</f>
        <v>3458.8892809650874</v>
      </c>
      <c r="H88" s="9">
        <f>_xll.BQL("SEG0000598441 Segment", "SALES_REV_TURN/1M", "FPT=A", "FPO=2A", "ACT_EST_MAPPING=PRECISE", "FS=MRC", "CURRENCY=USD", "XLFILL=b")</f>
        <v>3540.9918437308797</v>
      </c>
      <c r="I88" s="9">
        <f>_xll.BQL("SEG0000598441 Segment", "SALES_REV_TURN/1M", "FPT=A", "FPO=1A", "ACT_EST_MAPPING=PRECISE", "FS=MRC", "CURRENCY=USD", "XLFILL=b")</f>
        <v>4411.4663982050415</v>
      </c>
      <c r="J88" s="9">
        <f>_xll.BQL("SEG0000598441 Segment", "SALES_REV_TURN/1M", "FPT=A", "FPO=0A", "ACT_EST_MAPPING=PRECISE", "FS=MRC", "CURRENCY=USD", "XLFILL=b")</f>
        <v>3379</v>
      </c>
      <c r="K88" s="9">
        <f>_xll.BQL("SEG0000598441 Segment", "SALES_REV_TURN/1M", "FPT=A", "FPO=-1A", "ACT_EST_MAPPING=PRECISE", "FS=MRC", "CURRENCY=USD", "XLFILL=b")</f>
        <v>4977</v>
      </c>
      <c r="L88" s="9">
        <f>_xll.BQL("SEG0000598441 Segment", "SALES_REV_TURN/1M", "FPT=A", "FPO=-2A", "ACT_EST_MAPPING=PRECISE", "FS=MRC", "CURRENCY=USD", "XLFILL=b")</f>
        <v>3229</v>
      </c>
      <c r="M88" s="9">
        <f>_xll.BQL("SEG0000598441 Segment", "SALES_REV_TURN/1M", "FPT=A", "FPO=-3A", "ACT_EST_MAPPING=PRECISE", "FS=MRC", "CURRENCY=USD", "XLFILL=b")</f>
        <v>1150</v>
      </c>
      <c r="N88" s="9">
        <f>_xll.BQL("SEG0000598441 Segment", "SALES_REV_TURN/1M", "FPT=A", "FPO=-4A", "ACT_EST_MAPPING=PRECISE", "FS=MRC", "CURRENCY=USD", "XLFILL=b")</f>
        <v>-97</v>
      </c>
    </row>
    <row r="89" spans="1:14" x14ac:dyDescent="0.2">
      <c r="A89" s="8" t="s">
        <v>99</v>
      </c>
      <c r="B89" s="4" t="s">
        <v>88</v>
      </c>
      <c r="C89" s="4"/>
      <c r="D89" s="4" t="s">
        <v>98</v>
      </c>
      <c r="E89" s="9">
        <f>_xll.BQL("SEG0000598441 Segment", "FA_GROWTH(SALES_REV_TURN, YOY)", "FPT=A", "FPO=5A", "ACT_EST_MAPPING=PRECISE", "FS=MRC", "CURRENCY=USD", "XLFILL=b")</f>
        <v>-12.715195003427025</v>
      </c>
      <c r="F89" s="9">
        <f>_xll.BQL("SEG0000598441 Segment", "FA_GROWTH(SALES_REV_TURN, YOY)", "FPT=A", "FPO=4A", "ACT_EST_MAPPING=PRECISE", "FS=MRC", "CURRENCY=USD", "XLFILL=b")</f>
        <v>-0.63213740023813403</v>
      </c>
      <c r="G89" s="9">
        <f>_xll.BQL("SEG0000598441 Segment", "FA_GROWTH(SALES_REV_TURN, YOY)", "FPT=A", "FPO=3A", "ACT_EST_MAPPING=PRECISE", "FS=MRC", "CURRENCY=USD", "XLFILL=b")</f>
        <v>-2.3186317955278599</v>
      </c>
      <c r="H89" s="9">
        <f>_xll.BQL("SEG0000598441 Segment", "FA_GROWTH(SALES_REV_TURN, YOY)", "FPT=A", "FPO=2A", "ACT_EST_MAPPING=PRECISE", "FS=MRC", "CURRENCY=USD", "XLFILL=b")</f>
        <v>-19.73209078115941</v>
      </c>
      <c r="I89" s="9">
        <f>_xll.BQL("SEG0000598441 Segment", "FA_GROWTH(SALES_REV_TURN, YOY)", "FPT=A", "FPO=1A", "ACT_EST_MAPPING=PRECISE", "FS=MRC", "CURRENCY=USD", "XLFILL=b")</f>
        <v>30.555383196361106</v>
      </c>
      <c r="J89" s="9">
        <f>_xll.BQL("SEG0000598441 Segment", "FA_GROWTH(SALES_REV_TURN, YOY)", "FPT=A", "FPO=0A", "ACT_EST_MAPPING=PRECISE", "FS=MRC", "CURRENCY=USD", "XLFILL=b")</f>
        <v>-32.107695398834636</v>
      </c>
      <c r="K89" s="9">
        <f>_xll.BQL("SEG0000598441 Segment", "FA_GROWTH(SALES_REV_TURN, YOY)", "FPT=A", "FPO=-1A", "ACT_EST_MAPPING=PRECISE", "FS=MRC", "CURRENCY=USD", "XLFILL=b")</f>
        <v>54.134406937132241</v>
      </c>
      <c r="L89" s="9">
        <f>_xll.BQL("SEG0000598441 Segment", "FA_GROWTH(SALES_REV_TURN, YOY)", "FPT=A", "FPO=-2A", "ACT_EST_MAPPING=PRECISE", "FS=MRC", "CURRENCY=USD", "XLFILL=b")</f>
        <v>180.78260869565219</v>
      </c>
      <c r="M89" s="9">
        <f>_xll.BQL("SEG0000598441 Segment", "FA_GROWTH(SALES_REV_TURN, YOY)", "FPT=A", "FPO=-3A", "ACT_EST_MAPPING=PRECISE", "FS=MRC", "CURRENCY=USD", "XLFILL=b")</f>
        <v>1285.5670103092784</v>
      </c>
      <c r="N89" s="9">
        <f>_xll.BQL("SEG0000598441 Segment", "FA_GROWTH(SALES_REV_TURN, YOY)", "FPT=A", "FPO=-4A", "ACT_EST_MAPPING=PRECISE", "FS=MRC", "CURRENCY=USD", "XLFILL=b")</f>
        <v>82.299270072992698</v>
      </c>
    </row>
    <row r="90" spans="1:14" x14ac:dyDescent="0.2">
      <c r="A90" s="8" t="s">
        <v>100</v>
      </c>
      <c r="B90" s="4" t="s">
        <v>88</v>
      </c>
      <c r="C90" s="4"/>
      <c r="D90" s="4" t="s">
        <v>101</v>
      </c>
      <c r="E90" s="9" t="str">
        <f>_xll.BQL("SEG0000598440 Segment", "SALES_REV_TURN/1M", "FPT=A", "FPO=5A", "ACT_EST_MAPPING=PRECISE", "FS=MRC", "CURRENCY=USD", "XLFILL=b")</f>
        <v/>
      </c>
      <c r="F90" s="9" t="str">
        <f>_xll.BQL("SEG0000598440 Segment", "SALES_REV_TURN/1M", "FPT=A", "FPO=4A", "ACT_EST_MAPPING=PRECISE", "FS=MRC", "CURRENCY=USD", "XLFILL=b")</f>
        <v/>
      </c>
      <c r="G90" s="9">
        <f>_xll.BQL("SEG0000598440 Segment", "SALES_REV_TURN/1M", "FPT=A", "FPO=3A", "ACT_EST_MAPPING=PRECISE", "FS=MRC", "CURRENCY=USD", "XLFILL=b")</f>
        <v>758.43414900000005</v>
      </c>
      <c r="H90" s="9">
        <f>_xll.BQL("SEG0000598440 Segment", "SALES_REV_TURN/1M", "FPT=A", "FPO=2A", "ACT_EST_MAPPING=PRECISE", "FS=MRC", "CURRENCY=USD", "XLFILL=b")</f>
        <v>750.92489999999998</v>
      </c>
      <c r="I90" s="9">
        <f>_xll.BQL("SEG0000598440 Segment", "SALES_REV_TURN/1M", "FPT=A", "FPO=1A", "ACT_EST_MAPPING=PRECISE", "FS=MRC", "CURRENCY=USD", "XLFILL=b")</f>
        <v>743.49</v>
      </c>
      <c r="J90" s="9">
        <f>_xll.BQL("SEG0000598440 Segment", "SALES_REV_TURN/1M", "FPT=A", "FPO=0A", "ACT_EST_MAPPING=PRECISE", "FS=MRC", "CURRENCY=USD", "XLFILL=b")</f>
        <v>840</v>
      </c>
      <c r="K90" s="9">
        <f>_xll.BQL("SEG0000598440 Segment", "SALES_REV_TURN/1M", "FPT=A", "FPO=-1A", "ACT_EST_MAPPING=PRECISE", "FS=MRC", "CURRENCY=USD", "XLFILL=b")</f>
        <v>846</v>
      </c>
      <c r="L90" s="9">
        <f>_xll.BQL("SEG0000598440 Segment", "SALES_REV_TURN/1M", "FPT=A", "FPO=-2A", "ACT_EST_MAPPING=PRECISE", "FS=MRC", "CURRENCY=USD", "XLFILL=b")</f>
        <v>793</v>
      </c>
      <c r="M90" s="9">
        <f>_xll.BQL("SEG0000598440 Segment", "SALES_REV_TURN/1M", "FPT=A", "FPO=-3A", "ACT_EST_MAPPING=PRECISE", "FS=MRC", "CURRENCY=USD", "XLFILL=b")</f>
        <v>648</v>
      </c>
      <c r="N90" s="9" t="str">
        <f>_xll.BQL("SEG0000598440 Segment", "SALES_REV_TURN/1M", "FPT=A", "FPO=-4A", "ACT_EST_MAPPING=PRECISE", "FS=MRC", "CURRENCY=USD", "XLFILL=b")</f>
        <v/>
      </c>
    </row>
    <row r="91" spans="1:14" x14ac:dyDescent="0.2">
      <c r="A91" s="8" t="s">
        <v>99</v>
      </c>
      <c r="B91" s="4" t="s">
        <v>88</v>
      </c>
      <c r="C91" s="4"/>
      <c r="D91" s="4" t="s">
        <v>101</v>
      </c>
      <c r="E91" s="9" t="str">
        <f>_xll.BQL("SEG0000598440 Segment", "FA_GROWTH(SALES_REV_TURN, YOY)", "FPT=A", "FPO=5A", "ACT_EST_MAPPING=PRECISE", "FS=MRC", "CURRENCY=USD", "XLFILL=b")</f>
        <v/>
      </c>
      <c r="F91" s="9" t="str">
        <f>_xll.BQL("SEG0000598440 Segment", "FA_GROWTH(SALES_REV_TURN, YOY)", "FPT=A", "FPO=4A", "ACT_EST_MAPPING=PRECISE", "FS=MRC", "CURRENCY=USD", "XLFILL=b")</f>
        <v/>
      </c>
      <c r="G91" s="9">
        <f>_xll.BQL("SEG0000598440 Segment", "FA_GROWTH(SALES_REV_TURN, YOY)", "FPT=A", "FPO=3A", "ACT_EST_MAPPING=PRECISE", "FS=MRC", "CURRENCY=USD", "XLFILL=b")</f>
        <v>1</v>
      </c>
      <c r="H91" s="9">
        <f>_xll.BQL("SEG0000598440 Segment", "FA_GROWTH(SALES_REV_TURN, YOY)", "FPT=A", "FPO=2A", "ACT_EST_MAPPING=PRECISE", "FS=MRC", "CURRENCY=USD", "XLFILL=b")</f>
        <v>1</v>
      </c>
      <c r="I91" s="9">
        <f>_xll.BQL("SEG0000598440 Segment", "FA_GROWTH(SALES_REV_TURN, YOY)", "FPT=A", "FPO=1A", "ACT_EST_MAPPING=PRECISE", "FS=MRC", "CURRENCY=USD", "XLFILL=b")</f>
        <v>-11.489285714285714</v>
      </c>
      <c r="J91" s="9">
        <f>_xll.BQL("SEG0000598440 Segment", "FA_GROWTH(SALES_REV_TURN, YOY)", "FPT=A", "FPO=0A", "ACT_EST_MAPPING=PRECISE", "FS=MRC", "CURRENCY=USD", "XLFILL=b")</f>
        <v>-0.70921985815602839</v>
      </c>
      <c r="K91" s="9">
        <f>_xll.BQL("SEG0000598440 Segment", "FA_GROWTH(SALES_REV_TURN, YOY)", "FPT=A", "FPO=-1A", "ACT_EST_MAPPING=PRECISE", "FS=MRC", "CURRENCY=USD", "XLFILL=b")</f>
        <v>6.6834804539722574</v>
      </c>
      <c r="L91" s="9">
        <f>_xll.BQL("SEG0000598440 Segment", "FA_GROWTH(SALES_REV_TURN, YOY)", "FPT=A", "FPO=-2A", "ACT_EST_MAPPING=PRECISE", "FS=MRC", "CURRENCY=USD", "XLFILL=b")</f>
        <v>22.376543209876544</v>
      </c>
      <c r="M91" s="9" t="str">
        <f>_xll.BQL("SEG0000598440 Segment", "FA_GROWTH(SALES_REV_TURN, YOY)", "FPT=A", "FPO=-3A", "ACT_EST_MAPPING=PRECISE", "FS=MRC", "CURRENCY=USD", "XLFILL=b")</f>
        <v/>
      </c>
      <c r="N91" s="9" t="str">
        <f>_xll.BQL("SEG0000598440 Segment", "FA_GROWTH(SALES_REV_TURN, YOY)", "FPT=A", "FPO=-4A", "ACT_EST_MAPPING=PRECISE", "FS=MRC", "CURRENCY=USD", "XLFILL=b")</f>
        <v/>
      </c>
    </row>
    <row r="92" spans="1:14" x14ac:dyDescent="0.2">
      <c r="A92" s="8" t="s">
        <v>102</v>
      </c>
      <c r="B92" s="4" t="s">
        <v>88</v>
      </c>
      <c r="C92" s="4"/>
      <c r="D92" s="4" t="s">
        <v>103</v>
      </c>
      <c r="E92" s="9" t="str">
        <f>_xll.BQL("SEG0000176278 Segment", "SALES_REV_TURN/1M", "FPT=A", "FPO=5A", "ACT_EST_MAPPING=PRECISE", "FS=MRC", "CURRENCY=USD", "XLFILL=b")</f>
        <v/>
      </c>
      <c r="F92" s="9" t="str">
        <f>_xll.BQL("SEG0000176278 Segment", "SALES_REV_TURN/1M", "FPT=A", "FPO=4A", "ACT_EST_MAPPING=PRECISE", "FS=MRC", "CURRENCY=USD", "XLFILL=b")</f>
        <v/>
      </c>
      <c r="G92" s="9">
        <f>_xll.BQL("SEG0000176278 Segment", "SALES_REV_TURN/1M", "FPT=A", "FPO=3A", "ACT_EST_MAPPING=PRECISE", "FS=MRC", "CURRENCY=USD", "XLFILL=b")</f>
        <v>1360.26891</v>
      </c>
      <c r="H92" s="9">
        <f>_xll.BQL("SEG0000176278 Segment", "SALES_REV_TURN/1M", "FPT=A", "FPO=2A", "ACT_EST_MAPPING=PRECISE", "FS=MRC", "CURRENCY=USD", "XLFILL=b")</f>
        <v>1307.950875</v>
      </c>
      <c r="I92" s="9">
        <f>_xll.BQL("SEG0000176278 Segment", "SALES_REV_TURN/1M", "FPT=A", "FPO=1A", "ACT_EST_MAPPING=PRECISE", "FS=MRC", "CURRENCY=USD", "XLFILL=b")</f>
        <v>1245.6675</v>
      </c>
      <c r="J92" s="9">
        <f>_xll.BQL("SEG0000176278 Segment", "SALES_REV_TURN/1M", "FPT=A", "FPO=0A", "ACT_EST_MAPPING=PRECISE", "FS=MRC", "CURRENCY=USD", "XLFILL=b")</f>
        <v>1104</v>
      </c>
      <c r="K92" s="9">
        <f>_xll.BQL("SEG0000176278 Segment", "SALES_REV_TURN/1M", "FPT=A", "FPO=-1A", "ACT_EST_MAPPING=PRECISE", "FS=MRC", "CURRENCY=USD", "XLFILL=b")</f>
        <v>894</v>
      </c>
      <c r="L92" s="9">
        <f>_xll.BQL("SEG0000176278 Segment", "SALES_REV_TURN/1M", "FPT=A", "FPO=-2A", "ACT_EST_MAPPING=PRECISE", "FS=MRC", "CURRENCY=USD", "XLFILL=b")</f>
        <v>556</v>
      </c>
      <c r="M92" s="9">
        <f>_xll.BQL("SEG0000176278 Segment", "SALES_REV_TURN/1M", "FPT=A", "FPO=-3A", "ACT_EST_MAPPING=PRECISE", "FS=MRC", "CURRENCY=USD", "XLFILL=b")</f>
        <v>348</v>
      </c>
      <c r="N92" s="9">
        <f>_xll.BQL("SEG0000176278 Segment", "SALES_REV_TURN/1M", "FPT=A", "FPO=-4A", "ACT_EST_MAPPING=PRECISE", "FS=MRC", "CURRENCY=USD", "XLFILL=b")</f>
        <v>718</v>
      </c>
    </row>
    <row r="93" spans="1:14" x14ac:dyDescent="0.2">
      <c r="A93" s="8" t="s">
        <v>94</v>
      </c>
      <c r="B93" s="4" t="s">
        <v>88</v>
      </c>
      <c r="C93" s="4"/>
      <c r="D93" s="4" t="s">
        <v>103</v>
      </c>
      <c r="E93" s="9" t="str">
        <f>_xll.BQL("SEG0000176278 Segment", "FA_GROWTH(SALES_REV_TURN, YOY)", "FPT=A", "FPO=5A", "ACT_EST_MAPPING=PRECISE", "FS=MRC", "CURRENCY=USD", "XLFILL=b")</f>
        <v/>
      </c>
      <c r="F93" s="9" t="str">
        <f>_xll.BQL("SEG0000176278 Segment", "FA_GROWTH(SALES_REV_TURN, YOY)", "FPT=A", "FPO=4A", "ACT_EST_MAPPING=PRECISE", "FS=MRC", "CURRENCY=USD", "XLFILL=b")</f>
        <v/>
      </c>
      <c r="G93" s="9">
        <f>_xll.BQL("SEG0000176278 Segment", "FA_GROWTH(SALES_REV_TURN, YOY)", "FPT=A", "FPO=3A", "ACT_EST_MAPPING=PRECISE", "FS=MRC", "CURRENCY=USD", "XLFILL=b")</f>
        <v>4</v>
      </c>
      <c r="H93" s="9">
        <f>_xll.BQL("SEG0000176278 Segment", "FA_GROWTH(SALES_REV_TURN, YOY)", "FPT=A", "FPO=2A", "ACT_EST_MAPPING=PRECISE", "FS=MRC", "CURRENCY=USD", "XLFILL=b")</f>
        <v>5</v>
      </c>
      <c r="I93" s="9">
        <f>_xll.BQL("SEG0000176278 Segment", "FA_GROWTH(SALES_REV_TURN, YOY)", "FPT=A", "FPO=1A", "ACT_EST_MAPPING=PRECISE", "FS=MRC", "CURRENCY=USD", "XLFILL=b")</f>
        <v>12.832201086956522</v>
      </c>
      <c r="J93" s="9">
        <f>_xll.BQL("SEG0000176278 Segment", "FA_GROWTH(SALES_REV_TURN, YOY)", "FPT=A", "FPO=0A", "ACT_EST_MAPPING=PRECISE", "FS=MRC", "CURRENCY=USD", "XLFILL=b")</f>
        <v>23.48993288590604</v>
      </c>
      <c r="K93" s="9">
        <f>_xll.BQL("SEG0000176278 Segment", "FA_GROWTH(SALES_REV_TURN, YOY)", "FPT=A", "FPO=-1A", "ACT_EST_MAPPING=PRECISE", "FS=MRC", "CURRENCY=USD", "XLFILL=b")</f>
        <v>60.791366906474821</v>
      </c>
      <c r="L93" s="9">
        <f>_xll.BQL("SEG0000176278 Segment", "FA_GROWTH(SALES_REV_TURN, YOY)", "FPT=A", "FPO=-2A", "ACT_EST_MAPPING=PRECISE", "FS=MRC", "CURRENCY=USD", "XLFILL=b")</f>
        <v>59.770114942528735</v>
      </c>
      <c r="M93" s="9">
        <f>_xll.BQL("SEG0000176278 Segment", "FA_GROWTH(SALES_REV_TURN, YOY)", "FPT=A", "FPO=-3A", "ACT_EST_MAPPING=PRECISE", "FS=MRC", "CURRENCY=USD", "XLFILL=b")</f>
        <v>-51.532033426183844</v>
      </c>
      <c r="N93" s="9">
        <f>_xll.BQL("SEG0000176278 Segment", "FA_GROWTH(SALES_REV_TURN, YOY)", "FPT=A", "FPO=-4A", "ACT_EST_MAPPING=PRECISE", "FS=MRC", "CURRENCY=USD", "XLFILL=b")</f>
        <v>28.673835125448029</v>
      </c>
    </row>
    <row r="94" spans="1:14" x14ac:dyDescent="0.2">
      <c r="A94" s="8" t="s">
        <v>16</v>
      </c>
      <c r="B94" s="4"/>
      <c r="C94" s="4"/>
      <c r="D94" s="4"/>
      <c r="E94" s="9"/>
      <c r="F94" s="9"/>
      <c r="G94" s="9"/>
      <c r="H94" s="9"/>
      <c r="I94" s="9"/>
      <c r="J94" s="9"/>
      <c r="K94" s="9"/>
      <c r="L94" s="9"/>
      <c r="M94" s="9"/>
      <c r="N94" s="9"/>
    </row>
    <row r="95" spans="1:14" x14ac:dyDescent="0.2">
      <c r="A95" s="8" t="s">
        <v>104</v>
      </c>
      <c r="B95" s="4"/>
      <c r="C95" s="4" t="s">
        <v>105</v>
      </c>
      <c r="D95" s="4"/>
      <c r="E95" s="9"/>
      <c r="F95" s="9"/>
      <c r="G95" s="9"/>
      <c r="H95" s="9"/>
      <c r="I95" s="9"/>
      <c r="J95" s="9"/>
      <c r="K95" s="9"/>
      <c r="L95" s="9"/>
      <c r="M95" s="9"/>
      <c r="N95" s="9"/>
    </row>
    <row r="96" spans="1:14" x14ac:dyDescent="0.2">
      <c r="A96" s="8" t="s">
        <v>84</v>
      </c>
      <c r="B96" s="4"/>
      <c r="C96" s="4"/>
      <c r="D96" s="4"/>
      <c r="E96" s="9"/>
      <c r="F96" s="9"/>
      <c r="G96" s="9"/>
      <c r="H96" s="9"/>
      <c r="I96" s="9"/>
      <c r="J96" s="9"/>
      <c r="K96" s="9"/>
      <c r="L96" s="9"/>
      <c r="M96" s="9"/>
      <c r="N96" s="9"/>
    </row>
    <row r="97" spans="1:14" x14ac:dyDescent="0.2">
      <c r="A97" s="8" t="s">
        <v>106</v>
      </c>
      <c r="B97" s="4" t="s">
        <v>88</v>
      </c>
      <c r="C97" s="4" t="s">
        <v>107</v>
      </c>
      <c r="D97" s="4" t="s">
        <v>108</v>
      </c>
      <c r="E97" s="9">
        <f>_xll.BQL("SEG0000176251 Segment", "SALES_REV_TURN/1M", "FPT=A", "FPO=5A", "ACT_EST_MAPPING=PRECISE", "FS=MRC", "CURRENCY=USD", "XLFILL=b")</f>
        <v>40112.168491436052</v>
      </c>
      <c r="F97" s="9">
        <f>_xll.BQL("SEG0000176251 Segment", "SALES_REV_TURN/1M", "FPT=A", "FPO=4A", "ACT_EST_MAPPING=PRECISE", "FS=MRC", "CURRENCY=USD", "XLFILL=b")</f>
        <v>38936.292459169148</v>
      </c>
      <c r="G97" s="9">
        <f>_xll.BQL("SEG0000176251 Segment", "SALES_REV_TURN/1M", "FPT=A", "FPO=3A", "ACT_EST_MAPPING=PRECISE", "FS=MRC", "CURRENCY=USD", "XLFILL=b")</f>
        <v>37171.691308255075</v>
      </c>
      <c r="H97" s="9">
        <f>_xll.BQL("SEG0000176251 Segment", "SALES_REV_TURN/1M", "FPT=A", "FPO=2A", "ACT_EST_MAPPING=PRECISE", "FS=MRC", "CURRENCY=USD", "XLFILL=b")</f>
        <v>35627.809677647128</v>
      </c>
      <c r="I97" s="9">
        <f>_xll.BQL("SEG0000176251 Segment", "SALES_REV_TURN/1M", "FPT=A", "FPO=1A", "ACT_EST_MAPPING=PRECISE", "FS=MRC", "CURRENCY=USD", "XLFILL=b")</f>
        <v>33843.310629532731</v>
      </c>
      <c r="J97" s="9">
        <f>_xll.BQL("SEG0000176251 Segment", "SALES_REV_TURN/1M", "FPT=A", "FPO=0A", "ACT_EST_MAPPING=PRECISE", "FS=MRC", "CURRENCY=USD", "XLFILL=b")</f>
        <v>33968</v>
      </c>
      <c r="K97" s="9">
        <f>_xll.BQL("SEG0000176251 Segment", "SALES_REV_TURN/1M", "FPT=A", "FPO=-1A", "ACT_EST_MAPPING=PRECISE", "FS=MRC", "CURRENCY=USD", "XLFILL=b")</f>
        <v>30197</v>
      </c>
      <c r="L97" s="9">
        <f>_xll.BQL("SEG0000176251 Segment", "SALES_REV_TURN/1M", "FPT=A", "FPO=-2A", "ACT_EST_MAPPING=PRECISE", "FS=MRC", "CURRENCY=USD", "XLFILL=b")</f>
        <v>18468</v>
      </c>
      <c r="M97" s="9">
        <f>_xll.BQL("SEG0000176251 Segment", "SALES_REV_TURN/1M", "FPT=A", "FPO=-3A", "ACT_EST_MAPPING=PRECISE", "FS=MRC", "CURRENCY=USD", "XLFILL=b")</f>
        <v>10041</v>
      </c>
      <c r="N97" s="9">
        <f>_xll.BQL("SEG0000176251 Segment", "SALES_REV_TURN/1M", "FPT=A", "FPO=-4A", "ACT_EST_MAPPING=PRECISE", "FS=MRC", "CURRENCY=USD", "XLFILL=b")</f>
        <v>30465</v>
      </c>
    </row>
    <row r="98" spans="1:14" x14ac:dyDescent="0.2">
      <c r="A98" s="8" t="s">
        <v>86</v>
      </c>
      <c r="B98" s="4" t="s">
        <v>88</v>
      </c>
      <c r="C98" s="4" t="s">
        <v>107</v>
      </c>
      <c r="D98" s="4" t="s">
        <v>108</v>
      </c>
      <c r="E98" s="9">
        <f>_xll.BQL("SEG0000176251 Segment", "FA_GROWTH(SALES_REV_TURN, YOY)", "FPT=A", "FPO=5A", "ACT_EST_MAPPING=PRECISE", "FS=MRC", "CURRENCY=USD", "XLFILL=b")</f>
        <v>3.019999999999976</v>
      </c>
      <c r="F98" s="9">
        <f>_xll.BQL("SEG0000176251 Segment", "FA_GROWTH(SALES_REV_TURN, YOY)", "FPT=A", "FPO=4A", "ACT_EST_MAPPING=PRECISE", "FS=MRC", "CURRENCY=USD", "XLFILL=b")</f>
        <v>4.7471640079024215</v>
      </c>
      <c r="G98" s="9">
        <f>_xll.BQL("SEG0000176251 Segment", "FA_GROWTH(SALES_REV_TURN, YOY)", "FPT=A", "FPO=3A", "ACT_EST_MAPPING=PRECISE", "FS=MRC", "CURRENCY=USD", "XLFILL=b")</f>
        <v>4.3333610586130957</v>
      </c>
      <c r="H98" s="9">
        <f>_xll.BQL("SEG0000176251 Segment", "FA_GROWTH(SALES_REV_TURN, YOY)", "FPT=A", "FPO=2A", "ACT_EST_MAPPING=PRECISE", "FS=MRC", "CURRENCY=USD", "XLFILL=b")</f>
        <v>5.2728264904355475</v>
      </c>
      <c r="I98" s="9">
        <f>_xll.BQL("SEG0000176251 Segment", "FA_GROWTH(SALES_REV_TURN, YOY)", "FPT=A", "FPO=1A", "ACT_EST_MAPPING=PRECISE", "FS=MRC", "CURRENCY=USD", "XLFILL=b")</f>
        <v>-0.36707892860123081</v>
      </c>
      <c r="J98" s="9">
        <f>_xll.BQL("SEG0000176251 Segment", "FA_GROWTH(SALES_REV_TURN, YOY)", "FPT=A", "FPO=0A", "ACT_EST_MAPPING=PRECISE", "FS=MRC", "CURRENCY=USD", "XLFILL=b")</f>
        <v>12.487995496241348</v>
      </c>
      <c r="K98" s="9">
        <f>_xll.BQL("SEG0000176251 Segment", "FA_GROWTH(SALES_REV_TURN, YOY)", "FPT=A", "FPO=-1A", "ACT_EST_MAPPING=PRECISE", "FS=MRC", "CURRENCY=USD", "XLFILL=b")</f>
        <v>63.509854884123889</v>
      </c>
      <c r="L98" s="9">
        <f>_xll.BQL("SEG0000176251 Segment", "FA_GROWTH(SALES_REV_TURN, YOY)", "FPT=A", "FPO=-2A", "ACT_EST_MAPPING=PRECISE", "FS=MRC", "CURRENCY=USD", "XLFILL=b")</f>
        <v>83.925903794442789</v>
      </c>
      <c r="M98" s="9">
        <f>_xll.BQL("SEG0000176251 Segment", "FA_GROWTH(SALES_REV_TURN, YOY)", "FPT=A", "FPO=-3A", "ACT_EST_MAPPING=PRECISE", "FS=MRC", "CURRENCY=USD", "XLFILL=b")</f>
        <v>-67.04086656819301</v>
      </c>
      <c r="N98" s="9">
        <f>_xll.BQL("SEG0000176251 Segment", "FA_GROWTH(SALES_REV_TURN, YOY)", "FPT=A", "FPO=-4A", "ACT_EST_MAPPING=PRECISE", "FS=MRC", "CURRENCY=USD", "XLFILL=b")</f>
        <v>8.1892112646045661</v>
      </c>
    </row>
    <row r="99" spans="1:14" x14ac:dyDescent="0.2">
      <c r="A99" s="8" t="s">
        <v>109</v>
      </c>
      <c r="B99" s="4" t="s">
        <v>88</v>
      </c>
      <c r="C99" s="4" t="s">
        <v>107</v>
      </c>
      <c r="D99" s="4" t="s">
        <v>110</v>
      </c>
      <c r="E99" s="9">
        <f>_xll.BQL("SEG0000176300 Segment", "SALES_REV_TURN/1M", "FPT=A", "FPO=5A", "ACT_EST_MAPPING=PRECISE", "FS=MRC", "CURRENCY=USD", "XLFILL=b")</f>
        <v>10198.711414978356</v>
      </c>
      <c r="F99" s="9">
        <f>_xll.BQL("SEG0000176300 Segment", "SALES_REV_TURN/1M", "FPT=A", "FPO=4A", "ACT_EST_MAPPING=PRECISE", "FS=MRC", "CURRENCY=USD", "XLFILL=b")</f>
        <v>9899.7392884666606</v>
      </c>
      <c r="G99" s="9">
        <f>_xll.BQL("SEG0000176300 Segment", "SALES_REV_TURN/1M", "FPT=A", "FPO=3A", "ACT_EST_MAPPING=PRECISE", "FS=MRC", "CURRENCY=USD", "XLFILL=b")</f>
        <v>11597.870986404425</v>
      </c>
      <c r="H99" s="9">
        <f>_xll.BQL("SEG0000176300 Segment", "SALES_REV_TURN/1M", "FPT=A", "FPO=2A", "ACT_EST_MAPPING=PRECISE", "FS=MRC", "CURRENCY=USD", "XLFILL=b")</f>
        <v>10353.507280598322</v>
      </c>
      <c r="I99" s="9">
        <f>_xll.BQL("SEG0000176300 Segment", "SALES_REV_TURN/1M", "FPT=A", "FPO=1A", "ACT_EST_MAPPING=PRECISE", "FS=MRC", "CURRENCY=USD", "XLFILL=b")</f>
        <v>9224.2771173323035</v>
      </c>
      <c r="J99" s="9">
        <f>_xll.BQL("SEG0000176300 Segment", "SALES_REV_TURN/1M", "FPT=A", "FPO=0A", "ACT_EST_MAPPING=PRECISE", "FS=MRC", "CURRENCY=USD", "XLFILL=b")</f>
        <v>9057</v>
      </c>
      <c r="K99" s="9">
        <f>_xll.BQL("SEG0000176300 Segment", "SALES_REV_TURN/1M", "FPT=A", "FPO=-1A", "ACT_EST_MAPPING=PRECISE", "FS=MRC", "CURRENCY=USD", "XLFILL=b")</f>
        <v>6093</v>
      </c>
      <c r="L99" s="9">
        <f>_xll.BQL("SEG0000176300 Segment", "SALES_REV_TURN/1M", "FPT=A", "FPO=-2A", "ACT_EST_MAPPING=PRECISE", "FS=MRC", "CURRENCY=USD", "XLFILL=b")</f>
        <v>1777</v>
      </c>
      <c r="M99" s="9">
        <f>_xll.BQL("SEG0000176300 Segment", "SALES_REV_TURN/1M", "FPT=A", "FPO=-3A", "ACT_EST_MAPPING=PRECISE", "FS=MRC", "CURRENCY=USD", "XLFILL=b")</f>
        <v>1171</v>
      </c>
      <c r="N99" s="9">
        <f>_xll.BQL("SEG0000176300 Segment", "SALES_REV_TURN/1M", "FPT=A", "FPO=-4A", "ACT_EST_MAPPING=PRECISE", "FS=MRC", "CURRENCY=USD", "XLFILL=b")</f>
        <v>6326</v>
      </c>
    </row>
    <row r="100" spans="1:14" x14ac:dyDescent="0.2">
      <c r="A100" s="8" t="s">
        <v>86</v>
      </c>
      <c r="B100" s="4" t="s">
        <v>88</v>
      </c>
      <c r="C100" s="4" t="s">
        <v>107</v>
      </c>
      <c r="D100" s="4" t="s">
        <v>110</v>
      </c>
      <c r="E100" s="9">
        <f>_xll.BQL("SEG0000176300 Segment", "FA_GROWTH(SALES_REV_TURN, YOY)", "FPT=A", "FPO=5A", "ACT_EST_MAPPING=PRECISE", "FS=MRC", "CURRENCY=USD", "XLFILL=b")</f>
        <v>3.020000000000008</v>
      </c>
      <c r="F100" s="9">
        <f>_xll.BQL("SEG0000176300 Segment", "FA_GROWTH(SALES_REV_TURN, YOY)", "FPT=A", "FPO=4A", "ACT_EST_MAPPING=PRECISE", "FS=MRC", "CURRENCY=USD", "XLFILL=b")</f>
        <v>-14.641753645375033</v>
      </c>
      <c r="G100" s="9">
        <f>_xll.BQL("SEG0000176300 Segment", "FA_GROWTH(SALES_REV_TURN, YOY)", "FPT=A", "FPO=3A", "ACT_EST_MAPPING=PRECISE", "FS=MRC", "CURRENCY=USD", "XLFILL=b")</f>
        <v>12.018764966128385</v>
      </c>
      <c r="H100" s="9">
        <f>_xll.BQL("SEG0000176300 Segment", "FA_GROWTH(SALES_REV_TURN, YOY)", "FPT=A", "FPO=2A", "ACT_EST_MAPPING=PRECISE", "FS=MRC", "CURRENCY=USD", "XLFILL=b")</f>
        <v>12.241936673218634</v>
      </c>
      <c r="I100" s="9">
        <f>_xll.BQL("SEG0000176300 Segment", "FA_GROWTH(SALES_REV_TURN, YOY)", "FPT=A", "FPO=1A", "ACT_EST_MAPPING=PRECISE", "FS=MRC", "CURRENCY=USD", "XLFILL=b")</f>
        <v>1.8469373670343823</v>
      </c>
      <c r="J100" s="9">
        <f>_xll.BQL("SEG0000176300 Segment", "FA_GROWTH(SALES_REV_TURN, YOY)", "FPT=A", "FPO=0A", "ACT_EST_MAPPING=PRECISE", "FS=MRC", "CURRENCY=USD", "XLFILL=b")</f>
        <v>48.645987198424422</v>
      </c>
      <c r="K100" s="9">
        <f>_xll.BQL("SEG0000176300 Segment", "FA_GROWTH(SALES_REV_TURN, YOY)", "FPT=A", "FPO=-1A", "ACT_EST_MAPPING=PRECISE", "FS=MRC", "CURRENCY=USD", "XLFILL=b")</f>
        <v>242.88126055149127</v>
      </c>
      <c r="L100" s="9">
        <f>_xll.BQL("SEG0000176300 Segment", "FA_GROWTH(SALES_REV_TURN, YOY)", "FPT=A", "FPO=-2A", "ACT_EST_MAPPING=PRECISE", "FS=MRC", "CURRENCY=USD", "XLFILL=b")</f>
        <v>51.750640478223744</v>
      </c>
      <c r="M100" s="9">
        <f>_xll.BQL("SEG0000176300 Segment", "FA_GROWTH(SALES_REV_TURN, YOY)", "FPT=A", "FPO=-3A", "ACT_EST_MAPPING=PRECISE", "FS=MRC", "CURRENCY=USD", "XLFILL=b")</f>
        <v>-81.489092633575723</v>
      </c>
      <c r="N100" s="9">
        <f>_xll.BQL("SEG0000176300 Segment", "FA_GROWTH(SALES_REV_TURN, YOY)", "FPT=A", "FPO=-4A", "ACT_EST_MAPPING=PRECISE", "FS=MRC", "CURRENCY=USD", "XLFILL=b")</f>
        <v>2.6115166261151663</v>
      </c>
    </row>
    <row r="101" spans="1:14" x14ac:dyDescent="0.2">
      <c r="A101" s="8" t="s">
        <v>111</v>
      </c>
      <c r="B101" s="4" t="s">
        <v>88</v>
      </c>
      <c r="C101" s="4" t="s">
        <v>107</v>
      </c>
      <c r="D101" s="4" t="s">
        <v>112</v>
      </c>
      <c r="E101" s="9">
        <f>_xll.BQL("SEG0000176272 Segment", "SALES_REV_TURN/1M", "FPT=A", "FPO=5A", "ACT_EST_MAPPING=PRECISE", "FS=MRC", "CURRENCY=USD", "XLFILL=b")</f>
        <v>4426.3639653551099</v>
      </c>
      <c r="F101" s="9">
        <f>_xll.BQL("SEG0000176272 Segment", "SALES_REV_TURN/1M", "FPT=A", "FPO=4A", "ACT_EST_MAPPING=PRECISE", "FS=MRC", "CURRENCY=USD", "XLFILL=b")</f>
        <v>4296.6064505485438</v>
      </c>
      <c r="G101" s="9">
        <f>_xll.BQL("SEG0000176272 Segment", "SALES_REV_TURN/1M", "FPT=A", "FPO=3A", "ACT_EST_MAPPING=PRECISE", "FS=MRC", "CURRENCY=USD", "XLFILL=b")</f>
        <v>4071.5179614695994</v>
      </c>
      <c r="H101" s="9">
        <f>_xll.BQL("SEG0000176272 Segment", "SALES_REV_TURN/1M", "FPT=A", "FPO=2A", "ACT_EST_MAPPING=PRECISE", "FS=MRC", "CURRENCY=USD", "XLFILL=b")</f>
        <v>3891.5681754023253</v>
      </c>
      <c r="I101" s="9">
        <f>_xll.BQL("SEG0000176272 Segment", "SALES_REV_TURN/1M", "FPT=A", "FPO=1A", "ACT_EST_MAPPING=PRECISE", "FS=MRC", "CURRENCY=USD", "XLFILL=b")</f>
        <v>3323.3255279243972</v>
      </c>
      <c r="J101" s="9">
        <f>_xll.BQL("SEG0000176272 Segment", "SALES_REV_TURN/1M", "FPT=A", "FPO=0A", "ACT_EST_MAPPING=PRECISE", "FS=MRC", "CURRENCY=USD", "XLFILL=b")</f>
        <v>3798</v>
      </c>
      <c r="K101" s="9">
        <f>_xll.BQL("SEG0000176272 Segment", "SALES_REV_TURN/1M", "FPT=A", "FPO=-1A", "ACT_EST_MAPPING=PRECISE", "FS=MRC", "CURRENCY=USD", "XLFILL=b")</f>
        <v>2889</v>
      </c>
      <c r="L101" s="9">
        <f>_xll.BQL("SEG0000176272 Segment", "SALES_REV_TURN/1M", "FPT=A", "FPO=-2A", "ACT_EST_MAPPING=PRECISE", "FS=MRC", "CURRENCY=USD", "XLFILL=b")</f>
        <v>1873</v>
      </c>
      <c r="M101" s="9">
        <f>_xll.BQL("SEG0000176272 Segment", "SALES_REV_TURN/1M", "FPT=A", "FPO=-3A", "ACT_EST_MAPPING=PRECISE", "FS=MRC", "CURRENCY=USD", "XLFILL=b")</f>
        <v>1113</v>
      </c>
      <c r="N101" s="9">
        <f>_xll.BQL("SEG0000176272 Segment", "SALES_REV_TURN/1M", "FPT=A", "FPO=-4A", "ACT_EST_MAPPING=PRECISE", "FS=MRC", "CURRENCY=USD", "XLFILL=b")</f>
        <v>2985</v>
      </c>
    </row>
    <row r="102" spans="1:14" x14ac:dyDescent="0.2">
      <c r="A102" s="8" t="s">
        <v>86</v>
      </c>
      <c r="B102" s="4" t="s">
        <v>88</v>
      </c>
      <c r="C102" s="4" t="s">
        <v>107</v>
      </c>
      <c r="D102" s="4" t="s">
        <v>112</v>
      </c>
      <c r="E102" s="9">
        <f>_xll.BQL("SEG0000176272 Segment", "FA_GROWTH(SALES_REV_TURN, YOY)", "FPT=A", "FPO=5A", "ACT_EST_MAPPING=PRECISE", "FS=MRC", "CURRENCY=USD", "XLFILL=b")</f>
        <v>3.0200000000000049</v>
      </c>
      <c r="F102" s="9">
        <f>_xll.BQL("SEG0000176272 Segment", "FA_GROWTH(SALES_REV_TURN, YOY)", "FPT=A", "FPO=4A", "ACT_EST_MAPPING=PRECISE", "FS=MRC", "CURRENCY=USD", "XLFILL=b")</f>
        <v>5.5283678276516763</v>
      </c>
      <c r="G102" s="9">
        <f>_xll.BQL("SEG0000176272 Segment", "FA_GROWTH(SALES_REV_TURN, YOY)", "FPT=A", "FPO=3A", "ACT_EST_MAPPING=PRECISE", "FS=MRC", "CURRENCY=USD", "XLFILL=b")</f>
        <v>4.6240943999052568</v>
      </c>
      <c r="H102" s="9">
        <f>_xll.BQL("SEG0000176272 Segment", "FA_GROWTH(SALES_REV_TURN, YOY)", "FPT=A", "FPO=2A", "ACT_EST_MAPPING=PRECISE", "FS=MRC", "CURRENCY=USD", "XLFILL=b")</f>
        <v>17.098615308769574</v>
      </c>
      <c r="I102" s="9">
        <f>_xll.BQL("SEG0000176272 Segment", "FA_GROWTH(SALES_REV_TURN, YOY)", "FPT=A", "FPO=1A", "ACT_EST_MAPPING=PRECISE", "FS=MRC", "CURRENCY=USD", "XLFILL=b")</f>
        <v>-12.498011376398184</v>
      </c>
      <c r="J102" s="9">
        <f>_xll.BQL("SEG0000176272 Segment", "FA_GROWTH(SALES_REV_TURN, YOY)", "FPT=A", "FPO=0A", "ACT_EST_MAPPING=PRECISE", "FS=MRC", "CURRENCY=USD", "XLFILL=b")</f>
        <v>31.464174454828662</v>
      </c>
      <c r="K102" s="9">
        <f>_xll.BQL("SEG0000176272 Segment", "FA_GROWTH(SALES_REV_TURN, YOY)", "FPT=A", "FPO=-1A", "ACT_EST_MAPPING=PRECISE", "FS=MRC", "CURRENCY=USD", "XLFILL=b")</f>
        <v>54.244527495995726</v>
      </c>
      <c r="L102" s="9">
        <f>_xll.BQL("SEG0000176272 Segment", "FA_GROWTH(SALES_REV_TURN, YOY)", "FPT=A", "FPO=-2A", "ACT_EST_MAPPING=PRECISE", "FS=MRC", "CURRENCY=USD", "XLFILL=b")</f>
        <v>68.283917340521114</v>
      </c>
      <c r="M102" s="9">
        <f>_xll.BQL("SEG0000176272 Segment", "FA_GROWTH(SALES_REV_TURN, YOY)", "FPT=A", "FPO=-3A", "ACT_EST_MAPPING=PRECISE", "FS=MRC", "CURRENCY=USD", "XLFILL=b")</f>
        <v>-62.713567839195981</v>
      </c>
      <c r="N102" s="9">
        <f>_xll.BQL("SEG0000176272 Segment", "FA_GROWTH(SALES_REV_TURN, YOY)", "FPT=A", "FPO=-4A", "ACT_EST_MAPPING=PRECISE", "FS=MRC", "CURRENCY=USD", "XLFILL=b")</f>
        <v>3.358725761772853</v>
      </c>
    </row>
    <row r="103" spans="1:14" x14ac:dyDescent="0.2">
      <c r="A103" s="8" t="s">
        <v>113</v>
      </c>
      <c r="B103" s="4" t="s">
        <v>88</v>
      </c>
      <c r="C103" s="4" t="s">
        <v>107</v>
      </c>
      <c r="D103" s="4" t="s">
        <v>114</v>
      </c>
      <c r="E103" s="9">
        <f>_xll.BQL("SEG0000176226 Segment", "SALES_REV_TURN/1M", "FPT=A", "FPO=5A", "ACT_EST_MAPPING=PRECISE", "FS=MRC", "CURRENCY=USD", "XLFILL=b")</f>
        <v>3485.2582917621708</v>
      </c>
      <c r="F103" s="9">
        <f>_xll.BQL("SEG0000176226 Segment", "SALES_REV_TURN/1M", "FPT=A", "FPO=4A", "ACT_EST_MAPPING=PRECISE", "FS=MRC", "CURRENCY=USD", "XLFILL=b")</f>
        <v>3383.0890038460211</v>
      </c>
      <c r="G103" s="9">
        <f>_xll.BQL("SEG0000176226 Segment", "SALES_REV_TURN/1M", "FPT=A", "FPO=3A", "ACT_EST_MAPPING=PRECISE", "FS=MRC", "CURRENCY=USD", "XLFILL=b")</f>
        <v>3050.4520350638468</v>
      </c>
      <c r="H103" s="9">
        <f>_xll.BQL("SEG0000176226 Segment", "SALES_REV_TURN/1M", "FPT=A", "FPO=2A", "ACT_EST_MAPPING=PRECISE", "FS=MRC", "CURRENCY=USD", "XLFILL=b")</f>
        <v>2754.1060022365427</v>
      </c>
      <c r="I103" s="9">
        <f>_xll.BQL("SEG0000176226 Segment", "SALES_REV_TURN/1M", "FPT=A", "FPO=1A", "ACT_EST_MAPPING=PRECISE", "FS=MRC", "CURRENCY=USD", "XLFILL=b")</f>
        <v>2376.9344158997383</v>
      </c>
      <c r="J103" s="9">
        <f>_xll.BQL("SEG0000176226 Segment", "SALES_REV_TURN/1M", "FPT=A", "FPO=0A", "ACT_EST_MAPPING=PRECISE", "FS=MRC", "CURRENCY=USD", "XLFILL=b")</f>
        <v>2086</v>
      </c>
      <c r="K103" s="9">
        <f>_xll.BQL("SEG0000176226 Segment", "SALES_REV_TURN/1M", "FPT=A", "FPO=-1A", "ACT_EST_MAPPING=PRECISE", "FS=MRC", "CURRENCY=USD", "XLFILL=b")</f>
        <v>1039</v>
      </c>
      <c r="L103" s="9">
        <f>_xll.BQL("SEG0000176226 Segment", "SALES_REV_TURN/1M", "FPT=A", "FPO=-2A", "ACT_EST_MAPPING=PRECISE", "FS=MRC", "CURRENCY=USD", "XLFILL=b")</f>
        <v>401</v>
      </c>
      <c r="M103" s="9">
        <f>_xll.BQL("SEG0000176226 Segment", "SALES_REV_TURN/1M", "FPT=A", "FPO=-3A", "ACT_EST_MAPPING=PRECISE", "FS=MRC", "CURRENCY=USD", "XLFILL=b")</f>
        <v>558</v>
      </c>
      <c r="N103" s="9">
        <f>_xll.BQL("SEG0000176226 Segment", "SALES_REV_TURN/1M", "FPT=A", "FPO=-4A", "ACT_EST_MAPPING=PRECISE", "FS=MRC", "CURRENCY=USD", "XLFILL=b")</f>
        <v>2501</v>
      </c>
    </row>
    <row r="104" spans="1:14" x14ac:dyDescent="0.2">
      <c r="A104" s="8" t="s">
        <v>86</v>
      </c>
      <c r="B104" s="4" t="s">
        <v>88</v>
      </c>
      <c r="C104" s="4" t="s">
        <v>107</v>
      </c>
      <c r="D104" s="4" t="s">
        <v>114</v>
      </c>
      <c r="E104" s="9">
        <f>_xll.BQL("SEG0000176226 Segment", "FA_GROWTH(SALES_REV_TURN, YOY)", "FPT=A", "FPO=5A", "ACT_EST_MAPPING=PRECISE", "FS=MRC", "CURRENCY=USD", "XLFILL=b")</f>
        <v>3.0199999999999934</v>
      </c>
      <c r="F104" s="9">
        <f>_xll.BQL("SEG0000176226 Segment", "FA_GROWTH(SALES_REV_TURN, YOY)", "FPT=A", "FPO=4A", "ACT_EST_MAPPING=PRECISE", "FS=MRC", "CURRENCY=USD", "XLFILL=b")</f>
        <v>10.904513985423556</v>
      </c>
      <c r="G104" s="9">
        <f>_xll.BQL("SEG0000176226 Segment", "FA_GROWTH(SALES_REV_TURN, YOY)", "FPT=A", "FPO=3A", "ACT_EST_MAPPING=PRECISE", "FS=MRC", "CURRENCY=USD", "XLFILL=b")</f>
        <v>10.760153479446632</v>
      </c>
      <c r="H104" s="9">
        <f>_xll.BQL("SEG0000176226 Segment", "FA_GROWTH(SALES_REV_TURN, YOY)", "FPT=A", "FPO=2A", "ACT_EST_MAPPING=PRECISE", "FS=MRC", "CURRENCY=USD", "XLFILL=b")</f>
        <v>15.867984569276979</v>
      </c>
      <c r="I104" s="9">
        <f>_xll.BQL("SEG0000176226 Segment", "FA_GROWTH(SALES_REV_TURN, YOY)", "FPT=A", "FPO=1A", "ACT_EST_MAPPING=PRECISE", "FS=MRC", "CURRENCY=USD", "XLFILL=b")</f>
        <v>13.946999803439036</v>
      </c>
      <c r="J104" s="9">
        <f>_xll.BQL("SEG0000176226 Segment", "FA_GROWTH(SALES_REV_TURN, YOY)", "FPT=A", "FPO=0A", "ACT_EST_MAPPING=PRECISE", "FS=MRC", "CURRENCY=USD", "XLFILL=b")</f>
        <v>100.76997112608277</v>
      </c>
      <c r="K104" s="9">
        <f>_xll.BQL("SEG0000176226 Segment", "FA_GROWTH(SALES_REV_TURN, YOY)", "FPT=A", "FPO=-1A", "ACT_EST_MAPPING=PRECISE", "FS=MRC", "CURRENCY=USD", "XLFILL=b")</f>
        <v>159.10224438902742</v>
      </c>
      <c r="L104" s="9">
        <f>_xll.BQL("SEG0000176226 Segment", "FA_GROWTH(SALES_REV_TURN, YOY)", "FPT=A", "FPO=-2A", "ACT_EST_MAPPING=PRECISE", "FS=MRC", "CURRENCY=USD", "XLFILL=b")</f>
        <v>-28.136200716845877</v>
      </c>
      <c r="M104" s="9">
        <f>_xll.BQL("SEG0000176226 Segment", "FA_GROWTH(SALES_REV_TURN, YOY)", "FPT=A", "FPO=-3A", "ACT_EST_MAPPING=PRECISE", "FS=MRC", "CURRENCY=USD", "XLFILL=b")</f>
        <v>-77.688924430227914</v>
      </c>
      <c r="N104" s="9">
        <f>_xll.BQL("SEG0000176226 Segment", "FA_GROWTH(SALES_REV_TURN, YOY)", "FPT=A", "FPO=-4A", "ACT_EST_MAPPING=PRECISE", "FS=MRC", "CURRENCY=USD", "XLFILL=b")</f>
        <v>-1.6515926071569014</v>
      </c>
    </row>
    <row r="105" spans="1:14" x14ac:dyDescent="0.2">
      <c r="A105" s="8" t="s">
        <v>16</v>
      </c>
      <c r="B105" s="4"/>
      <c r="C105" s="4"/>
      <c r="D105" s="4"/>
      <c r="E105" s="9"/>
      <c r="F105" s="9"/>
      <c r="G105" s="9"/>
      <c r="H105" s="9"/>
      <c r="I105" s="9"/>
      <c r="J105" s="9"/>
      <c r="K105" s="9"/>
      <c r="L105" s="9"/>
      <c r="M105" s="9"/>
      <c r="N105" s="9"/>
    </row>
    <row r="106" spans="1:14" x14ac:dyDescent="0.2">
      <c r="A106" s="8" t="s">
        <v>115</v>
      </c>
      <c r="B106" s="4"/>
      <c r="C106" s="4" t="s">
        <v>116</v>
      </c>
      <c r="D106" s="4"/>
      <c r="E106" s="9"/>
      <c r="F106" s="9"/>
      <c r="G106" s="9"/>
      <c r="H106" s="9"/>
      <c r="I106" s="9"/>
      <c r="J106" s="9"/>
      <c r="K106" s="9"/>
      <c r="L106" s="9"/>
      <c r="M106" s="9"/>
      <c r="N106" s="9"/>
    </row>
    <row r="107" spans="1:14" x14ac:dyDescent="0.2">
      <c r="A107" s="8" t="s">
        <v>84</v>
      </c>
      <c r="B107" s="4" t="s">
        <v>88</v>
      </c>
      <c r="C107" s="4" t="s">
        <v>107</v>
      </c>
      <c r="D107" s="4"/>
      <c r="E107" s="9">
        <f>_xll.BQL("DAL US Equity", "SALES_REV_TURN/1M", "FPT=A", "FPO=5A", "ACT_EST_MAPPING=PRECISE", "FS=MRC", "CURRENCY=USD", "XLFILL=b")</f>
        <v>67659.250633473959</v>
      </c>
      <c r="F107" s="9">
        <f>_xll.BQL("DAL US Equity", "SALES_REV_TURN/1M", "FPT=A", "FPO=4A", "ACT_EST_MAPPING=PRECISE", "FS=MRC", "CURRENCY=USD", "XLFILL=b")</f>
        <v>66346.885608390279</v>
      </c>
      <c r="G107" s="9">
        <f>_xll.BQL("DAL US Equity", "SALES_REV_TURN/1M", "FPT=A", "FPO=3A", "ACT_EST_MAPPING=PRECISE", "FS=MRC", "CURRENCY=USD", "XLFILL=b")</f>
        <v>64770.758170076842</v>
      </c>
      <c r="H107" s="9">
        <f>_xll.BQL("DAL US Equity", "SALES_REV_TURN/1M", "FPT=A", "FPO=2A", "ACT_EST_MAPPING=PRECISE", "FS=MRC", "CURRENCY=USD", "XLFILL=b")</f>
        <v>62798.252936462355</v>
      </c>
      <c r="I107" s="9">
        <f>_xll.BQL("DAL US Equity", "SALES_REV_TURN/1M", "FPT=A", "FPO=1A", "ACT_EST_MAPPING=PRECISE", "FS=MRC", "CURRENCY=USD", "XLFILL=b")</f>
        <v>60959.070078971337</v>
      </c>
      <c r="J107" s="9">
        <f>_xll.BQL("DAL US Equity", "SALES_REV_TURN/1M", "FPT=A", "FPO=0A", "ACT_EST_MAPPING=PRECISE", "FS=MRC", "CURRENCY=USD", "XLFILL=b")</f>
        <v>58048</v>
      </c>
      <c r="K107" s="9">
        <f>_xll.BQL("DAL US Equity", "SALES_REV_TURN/1M", "FPT=A", "FPO=-1A", "ACT_EST_MAPPING=PRECISE", "FS=MRC", "CURRENCY=USD", "XLFILL=b")</f>
        <v>50582</v>
      </c>
      <c r="L107" s="9">
        <f>_xll.BQL("DAL US Equity", "SALES_REV_TURN/1M", "FPT=A", "FPO=-2A", "ACT_EST_MAPPING=PRECISE", "FS=MRC", "CURRENCY=USD", "XLFILL=b")</f>
        <v>29899</v>
      </c>
      <c r="M107" s="9">
        <f>_xll.BQL("DAL US Equity", "SALES_REV_TURN/1M", "FPT=A", "FPO=-3A", "ACT_EST_MAPPING=PRECISE", "FS=MRC", "CURRENCY=USD", "XLFILL=b")</f>
        <v>17095</v>
      </c>
      <c r="N107" s="9">
        <f>_xll.BQL("DAL US Equity", "SALES_REV_TURN/1M", "FPT=A", "FPO=-4A", "ACT_EST_MAPPING=PRECISE", "FS=MRC", "CURRENCY=USD", "XLFILL=b")</f>
        <v>47007</v>
      </c>
    </row>
    <row r="108" spans="1:14" x14ac:dyDescent="0.2">
      <c r="A108" s="8" t="s">
        <v>12</v>
      </c>
      <c r="B108" s="4" t="s">
        <v>88</v>
      </c>
      <c r="C108" s="4" t="s">
        <v>107</v>
      </c>
      <c r="D108" s="4"/>
      <c r="E108" s="9">
        <f>_xll.BQL("DAL US Equity", "FA_GROWTH(SALES_REV_TURN, YOY)", "FPT=A", "FPO=5A", "ACT_EST_MAPPING=PRECISE", "FS=MRC", "CURRENCY=USD", "XLFILL=b")</f>
        <v>1.9780356124473826</v>
      </c>
      <c r="F108" s="9">
        <f>_xll.BQL("DAL US Equity", "FA_GROWTH(SALES_REV_TURN, YOY)", "FPT=A", "FPO=4A", "ACT_EST_MAPPING=PRECISE", "FS=MRC", "CURRENCY=USD", "XLFILL=b")</f>
        <v>2.433393529491799</v>
      </c>
      <c r="G108" s="9">
        <f>_xll.BQL("DAL US Equity", "FA_GROWTH(SALES_REV_TURN, YOY)", "FPT=A", "FPO=3A", "ACT_EST_MAPPING=PRECISE", "FS=MRC", "CURRENCY=USD", "XLFILL=b")</f>
        <v>3.1410192821927967</v>
      </c>
      <c r="H108" s="9">
        <f>_xll.BQL("DAL US Equity", "FA_GROWTH(SALES_REV_TURN, YOY)", "FPT=A", "FPO=2A", "ACT_EST_MAPPING=PRECISE", "FS=MRC", "CURRENCY=USD", "XLFILL=b")</f>
        <v>3.0170782708929011</v>
      </c>
      <c r="I108" s="9">
        <f>_xll.BQL("DAL US Equity", "FA_GROWTH(SALES_REV_TURN, YOY)", "FPT=A", "FPO=1A", "ACT_EST_MAPPING=PRECISE", "FS=MRC", "CURRENCY=USD", "XLFILL=b")</f>
        <v>5.014936051149629</v>
      </c>
      <c r="J108" s="9">
        <f>_xll.BQL("DAL US Equity", "FA_GROWTH(SALES_REV_TURN, YOY)", "FPT=A", "FPO=0A", "ACT_EST_MAPPING=PRECISE", "FS=MRC", "CURRENCY=USD", "XLFILL=b")</f>
        <v>14.760191372424973</v>
      </c>
      <c r="K108" s="9">
        <f>_xll.BQL("DAL US Equity", "FA_GROWTH(SALES_REV_TURN, YOY)", "FPT=A", "FPO=-1A", "ACT_EST_MAPPING=PRECISE", "FS=MRC", "CURRENCY=USD", "XLFILL=b")</f>
        <v>69.176226629653172</v>
      </c>
      <c r="L108" s="9">
        <f>_xll.BQL("DAL US Equity", "FA_GROWTH(SALES_REV_TURN, YOY)", "FPT=A", "FPO=-2A", "ACT_EST_MAPPING=PRECISE", "FS=MRC", "CURRENCY=USD", "XLFILL=b")</f>
        <v>74.899093302135128</v>
      </c>
      <c r="M108" s="9">
        <f>_xll.BQL("DAL US Equity", "FA_GROWTH(SALES_REV_TURN, YOY)", "FPT=A", "FPO=-3A", "ACT_EST_MAPPING=PRECISE", "FS=MRC", "CURRENCY=USD", "XLFILL=b")</f>
        <v>-63.633075924862254</v>
      </c>
      <c r="N108" s="9">
        <f>_xll.BQL("DAL US Equity", "FA_GROWTH(SALES_REV_TURN, YOY)", "FPT=A", "FPO=-4A", "ACT_EST_MAPPING=PRECISE", "FS=MRC", "CURRENCY=USD", "XLFILL=b")</f>
        <v>5.7810882577973803</v>
      </c>
    </row>
    <row r="109" spans="1:14" x14ac:dyDescent="0.2">
      <c r="A109" s="8" t="s">
        <v>16</v>
      </c>
      <c r="B109" s="4"/>
      <c r="C109" s="4"/>
      <c r="D109" s="4"/>
      <c r="E109" s="9"/>
      <c r="F109" s="9"/>
      <c r="G109" s="9"/>
      <c r="H109" s="9"/>
      <c r="I109" s="9"/>
      <c r="J109" s="9"/>
      <c r="K109" s="9"/>
      <c r="L109" s="9"/>
      <c r="M109" s="9"/>
      <c r="N109" s="9"/>
    </row>
    <row r="110" spans="1:14" x14ac:dyDescent="0.2">
      <c r="A110" s="8" t="s">
        <v>117</v>
      </c>
      <c r="B110" s="4" t="s">
        <v>118</v>
      </c>
      <c r="C110" s="4" t="s">
        <v>70</v>
      </c>
      <c r="D110" s="4"/>
      <c r="E110" s="9">
        <f>_xll.BQL("DAL US Equity", "IS_TOT_OPER_EXP/1M", "FPT=A", "FPO=5A", "ACT_EST_MAPPING=PRECISE", "FS=MRC", "CURRENCY=USD", "XLFILL=b")</f>
        <v>59965.21888188328</v>
      </c>
      <c r="F110" s="9">
        <f>_xll.BQL("DAL US Equity", "IS_TOT_OPER_EXP/1M", "FPT=A", "FPO=4A", "ACT_EST_MAPPING=PRECISE", "FS=MRC", "CURRENCY=USD", "XLFILL=b")</f>
        <v>58977.840761535306</v>
      </c>
      <c r="G110" s="9">
        <f>_xll.BQL("DAL US Equity", "IS_TOT_OPER_EXP/1M", "FPT=A", "FPO=3A", "ACT_EST_MAPPING=PRECISE", "FS=MRC", "CURRENCY=USD", "XLFILL=b")</f>
        <v>57144.663728806408</v>
      </c>
      <c r="H110" s="9">
        <f>_xll.BQL("DAL US Equity", "IS_TOT_OPER_EXP/1M", "FPT=A", "FPO=2A", "ACT_EST_MAPPING=PRECISE", "FS=MRC", "CURRENCY=USD", "XLFILL=b")</f>
        <v>55515.449316468475</v>
      </c>
      <c r="I110" s="9">
        <f>_xll.BQL("DAL US Equity", "IS_TOT_OPER_EXP/1M", "FPT=A", "FPO=1A", "ACT_EST_MAPPING=PRECISE", "FS=MRC", "CURRENCY=USD", "XLFILL=b")</f>
        <v>54308.435924150232</v>
      </c>
      <c r="J110" s="9">
        <f>_xll.BQL("DAL US Equity", "IS_TOT_OPER_EXP/1M", "FPT=A", "FPO=0A", "ACT_EST_MAPPING=PRECISE", "FS=MRC", "CURRENCY=USD", "XLFILL=b")</f>
        <v>52527</v>
      </c>
      <c r="K110" s="9">
        <f>_xll.BQL("DAL US Equity", "IS_TOT_OPER_EXP/1M", "FPT=A", "FPO=-1A", "ACT_EST_MAPPING=PRECISE", "FS=MRC", "CURRENCY=USD", "XLFILL=b")</f>
        <v>46921</v>
      </c>
      <c r="L110" s="9">
        <f>_xll.BQL("DAL US Equity", "IS_TOT_OPER_EXP/1M", "FPT=A", "FPO=-2A", "ACT_EST_MAPPING=PRECISE", "FS=MRC", "CURRENCY=USD", "XLFILL=b")</f>
        <v>28013</v>
      </c>
      <c r="M110" s="9">
        <f>_xll.BQL("DAL US Equity", "IS_TOT_OPER_EXP/1M", "FPT=A", "FPO=-3A", "ACT_EST_MAPPING=PRECISE", "FS=MRC", "CURRENCY=USD", "XLFILL=b")</f>
        <v>29564</v>
      </c>
      <c r="N110" s="9">
        <f>_xll.BQL("DAL US Equity", "IS_TOT_OPER_EXP/1M", "FPT=A", "FPO=-4A", "ACT_EST_MAPPING=PRECISE", "FS=MRC", "CURRENCY=USD", "XLFILL=b")</f>
        <v>40389</v>
      </c>
    </row>
    <row r="111" spans="1:14" x14ac:dyDescent="0.2">
      <c r="A111" s="8" t="s">
        <v>12</v>
      </c>
      <c r="B111" s="4" t="s">
        <v>118</v>
      </c>
      <c r="C111" s="4" t="s">
        <v>70</v>
      </c>
      <c r="D111" s="4"/>
      <c r="E111" s="9">
        <f>_xll.BQL("DAL US Equity", "FA_GROWTH(IS_TOT_OPER_EXP, YOY)", "FPT=A", "FPO=5A", "ACT_EST_MAPPING=PRECISE", "FS=MRC", "CURRENCY=USD", "XLFILL=b")</f>
        <v>1.6741510160404618</v>
      </c>
      <c r="F111" s="9">
        <f>_xll.BQL("DAL US Equity", "FA_GROWTH(IS_TOT_OPER_EXP, YOY)", "FPT=A", "FPO=4A", "ACT_EST_MAPPING=PRECISE", "FS=MRC", "CURRENCY=USD", "XLFILL=b")</f>
        <v>3.2079583868559882</v>
      </c>
      <c r="G111" s="9">
        <f>_xll.BQL("DAL US Equity", "FA_GROWTH(IS_TOT_OPER_EXP, YOY)", "FPT=A", "FPO=3A", "ACT_EST_MAPPING=PRECISE", "FS=MRC", "CURRENCY=USD", "XLFILL=b")</f>
        <v>2.9347045415241468</v>
      </c>
      <c r="H111" s="9">
        <f>_xll.BQL("DAL US Equity", "FA_GROWTH(IS_TOT_OPER_EXP, YOY)", "FPT=A", "FPO=2A", "ACT_EST_MAPPING=PRECISE", "FS=MRC", "CURRENCY=USD", "XLFILL=b")</f>
        <v>2.2225154743988904</v>
      </c>
      <c r="I111" s="9">
        <f>_xll.BQL("DAL US Equity", "FA_GROWTH(IS_TOT_OPER_EXP, YOY)", "FPT=A", "FPO=1A", "ACT_EST_MAPPING=PRECISE", "FS=MRC", "CURRENCY=USD", "XLFILL=b")</f>
        <v>3.3914671010151549</v>
      </c>
      <c r="J111" s="9">
        <f>_xll.BQL("DAL US Equity", "FA_GROWTH(IS_TOT_OPER_EXP, YOY)", "FPT=A", "FPO=0A", "ACT_EST_MAPPING=PRECISE", "FS=MRC", "CURRENCY=USD", "XLFILL=b")</f>
        <v>11.947741949233819</v>
      </c>
      <c r="K111" s="9">
        <f>_xll.BQL("DAL US Equity", "FA_GROWTH(IS_TOT_OPER_EXP, YOY)", "FPT=A", "FPO=-1A", "ACT_EST_MAPPING=PRECISE", "FS=MRC", "CURRENCY=USD", "XLFILL=b")</f>
        <v>67.497233427337306</v>
      </c>
      <c r="L111" s="9">
        <f>_xll.BQL("DAL US Equity", "FA_GROWTH(IS_TOT_OPER_EXP, YOY)", "FPT=A", "FPO=-2A", "ACT_EST_MAPPING=PRECISE", "FS=MRC", "CURRENCY=USD", "XLFILL=b")</f>
        <v>-5.2462454336355027</v>
      </c>
      <c r="M111" s="9">
        <f>_xll.BQL("DAL US Equity", "FA_GROWTH(IS_TOT_OPER_EXP, YOY)", "FPT=A", "FPO=-3A", "ACT_EST_MAPPING=PRECISE", "FS=MRC", "CURRENCY=USD", "XLFILL=b")</f>
        <v>-26.801851989403055</v>
      </c>
      <c r="N111" s="9">
        <f>_xll.BQL("DAL US Equity", "FA_GROWTH(IS_TOT_OPER_EXP, YOY)", "FPT=A", "FPO=-4A", "ACT_EST_MAPPING=PRECISE", "FS=MRC", "CURRENCY=USD", "XLFILL=b")</f>
        <v>3.1015469444018993</v>
      </c>
    </row>
    <row r="112" spans="1:14" x14ac:dyDescent="0.2">
      <c r="A112" s="8" t="s">
        <v>119</v>
      </c>
      <c r="B112" s="4" t="s">
        <v>120</v>
      </c>
      <c r="C112" s="4" t="s">
        <v>121</v>
      </c>
      <c r="D112" s="4"/>
      <c r="E112" s="9">
        <f>_xll.BQL("DAL US Equity", "IS_PERSONNEL_EXP/1M", "FPT=A", "FPO=5A", "ACT_EST_MAPPING=PRECISE", "FS=MRC", "CURRENCY=USD", "XLFILL=b")</f>
        <v>18292.807791607305</v>
      </c>
      <c r="F112" s="9">
        <f>_xll.BQL("DAL US Equity", "IS_PERSONNEL_EXP/1M", "FPT=A", "FPO=4A", "ACT_EST_MAPPING=PRECISE", "FS=MRC", "CURRENCY=USD", "XLFILL=b")</f>
        <v>17927.783529917098</v>
      </c>
      <c r="G112" s="9">
        <f>_xll.BQL("DAL US Equity", "IS_PERSONNEL_EXP/1M", "FPT=A", "FPO=3A", "ACT_EST_MAPPING=PRECISE", "FS=MRC", "CURRENCY=USD", "XLFILL=b")</f>
        <v>17553.000264308932</v>
      </c>
      <c r="H112" s="9">
        <f>_xll.BQL("DAL US Equity", "IS_PERSONNEL_EXP/1M", "FPT=A", "FPO=2A", "ACT_EST_MAPPING=PRECISE", "FS=MRC", "CURRENCY=USD", "XLFILL=b")</f>
        <v>16923.615915643626</v>
      </c>
      <c r="I112" s="9">
        <f>_xll.BQL("DAL US Equity", "IS_PERSONNEL_EXP/1M", "FPT=A", "FPO=1A", "ACT_EST_MAPPING=PRECISE", "FS=MRC", "CURRENCY=USD", "XLFILL=b")</f>
        <v>15986.234724004315</v>
      </c>
      <c r="J112" s="9">
        <f>_xll.BQL("DAL US Equity", "IS_PERSONNEL_EXP/1M", "FPT=A", "FPO=0A", "ACT_EST_MAPPING=PRECISE", "FS=MRC", "CURRENCY=USD", "XLFILL=b")</f>
        <v>14607</v>
      </c>
      <c r="K112" s="9">
        <f>_xll.BQL("DAL US Equity", "IS_PERSONNEL_EXP/1M", "FPT=A", "FPO=-1A", "ACT_EST_MAPPING=PRECISE", "FS=MRC", "CURRENCY=USD", "XLFILL=b")</f>
        <v>11902</v>
      </c>
      <c r="L112" s="9">
        <f>_xll.BQL("DAL US Equity", "IS_PERSONNEL_EXP/1M", "FPT=A", "FPO=-2A", "ACT_EST_MAPPING=PRECISE", "FS=MRC", "CURRENCY=USD", "XLFILL=b")</f>
        <v>9728</v>
      </c>
      <c r="M112" s="9">
        <f>_xll.BQL("DAL US Equity", "IS_PERSONNEL_EXP/1M", "FPT=A", "FPO=-3A", "ACT_EST_MAPPING=PRECISE", "FS=MRC", "CURRENCY=USD", "XLFILL=b")</f>
        <v>9001</v>
      </c>
      <c r="N112" s="9">
        <f>_xll.BQL("DAL US Equity", "IS_PERSONNEL_EXP/1M", "FPT=A", "FPO=-4A", "ACT_EST_MAPPING=PRECISE", "FS=MRC", "CURRENCY=USD", "XLFILL=b")</f>
        <v>11601</v>
      </c>
    </row>
    <row r="113" spans="1:14" x14ac:dyDescent="0.2">
      <c r="A113" s="8" t="s">
        <v>86</v>
      </c>
      <c r="B113" s="4" t="s">
        <v>120</v>
      </c>
      <c r="C113" s="4" t="s">
        <v>121</v>
      </c>
      <c r="D113" s="4"/>
      <c r="E113" s="9">
        <f>_xll.BQL("DAL US Equity", "FA_GROWTH(IS_PERSONNEL_EXP, YOY)", "FPT=A", "FPO=5A", "ACT_EST_MAPPING=PRECISE", "FS=MRC", "CURRENCY=USD", "XLFILL=b")</f>
        <v>2.0360813766022337</v>
      </c>
      <c r="F113" s="9">
        <f>_xll.BQL("DAL US Equity", "FA_GROWTH(IS_PERSONNEL_EXP, YOY)", "FPT=A", "FPO=4A", "ACT_EST_MAPPING=PRECISE", "FS=MRC", "CURRENCY=USD", "XLFILL=b")</f>
        <v>2.1351521675198986</v>
      </c>
      <c r="G113" s="9">
        <f>_xll.BQL("DAL US Equity", "FA_GROWTH(IS_PERSONNEL_EXP, YOY)", "FPT=A", "FPO=3A", "ACT_EST_MAPPING=PRECISE", "FS=MRC", "CURRENCY=USD", "XLFILL=b")</f>
        <v>3.7189708854330954</v>
      </c>
      <c r="H113" s="9">
        <f>_xll.BQL("DAL US Equity", "FA_GROWTH(IS_PERSONNEL_EXP, YOY)", "FPT=A", "FPO=2A", "ACT_EST_MAPPING=PRECISE", "FS=MRC", "CURRENCY=USD", "XLFILL=b")</f>
        <v>5.8636771436351767</v>
      </c>
      <c r="I113" s="9">
        <f>_xll.BQL("DAL US Equity", "FA_GROWTH(IS_PERSONNEL_EXP, YOY)", "FPT=A", "FPO=1A", "ACT_EST_MAPPING=PRECISE", "FS=MRC", "CURRENCY=USD", "XLFILL=b")</f>
        <v>9.4422860546608796</v>
      </c>
      <c r="J113" s="9">
        <f>_xll.BQL("DAL US Equity", "FA_GROWTH(IS_PERSONNEL_EXP, YOY)", "FPT=A", "FPO=0A", "ACT_EST_MAPPING=PRECISE", "FS=MRC", "CURRENCY=USD", "XLFILL=b")</f>
        <v>22.727272727272727</v>
      </c>
      <c r="K113" s="9">
        <f>_xll.BQL("DAL US Equity", "FA_GROWTH(IS_PERSONNEL_EXP, YOY)", "FPT=A", "FPO=-1A", "ACT_EST_MAPPING=PRECISE", "FS=MRC", "CURRENCY=USD", "XLFILL=b")</f>
        <v>22.347861842105264</v>
      </c>
      <c r="L113" s="9">
        <f>_xll.BQL("DAL US Equity", "FA_GROWTH(IS_PERSONNEL_EXP, YOY)", "FPT=A", "FPO=-2A", "ACT_EST_MAPPING=PRECISE", "FS=MRC", "CURRENCY=USD", "XLFILL=b")</f>
        <v>8.0768803466281529</v>
      </c>
      <c r="M113" s="9">
        <f>_xll.BQL("DAL US Equity", "FA_GROWTH(IS_PERSONNEL_EXP, YOY)", "FPT=A", "FPO=-3A", "ACT_EST_MAPPING=PRECISE", "FS=MRC", "CURRENCY=USD", "XLFILL=b")</f>
        <v>-22.41186104646151</v>
      </c>
      <c r="N113" s="9">
        <f>_xll.BQL("DAL US Equity", "FA_GROWTH(IS_PERSONNEL_EXP, YOY)", "FPT=A", "FPO=-4A", "ACT_EST_MAPPING=PRECISE", "FS=MRC", "CURRENCY=USD", "XLFILL=b")</f>
        <v>7.9865959229265568</v>
      </c>
    </row>
    <row r="114" spans="1:14" x14ac:dyDescent="0.2">
      <c r="A114" s="8" t="s">
        <v>122</v>
      </c>
      <c r="B114" s="4" t="s">
        <v>123</v>
      </c>
      <c r="C114" s="4"/>
      <c r="D114" s="4"/>
      <c r="E114" s="9">
        <f>_xll.BQL("DAL US Equity", "AIRLINE_SALARIES_PCT_SALES", "FPT=A", "FPO=5A", "ACT_EST_MAPPING=PRECISE", "FS=MRC", "CURRENCY=USD", "XLFILL=b")</f>
        <v>26.769455736576624</v>
      </c>
      <c r="F114" s="9">
        <f>_xll.BQL("DAL US Equity", "AIRLINE_SALARIES_PCT_SALES", "FPT=A", "FPO=4A", "ACT_EST_MAPPING=PRECISE", "FS=MRC", "CURRENCY=USD", "XLFILL=b")</f>
        <v>26.929068043569913</v>
      </c>
      <c r="G114" s="9">
        <f>_xll.BQL("DAL US Equity", "AIRLINE_SALARIES_PCT_SALES", "FPT=A", "FPO=3A", "ACT_EST_MAPPING=PRECISE", "FS=MRC", "CURRENCY=USD", "XLFILL=b")</f>
        <v>26.573327055075463</v>
      </c>
      <c r="H114" s="9">
        <f>_xll.BQL("DAL US Equity", "AIRLINE_SALARIES_PCT_SALES", "FPT=A", "FPO=2A", "ACT_EST_MAPPING=PRECISE", "FS=MRC", "CURRENCY=USD", "XLFILL=b")</f>
        <v>26.608057520792112</v>
      </c>
      <c r="I114" s="9">
        <f>_xll.BQL("DAL US Equity", "AIRLINE_SALARIES_PCT_SALES", "FPT=A", "FPO=1A", "ACT_EST_MAPPING=PRECISE", "FS=MRC", "CURRENCY=USD", "XLFILL=b")</f>
        <v>25.704407626772845</v>
      </c>
      <c r="J114" s="9">
        <f>_xll.BQL("DAL US Equity", "AIRLINE_SALARIES_PCT_SALES", "FPT=A", "FPO=0A", "ACT_EST_MAPPING=PRECISE", "FS=MRC", "CURRENCY=USD", "XLFILL=b")</f>
        <v>25.163657662624033</v>
      </c>
      <c r="K114" s="9">
        <f>_xll.BQL("DAL US Equity", "AIRLINE_SALARIES_PCT_SALES", "FPT=A", "FPO=-1A", "ACT_EST_MAPPING=PRECISE", "FS=MRC", "CURRENCY=USD", "XLFILL=b")</f>
        <v>23.530109525127514</v>
      </c>
      <c r="L114" s="9">
        <f>_xll.BQL("DAL US Equity", "AIRLINE_SALARIES_PCT_SALES", "FPT=A", "FPO=-2A", "ACT_EST_MAPPING=PRECISE", "FS=MRC", "CURRENCY=USD", "XLFILL=b")</f>
        <v>32.536205224254992</v>
      </c>
      <c r="M114" s="9">
        <f>_xll.BQL("DAL US Equity", "AIRLINE_SALARIES_PCT_SALES", "FPT=A", "FPO=-3A", "ACT_EST_MAPPING=PRECISE", "FS=MRC", "CURRENCY=USD", "XLFILL=b")</f>
        <v>52.652822462708393</v>
      </c>
      <c r="N114" s="9">
        <f>_xll.BQL("DAL US Equity", "AIRLINE_SALARIES_PCT_SALES", "FPT=A", "FPO=-4A", "ACT_EST_MAPPING=PRECISE", "FS=MRC", "CURRENCY=USD", "XLFILL=b")</f>
        <v>24.679303082519624</v>
      </c>
    </row>
    <row r="115" spans="1:14" x14ac:dyDescent="0.2">
      <c r="A115" s="8" t="s">
        <v>94</v>
      </c>
      <c r="B115" s="4" t="s">
        <v>123</v>
      </c>
      <c r="C115" s="4"/>
      <c r="D115" s="4"/>
      <c r="E115" s="9">
        <f>_xll.BQL("DAL US Equity", "FA_GROWTH(AIRLINE_SALARIES_PCT_SALES, YOY)", "FPT=A", "FPO=5A", "ACT_EST_MAPPING=PRECISE", "FS=MRC", "CURRENCY=USD", "XLFILL=b")</f>
        <v>-0.59271381666474221</v>
      </c>
      <c r="F115" s="9">
        <f>_xll.BQL("DAL US Equity", "FA_GROWTH(AIRLINE_SALARIES_PCT_SALES, YOY)", "FPT=A", "FPO=4A", "ACT_EST_MAPPING=PRECISE", "FS=MRC", "CURRENCY=USD", "XLFILL=b")</f>
        <v>1.3387145228640229</v>
      </c>
      <c r="G115" s="9">
        <f>_xll.BQL("DAL US Equity", "FA_GROWTH(AIRLINE_SALARIES_PCT_SALES, YOY)", "FPT=A", "FPO=3A", "ACT_EST_MAPPING=PRECISE", "FS=MRC", "CURRENCY=USD", "XLFILL=b")</f>
        <v>-0.13052612235789784</v>
      </c>
      <c r="H115" s="9">
        <f>_xll.BQL("DAL US Equity", "FA_GROWTH(AIRLINE_SALARIES_PCT_SALES, YOY)", "FPT=A", "FPO=2A", "ACT_EST_MAPPING=PRECISE", "FS=MRC", "CURRENCY=USD", "XLFILL=b")</f>
        <v>3.5155445211585268</v>
      </c>
      <c r="I115" s="9">
        <f>_xll.BQL("DAL US Equity", "FA_GROWTH(AIRLINE_SALARIES_PCT_SALES, YOY)", "FPT=A", "FPO=1A", "ACT_EST_MAPPING=PRECISE", "FS=MRC", "CURRENCY=USD", "XLFILL=b")</f>
        <v>2.148932287184929</v>
      </c>
      <c r="J115" s="9">
        <f>_xll.BQL("DAL US Equity", "FA_GROWTH(AIRLINE_SALARIES_PCT_SALES, YOY)", "FPT=A", "FPO=0A", "ACT_EST_MAPPING=PRECISE", "FS=MRC", "CURRENCY=USD", "XLFILL=b")</f>
        <v>6.9423737095319185</v>
      </c>
      <c r="K115" s="9">
        <f>_xll.BQL("DAL US Equity", "FA_GROWTH(AIRLINE_SALARIES_PCT_SALES, YOY)", "FPT=A", "FPO=-1A", "ACT_EST_MAPPING=PRECISE", "FS=MRC", "CURRENCY=USD", "XLFILL=b")</f>
        <v>-27.680227724939606</v>
      </c>
      <c r="L115" s="9">
        <f>_xll.BQL("DAL US Equity", "FA_GROWTH(AIRLINE_SALARIES_PCT_SALES, YOY)", "FPT=A", "FPO=-2A", "ACT_EST_MAPPING=PRECISE", "FS=MRC", "CURRENCY=USD", "XLFILL=b")</f>
        <v>-38.206151726626025</v>
      </c>
      <c r="M115" s="9">
        <f>_xll.BQL("DAL US Equity", "FA_GROWTH(AIRLINE_SALARIES_PCT_SALES, YOY)", "FPT=A", "FPO=-3A", "ACT_EST_MAPPING=PRECISE", "FS=MRC", "CURRENCY=USD", "XLFILL=b")</f>
        <v>113.34809288031492</v>
      </c>
      <c r="N115" s="9">
        <f>_xll.BQL("DAL US Equity", "FA_GROWTH(AIRLINE_SALARIES_PCT_SALES, YOY)", "FPT=A", "FPO=-4A", "ACT_EST_MAPPING=PRECISE", "FS=MRC", "CURRENCY=USD", "XLFILL=b")</f>
        <v>2.0849735065630584</v>
      </c>
    </row>
    <row r="116" spans="1:14" x14ac:dyDescent="0.2">
      <c r="A116" s="8" t="s">
        <v>124</v>
      </c>
      <c r="B116" s="4" t="s">
        <v>125</v>
      </c>
      <c r="C116" s="4" t="s">
        <v>126</v>
      </c>
      <c r="D116" s="4"/>
      <c r="E116" s="9" t="str">
        <f>_xll.BQL("DAL US Equity", "IS_FUEL_COST/1M", "FPT=A", "FPO=5A", "ACT_EST_MAPPING=PRECISE", "FS=MRC", "CURRENCY=USD", "XLFILL=b")</f>
        <v/>
      </c>
      <c r="F116" s="9">
        <f>_xll.BQL("DAL US Equity", "IS_FUEL_COST/1M", "FPT=A", "FPO=4A", "ACT_EST_MAPPING=PRECISE", "FS=MRC", "CURRENCY=USD", "XLFILL=b")</f>
        <v>11129.682660095725</v>
      </c>
      <c r="G116" s="9">
        <f>_xll.BQL("DAL US Equity", "IS_FUEL_COST/1M", "FPT=A", "FPO=3A", "ACT_EST_MAPPING=PRECISE", "FS=MRC", "CURRENCY=USD", "XLFILL=b")</f>
        <v>10992.724146471272</v>
      </c>
      <c r="H116" s="9">
        <f>_xll.BQL("DAL US Equity", "IS_FUEL_COST/1M", "FPT=A", "FPO=2A", "ACT_EST_MAPPING=PRECISE", "FS=MRC", "CURRENCY=USD", "XLFILL=b")</f>
        <v>10636.798519733444</v>
      </c>
      <c r="I116" s="9">
        <f>_xll.BQL("DAL US Equity", "IS_FUEL_COST/1M", "FPT=A", "FPO=1A", "ACT_EST_MAPPING=PRECISE", "FS=MRC", "CURRENCY=USD", "XLFILL=b")</f>
        <v>10849.929057041692</v>
      </c>
      <c r="J116" s="9">
        <f>_xll.BQL("DAL US Equity", "IS_FUEL_COST/1M", "FPT=A", "FPO=0A", "ACT_EST_MAPPING=PRECISE", "FS=MRC", "CURRENCY=USD", "XLFILL=b")</f>
        <v>11069</v>
      </c>
      <c r="K116" s="9">
        <f>_xll.BQL("DAL US Equity", "IS_FUEL_COST/1M", "FPT=A", "FPO=-1A", "ACT_EST_MAPPING=PRECISE", "FS=MRC", "CURRENCY=USD", "XLFILL=b")</f>
        <v>11482</v>
      </c>
      <c r="L116" s="9">
        <f>_xll.BQL("DAL US Equity", "IS_FUEL_COST/1M", "FPT=A", "FPO=-2A", "ACT_EST_MAPPING=PRECISE", "FS=MRC", "CURRENCY=USD", "XLFILL=b")</f>
        <v>5633</v>
      </c>
      <c r="M116" s="9">
        <f>_xll.BQL("DAL US Equity", "IS_FUEL_COST/1M", "FPT=A", "FPO=-3A", "ACT_EST_MAPPING=PRECISE", "FS=MRC", "CURRENCY=USD", "XLFILL=b")</f>
        <v>3176</v>
      </c>
      <c r="N116" s="9">
        <f>_xll.BQL("DAL US Equity", "IS_FUEL_COST/1M", "FPT=A", "FPO=-4A", "ACT_EST_MAPPING=PRECISE", "FS=MRC", "CURRENCY=USD", "XLFILL=b")</f>
        <v>8519</v>
      </c>
    </row>
    <row r="117" spans="1:14" x14ac:dyDescent="0.2">
      <c r="A117" s="8" t="s">
        <v>86</v>
      </c>
      <c r="B117" s="4" t="s">
        <v>125</v>
      </c>
      <c r="C117" s="4" t="s">
        <v>126</v>
      </c>
      <c r="D117" s="4"/>
      <c r="E117" s="9" t="str">
        <f>_xll.BQL("DAL US Equity", "FA_GROWTH(IS_FUEL_COST, YOY)", "FPT=A", "FPO=5A", "ACT_EST_MAPPING=PRECISE", "FS=MRC", "CURRENCY=USD", "XLFILL=b")</f>
        <v/>
      </c>
      <c r="F117" s="9">
        <f>_xll.BQL("DAL US Equity", "FA_GROWTH(IS_FUEL_COST, YOY)", "FPT=A", "FPO=4A", "ACT_EST_MAPPING=PRECISE", "FS=MRC", "CURRENCY=USD", "XLFILL=b")</f>
        <v>1.2459014871979397</v>
      </c>
      <c r="G117" s="9">
        <f>_xll.BQL("DAL US Equity", "FA_GROWTH(IS_FUEL_COST, YOY)", "FPT=A", "FPO=3A", "ACT_EST_MAPPING=PRECISE", "FS=MRC", "CURRENCY=USD", "XLFILL=b")</f>
        <v>3.3461724980266592</v>
      </c>
      <c r="H117" s="9">
        <f>_xll.BQL("DAL US Equity", "FA_GROWTH(IS_FUEL_COST, YOY)", "FPT=A", "FPO=2A", "ACT_EST_MAPPING=PRECISE", "FS=MRC", "CURRENCY=USD", "XLFILL=b")</f>
        <v>-1.9643495933268342</v>
      </c>
      <c r="I117" s="9">
        <f>_xll.BQL("DAL US Equity", "FA_GROWTH(IS_FUEL_COST, YOY)", "FPT=A", "FPO=1A", "ACT_EST_MAPPING=PRECISE", "FS=MRC", "CURRENCY=USD", "XLFILL=b")</f>
        <v>-1.9791394250456886</v>
      </c>
      <c r="J117" s="9">
        <f>_xll.BQL("DAL US Equity", "FA_GROWTH(IS_FUEL_COST, YOY)", "FPT=A", "FPO=0A", "ACT_EST_MAPPING=PRECISE", "FS=MRC", "CURRENCY=USD", "XLFILL=b")</f>
        <v>-3.5969343319979097</v>
      </c>
      <c r="K117" s="9">
        <f>_xll.BQL("DAL US Equity", "FA_GROWTH(IS_FUEL_COST, YOY)", "FPT=A", "FPO=-1A", "ACT_EST_MAPPING=PRECISE", "FS=MRC", "CURRENCY=USD", "XLFILL=b")</f>
        <v>103.83454642286526</v>
      </c>
      <c r="L117" s="9">
        <f>_xll.BQL("DAL US Equity", "FA_GROWTH(IS_FUEL_COST, YOY)", "FPT=A", "FPO=-2A", "ACT_EST_MAPPING=PRECISE", "FS=MRC", "CURRENCY=USD", "XLFILL=b")</f>
        <v>77.361460957178835</v>
      </c>
      <c r="M117" s="9">
        <f>_xll.BQL("DAL US Equity", "FA_GROWTH(IS_FUEL_COST, YOY)", "FPT=A", "FPO=-3A", "ACT_EST_MAPPING=PRECISE", "FS=MRC", "CURRENCY=USD", "XLFILL=b")</f>
        <v>-62.718628947059514</v>
      </c>
      <c r="N117" s="9">
        <f>_xll.BQL("DAL US Equity", "FA_GROWTH(IS_FUEL_COST, YOY)", "FPT=A", "FPO=-4A", "ACT_EST_MAPPING=PRECISE", "FS=MRC", "CURRENCY=USD", "XLFILL=b")</f>
        <v>-5.5543237250554327</v>
      </c>
    </row>
    <row r="118" spans="1:14" x14ac:dyDescent="0.2">
      <c r="A118" s="8" t="s">
        <v>127</v>
      </c>
      <c r="B118" s="4" t="s">
        <v>128</v>
      </c>
      <c r="C118" s="4" t="s">
        <v>129</v>
      </c>
      <c r="D118" s="4"/>
      <c r="E118" s="9">
        <f>_xll.BQL("DAL US Equity", "IS_PROFESSIONAL_EXPENSES/1M", "FPT=A", "FPO=5A", "ACT_EST_MAPPING=PRECISE", "FS=MRC", "CURRENCY=USD", "XLFILL=b")</f>
        <v>4921.0786893390259</v>
      </c>
      <c r="F118" s="9">
        <f>_xll.BQL("DAL US Equity", "IS_PROFESSIONAL_EXPENSES/1M", "FPT=A", "FPO=4A", "ACT_EST_MAPPING=PRECISE", "FS=MRC", "CURRENCY=USD", "XLFILL=b")</f>
        <v>4649.7040887506737</v>
      </c>
      <c r="G118" s="9">
        <f>_xll.BQL("DAL US Equity", "IS_PROFESSIONAL_EXPENSES/1M", "FPT=A", "FPO=3A", "ACT_EST_MAPPING=PRECISE", "FS=MRC", "CURRENCY=USD", "XLFILL=b")</f>
        <v>4484.7393110182202</v>
      </c>
      <c r="H118" s="9">
        <f>_xll.BQL("DAL US Equity", "IS_PROFESSIONAL_EXPENSES/1M", "FPT=A", "FPO=2A", "ACT_EST_MAPPING=PRECISE", "FS=MRC", "CURRENCY=USD", "XLFILL=b")</f>
        <v>4341.4994984764198</v>
      </c>
      <c r="I118" s="9">
        <f>_xll.BQL("DAL US Equity", "IS_PROFESSIONAL_EXPENSES/1M", "FPT=A", "FPO=1A", "ACT_EST_MAPPING=PRECISE", "FS=MRC", "CURRENCY=USD", "XLFILL=b")</f>
        <v>4187.5358402517859</v>
      </c>
      <c r="J118" s="9">
        <f>_xll.BQL("DAL US Equity", "IS_PROFESSIONAL_EXPENSES/1M", "FPT=A", "FPO=0A", "ACT_EST_MAPPING=PRECISE", "FS=MRC", "CURRENCY=USD", "XLFILL=b")</f>
        <v>4041</v>
      </c>
      <c r="K118" s="9">
        <f>_xll.BQL("DAL US Equity", "IS_PROFESSIONAL_EXPENSES/1M", "FPT=A", "FPO=-1A", "ACT_EST_MAPPING=PRECISE", "FS=MRC", "CURRENCY=USD", "XLFILL=b")</f>
        <v>3345</v>
      </c>
      <c r="L118" s="9">
        <f>_xll.BQL("DAL US Equity", "IS_PROFESSIONAL_EXPENSES/1M", "FPT=A", "FPO=-2A", "ACT_EST_MAPPING=PRECISE", "FS=MRC", "CURRENCY=USD", "XLFILL=b")</f>
        <v>2420</v>
      </c>
      <c r="M118" s="9">
        <f>_xll.BQL("DAL US Equity", "IS_PROFESSIONAL_EXPENSES/1M", "FPT=A", "FPO=-3A", "ACT_EST_MAPPING=PRECISE", "FS=MRC", "CURRENCY=USD", "XLFILL=b")</f>
        <v>1953</v>
      </c>
      <c r="N118" s="9">
        <f>_xll.BQL("DAL US Equity", "IS_PROFESSIONAL_EXPENSES/1M", "FPT=A", "FPO=-4A", "ACT_EST_MAPPING=PRECISE", "FS=MRC", "CURRENCY=USD", "XLFILL=b")</f>
        <v>2942</v>
      </c>
    </row>
    <row r="119" spans="1:14" x14ac:dyDescent="0.2">
      <c r="A119" s="8" t="s">
        <v>86</v>
      </c>
      <c r="B119" s="4" t="s">
        <v>128</v>
      </c>
      <c r="C119" s="4" t="s">
        <v>129</v>
      </c>
      <c r="D119" s="4"/>
      <c r="E119" s="9">
        <f>_xll.BQL("DAL US Equity", "FA_GROWTH(IS_PROFESSIONAL_EXPENSES, YOY)", "FPT=A", "FPO=5A", "ACT_EST_MAPPING=PRECISE", "FS=MRC", "CURRENCY=USD", "XLFILL=b")</f>
        <v>5.8363843248628688</v>
      </c>
      <c r="F119" s="9">
        <f>_xll.BQL("DAL US Equity", "FA_GROWTH(IS_PROFESSIONAL_EXPENSES, YOY)", "FPT=A", "FPO=4A", "ACT_EST_MAPPING=PRECISE", "FS=MRC", "CURRENCY=USD", "XLFILL=b")</f>
        <v>3.6783582342715828</v>
      </c>
      <c r="G119" s="9">
        <f>_xll.BQL("DAL US Equity", "FA_GROWTH(IS_PROFESSIONAL_EXPENSES, YOY)", "FPT=A", "FPO=3A", "ACT_EST_MAPPING=PRECISE", "FS=MRC", "CURRENCY=USD", "XLFILL=b")</f>
        <v>3.2993165746550988</v>
      </c>
      <c r="H119" s="9">
        <f>_xll.BQL("DAL US Equity", "FA_GROWTH(IS_PROFESSIONAL_EXPENSES, YOY)", "FPT=A", "FPO=2A", "ACT_EST_MAPPING=PRECISE", "FS=MRC", "CURRENCY=USD", "XLFILL=b")</f>
        <v>3.6767126085152686</v>
      </c>
      <c r="I119" s="9">
        <f>_xll.BQL("DAL US Equity", "FA_GROWTH(IS_PROFESSIONAL_EXPENSES, YOY)", "FPT=A", "FPO=1A", "ACT_EST_MAPPING=PRECISE", "FS=MRC", "CURRENCY=USD", "XLFILL=b")</f>
        <v>3.6262271777229951</v>
      </c>
      <c r="J119" s="9">
        <f>_xll.BQL("DAL US Equity", "FA_GROWTH(IS_PROFESSIONAL_EXPENSES, YOY)", "FPT=A", "FPO=0A", "ACT_EST_MAPPING=PRECISE", "FS=MRC", "CURRENCY=USD", "XLFILL=b")</f>
        <v>20.807174887892376</v>
      </c>
      <c r="K119" s="9">
        <f>_xll.BQL("DAL US Equity", "FA_GROWTH(IS_PROFESSIONAL_EXPENSES, YOY)", "FPT=A", "FPO=-1A", "ACT_EST_MAPPING=PRECISE", "FS=MRC", "CURRENCY=USD", "XLFILL=b")</f>
        <v>38.223140495867767</v>
      </c>
      <c r="L119" s="9">
        <f>_xll.BQL("DAL US Equity", "FA_GROWTH(IS_PROFESSIONAL_EXPENSES, YOY)", "FPT=A", "FPO=-2A", "ACT_EST_MAPPING=PRECISE", "FS=MRC", "CURRENCY=USD", "XLFILL=b")</f>
        <v>23.911930363543267</v>
      </c>
      <c r="M119" s="9">
        <f>_xll.BQL("DAL US Equity", "FA_GROWTH(IS_PROFESSIONAL_EXPENSES, YOY)", "FPT=A", "FPO=-3A", "ACT_EST_MAPPING=PRECISE", "FS=MRC", "CURRENCY=USD", "XLFILL=b")</f>
        <v>-33.616587355540446</v>
      </c>
      <c r="N119" s="9">
        <f>_xll.BQL("DAL US Equity", "FA_GROWTH(IS_PROFESSIONAL_EXPENSES, YOY)", "FPT=A", "FPO=-4A", "ACT_EST_MAPPING=PRECISE", "FS=MRC", "CURRENCY=USD", "XLFILL=b")</f>
        <v>35.264367816091955</v>
      </c>
    </row>
    <row r="120" spans="1:14" x14ac:dyDescent="0.2">
      <c r="A120" s="8" t="s">
        <v>130</v>
      </c>
      <c r="B120" s="4" t="s">
        <v>131</v>
      </c>
      <c r="C120" s="4" t="s">
        <v>132</v>
      </c>
      <c r="D120" s="4"/>
      <c r="E120" s="9">
        <f>_xll.BQL("DAL US Equity", "IS_FACILITIES_EXPENSES/1M", "FPT=A", "FPO=5A", "ACT_EST_MAPPING=PRECISE", "FS=MRC", "CURRENCY=USD", "XLFILL=b")</f>
        <v>3997.4195242329497</v>
      </c>
      <c r="F120" s="9">
        <f>_xll.BQL("DAL US Equity", "IS_FACILITIES_EXPENSES/1M", "FPT=A", "FPO=4A", "ACT_EST_MAPPING=PRECISE", "FS=MRC", "CURRENCY=USD", "XLFILL=b")</f>
        <v>4264.3737666202896</v>
      </c>
      <c r="G120" s="9">
        <f>_xll.BQL("DAL US Equity", "IS_FACILITIES_EXPENSES/1M", "FPT=A", "FPO=3A", "ACT_EST_MAPPING=PRECISE", "FS=MRC", "CURRENCY=USD", "XLFILL=b")</f>
        <v>4306.8568119149995</v>
      </c>
      <c r="H120" s="9">
        <f>_xll.BQL("DAL US Equity", "IS_FACILITIES_EXPENSES/1M", "FPT=A", "FPO=2A", "ACT_EST_MAPPING=PRECISE", "FS=MRC", "CURRENCY=USD", "XLFILL=b")</f>
        <v>4368.2265109763048</v>
      </c>
      <c r="I120" s="9">
        <f>_xll.BQL("DAL US Equity", "IS_FACILITIES_EXPENSES/1M", "FPT=A", "FPO=1A", "ACT_EST_MAPPING=PRECISE", "FS=MRC", "CURRENCY=USD", "XLFILL=b")</f>
        <v>5079.6745003660653</v>
      </c>
      <c r="J120" s="9">
        <f>_xll.BQL("DAL US Equity", "IS_FACILITIES_EXPENSES/1M", "FPT=A", "FPO=0A", "ACT_EST_MAPPING=PRECISE", "FS=MRC", "CURRENCY=USD", "XLFILL=b")</f>
        <v>4172</v>
      </c>
      <c r="K120" s="9">
        <f>_xll.BQL("DAL US Equity", "IS_FACILITIES_EXPENSES/1M", "FPT=A", "FPO=-1A", "ACT_EST_MAPPING=PRECISE", "FS=MRC", "CURRENCY=USD", "XLFILL=b")</f>
        <v>5756</v>
      </c>
      <c r="L120" s="9">
        <f>_xll.BQL("DAL US Equity", "IS_FACILITIES_EXPENSES/1M", "FPT=A", "FPO=-2A", "ACT_EST_MAPPING=PRECISE", "FS=MRC", "CURRENCY=USD", "XLFILL=b")</f>
        <v>3957</v>
      </c>
      <c r="M120" s="9">
        <f>_xll.BQL("DAL US Equity", "IS_FACILITIES_EXPENSES/1M", "FPT=A", "FPO=-3A", "ACT_EST_MAPPING=PRECISE", "FS=MRC", "CURRENCY=USD", "XLFILL=b")</f>
        <v>1785</v>
      </c>
      <c r="N120" s="9">
        <f>_xll.BQL("DAL US Equity", "IS_FACILITIES_EXPENSES/1M", "FPT=A", "FPO=-4A", "ACT_EST_MAPPING=PRECISE", "FS=MRC", "CURRENCY=USD", "XLFILL=b")</f>
        <v>1245</v>
      </c>
    </row>
    <row r="121" spans="1:14" x14ac:dyDescent="0.2">
      <c r="A121" s="8" t="s">
        <v>86</v>
      </c>
      <c r="B121" s="4" t="s">
        <v>131</v>
      </c>
      <c r="C121" s="4" t="s">
        <v>132</v>
      </c>
      <c r="D121" s="4"/>
      <c r="E121" s="9">
        <f>_xll.BQL("DAL US Equity", "FA_GROWTH(IS_FACILITIES_EXPENSES, YOY)", "FPT=A", "FPO=5A", "ACT_EST_MAPPING=PRECISE", "FS=MRC", "CURRENCY=USD", "XLFILL=b")</f>
        <v>-6.2601042262511024</v>
      </c>
      <c r="F121" s="9">
        <f>_xll.BQL("DAL US Equity", "FA_GROWTH(IS_FACILITIES_EXPENSES, YOY)", "FPT=A", "FPO=4A", "ACT_EST_MAPPING=PRECISE", "FS=MRC", "CURRENCY=USD", "XLFILL=b")</f>
        <v>-0.98640486902606139</v>
      </c>
      <c r="G121" s="9">
        <f>_xll.BQL("DAL US Equity", "FA_GROWTH(IS_FACILITIES_EXPENSES, YOY)", "FPT=A", "FPO=3A", "ACT_EST_MAPPING=PRECISE", "FS=MRC", "CURRENCY=USD", "XLFILL=b")</f>
        <v>-1.404911098522426</v>
      </c>
      <c r="H121" s="9">
        <f>_xll.BQL("DAL US Equity", "FA_GROWTH(IS_FACILITIES_EXPENSES, YOY)", "FPT=A", "FPO=2A", "ACT_EST_MAPPING=PRECISE", "FS=MRC", "CURRENCY=USD", "XLFILL=b")</f>
        <v>-14.005779097430155</v>
      </c>
      <c r="I121" s="9">
        <f>_xll.BQL("DAL US Equity", "FA_GROWTH(IS_FACILITIES_EXPENSES, YOY)", "FPT=A", "FPO=1A", "ACT_EST_MAPPING=PRECISE", "FS=MRC", "CURRENCY=USD", "XLFILL=b")</f>
        <v>21.756339893721599</v>
      </c>
      <c r="J121" s="9">
        <f>_xll.BQL("DAL US Equity", "FA_GROWTH(IS_FACILITIES_EXPENSES, YOY)", "FPT=A", "FPO=0A", "ACT_EST_MAPPING=PRECISE", "FS=MRC", "CURRENCY=USD", "XLFILL=b")</f>
        <v>-27.519110493398195</v>
      </c>
      <c r="K121" s="9">
        <f>_xll.BQL("DAL US Equity", "FA_GROWTH(IS_FACILITIES_EXPENSES, YOY)", "FPT=A", "FPO=-1A", "ACT_EST_MAPPING=PRECISE", "FS=MRC", "CURRENCY=USD", "XLFILL=b")</f>
        <v>45.463735152893605</v>
      </c>
      <c r="L121" s="9">
        <f>_xll.BQL("DAL US Equity", "FA_GROWTH(IS_FACILITIES_EXPENSES, YOY)", "FPT=A", "FPO=-2A", "ACT_EST_MAPPING=PRECISE", "FS=MRC", "CURRENCY=USD", "XLFILL=b")</f>
        <v>121.68067226890756</v>
      </c>
      <c r="M121" s="9">
        <f>_xll.BQL("DAL US Equity", "FA_GROWTH(IS_FACILITIES_EXPENSES, YOY)", "FPT=A", "FPO=-3A", "ACT_EST_MAPPING=PRECISE", "FS=MRC", "CURRENCY=USD", "XLFILL=b")</f>
        <v>43.373493975903614</v>
      </c>
      <c r="N121" s="9">
        <f>_xll.BQL("DAL US Equity", "FA_GROWTH(IS_FACILITIES_EXPENSES, YOY)", "FPT=A", "FPO=-4A", "ACT_EST_MAPPING=PRECISE", "FS=MRC", "CURRENCY=USD", "XLFILL=b")</f>
        <v>-26.548672566371682</v>
      </c>
    </row>
    <row r="122" spans="1:14" x14ac:dyDescent="0.2">
      <c r="A122" s="8" t="s">
        <v>133</v>
      </c>
      <c r="B122" s="4" t="s">
        <v>134</v>
      </c>
      <c r="C122" s="4"/>
      <c r="D122" s="4"/>
      <c r="E122" s="9">
        <f>_xll.BQL("DAL US Equity", "OTHER_RENTALS_LANDING_FEES/1M", "FPT=A", "FPO=5A", "ACT_EST_MAPPING=PRECISE", "FS=MRC", "CURRENCY=USD", "XLFILL=b")</f>
        <v>3297.4578066697181</v>
      </c>
      <c r="F122" s="9">
        <f>_xll.BQL("DAL US Equity", "OTHER_RENTALS_LANDING_FEES/1M", "FPT=A", "FPO=4A", "ACT_EST_MAPPING=PRECISE", "FS=MRC", "CURRENCY=USD", "XLFILL=b")</f>
        <v>3152.542012986667</v>
      </c>
      <c r="G122" s="9">
        <f>_xll.BQL("DAL US Equity", "OTHER_RENTALS_LANDING_FEES/1M", "FPT=A", "FPO=3A", "ACT_EST_MAPPING=PRECISE", "FS=MRC", "CURRENCY=USD", "XLFILL=b")</f>
        <v>3118.3147026900547</v>
      </c>
      <c r="H122" s="9">
        <f>_xll.BQL("DAL US Equity", "OTHER_RENTALS_LANDING_FEES/1M", "FPT=A", "FPO=2A", "ACT_EST_MAPPING=PRECISE", "FS=MRC", "CURRENCY=USD", "XLFILL=b")</f>
        <v>3049.5063597391386</v>
      </c>
      <c r="I122" s="9">
        <f>_xll.BQL("DAL US Equity", "OTHER_RENTALS_LANDING_FEES/1M", "FPT=A", "FPO=1A", "ACT_EST_MAPPING=PRECISE", "FS=MRC", "CURRENCY=USD", "XLFILL=b")</f>
        <v>2961.7442760083641</v>
      </c>
      <c r="J122" s="9">
        <f>_xll.BQL("DAL US Equity", "OTHER_RENTALS_LANDING_FEES/1M", "FPT=A", "FPO=0A", "ACT_EST_MAPPING=PRECISE", "FS=MRC", "CURRENCY=USD", "XLFILL=b")</f>
        <v>2563</v>
      </c>
      <c r="K122" s="9">
        <f>_xll.BQL("DAL US Equity", "OTHER_RENTALS_LANDING_FEES/1M", "FPT=A", "FPO=-1A", "ACT_EST_MAPPING=PRECISE", "FS=MRC", "CURRENCY=USD", "XLFILL=b")</f>
        <v>2181</v>
      </c>
      <c r="L122" s="9">
        <f>_xll.BQL("DAL US Equity", "OTHER_RENTALS_LANDING_FEES/1M", "FPT=A", "FPO=-2A", "ACT_EST_MAPPING=PRECISE", "FS=MRC", "CURRENCY=USD", "XLFILL=b")</f>
        <v>2019</v>
      </c>
      <c r="M122" s="9">
        <f>_xll.BQL("DAL US Equity", "OTHER_RENTALS_LANDING_FEES/1M", "FPT=A", "FPO=-3A", "ACT_EST_MAPPING=PRECISE", "FS=MRC", "CURRENCY=USD", "XLFILL=b")</f>
        <v>1833</v>
      </c>
      <c r="N122" s="9">
        <f>_xll.BQL("DAL US Equity", "OTHER_RENTALS_LANDING_FEES/1M", "FPT=A", "FPO=-4A", "ACT_EST_MAPPING=PRECISE", "FS=MRC", "CURRENCY=USD", "XLFILL=b")</f>
        <v>2176</v>
      </c>
    </row>
    <row r="123" spans="1:14" x14ac:dyDescent="0.2">
      <c r="A123" s="8" t="s">
        <v>86</v>
      </c>
      <c r="B123" s="4" t="s">
        <v>134</v>
      </c>
      <c r="C123" s="4"/>
      <c r="D123" s="4"/>
      <c r="E123" s="9">
        <f>_xll.BQL("DAL US Equity", "FA_GROWTH(OTHER_RENTALS_LANDING_FEES, YOY)", "FPT=A", "FPO=5A", "ACT_EST_MAPPING=PRECISE", "FS=MRC", "CURRENCY=USD", "XLFILL=b")</f>
        <v>4.5967918297704218</v>
      </c>
      <c r="F123" s="9">
        <f>_xll.BQL("DAL US Equity", "FA_GROWTH(OTHER_RENTALS_LANDING_FEES, YOY)", "FPT=A", "FPO=4A", "ACT_EST_MAPPING=PRECISE", "FS=MRC", "CURRENCY=USD", "XLFILL=b")</f>
        <v>1.0976220670442796</v>
      </c>
      <c r="G123" s="9">
        <f>_xll.BQL("DAL US Equity", "FA_GROWTH(OTHER_RENTALS_LANDING_FEES, YOY)", "FPT=A", "FPO=3A", "ACT_EST_MAPPING=PRECISE", "FS=MRC", "CURRENCY=USD", "XLFILL=b")</f>
        <v>2.2563764371621873</v>
      </c>
      <c r="H123" s="9">
        <f>_xll.BQL("DAL US Equity", "FA_GROWTH(OTHER_RENTALS_LANDING_FEES, YOY)", "FPT=A", "FPO=2A", "ACT_EST_MAPPING=PRECISE", "FS=MRC", "CURRENCY=USD", "XLFILL=b")</f>
        <v>2.9631891058823658</v>
      </c>
      <c r="I123" s="9">
        <f>_xll.BQL("DAL US Equity", "FA_GROWTH(OTHER_RENTALS_LANDING_FEES, YOY)", "FPT=A", "FPO=1A", "ACT_EST_MAPPING=PRECISE", "FS=MRC", "CURRENCY=USD", "XLFILL=b")</f>
        <v>15.55771658245666</v>
      </c>
      <c r="J123" s="9">
        <f>_xll.BQL("DAL US Equity", "FA_GROWTH(OTHER_RENTALS_LANDING_FEES, YOY)", "FPT=A", "FPO=0A", "ACT_EST_MAPPING=PRECISE", "FS=MRC", "CURRENCY=USD", "XLFILL=b")</f>
        <v>17.514901421366346</v>
      </c>
      <c r="K123" s="9">
        <f>_xll.BQL("DAL US Equity", "FA_GROWTH(OTHER_RENTALS_LANDING_FEES, YOY)", "FPT=A", "FPO=-1A", "ACT_EST_MAPPING=PRECISE", "FS=MRC", "CURRENCY=USD", "XLFILL=b")</f>
        <v>8.0237741456166418</v>
      </c>
      <c r="L123" s="9">
        <f>_xll.BQL("DAL US Equity", "FA_GROWTH(OTHER_RENTALS_LANDING_FEES, YOY)", "FPT=A", "FPO=-2A", "ACT_EST_MAPPING=PRECISE", "FS=MRC", "CURRENCY=USD", "XLFILL=b")</f>
        <v>10.147299509001636</v>
      </c>
      <c r="M123" s="9">
        <f>_xll.BQL("DAL US Equity", "FA_GROWTH(OTHER_RENTALS_LANDING_FEES, YOY)", "FPT=A", "FPO=-3A", "ACT_EST_MAPPING=PRECISE", "FS=MRC", "CURRENCY=USD", "XLFILL=b")</f>
        <v>-15.762867647058824</v>
      </c>
      <c r="N123" s="9">
        <f>_xll.BQL("DAL US Equity", "FA_GROWTH(OTHER_RENTALS_LANDING_FEES, YOY)", "FPT=A", "FPO=-4A", "ACT_EST_MAPPING=PRECISE", "FS=MRC", "CURRENCY=USD", "XLFILL=b")</f>
        <v>30.926594464500603</v>
      </c>
    </row>
    <row r="124" spans="1:14" x14ac:dyDescent="0.2">
      <c r="A124" s="8" t="s">
        <v>135</v>
      </c>
      <c r="B124" s="4" t="s">
        <v>136</v>
      </c>
      <c r="C124" s="4"/>
      <c r="D124" s="4"/>
      <c r="E124" s="9">
        <f>_xll.BQL("DAL US Equity", "MAINTENANCE_MATERIALS_REPAIRS/1M", "FPT=A", "FPO=5A", "ACT_EST_MAPPING=PRECISE", "FS=MRC", "CURRENCY=USD", "XLFILL=b")</f>
        <v>2894.3705802351824</v>
      </c>
      <c r="F124" s="9">
        <f>_xll.BQL("DAL US Equity", "MAINTENANCE_MATERIALS_REPAIRS/1M", "FPT=A", "FPO=4A", "ACT_EST_MAPPING=PRECISE", "FS=MRC", "CURRENCY=USD", "XLFILL=b")</f>
        <v>2863.5796893894285</v>
      </c>
      <c r="G124" s="9">
        <f>_xll.BQL("DAL US Equity", "MAINTENANCE_MATERIALS_REPAIRS/1M", "FPT=A", "FPO=3A", "ACT_EST_MAPPING=PRECISE", "FS=MRC", "CURRENCY=USD", "XLFILL=b")</f>
        <v>2747.25636961191</v>
      </c>
      <c r="H124" s="9">
        <f>_xll.BQL("DAL US Equity", "MAINTENANCE_MATERIALS_REPAIRS/1M", "FPT=A", "FPO=2A", "ACT_EST_MAPPING=PRECISE", "FS=MRC", "CURRENCY=USD", "XLFILL=b")</f>
        <v>2743.0803643839772</v>
      </c>
      <c r="I124" s="9">
        <f>_xll.BQL("DAL US Equity", "MAINTENANCE_MATERIALS_REPAIRS/1M", "FPT=A", "FPO=1A", "ACT_EST_MAPPING=PRECISE", "FS=MRC", "CURRENCY=USD", "XLFILL=b")</f>
        <v>2749.8891510681797</v>
      </c>
      <c r="J124" s="9">
        <f>_xll.BQL("DAL US Equity", "MAINTENANCE_MATERIALS_REPAIRS/1M", "FPT=A", "FPO=0A", "ACT_EST_MAPPING=PRECISE", "FS=MRC", "CURRENCY=USD", "XLFILL=b")</f>
        <v>2432</v>
      </c>
      <c r="K124" s="9">
        <f>_xll.BQL("DAL US Equity", "MAINTENANCE_MATERIALS_REPAIRS/1M", "FPT=A", "FPO=-1A", "ACT_EST_MAPPING=PRECISE", "FS=MRC", "CURRENCY=USD", "XLFILL=b")</f>
        <v>1982</v>
      </c>
      <c r="L124" s="9">
        <f>_xll.BQL("DAL US Equity", "MAINTENANCE_MATERIALS_REPAIRS/1M", "FPT=A", "FPO=-2A", "ACT_EST_MAPPING=PRECISE", "FS=MRC", "CURRENCY=USD", "XLFILL=b")</f>
        <v>1401</v>
      </c>
      <c r="M124" s="9">
        <f>_xll.BQL("DAL US Equity", "MAINTENANCE_MATERIALS_REPAIRS/1M", "FPT=A", "FPO=-3A", "ACT_EST_MAPPING=PRECISE", "FS=MRC", "CURRENCY=USD", "XLFILL=b")</f>
        <v>822</v>
      </c>
      <c r="N124" s="9">
        <f>_xll.BQL("DAL US Equity", "MAINTENANCE_MATERIALS_REPAIRS/1M", "FPT=A", "FPO=-4A", "ACT_EST_MAPPING=PRECISE", "FS=MRC", "CURRENCY=USD", "XLFILL=b")</f>
        <v>1751</v>
      </c>
    </row>
    <row r="125" spans="1:14" x14ac:dyDescent="0.2">
      <c r="A125" s="8" t="s">
        <v>86</v>
      </c>
      <c r="B125" s="4" t="s">
        <v>136</v>
      </c>
      <c r="C125" s="4"/>
      <c r="D125" s="4"/>
      <c r="E125" s="9">
        <f>_xll.BQL("DAL US Equity", "FA_GROWTH(MAINTENANCE_MATERIALS_REPAIRS, YOY)", "FPT=A", "FPO=5A", "ACT_EST_MAPPING=PRECISE", "FS=MRC", "CURRENCY=USD", "XLFILL=b")</f>
        <v>1.0752587385587615</v>
      </c>
      <c r="F125" s="9">
        <f>_xll.BQL("DAL US Equity", "FA_GROWTH(MAINTENANCE_MATERIALS_REPAIRS, YOY)", "FPT=A", "FPO=4A", "ACT_EST_MAPPING=PRECISE", "FS=MRC", "CURRENCY=USD", "XLFILL=b")</f>
        <v>4.2341632569934173</v>
      </c>
      <c r="G125" s="9">
        <f>_xll.BQL("DAL US Equity", "FA_GROWTH(MAINTENANCE_MATERIALS_REPAIRS, YOY)", "FPT=A", "FPO=3A", "ACT_EST_MAPPING=PRECISE", "FS=MRC", "CURRENCY=USD", "XLFILL=b")</f>
        <v>0.15223780105583135</v>
      </c>
      <c r="H125" s="9">
        <f>_xll.BQL("DAL US Equity", "FA_GROWTH(MAINTENANCE_MATERIALS_REPAIRS, YOY)", "FPT=A", "FPO=2A", "ACT_EST_MAPPING=PRECISE", "FS=MRC", "CURRENCY=USD", "XLFILL=b")</f>
        <v>-0.24760222358626194</v>
      </c>
      <c r="I125" s="9">
        <f>_xll.BQL("DAL US Equity", "FA_GROWTH(MAINTENANCE_MATERIALS_REPAIRS, YOY)", "FPT=A", "FPO=1A", "ACT_EST_MAPPING=PRECISE", "FS=MRC", "CURRENCY=USD", "XLFILL=b")</f>
        <v>13.071099961685018</v>
      </c>
      <c r="J125" s="9">
        <f>_xll.BQL("DAL US Equity", "FA_GROWTH(MAINTENANCE_MATERIALS_REPAIRS, YOY)", "FPT=A", "FPO=0A", "ACT_EST_MAPPING=PRECISE", "FS=MRC", "CURRENCY=USD", "XLFILL=b")</f>
        <v>22.704339051463169</v>
      </c>
      <c r="K125" s="9">
        <f>_xll.BQL("DAL US Equity", "FA_GROWTH(MAINTENANCE_MATERIALS_REPAIRS, YOY)", "FPT=A", "FPO=-1A", "ACT_EST_MAPPING=PRECISE", "FS=MRC", "CURRENCY=USD", "XLFILL=b")</f>
        <v>41.470378301213422</v>
      </c>
      <c r="L125" s="9">
        <f>_xll.BQL("DAL US Equity", "FA_GROWTH(MAINTENANCE_MATERIALS_REPAIRS, YOY)", "FPT=A", "FPO=-2A", "ACT_EST_MAPPING=PRECISE", "FS=MRC", "CURRENCY=USD", "XLFILL=b")</f>
        <v>70.43795620437956</v>
      </c>
      <c r="M125" s="9">
        <f>_xll.BQL("DAL US Equity", "FA_GROWTH(MAINTENANCE_MATERIALS_REPAIRS, YOY)", "FPT=A", "FPO=-3A", "ACT_EST_MAPPING=PRECISE", "FS=MRC", "CURRENCY=USD", "XLFILL=b")</f>
        <v>-53.055396916047975</v>
      </c>
      <c r="N125" s="9">
        <f>_xll.BQL("DAL US Equity", "FA_GROWTH(MAINTENANCE_MATERIALS_REPAIRS, YOY)", "FPT=A", "FPO=-4A", "ACT_EST_MAPPING=PRECISE", "FS=MRC", "CURRENCY=USD", "XLFILL=b")</f>
        <v>11.174603174603174</v>
      </c>
    </row>
    <row r="126" spans="1:14" x14ac:dyDescent="0.2">
      <c r="A126" s="8" t="s">
        <v>137</v>
      </c>
      <c r="B126" s="4" t="s">
        <v>138</v>
      </c>
      <c r="C126" s="4"/>
      <c r="D126" s="4"/>
      <c r="E126" s="9">
        <f>_xll.BQL("DAL US Equity", "COMMISSIONS_TO_AGENTS/1M", "FPT=A", "FPO=5A", "ACT_EST_MAPPING=PRECISE", "FS=MRC", "CURRENCY=USD", "XLFILL=b")</f>
        <v>2758.1054891512795</v>
      </c>
      <c r="F126" s="9">
        <f>_xll.BQL("DAL US Equity", "COMMISSIONS_TO_AGENTS/1M", "FPT=A", "FPO=4A", "ACT_EST_MAPPING=PRECISE", "FS=MRC", "CURRENCY=USD", "XLFILL=b")</f>
        <v>2631.9469142446765</v>
      </c>
      <c r="G126" s="9">
        <f>_xll.BQL("DAL US Equity", "COMMISSIONS_TO_AGENTS/1M", "FPT=A", "FPO=3A", "ACT_EST_MAPPING=PRECISE", "FS=MRC", "CURRENCY=USD", "XLFILL=b")</f>
        <v>2523.5605513708238</v>
      </c>
      <c r="H126" s="9">
        <f>_xll.BQL("DAL US Equity", "COMMISSIONS_TO_AGENTS/1M", "FPT=A", "FPO=2A", "ACT_EST_MAPPING=PRECISE", "FS=MRC", "CURRENCY=USD", "XLFILL=b")</f>
        <v>2462.3017187864657</v>
      </c>
      <c r="I126" s="9">
        <f>_xll.BQL("DAL US Equity", "COMMISSIONS_TO_AGENTS/1M", "FPT=A", "FPO=1A", "ACT_EST_MAPPING=PRECISE", "FS=MRC", "CURRENCY=USD", "XLFILL=b")</f>
        <v>2446.3482628691686</v>
      </c>
      <c r="J126" s="9">
        <f>_xll.BQL("DAL US Equity", "COMMISSIONS_TO_AGENTS/1M", "FPT=A", "FPO=0A", "ACT_EST_MAPPING=PRECISE", "FS=MRC", "CURRENCY=USD", "XLFILL=b")</f>
        <v>2334</v>
      </c>
      <c r="K126" s="9">
        <f>_xll.BQL("DAL US Equity", "COMMISSIONS_TO_AGENTS/1M", "FPT=A", "FPO=-1A", "ACT_EST_MAPPING=PRECISE", "FS=MRC", "CURRENCY=USD", "XLFILL=b")</f>
        <v>1891</v>
      </c>
      <c r="L126" s="9">
        <f>_xll.BQL("DAL US Equity", "COMMISSIONS_TO_AGENTS/1M", "FPT=A", "FPO=-2A", "ACT_EST_MAPPING=PRECISE", "FS=MRC", "CURRENCY=USD", "XLFILL=b")</f>
        <v>953</v>
      </c>
      <c r="M126" s="9">
        <f>_xll.BQL("DAL US Equity", "COMMISSIONS_TO_AGENTS/1M", "FPT=A", "FPO=-3A", "ACT_EST_MAPPING=PRECISE", "FS=MRC", "CURRENCY=USD", "XLFILL=b")</f>
        <v>643</v>
      </c>
      <c r="N126" s="9">
        <f>_xll.BQL("DAL US Equity", "COMMISSIONS_TO_AGENTS/1M", "FPT=A", "FPO=-4A", "ACT_EST_MAPPING=PRECISE", "FS=MRC", "CURRENCY=USD", "XLFILL=b")</f>
        <v>2210</v>
      </c>
    </row>
    <row r="127" spans="1:14" x14ac:dyDescent="0.2">
      <c r="A127" s="8" t="s">
        <v>86</v>
      </c>
      <c r="B127" s="4" t="s">
        <v>138</v>
      </c>
      <c r="C127" s="4"/>
      <c r="D127" s="4"/>
      <c r="E127" s="9">
        <f>_xll.BQL("DAL US Equity", "FA_GROWTH(COMMISSIONS_TO_AGENTS, YOY)", "FPT=A", "FPO=5A", "ACT_EST_MAPPING=PRECISE", "FS=MRC", "CURRENCY=USD", "XLFILL=b")</f>
        <v>4.7933556039373304</v>
      </c>
      <c r="F127" s="9">
        <f>_xll.BQL("DAL US Equity", "FA_GROWTH(COMMISSIONS_TO_AGENTS, YOY)", "FPT=A", "FPO=4A", "ACT_EST_MAPPING=PRECISE", "FS=MRC", "CURRENCY=USD", "XLFILL=b")</f>
        <v>4.2949776978791396</v>
      </c>
      <c r="G127" s="9">
        <f>_xll.BQL("DAL US Equity", "FA_GROWTH(COMMISSIONS_TO_AGENTS, YOY)", "FPT=A", "FPO=3A", "ACT_EST_MAPPING=PRECISE", "FS=MRC", "CURRENCY=USD", "XLFILL=b")</f>
        <v>2.4878686522035713</v>
      </c>
      <c r="H127" s="9">
        <f>_xll.BQL("DAL US Equity", "FA_GROWTH(COMMISSIONS_TO_AGENTS, YOY)", "FPT=A", "FPO=2A", "ACT_EST_MAPPING=PRECISE", "FS=MRC", "CURRENCY=USD", "XLFILL=b")</f>
        <v>0.65213347418433698</v>
      </c>
      <c r="I127" s="9">
        <f>_xll.BQL("DAL US Equity", "FA_GROWTH(COMMISSIONS_TO_AGENTS, YOY)", "FPT=A", "FPO=1A", "ACT_EST_MAPPING=PRECISE", "FS=MRC", "CURRENCY=USD", "XLFILL=b")</f>
        <v>4.8135502514639574</v>
      </c>
      <c r="J127" s="9">
        <f>_xll.BQL("DAL US Equity", "FA_GROWTH(COMMISSIONS_TO_AGENTS, YOY)", "FPT=A", "FPO=0A", "ACT_EST_MAPPING=PRECISE", "FS=MRC", "CURRENCY=USD", "XLFILL=b")</f>
        <v>23.426758328926493</v>
      </c>
      <c r="K127" s="9">
        <f>_xll.BQL("DAL US Equity", "FA_GROWTH(COMMISSIONS_TO_AGENTS, YOY)", "FPT=A", "FPO=-1A", "ACT_EST_MAPPING=PRECISE", "FS=MRC", "CURRENCY=USD", "XLFILL=b")</f>
        <v>98.426023084994753</v>
      </c>
      <c r="L127" s="9">
        <f>_xll.BQL("DAL US Equity", "FA_GROWTH(COMMISSIONS_TO_AGENTS, YOY)", "FPT=A", "FPO=-2A", "ACT_EST_MAPPING=PRECISE", "FS=MRC", "CURRENCY=USD", "XLFILL=b")</f>
        <v>48.211508553654745</v>
      </c>
      <c r="M127" s="9">
        <f>_xll.BQL("DAL US Equity", "FA_GROWTH(COMMISSIONS_TO_AGENTS, YOY)", "FPT=A", "FPO=-3A", "ACT_EST_MAPPING=PRECISE", "FS=MRC", "CURRENCY=USD", "XLFILL=b")</f>
        <v>-70.904977375565608</v>
      </c>
      <c r="N127" s="9">
        <f>_xll.BQL("DAL US Equity", "FA_GROWTH(COMMISSIONS_TO_AGENTS, YOY)", "FPT=A", "FPO=-4A", "ACT_EST_MAPPING=PRECISE", "FS=MRC", "CURRENCY=USD", "XLFILL=b")</f>
        <v>13.858835651725915</v>
      </c>
    </row>
    <row r="128" spans="1:14" x14ac:dyDescent="0.2">
      <c r="A128" s="8" t="s">
        <v>139</v>
      </c>
      <c r="B128" s="4" t="s">
        <v>140</v>
      </c>
      <c r="C128" s="4" t="s">
        <v>141</v>
      </c>
      <c r="D128" s="4"/>
      <c r="E128" s="9">
        <f>_xll.BQL("DAL US Equity", "IS_D_AND_A_GAAP/1M", "FPT=A", "FPO=5A", "ACT_EST_MAPPING=PRECISE", "FS=MRC", "CURRENCY=USD", "XLFILL=b")</f>
        <v>3197.306</v>
      </c>
      <c r="F128" s="9">
        <f>_xll.BQL("DAL US Equity", "IS_D_AND_A_GAAP/1M", "FPT=A", "FPO=4A", "ACT_EST_MAPPING=PRECISE", "FS=MRC", "CURRENCY=USD", "XLFILL=b")</f>
        <v>3034.1550000000002</v>
      </c>
      <c r="G128" s="9">
        <f>_xll.BQL("DAL US Equity", "IS_D_AND_A_GAAP/1M", "FPT=A", "FPO=3A", "ACT_EST_MAPPING=PRECISE", "FS=MRC", "CURRENCY=USD", "XLFILL=b")</f>
        <v>2700.2883073668299</v>
      </c>
      <c r="H128" s="9">
        <f>_xll.BQL("DAL US Equity", "IS_D_AND_A_GAAP/1M", "FPT=A", "FPO=2A", "ACT_EST_MAPPING=PRECISE", "FS=MRC", "CURRENCY=USD", "XLFILL=b")</f>
        <v>2563.9232455104143</v>
      </c>
      <c r="I128" s="9">
        <f>_xll.BQL("DAL US Equity", "IS_D_AND_A_GAAP/1M", "FPT=A", "FPO=1A", "ACT_EST_MAPPING=PRECISE", "FS=MRC", "CURRENCY=USD", "XLFILL=b")</f>
        <v>2455.203702033421</v>
      </c>
      <c r="J128" s="9">
        <f>_xll.BQL("DAL US Equity", "IS_D_AND_A_GAAP/1M", "FPT=A", "FPO=0A", "ACT_EST_MAPPING=PRECISE", "FS=MRC", "CURRENCY=USD", "XLFILL=b")</f>
        <v>2341</v>
      </c>
      <c r="K128" s="9">
        <f>_xll.BQL("DAL US Equity", "IS_D_AND_A_GAAP/1M", "FPT=A", "FPO=-1A", "ACT_EST_MAPPING=PRECISE", "FS=MRC", "CURRENCY=USD", "XLFILL=b")</f>
        <v>2107</v>
      </c>
      <c r="L128" s="9">
        <f>_xll.BQL("DAL US Equity", "IS_D_AND_A_GAAP/1M", "FPT=A", "FPO=-2A", "ACT_EST_MAPPING=PRECISE", "FS=MRC", "CURRENCY=USD", "XLFILL=b")</f>
        <v>1998</v>
      </c>
      <c r="M128" s="9">
        <f>_xll.BQL("DAL US Equity", "IS_D_AND_A_GAAP/1M", "FPT=A", "FPO=-3A", "ACT_EST_MAPPING=PRECISE", "FS=MRC", "CURRENCY=USD", "XLFILL=b")</f>
        <v>2312</v>
      </c>
      <c r="N128" s="9">
        <f>_xll.BQL("DAL US Equity", "IS_D_AND_A_GAAP/1M", "FPT=A", "FPO=-4A", "ACT_EST_MAPPING=PRECISE", "FS=MRC", "CURRENCY=USD", "XLFILL=b")</f>
        <v>2581</v>
      </c>
    </row>
    <row r="129" spans="1:14" x14ac:dyDescent="0.2">
      <c r="A129" s="8" t="s">
        <v>86</v>
      </c>
      <c r="B129" s="4" t="s">
        <v>140</v>
      </c>
      <c r="C129" s="4" t="s">
        <v>141</v>
      </c>
      <c r="D129" s="4"/>
      <c r="E129" s="9">
        <f>_xll.BQL("DAL US Equity", "FA_GROWTH(IS_D_AND_A_GAAP, YOY)", "FPT=A", "FPO=5A", "ACT_EST_MAPPING=PRECISE", "FS=MRC", "CURRENCY=USD", "XLFILL=b")</f>
        <v>5.3771478385250591</v>
      </c>
      <c r="F129" s="9">
        <f>_xll.BQL("DAL US Equity", "FA_GROWTH(IS_D_AND_A_GAAP, YOY)", "FPT=A", "FPO=4A", "ACT_EST_MAPPING=PRECISE", "FS=MRC", "CURRENCY=USD", "XLFILL=b")</f>
        <v>12.36411281426235</v>
      </c>
      <c r="G129" s="9">
        <f>_xll.BQL("DAL US Equity", "FA_GROWTH(IS_D_AND_A_GAAP, YOY)", "FPT=A", "FPO=3A", "ACT_EST_MAPPING=PRECISE", "FS=MRC", "CURRENCY=USD", "XLFILL=b")</f>
        <v>5.3186093653622155</v>
      </c>
      <c r="H129" s="9">
        <f>_xll.BQL("DAL US Equity", "FA_GROWTH(IS_D_AND_A_GAAP, YOY)", "FPT=A", "FPO=2A", "ACT_EST_MAPPING=PRECISE", "FS=MRC", "CURRENCY=USD", "XLFILL=b")</f>
        <v>4.4281272216619181</v>
      </c>
      <c r="I129" s="9">
        <f>_xll.BQL("DAL US Equity", "FA_GROWTH(IS_D_AND_A_GAAP, YOY)", "FPT=A", "FPO=1A", "ACT_EST_MAPPING=PRECISE", "FS=MRC", "CURRENCY=USD", "XLFILL=b")</f>
        <v>4.8784152940376355</v>
      </c>
      <c r="J129" s="9">
        <f>_xll.BQL("DAL US Equity", "FA_GROWTH(IS_D_AND_A_GAAP, YOY)", "FPT=A", "FPO=0A", "ACT_EST_MAPPING=PRECISE", "FS=MRC", "CURRENCY=USD", "XLFILL=b")</f>
        <v>11.105837683910774</v>
      </c>
      <c r="K129" s="9">
        <f>_xll.BQL("DAL US Equity", "FA_GROWTH(IS_D_AND_A_GAAP, YOY)", "FPT=A", "FPO=-1A", "ACT_EST_MAPPING=PRECISE", "FS=MRC", "CURRENCY=USD", "XLFILL=b")</f>
        <v>5.4554554554554553</v>
      </c>
      <c r="L129" s="9">
        <f>_xll.BQL("DAL US Equity", "FA_GROWTH(IS_D_AND_A_GAAP, YOY)", "FPT=A", "FPO=-2A", "ACT_EST_MAPPING=PRECISE", "FS=MRC", "CURRENCY=USD", "XLFILL=b")</f>
        <v>-13.581314878892734</v>
      </c>
      <c r="M129" s="9">
        <f>_xll.BQL("DAL US Equity", "FA_GROWTH(IS_D_AND_A_GAAP, YOY)", "FPT=A", "FPO=-3A", "ACT_EST_MAPPING=PRECISE", "FS=MRC", "CURRENCY=USD", "XLFILL=b")</f>
        <v>-10.42231693142193</v>
      </c>
      <c r="N129" s="9">
        <f>_xll.BQL("DAL US Equity", "FA_GROWTH(IS_D_AND_A_GAAP, YOY)", "FPT=A", "FPO=-4A", "ACT_EST_MAPPING=PRECISE", "FS=MRC", "CURRENCY=USD", "XLFILL=b")</f>
        <v>10.820094461142121</v>
      </c>
    </row>
    <row r="130" spans="1:14" x14ac:dyDescent="0.2">
      <c r="A130" s="8" t="s">
        <v>142</v>
      </c>
      <c r="B130" s="4" t="s">
        <v>143</v>
      </c>
      <c r="C130" s="4" t="s">
        <v>144</v>
      </c>
      <c r="D130" s="4"/>
      <c r="E130" s="9">
        <f>_xll.BQL("DAL US Equity", "IS_REGIONAL_CAPACITY_PURCH_EXPN/1M", "FPT=A", "FPO=5A", "ACT_EST_MAPPING=PRECISE", "FS=MRC", "CURRENCY=USD", "XLFILL=b")</f>
        <v>2635.2145716436953</v>
      </c>
      <c r="F130" s="9">
        <f>_xll.BQL("DAL US Equity", "IS_REGIONAL_CAPACITY_PURCH_EXPN/1M", "FPT=A", "FPO=4A", "ACT_EST_MAPPING=PRECISE", "FS=MRC", "CURRENCY=USD", "XLFILL=b")</f>
        <v>2531.9136646856655</v>
      </c>
      <c r="G130" s="9">
        <f>_xll.BQL("DAL US Equity", "IS_REGIONAL_CAPACITY_PURCH_EXPN/1M", "FPT=A", "FPO=3A", "ACT_EST_MAPPING=PRECISE", "FS=MRC", "CURRENCY=USD", "XLFILL=b")</f>
        <v>2409.2307623205929</v>
      </c>
      <c r="H130" s="9">
        <f>_xll.BQL("DAL US Equity", "IS_REGIONAL_CAPACITY_PURCH_EXPN/1M", "FPT=A", "FPO=2A", "ACT_EST_MAPPING=PRECISE", "FS=MRC", "CURRENCY=USD", "XLFILL=b")</f>
        <v>2354.0640380761783</v>
      </c>
      <c r="I130" s="9">
        <f>_xll.BQL("DAL US Equity", "IS_REGIONAL_CAPACITY_PURCH_EXPN/1M", "FPT=A", "FPO=1A", "ACT_EST_MAPPING=PRECISE", "FS=MRC", "CURRENCY=USD", "XLFILL=b")</f>
        <v>2263.7746388525002</v>
      </c>
      <c r="J130" s="9">
        <f>_xll.BQL("DAL US Equity", "IS_REGIONAL_CAPACITY_PURCH_EXPN/1M", "FPT=A", "FPO=0A", "ACT_EST_MAPPING=PRECISE", "FS=MRC", "CURRENCY=USD", "XLFILL=b")</f>
        <v>2200</v>
      </c>
      <c r="K130" s="9">
        <f>_xll.BQL("DAL US Equity", "IS_REGIONAL_CAPACITY_PURCH_EXPN/1M", "FPT=A", "FPO=-1A", "ACT_EST_MAPPING=PRECISE", "FS=MRC", "CURRENCY=USD", "XLFILL=b")</f>
        <v>2051</v>
      </c>
      <c r="L130" s="9">
        <f>_xll.BQL("DAL US Equity", "IS_REGIONAL_CAPACITY_PURCH_EXPN/1M", "FPT=A", "FPO=-2A", "ACT_EST_MAPPING=PRECISE", "FS=MRC", "CURRENCY=USD", "XLFILL=b")</f>
        <v>1736</v>
      </c>
      <c r="M130" s="9">
        <f>_xll.BQL("DAL US Equity", "IS_REGIONAL_CAPACITY_PURCH_EXPN/1M", "FPT=A", "FPO=-3A", "ACT_EST_MAPPING=PRECISE", "FS=MRC", "CURRENCY=USD", "XLFILL=b")</f>
        <v>1584</v>
      </c>
      <c r="N130" s="9">
        <f>_xll.BQL("DAL US Equity", "IS_REGIONAL_CAPACITY_PURCH_EXPN/1M", "FPT=A", "FPO=-4A", "ACT_EST_MAPPING=PRECISE", "FS=MRC", "CURRENCY=USD", "XLFILL=b")</f>
        <v>2158</v>
      </c>
    </row>
    <row r="131" spans="1:14" x14ac:dyDescent="0.2">
      <c r="A131" s="8" t="s">
        <v>86</v>
      </c>
      <c r="B131" s="4" t="s">
        <v>143</v>
      </c>
      <c r="C131" s="4" t="s">
        <v>144</v>
      </c>
      <c r="D131" s="4"/>
      <c r="E131" s="9">
        <f>_xll.BQL("DAL US Equity", "FA_GROWTH(IS_REGIONAL_CAPACITY_PURCH_EXPN, YOY)", "FPT=A", "FPO=5A", "ACT_EST_MAPPING=PRECISE", "FS=MRC", "CURRENCY=USD", "XLFILL=b")</f>
        <v>4.0799537677306406</v>
      </c>
      <c r="F131" s="9">
        <f>_xll.BQL("DAL US Equity", "FA_GROWTH(IS_REGIONAL_CAPACITY_PURCH_EXPN, YOY)", "FPT=A", "FPO=4A", "ACT_EST_MAPPING=PRECISE", "FS=MRC", "CURRENCY=USD", "XLFILL=b")</f>
        <v>5.0922022200523225</v>
      </c>
      <c r="G131" s="9">
        <f>_xll.BQL("DAL US Equity", "FA_GROWTH(IS_REGIONAL_CAPACITY_PURCH_EXPN, YOY)", "FPT=A", "FPO=3A", "ACT_EST_MAPPING=PRECISE", "FS=MRC", "CURRENCY=USD", "XLFILL=b")</f>
        <v>2.3434674398024642</v>
      </c>
      <c r="H131" s="9">
        <f>_xll.BQL("DAL US Equity", "FA_GROWTH(IS_REGIONAL_CAPACITY_PURCH_EXPN, YOY)", "FPT=A", "FPO=2A", "ACT_EST_MAPPING=PRECISE", "FS=MRC", "CURRENCY=USD", "XLFILL=b")</f>
        <v>3.9884446832325144</v>
      </c>
      <c r="I131" s="9">
        <f>_xll.BQL("DAL US Equity", "FA_GROWTH(IS_REGIONAL_CAPACITY_PURCH_EXPN, YOY)", "FPT=A", "FPO=1A", "ACT_EST_MAPPING=PRECISE", "FS=MRC", "CURRENCY=USD", "XLFILL=b")</f>
        <v>2.8988472205681801</v>
      </c>
      <c r="J131" s="9">
        <f>_xll.BQL("DAL US Equity", "FA_GROWTH(IS_REGIONAL_CAPACITY_PURCH_EXPN, YOY)", "FPT=A", "FPO=0A", "ACT_EST_MAPPING=PRECISE", "FS=MRC", "CURRENCY=USD", "XLFILL=b")</f>
        <v>7.2647489029741585</v>
      </c>
      <c r="K131" s="9">
        <f>_xll.BQL("DAL US Equity", "FA_GROWTH(IS_REGIONAL_CAPACITY_PURCH_EXPN, YOY)", "FPT=A", "FPO=-1A", "ACT_EST_MAPPING=PRECISE", "FS=MRC", "CURRENCY=USD", "XLFILL=b")</f>
        <v>18.14516129032258</v>
      </c>
      <c r="L131" s="9">
        <f>_xll.BQL("DAL US Equity", "FA_GROWTH(IS_REGIONAL_CAPACITY_PURCH_EXPN, YOY)", "FPT=A", "FPO=-2A", "ACT_EST_MAPPING=PRECISE", "FS=MRC", "CURRENCY=USD", "XLFILL=b")</f>
        <v>9.5959595959595951</v>
      </c>
      <c r="M131" s="9">
        <f>_xll.BQL("DAL US Equity", "FA_GROWTH(IS_REGIONAL_CAPACITY_PURCH_EXPN, YOY)", "FPT=A", "FPO=-3A", "ACT_EST_MAPPING=PRECISE", "FS=MRC", "CURRENCY=USD", "XLFILL=b")</f>
        <v>-26.598702502316961</v>
      </c>
      <c r="N131" s="9">
        <f>_xll.BQL("DAL US Equity", "FA_GROWTH(IS_REGIONAL_CAPACITY_PURCH_EXPN, YOY)", "FPT=A", "FPO=-4A", "ACT_EST_MAPPING=PRECISE", "FS=MRC", "CURRENCY=USD", "XLFILL=b")</f>
        <v>-37.230948225712623</v>
      </c>
    </row>
    <row r="132" spans="1:14" x14ac:dyDescent="0.2">
      <c r="A132" s="8" t="s">
        <v>145</v>
      </c>
      <c r="B132" s="4" t="s">
        <v>146</v>
      </c>
      <c r="C132" s="4" t="s">
        <v>147</v>
      </c>
      <c r="D132" s="4"/>
      <c r="E132" s="9">
        <f>_xll.BQL("DAL US Equity", "CB_IS_PASSENGER_SERVICE_COST/1M", "FPT=A", "FPO=5A", "ACT_EST_MAPPING=PRECISE", "FS=MRC", "CURRENCY=USD", "XLFILL=b")</f>
        <v>2078.8295756395505</v>
      </c>
      <c r="F132" s="9">
        <f>_xll.BQL("DAL US Equity", "CB_IS_PASSENGER_SERVICE_COST/1M", "FPT=A", "FPO=4A", "ACT_EST_MAPPING=PRECISE", "FS=MRC", "CURRENCY=USD", "XLFILL=b")</f>
        <v>1979.8548450990795</v>
      </c>
      <c r="G132" s="9">
        <f>_xll.BQL("DAL US Equity", "CB_IS_PASSENGER_SERVICE_COST/1M", "FPT=A", "FPO=3A", "ACT_EST_MAPPING=PRECISE", "FS=MRC", "CURRENCY=USD", "XLFILL=b")</f>
        <v>1947.7760140730174</v>
      </c>
      <c r="H132" s="9">
        <f>_xll.BQL("DAL US Equity", "CB_IS_PASSENGER_SERVICE_COST/1M", "FPT=A", "FPO=2A", "ACT_EST_MAPPING=PRECISE", "FS=MRC", "CURRENCY=USD", "XLFILL=b")</f>
        <v>1879.1841782486508</v>
      </c>
      <c r="I132" s="9">
        <f>_xll.BQL("DAL US Equity", "CB_IS_PASSENGER_SERVICE_COST/1M", "FPT=A", "FPO=1A", "ACT_EST_MAPPING=PRECISE", "FS=MRC", "CURRENCY=USD", "XLFILL=b")</f>
        <v>1803.0792176297202</v>
      </c>
      <c r="J132" s="9">
        <f>_xll.BQL("DAL US Equity", "CB_IS_PASSENGER_SERVICE_COST/1M", "FPT=A", "FPO=0A", "ACT_EST_MAPPING=PRECISE", "FS=MRC", "CURRENCY=USD", "XLFILL=b")</f>
        <v>1750</v>
      </c>
      <c r="K132" s="9">
        <f>_xll.BQL("DAL US Equity", "CB_IS_PASSENGER_SERVICE_COST/1M", "FPT=A", "FPO=-1A", "ACT_EST_MAPPING=PRECISE", "FS=MRC", "CURRENCY=USD", "XLFILL=b")</f>
        <v>1453</v>
      </c>
      <c r="L132" s="9">
        <f>_xll.BQL("DAL US Equity", "CB_IS_PASSENGER_SERVICE_COST/1M", "FPT=A", "FPO=-2A", "ACT_EST_MAPPING=PRECISE", "FS=MRC", "CURRENCY=USD", "XLFILL=b")</f>
        <v>756</v>
      </c>
      <c r="M132" s="9">
        <f>_xll.BQL("DAL US Equity", "CB_IS_PASSENGER_SERVICE_COST/1M", "FPT=A", "FPO=-3A", "ACT_EST_MAPPING=PRECISE", "FS=MRC", "CURRENCY=USD", "XLFILL=b")</f>
        <v>551</v>
      </c>
      <c r="N132" s="9">
        <f>_xll.BQL("DAL US Equity", "CB_IS_PASSENGER_SERVICE_COST/1M", "FPT=A", "FPO=-4A", "ACT_EST_MAPPING=PRECISE", "FS=MRC", "CURRENCY=USD", "XLFILL=b")</f>
        <v>1312</v>
      </c>
    </row>
    <row r="133" spans="1:14" x14ac:dyDescent="0.2">
      <c r="A133" s="8" t="s">
        <v>86</v>
      </c>
      <c r="B133" s="4" t="s">
        <v>146</v>
      </c>
      <c r="C133" s="4" t="s">
        <v>147</v>
      </c>
      <c r="D133" s="4"/>
      <c r="E133" s="9">
        <f>_xll.BQL("DAL US Equity", "FA_GROWTH(CB_IS_PASSENGER_SERVICE_COST, YOY)", "FPT=A", "FPO=5A", "ACT_EST_MAPPING=PRECISE", "FS=MRC", "CURRENCY=USD", "XLFILL=b")</f>
        <v>4.9990902507561241</v>
      </c>
      <c r="F133" s="9">
        <f>_xll.BQL("DAL US Equity", "FA_GROWTH(CB_IS_PASSENGER_SERVICE_COST, YOY)", "FPT=A", "FPO=4A", "ACT_EST_MAPPING=PRECISE", "FS=MRC", "CURRENCY=USD", "XLFILL=b")</f>
        <v>1.6469466095838108</v>
      </c>
      <c r="G133" s="9">
        <f>_xll.BQL("DAL US Equity", "FA_GROWTH(CB_IS_PASSENGER_SERVICE_COST, YOY)", "FPT=A", "FPO=3A", "ACT_EST_MAPPING=PRECISE", "FS=MRC", "CURRENCY=USD", "XLFILL=b")</f>
        <v>3.6500858520580097</v>
      </c>
      <c r="H133" s="9">
        <f>_xll.BQL("DAL US Equity", "FA_GROWTH(CB_IS_PASSENGER_SERVICE_COST, YOY)", "FPT=A", "FPO=2A", "ACT_EST_MAPPING=PRECISE", "FS=MRC", "CURRENCY=USD", "XLFILL=b")</f>
        <v>4.2208328882508068</v>
      </c>
      <c r="I133" s="9">
        <f>_xll.BQL("DAL US Equity", "FA_GROWTH(CB_IS_PASSENGER_SERVICE_COST, YOY)", "FPT=A", "FPO=1A", "ACT_EST_MAPPING=PRECISE", "FS=MRC", "CURRENCY=USD", "XLFILL=b")</f>
        <v>3.0330981502697263</v>
      </c>
      <c r="J133" s="9">
        <f>_xll.BQL("DAL US Equity", "FA_GROWTH(CB_IS_PASSENGER_SERVICE_COST, YOY)", "FPT=A", "FPO=0A", "ACT_EST_MAPPING=PRECISE", "FS=MRC", "CURRENCY=USD", "XLFILL=b")</f>
        <v>20.440467997247076</v>
      </c>
      <c r="K133" s="9">
        <f>_xll.BQL("DAL US Equity", "FA_GROWTH(CB_IS_PASSENGER_SERVICE_COST, YOY)", "FPT=A", "FPO=-1A", "ACT_EST_MAPPING=PRECISE", "FS=MRC", "CURRENCY=USD", "XLFILL=b")</f>
        <v>92.195767195767189</v>
      </c>
      <c r="L133" s="9">
        <f>_xll.BQL("DAL US Equity", "FA_GROWTH(CB_IS_PASSENGER_SERVICE_COST, YOY)", "FPT=A", "FPO=-2A", "ACT_EST_MAPPING=PRECISE", "FS=MRC", "CURRENCY=USD", "XLFILL=b")</f>
        <v>37.205081669691467</v>
      </c>
      <c r="M133" s="9">
        <f>_xll.BQL("DAL US Equity", "FA_GROWTH(CB_IS_PASSENGER_SERVICE_COST, YOY)", "FPT=A", "FPO=-3A", "ACT_EST_MAPPING=PRECISE", "FS=MRC", "CURRENCY=USD", "XLFILL=b")</f>
        <v>-58.003048780487802</v>
      </c>
      <c r="N133" s="9">
        <f>_xll.BQL("DAL US Equity", "FA_GROWTH(CB_IS_PASSENGER_SERVICE_COST, YOY)", "FPT=A", "FPO=-4A", "ACT_EST_MAPPING=PRECISE", "FS=MRC", "CURRENCY=USD", "XLFILL=b")</f>
        <v>11.375212224108658</v>
      </c>
    </row>
    <row r="134" spans="1:14" x14ac:dyDescent="0.2">
      <c r="A134" s="8" t="s">
        <v>148</v>
      </c>
      <c r="B134" s="4" t="s">
        <v>149</v>
      </c>
      <c r="C134" s="4" t="s">
        <v>150</v>
      </c>
      <c r="D134" s="4"/>
      <c r="E134" s="9">
        <f>_xll.BQL("DAL US Equity", "CB_PROFIT_SHARING_COST/1M", "FPT=A", "FPO=5A", "ACT_EST_MAPPING=PRECISE", "FS=MRC", "CURRENCY=USD", "XLFILL=b")</f>
        <v>1696.6367690963066</v>
      </c>
      <c r="F134" s="9">
        <f>_xll.BQL("DAL US Equity", "CB_PROFIT_SHARING_COST/1M", "FPT=A", "FPO=4A", "ACT_EST_MAPPING=PRECISE", "FS=MRC", "CURRENCY=USD", "XLFILL=b")</f>
        <v>1671.6561987354455</v>
      </c>
      <c r="G134" s="9">
        <f>_xll.BQL("DAL US Equity", "CB_PROFIT_SHARING_COST/1M", "FPT=A", "FPO=3A", "ACT_EST_MAPPING=PRECISE", "FS=MRC", "CURRENCY=USD", "XLFILL=b")</f>
        <v>1553.9857882166148</v>
      </c>
      <c r="H134" s="9">
        <f>_xll.BQL("DAL US Equity", "CB_PROFIT_SHARING_COST/1M", "FPT=A", "FPO=2A", "ACT_EST_MAPPING=PRECISE", "FS=MRC", "CURRENCY=USD", "XLFILL=b")</f>
        <v>1470.4656627239108</v>
      </c>
      <c r="I134" s="9">
        <f>_xll.BQL("DAL US Equity", "CB_PROFIT_SHARING_COST/1M", "FPT=A", "FPO=1A", "ACT_EST_MAPPING=PRECISE", "FS=MRC", "CURRENCY=USD", "XLFILL=b")</f>
        <v>1308.9933215808162</v>
      </c>
      <c r="J134" s="9">
        <f>_xll.BQL("DAL US Equity", "CB_PROFIT_SHARING_COST/1M", "FPT=A", "FPO=0A", "ACT_EST_MAPPING=PRECISE", "FS=MRC", "CURRENCY=USD", "XLFILL=b")</f>
        <v>1383</v>
      </c>
      <c r="K134" s="9">
        <f>_xll.BQL("DAL US Equity", "CB_PROFIT_SHARING_COST/1M", "FPT=A", "FPO=-1A", "ACT_EST_MAPPING=PRECISE", "FS=MRC", "CURRENCY=USD", "XLFILL=b")</f>
        <v>563</v>
      </c>
      <c r="L134" s="9">
        <f>_xll.BQL("DAL US Equity", "CB_PROFIT_SHARING_COST/1M", "FPT=A", "FPO=-2A", "ACT_EST_MAPPING=PRECISE", "FS=MRC", "CURRENCY=USD", "XLFILL=b")</f>
        <v>108</v>
      </c>
      <c r="M134" s="9">
        <f>_xll.BQL("DAL US Equity", "CB_PROFIT_SHARING_COST/1M", "FPT=A", "FPO=-3A", "ACT_EST_MAPPING=PRECISE", "FS=MRC", "CURRENCY=USD", "XLFILL=b")</f>
        <v>0</v>
      </c>
      <c r="N134" s="9">
        <f>_xll.BQL("DAL US Equity", "CB_PROFIT_SHARING_COST/1M", "FPT=A", "FPO=-4A", "ACT_EST_MAPPING=PRECISE", "FS=MRC", "CURRENCY=USD", "XLFILL=b")</f>
        <v>1643</v>
      </c>
    </row>
    <row r="135" spans="1:14" x14ac:dyDescent="0.2">
      <c r="A135" s="8" t="s">
        <v>86</v>
      </c>
      <c r="B135" s="4" t="s">
        <v>149</v>
      </c>
      <c r="C135" s="4" t="s">
        <v>150</v>
      </c>
      <c r="D135" s="4"/>
      <c r="E135" s="9">
        <f>_xll.BQL("DAL US Equity", "FA_GROWTH(CB_PROFIT_SHARING_COST, YOY)", "FPT=A", "FPO=5A", "ACT_EST_MAPPING=PRECISE", "FS=MRC", "CURRENCY=USD", "XLFILL=b")</f>
        <v>1.4943605257922092</v>
      </c>
      <c r="F135" s="9">
        <f>_xll.BQL("DAL US Equity", "FA_GROWTH(CB_PROFIT_SHARING_COST, YOY)", "FPT=A", "FPO=4A", "ACT_EST_MAPPING=PRECISE", "FS=MRC", "CURRENCY=USD", "XLFILL=b")</f>
        <v>7.5721677386684281</v>
      </c>
      <c r="G135" s="9">
        <f>_xll.BQL("DAL US Equity", "FA_GROWTH(CB_PROFIT_SHARING_COST, YOY)", "FPT=A", "FPO=3A", "ACT_EST_MAPPING=PRECISE", "FS=MRC", "CURRENCY=USD", "XLFILL=b")</f>
        <v>5.6798419446252204</v>
      </c>
      <c r="H135" s="9">
        <f>_xll.BQL("DAL US Equity", "FA_GROWTH(CB_PROFIT_SHARING_COST, YOY)", "FPT=A", "FPO=2A", "ACT_EST_MAPPING=PRECISE", "FS=MRC", "CURRENCY=USD", "XLFILL=b")</f>
        <v>12.335612296943667</v>
      </c>
      <c r="I135" s="9">
        <f>_xll.BQL("DAL US Equity", "FA_GROWTH(CB_PROFIT_SHARING_COST, YOY)", "FPT=A", "FPO=1A", "ACT_EST_MAPPING=PRECISE", "FS=MRC", "CURRENCY=USD", "XLFILL=b")</f>
        <v>-5.3511698061593442</v>
      </c>
      <c r="J135" s="9">
        <f>_xll.BQL("DAL US Equity", "FA_GROWTH(CB_PROFIT_SHARING_COST, YOY)", "FPT=A", "FPO=0A", "ACT_EST_MAPPING=PRECISE", "FS=MRC", "CURRENCY=USD", "XLFILL=b")</f>
        <v>145.64831261101244</v>
      </c>
      <c r="K135" s="9">
        <f>_xll.BQL("DAL US Equity", "FA_GROWTH(CB_PROFIT_SHARING_COST, YOY)", "FPT=A", "FPO=-1A", "ACT_EST_MAPPING=PRECISE", "FS=MRC", "CURRENCY=USD", "XLFILL=b")</f>
        <v>421.2962962962963</v>
      </c>
      <c r="L135" s="9" t="str">
        <f>_xll.BQL("DAL US Equity", "FA_GROWTH(CB_PROFIT_SHARING_COST, YOY)", "FPT=A", "FPO=-2A", "ACT_EST_MAPPING=PRECISE", "FS=MRC", "CURRENCY=USD", "XLFILL=b")</f>
        <v/>
      </c>
      <c r="M135" s="9">
        <f>_xll.BQL("DAL US Equity", "FA_GROWTH(CB_PROFIT_SHARING_COST, YOY)", "FPT=A", "FPO=-3A", "ACT_EST_MAPPING=PRECISE", "FS=MRC", "CURRENCY=USD", "XLFILL=b")</f>
        <v>-100</v>
      </c>
      <c r="N135" s="9">
        <f>_xll.BQL("DAL US Equity", "FA_GROWTH(CB_PROFIT_SHARING_COST, YOY)", "FPT=A", "FPO=-4A", "ACT_EST_MAPPING=PRECISE", "FS=MRC", "CURRENCY=USD", "XLFILL=b")</f>
        <v>26.287471176018446</v>
      </c>
    </row>
    <row r="136" spans="1:14" x14ac:dyDescent="0.2">
      <c r="A136" s="8" t="s">
        <v>151</v>
      </c>
      <c r="B136" s="4" t="s">
        <v>152</v>
      </c>
      <c r="C136" s="4"/>
      <c r="D136" s="4"/>
      <c r="E136" s="9">
        <f>_xll.BQL("DAL US Equity", "AIRCRAFT_RENTALS/1M", "FPT=A", "FPO=5A", "ACT_EST_MAPPING=PRECISE", "FS=MRC", "CURRENCY=USD", "XLFILL=b")</f>
        <v>654.95352853322333</v>
      </c>
      <c r="F136" s="9">
        <f>_xll.BQL("DAL US Equity", "AIRCRAFT_RENTALS/1M", "FPT=A", "FPO=4A", "ACT_EST_MAPPING=PRECISE", "FS=MRC", "CURRENCY=USD", "XLFILL=b")</f>
        <v>623.71289263700305</v>
      </c>
      <c r="G136" s="9">
        <f>_xll.BQL("DAL US Equity", "AIRCRAFT_RENTALS/1M", "FPT=A", "FPO=3A", "ACT_EST_MAPPING=PRECISE", "FS=MRC", "CURRENCY=USD", "XLFILL=b")</f>
        <v>594.9991998315819</v>
      </c>
      <c r="H136" s="9">
        <f>_xll.BQL("DAL US Equity", "AIRCRAFT_RENTALS/1M", "FPT=A", "FPO=2A", "ACT_EST_MAPPING=PRECISE", "FS=MRC", "CURRENCY=USD", "XLFILL=b")</f>
        <v>572.5008814259777</v>
      </c>
      <c r="I136" s="9">
        <f>_xll.BQL("DAL US Equity", "AIRCRAFT_RENTALS/1M", "FPT=A", "FPO=1A", "ACT_EST_MAPPING=PRECISE", "FS=MRC", "CURRENCY=USD", "XLFILL=b")</f>
        <v>550.6901679668116</v>
      </c>
      <c r="J136" s="9">
        <f>_xll.BQL("DAL US Equity", "AIRCRAFT_RENTALS/1M", "FPT=A", "FPO=0A", "ACT_EST_MAPPING=PRECISE", "FS=MRC", "CURRENCY=USD", "XLFILL=b")</f>
        <v>532</v>
      </c>
      <c r="K136" s="9">
        <f>_xll.BQL("DAL US Equity", "AIRCRAFT_RENTALS/1M", "FPT=A", "FPO=-1A", "ACT_EST_MAPPING=PRECISE", "FS=MRC", "CURRENCY=USD", "XLFILL=b")</f>
        <v>508</v>
      </c>
      <c r="L136" s="9">
        <f>_xll.BQL("DAL US Equity", "AIRCRAFT_RENTALS/1M", "FPT=A", "FPO=-2A", "ACT_EST_MAPPING=PRECISE", "FS=MRC", "CURRENCY=USD", "XLFILL=b")</f>
        <v>430</v>
      </c>
      <c r="M136" s="9">
        <f>_xll.BQL("DAL US Equity", "AIRCRAFT_RENTALS/1M", "FPT=A", "FPO=-3A", "ACT_EST_MAPPING=PRECISE", "FS=MRC", "CURRENCY=USD", "XLFILL=b")</f>
        <v>399</v>
      </c>
      <c r="N136" s="9">
        <f>_xll.BQL("DAL US Equity", "AIRCRAFT_RENTALS/1M", "FPT=A", "FPO=-4A", "ACT_EST_MAPPING=PRECISE", "FS=MRC", "CURRENCY=USD", "XLFILL=b")</f>
        <v>423</v>
      </c>
    </row>
    <row r="137" spans="1:14" x14ac:dyDescent="0.2">
      <c r="A137" s="8" t="s">
        <v>86</v>
      </c>
      <c r="B137" s="4" t="s">
        <v>152</v>
      </c>
      <c r="C137" s="4"/>
      <c r="D137" s="4"/>
      <c r="E137" s="9">
        <f>_xll.BQL("DAL US Equity", "FA_GROWTH(AIRCRAFT_RENTALS, YOY)", "FPT=A", "FPO=5A", "ACT_EST_MAPPING=PRECISE", "FS=MRC", "CURRENCY=USD", "XLFILL=b")</f>
        <v>5.0088167592844961</v>
      </c>
      <c r="F137" s="9">
        <f>_xll.BQL("DAL US Equity", "FA_GROWTH(AIRCRAFT_RENTALS, YOY)", "FPT=A", "FPO=4A", "ACT_EST_MAPPING=PRECISE", "FS=MRC", "CURRENCY=USD", "XLFILL=b")</f>
        <v>4.82583721348679</v>
      </c>
      <c r="G137" s="9">
        <f>_xll.BQL("DAL US Equity", "FA_GROWTH(AIRCRAFT_RENTALS, YOY)", "FPT=A", "FPO=3A", "ACT_EST_MAPPING=PRECISE", "FS=MRC", "CURRENCY=USD", "XLFILL=b")</f>
        <v>3.9298312256857537</v>
      </c>
      <c r="H137" s="9">
        <f>_xll.BQL("DAL US Equity", "FA_GROWTH(AIRCRAFT_RENTALS, YOY)", "FPT=A", "FPO=2A", "ACT_EST_MAPPING=PRECISE", "FS=MRC", "CURRENCY=USD", "XLFILL=b")</f>
        <v>3.960614285105688</v>
      </c>
      <c r="I137" s="9">
        <f>_xll.BQL("DAL US Equity", "FA_GROWTH(AIRCRAFT_RENTALS, YOY)", "FPT=A", "FPO=1A", "ACT_EST_MAPPING=PRECISE", "FS=MRC", "CURRENCY=USD", "XLFILL=b")</f>
        <v>3.5131894674458</v>
      </c>
      <c r="J137" s="9">
        <f>_xll.BQL("DAL US Equity", "FA_GROWTH(AIRCRAFT_RENTALS, YOY)", "FPT=A", "FPO=0A", "ACT_EST_MAPPING=PRECISE", "FS=MRC", "CURRENCY=USD", "XLFILL=b")</f>
        <v>4.7244094488188972</v>
      </c>
      <c r="K137" s="9">
        <f>_xll.BQL("DAL US Equity", "FA_GROWTH(AIRCRAFT_RENTALS, YOY)", "FPT=A", "FPO=-1A", "ACT_EST_MAPPING=PRECISE", "FS=MRC", "CURRENCY=USD", "XLFILL=b")</f>
        <v>18.13953488372093</v>
      </c>
      <c r="L137" s="9">
        <f>_xll.BQL("DAL US Equity", "FA_GROWTH(AIRCRAFT_RENTALS, YOY)", "FPT=A", "FPO=-2A", "ACT_EST_MAPPING=PRECISE", "FS=MRC", "CURRENCY=USD", "XLFILL=b")</f>
        <v>7.7694235588972429</v>
      </c>
      <c r="M137" s="9">
        <f>_xll.BQL("DAL US Equity", "FA_GROWTH(AIRCRAFT_RENTALS, YOY)", "FPT=A", "FPO=-3A", "ACT_EST_MAPPING=PRECISE", "FS=MRC", "CURRENCY=USD", "XLFILL=b")</f>
        <v>-5.6737588652482271</v>
      </c>
      <c r="N137" s="9">
        <f>_xll.BQL("DAL US Equity", "FA_GROWTH(AIRCRAFT_RENTALS, YOY)", "FPT=A", "FPO=-4A", "ACT_EST_MAPPING=PRECISE", "FS=MRC", "CURRENCY=USD", "XLFILL=b")</f>
        <v>7.3604060913705585</v>
      </c>
    </row>
    <row r="138" spans="1:14" x14ac:dyDescent="0.2">
      <c r="A138" s="8" t="s">
        <v>153</v>
      </c>
      <c r="B138" s="4" t="s">
        <v>154</v>
      </c>
      <c r="C138" s="4" t="s">
        <v>155</v>
      </c>
      <c r="D138" s="4"/>
      <c r="E138" s="9">
        <f>_xll.BQL("DAL US Equity", "CB_IS_OTHER_OPEX/1M", "FPT=A", "FPO=5A", "ACT_EST_MAPPING=PRECISE", "FS=MRC", "CURRENCY=USD", "XLFILL=b")</f>
        <v>2944.1958020384368</v>
      </c>
      <c r="F138" s="9">
        <f>_xll.BQL("DAL US Equity", "CB_IS_OTHER_OPEX/1M", "FPT=A", "FPO=4A", "ACT_EST_MAPPING=PRECISE", "FS=MRC", "CURRENCY=USD", "XLFILL=b")</f>
        <v>2765.8575956551158</v>
      </c>
      <c r="G138" s="9">
        <f>_xll.BQL("DAL US Equity", "CB_IS_OTHER_OPEX/1M", "FPT=A", "FPO=3A", "ACT_EST_MAPPING=PRECISE", "FS=MRC", "CURRENCY=USD", "XLFILL=b")</f>
        <v>2637.0972846825084</v>
      </c>
      <c r="H138" s="9">
        <f>_xll.BQL("DAL US Equity", "CB_IS_OTHER_OPEX/1M", "FPT=A", "FPO=2A", "ACT_EST_MAPPING=PRECISE", "FS=MRC", "CURRENCY=USD", "XLFILL=b")</f>
        <v>2500.9763081090045</v>
      </c>
      <c r="I138" s="9">
        <f>_xll.BQL("DAL US Equity", "CB_IS_OTHER_OPEX/1M", "FPT=A", "FPO=1A", "ACT_EST_MAPPING=PRECISE", "FS=MRC", "CURRENCY=USD", "XLFILL=b")</f>
        <v>2448.8982050153181</v>
      </c>
      <c r="J138" s="9">
        <f>_xll.BQL("DAL US Equity", "CB_IS_OTHER_OPEX/1M", "FPT=A", "FPO=0A", "ACT_EST_MAPPING=PRECISE", "FS=MRC", "CURRENCY=USD", "XLFILL=b")</f>
        <v>3103</v>
      </c>
      <c r="K138" s="9">
        <f>_xll.BQL("DAL US Equity", "CB_IS_OTHER_OPEX/1M", "FPT=A", "FPO=-1A", "ACT_EST_MAPPING=PRECISE", "FS=MRC", "CURRENCY=USD", "XLFILL=b")</f>
        <v>1824</v>
      </c>
      <c r="L138" s="9">
        <f>_xll.BQL("DAL US Equity", "CB_IS_OTHER_OPEX/1M", "FPT=A", "FPO=-2A", "ACT_EST_MAPPING=PRECISE", "FS=MRC", "CURRENCY=USD", "XLFILL=b")</f>
        <v>1405</v>
      </c>
      <c r="M138" s="9">
        <f>_xll.BQL("DAL US Equity", "CB_IS_OTHER_OPEX/1M", "FPT=A", "FPO=-3A", "ACT_EST_MAPPING=PRECISE", "FS=MRC", "CURRENCY=USD", "XLFILL=b")</f>
        <v>1232</v>
      </c>
      <c r="N138" s="9">
        <f>_xll.BQL("DAL US Equity", "CB_IS_OTHER_OPEX/1M", "FPT=A", "FPO=-4A", "ACT_EST_MAPPING=PRECISE", "FS=MRC", "CURRENCY=USD", "XLFILL=b")</f>
        <v>1827</v>
      </c>
    </row>
    <row r="139" spans="1:14" x14ac:dyDescent="0.2">
      <c r="A139" s="8" t="s">
        <v>86</v>
      </c>
      <c r="B139" s="4" t="s">
        <v>154</v>
      </c>
      <c r="C139" s="4" t="s">
        <v>155</v>
      </c>
      <c r="D139" s="4"/>
      <c r="E139" s="9">
        <f>_xll.BQL("DAL US Equity", "FA_GROWTH(CB_IS_OTHER_OPEX, YOY)", "FPT=A", "FPO=5A", "ACT_EST_MAPPING=PRECISE", "FS=MRC", "CURRENCY=USD", "XLFILL=b")</f>
        <v>6.4478448443431331</v>
      </c>
      <c r="F139" s="9">
        <f>_xll.BQL("DAL US Equity", "FA_GROWTH(CB_IS_OTHER_OPEX, YOY)", "FPT=A", "FPO=4A", "ACT_EST_MAPPING=PRECISE", "FS=MRC", "CURRENCY=USD", "XLFILL=b")</f>
        <v>4.8826530488847375</v>
      </c>
      <c r="G139" s="9">
        <f>_xll.BQL("DAL US Equity", "FA_GROWTH(CB_IS_OTHER_OPEX, YOY)", "FPT=A", "FPO=3A", "ACT_EST_MAPPING=PRECISE", "FS=MRC", "CURRENCY=USD", "XLFILL=b")</f>
        <v>5.4427135567879663</v>
      </c>
      <c r="H139" s="9">
        <f>_xll.BQL("DAL US Equity", "FA_GROWTH(CB_IS_OTHER_OPEX, YOY)", "FPT=A", "FPO=2A", "ACT_EST_MAPPING=PRECISE", "FS=MRC", "CURRENCY=USD", "XLFILL=b")</f>
        <v>2.1265932159626386</v>
      </c>
      <c r="I139" s="9">
        <f>_xll.BQL("DAL US Equity", "FA_GROWTH(CB_IS_OTHER_OPEX, YOY)", "FPT=A", "FPO=1A", "ACT_EST_MAPPING=PRECISE", "FS=MRC", "CURRENCY=USD", "XLFILL=b")</f>
        <v>-21.079658233473481</v>
      </c>
      <c r="J139" s="9">
        <f>_xll.BQL("DAL US Equity", "FA_GROWTH(CB_IS_OTHER_OPEX, YOY)", "FPT=A", "FPO=0A", "ACT_EST_MAPPING=PRECISE", "FS=MRC", "CURRENCY=USD", "XLFILL=b")</f>
        <v>70.120614035087726</v>
      </c>
      <c r="K139" s="9">
        <f>_xll.BQL("DAL US Equity", "FA_GROWTH(CB_IS_OTHER_OPEX, YOY)", "FPT=A", "FPO=-1A", "ACT_EST_MAPPING=PRECISE", "FS=MRC", "CURRENCY=USD", "XLFILL=b")</f>
        <v>29.822064056939503</v>
      </c>
      <c r="L139" s="9">
        <f>_xll.BQL("DAL US Equity", "FA_GROWTH(CB_IS_OTHER_OPEX, YOY)", "FPT=A", "FPO=-2A", "ACT_EST_MAPPING=PRECISE", "FS=MRC", "CURRENCY=USD", "XLFILL=b")</f>
        <v>14.042207792207792</v>
      </c>
      <c r="M139" s="9">
        <f>_xll.BQL("DAL US Equity", "FA_GROWTH(CB_IS_OTHER_OPEX, YOY)", "FPT=A", "FPO=-3A", "ACT_EST_MAPPING=PRECISE", "FS=MRC", "CURRENCY=USD", "XLFILL=b")</f>
        <v>-32.567049808429118</v>
      </c>
      <c r="N139" s="9">
        <f>_xll.BQL("DAL US Equity", "FA_GROWTH(CB_IS_OTHER_OPEX, YOY)", "FPT=A", "FPO=-4A", "ACT_EST_MAPPING=PRECISE", "FS=MRC", "CURRENCY=USD", "XLFILL=b")</f>
        <v>6.0359837492745214</v>
      </c>
    </row>
    <row r="140" spans="1:14" x14ac:dyDescent="0.2">
      <c r="A140" s="8" t="s">
        <v>16</v>
      </c>
      <c r="B140" s="4"/>
      <c r="C140" s="4"/>
      <c r="D140" s="4"/>
      <c r="E140" s="9"/>
      <c r="F140" s="9"/>
      <c r="G140" s="9"/>
      <c r="H140" s="9"/>
      <c r="I140" s="9"/>
      <c r="J140" s="9"/>
      <c r="K140" s="9"/>
      <c r="L140" s="9"/>
      <c r="M140" s="9"/>
      <c r="N140" s="9"/>
    </row>
    <row r="141" spans="1:14" x14ac:dyDescent="0.2">
      <c r="A141" s="8" t="s">
        <v>156</v>
      </c>
      <c r="B141" s="4" t="s">
        <v>157</v>
      </c>
      <c r="C141" s="4"/>
      <c r="D141" s="4"/>
      <c r="E141" s="9">
        <f>_xll.BQL("DAL US Equity", "EBITDA/1M", "FPT=A", "FPO=5A", "ACT_EST_MAPPING=PRECISE", "FS=MRC", "CURRENCY=USD", "XLFILL=b")</f>
        <v>8647.8243924420003</v>
      </c>
      <c r="F141" s="9">
        <f>_xll.BQL("DAL US Equity", "EBITDA/1M", "FPT=A", "FPO=4A", "ACT_EST_MAPPING=PRECISE", "FS=MRC", "CURRENCY=USD", "XLFILL=b")</f>
        <v>10090.950745389435</v>
      </c>
      <c r="G141" s="9">
        <f>_xll.BQL("DAL US Equity", "EBITDA/1M", "FPT=A", "FPO=3A", "ACT_EST_MAPPING=PRECISE", "FS=MRC", "CURRENCY=USD", "XLFILL=b")</f>
        <v>9703.7554391216836</v>
      </c>
      <c r="H141" s="9">
        <f>_xll.BQL("DAL US Equity", "EBITDA/1M", "FPT=A", "FPO=2A", "ACT_EST_MAPPING=PRECISE", "FS=MRC", "CURRENCY=USD", "XLFILL=b")</f>
        <v>8940.17207711228</v>
      </c>
      <c r="I141" s="9">
        <f>_xll.BQL("DAL US Equity", "EBITDA/1M", "FPT=A", "FPO=1A", "ACT_EST_MAPPING=PRECISE", "FS=MRC", "CURRENCY=USD", "XLFILL=b")</f>
        <v>8533.1913979101992</v>
      </c>
      <c r="J141" s="9">
        <f>_xll.BQL("DAL US Equity", "EBITDA/1M", "FPT=A", "FPO=0A", "ACT_EST_MAPPING=PRECISE", "FS=MRC", "CURRENCY=USD", "XLFILL=b")</f>
        <v>8843</v>
      </c>
      <c r="K141" s="9">
        <f>_xll.BQL("DAL US Equity", "EBITDA/1M", "FPT=A", "FPO=-1A", "ACT_EST_MAPPING=PRECISE", "FS=MRC", "CURRENCY=USD", "XLFILL=b")</f>
        <v>6717</v>
      </c>
      <c r="L141" s="9">
        <f>_xll.BQL("DAL US Equity", "EBITDA/1M", "FPT=A", "FPO=-2A", "ACT_EST_MAPPING=PRECISE", "FS=MRC", "CURRENCY=USD", "XLFILL=b")</f>
        <v>4747</v>
      </c>
      <c r="M141" s="9">
        <f>_xll.BQL("DAL US Equity", "EBITDA/1M", "FPT=A", "FPO=-3A", "ACT_EST_MAPPING=PRECISE", "FS=MRC", "CURRENCY=USD", "XLFILL=b")</f>
        <v>-9138</v>
      </c>
      <c r="N141" s="9">
        <f>_xll.BQL("DAL US Equity", "EBITDA/1M", "FPT=A", "FPO=-4A", "ACT_EST_MAPPING=PRECISE", "FS=MRC", "CURRENCY=USD", "XLFILL=b")</f>
        <v>10212</v>
      </c>
    </row>
    <row r="142" spans="1:14" x14ac:dyDescent="0.2">
      <c r="A142" s="8" t="s">
        <v>12</v>
      </c>
      <c r="B142" s="4" t="s">
        <v>157</v>
      </c>
      <c r="C142" s="4"/>
      <c r="D142" s="4"/>
      <c r="E142" s="9">
        <f>_xll.BQL("DAL US Equity", "FA_GROWTH(EBITDA, YOY)", "FPT=A", "FPO=5A", "ACT_EST_MAPPING=PRECISE", "FS=MRC", "CURRENCY=USD", "XLFILL=b")</f>
        <v>-14.301193112123762</v>
      </c>
      <c r="F142" s="9">
        <f>_xll.BQL("DAL US Equity", "FA_GROWTH(EBITDA, YOY)", "FPT=A", "FPO=4A", "ACT_EST_MAPPING=PRECISE", "FS=MRC", "CURRENCY=USD", "XLFILL=b")</f>
        <v>3.9901593635257355</v>
      </c>
      <c r="G142" s="9">
        <f>_xll.BQL("DAL US Equity", "FA_GROWTH(EBITDA, YOY)", "FPT=A", "FPO=3A", "ACT_EST_MAPPING=PRECISE", "FS=MRC", "CURRENCY=USD", "XLFILL=b")</f>
        <v>8.5410365194675819</v>
      </c>
      <c r="H142" s="9">
        <f>_xll.BQL("DAL US Equity", "FA_GROWTH(EBITDA, YOY)", "FPT=A", "FPO=2A", "ACT_EST_MAPPING=PRECISE", "FS=MRC", "CURRENCY=USD", "XLFILL=b")</f>
        <v>4.7693841638399359</v>
      </c>
      <c r="I142" s="9">
        <f>_xll.BQL("DAL US Equity", "FA_GROWTH(EBITDA, YOY)", "FPT=A", "FPO=1A", "ACT_EST_MAPPING=PRECISE", "FS=MRC", "CURRENCY=USD", "XLFILL=b")</f>
        <v>-3.5034332476512589</v>
      </c>
      <c r="J142" s="9">
        <f>_xll.BQL("DAL US Equity", "FA_GROWTH(EBITDA, YOY)", "FPT=A", "FPO=0A", "ACT_EST_MAPPING=PRECISE", "FS=MRC", "CURRENCY=USD", "XLFILL=b")</f>
        <v>31.651034688104808</v>
      </c>
      <c r="K142" s="9">
        <f>_xll.BQL("DAL US Equity", "FA_GROWTH(EBITDA, YOY)", "FPT=A", "FPO=-1A", "ACT_EST_MAPPING=PRECISE", "FS=MRC", "CURRENCY=USD", "XLFILL=b")</f>
        <v>41.499894670318099</v>
      </c>
      <c r="L142" s="9">
        <f>_xll.BQL("DAL US Equity", "FA_GROWTH(EBITDA, YOY)", "FPT=A", "FPO=-2A", "ACT_EST_MAPPING=PRECISE", "FS=MRC", "CURRENCY=USD", "XLFILL=b")</f>
        <v>151.94790982709566</v>
      </c>
      <c r="M142" s="9">
        <f>_xll.BQL("DAL US Equity", "FA_GROWTH(EBITDA, YOY)", "FPT=A", "FPO=-3A", "ACT_EST_MAPPING=PRECISE", "FS=MRC", "CURRENCY=USD", "XLFILL=b")</f>
        <v>-189.48296122209166</v>
      </c>
      <c r="N142" s="9">
        <f>_xll.BQL("DAL US Equity", "FA_GROWTH(EBITDA, YOY)", "FPT=A", "FPO=-4A", "ACT_EST_MAPPING=PRECISE", "FS=MRC", "CURRENCY=USD", "XLFILL=b")</f>
        <v>18.923954815418657</v>
      </c>
    </row>
    <row r="143" spans="1:14" x14ac:dyDescent="0.2">
      <c r="A143" s="8" t="s">
        <v>42</v>
      </c>
      <c r="B143" s="4" t="s">
        <v>43</v>
      </c>
      <c r="C143" s="4" t="s">
        <v>44</v>
      </c>
      <c r="D143" s="4"/>
      <c r="E143" s="9">
        <f>_xll.BQL("DAL US Equity", "AIRLINES_EBITDAR_RATIO/1M", "FPT=A", "FPO=5A", "ACT_EST_MAPPING=PRECISE", "FS=MRC", "CURRENCY=USD", "XLFILL=b")</f>
        <v>12485.512450022092</v>
      </c>
      <c r="F143" s="9">
        <f>_xll.BQL("DAL US Equity", "AIRLINES_EBITDAR_RATIO/1M", "FPT=A", "FPO=4A", "ACT_EST_MAPPING=PRECISE", "FS=MRC", "CURRENCY=USD", "XLFILL=b")</f>
        <v>12147.132873238395</v>
      </c>
      <c r="G143" s="9">
        <f>_xll.BQL("DAL US Equity", "AIRLINES_EBITDAR_RATIO/1M", "FPT=A", "FPO=3A", "ACT_EST_MAPPING=PRECISE", "FS=MRC", "CURRENCY=USD", "XLFILL=b")</f>
        <v>10812.876201022918</v>
      </c>
      <c r="H143" s="9">
        <f>_xll.BQL("DAL US Equity", "AIRLINES_EBITDAR_RATIO/1M", "FPT=A", "FPO=2A", "ACT_EST_MAPPING=PRECISE", "FS=MRC", "CURRENCY=USD", "XLFILL=b")</f>
        <v>10060.151236755073</v>
      </c>
      <c r="I143" s="9">
        <f>_xll.BQL("DAL US Equity", "AIRLINES_EBITDAR_RATIO/1M", "FPT=A", "FPO=1A", "ACT_EST_MAPPING=PRECISE", "FS=MRC", "CURRENCY=USD", "XLFILL=b")</f>
        <v>9042.653382095883</v>
      </c>
      <c r="J143" s="9">
        <f>_xll.BQL("DAL US Equity", "AIRLINES_EBITDAR_RATIO/1M", "FPT=A", "FPO=0A", "ACT_EST_MAPPING=PRECISE", "FS=MRC", "CURRENCY=USD", "XLFILL=b")</f>
        <v>8843</v>
      </c>
      <c r="K143" s="9">
        <f>_xll.BQL("DAL US Equity", "AIRLINES_EBITDAR_RATIO/1M", "FPT=A", "FPO=-1A", "ACT_EST_MAPPING=PRECISE", "FS=MRC", "CURRENCY=USD", "XLFILL=b")</f>
        <v>6717</v>
      </c>
      <c r="L143" s="9">
        <f>_xll.BQL("DAL US Equity", "AIRLINES_EBITDAR_RATIO/1M", "FPT=A", "FPO=-2A", "ACT_EST_MAPPING=PRECISE", "FS=MRC", "CURRENCY=USD", "XLFILL=b")</f>
        <v>4747</v>
      </c>
      <c r="M143" s="9">
        <f>_xll.BQL("DAL US Equity", "AIRLINES_EBITDAR_RATIO/1M", "FPT=A", "FPO=-3A", "ACT_EST_MAPPING=PRECISE", "FS=MRC", "CURRENCY=USD", "XLFILL=b")</f>
        <v>-9138</v>
      </c>
      <c r="N143" s="9">
        <f>_xll.BQL("DAL US Equity", "AIRLINES_EBITDAR_RATIO/1M", "FPT=A", "FPO=-4A", "ACT_EST_MAPPING=PRECISE", "FS=MRC", "CURRENCY=USD", "XLFILL=b")</f>
        <v>10212</v>
      </c>
    </row>
    <row r="144" spans="1:14" x14ac:dyDescent="0.2">
      <c r="A144" s="8" t="s">
        <v>12</v>
      </c>
      <c r="B144" s="4" t="s">
        <v>43</v>
      </c>
      <c r="C144" s="4" t="s">
        <v>44</v>
      </c>
      <c r="D144" s="4"/>
      <c r="E144" s="9">
        <f>_xll.BQL("DAL US Equity", "FA_GROWTH(AIRLINES_EBITDAR_RATIO, YOY)", "FPT=A", "FPO=5A", "ACT_EST_MAPPING=PRECISE", "FS=MRC", "CURRENCY=USD", "XLFILL=b")</f>
        <v>2.7856744493936212</v>
      </c>
      <c r="F144" s="9">
        <f>_xll.BQL("DAL US Equity", "FA_GROWTH(AIRLINES_EBITDAR_RATIO, YOY)", "FPT=A", "FPO=4A", "ACT_EST_MAPPING=PRECISE", "FS=MRC", "CURRENCY=USD", "XLFILL=b")</f>
        <v>12.339516770655839</v>
      </c>
      <c r="G144" s="9">
        <f>_xll.BQL("DAL US Equity", "FA_GROWTH(AIRLINES_EBITDAR_RATIO, YOY)", "FPT=A", "FPO=3A", "ACT_EST_MAPPING=PRECISE", "FS=MRC", "CURRENCY=USD", "XLFILL=b")</f>
        <v>7.482243025509808</v>
      </c>
      <c r="H144" s="9">
        <f>_xll.BQL("DAL US Equity", "FA_GROWTH(AIRLINES_EBITDAR_RATIO, YOY)", "FPT=A", "FPO=2A", "ACT_EST_MAPPING=PRECISE", "FS=MRC", "CURRENCY=USD", "XLFILL=b")</f>
        <v>11.252204542903293</v>
      </c>
      <c r="I144" s="9">
        <f>_xll.BQL("DAL US Equity", "FA_GROWTH(AIRLINES_EBITDAR_RATIO, YOY)", "FPT=A", "FPO=1A", "ACT_EST_MAPPING=PRECISE", "FS=MRC", "CURRENCY=USD", "XLFILL=b")</f>
        <v>2.2577562150388149</v>
      </c>
      <c r="J144" s="9">
        <f>_xll.BQL("DAL US Equity", "FA_GROWTH(AIRLINES_EBITDAR_RATIO, YOY)", "FPT=A", "FPO=0A", "ACT_EST_MAPPING=PRECISE", "FS=MRC", "CURRENCY=USD", "XLFILL=b")</f>
        <v>31.651034688104808</v>
      </c>
      <c r="K144" s="9">
        <f>_xll.BQL("DAL US Equity", "FA_GROWTH(AIRLINES_EBITDAR_RATIO, YOY)", "FPT=A", "FPO=-1A", "ACT_EST_MAPPING=PRECISE", "FS=MRC", "CURRENCY=USD", "XLFILL=b")</f>
        <v>41.499894670318099</v>
      </c>
      <c r="L144" s="9">
        <f>_xll.BQL("DAL US Equity", "FA_GROWTH(AIRLINES_EBITDAR_RATIO, YOY)", "FPT=A", "FPO=-2A", "ACT_EST_MAPPING=PRECISE", "FS=MRC", "CURRENCY=USD", "XLFILL=b")</f>
        <v>151.94790982709566</v>
      </c>
      <c r="M144" s="9">
        <f>_xll.BQL("DAL US Equity", "FA_GROWTH(AIRLINES_EBITDAR_RATIO, YOY)", "FPT=A", "FPO=-3A", "ACT_EST_MAPPING=PRECISE", "FS=MRC", "CURRENCY=USD", "XLFILL=b")</f>
        <v>-189.48296122209166</v>
      </c>
      <c r="N144" s="9">
        <f>_xll.BQL("DAL US Equity", "FA_GROWTH(AIRLINES_EBITDAR_RATIO, YOY)", "FPT=A", "FPO=-4A", "ACT_EST_MAPPING=PRECISE", "FS=MRC", "CURRENCY=USD", "XLFILL=b")</f>
        <v>18.923954815418657</v>
      </c>
    </row>
    <row r="145" spans="1:14" x14ac:dyDescent="0.2">
      <c r="A145" s="8" t="s">
        <v>16</v>
      </c>
      <c r="B145" s="4"/>
      <c r="C145" s="4"/>
      <c r="D145" s="4"/>
      <c r="E145" s="9"/>
      <c r="F145" s="9"/>
      <c r="G145" s="9"/>
      <c r="H145" s="9"/>
      <c r="I145" s="9"/>
      <c r="J145" s="9"/>
      <c r="K145" s="9"/>
      <c r="L145" s="9"/>
      <c r="M145" s="9"/>
      <c r="N145" s="9"/>
    </row>
    <row r="146" spans="1:14" x14ac:dyDescent="0.2">
      <c r="A146" s="8" t="s">
        <v>158</v>
      </c>
      <c r="B146" s="4" t="s">
        <v>159</v>
      </c>
      <c r="C146" s="4"/>
      <c r="D146" s="4"/>
      <c r="E146" s="9">
        <f>_xll.BQL("DAL US Equity", "IS_EBIT_AS_REPORTED/1M", "FPT=A", "FPO=5A", "ACT_EST_MAPPING=PRECISE", "FS=MRC", "CURRENCY=USD", "XLFILL=b")</f>
        <v>7209.8885804413658</v>
      </c>
      <c r="F146" s="9">
        <f>_xll.BQL("DAL US Equity", "IS_EBIT_AS_REPORTED/1M", "FPT=A", "FPO=4A", "ACT_EST_MAPPING=PRECISE", "FS=MRC", "CURRENCY=USD", "XLFILL=b")</f>
        <v>7116.4229301185151</v>
      </c>
      <c r="G146" s="9">
        <f>_xll.BQL("DAL US Equity", "IS_EBIT_AS_REPORTED/1M", "FPT=A", "FPO=3A", "ACT_EST_MAPPING=PRECISE", "FS=MRC", "CURRENCY=USD", "XLFILL=b")</f>
        <v>7044.2297931613048</v>
      </c>
      <c r="H146" s="9">
        <f>_xll.BQL("DAL US Equity", "IS_EBIT_AS_REPORTED/1M", "FPT=A", "FPO=2A", "ACT_EST_MAPPING=PRECISE", "FS=MRC", "CURRENCY=USD", "XLFILL=b")</f>
        <v>7228.4208477824995</v>
      </c>
      <c r="I146" s="9">
        <f>_xll.BQL("DAL US Equity", "IS_EBIT_AS_REPORTED/1M", "FPT=A", "FPO=1A", "ACT_EST_MAPPING=PRECISE", "FS=MRC", "CURRENCY=USD", "XLFILL=b")</f>
        <v>6089.7798730294317</v>
      </c>
      <c r="J146" s="9">
        <f>_xll.BQL("DAL US Equity", "IS_EBIT_AS_REPORTED/1M", "FPT=A", "FPO=0A", "ACT_EST_MAPPING=PRECISE", "FS=MRC", "CURRENCY=USD", "XLFILL=b")</f>
        <v>5521</v>
      </c>
      <c r="K146" s="9">
        <f>_xll.BQL("DAL US Equity", "IS_EBIT_AS_REPORTED/1M", "FPT=A", "FPO=-1A", "ACT_EST_MAPPING=PRECISE", "FS=MRC", "CURRENCY=USD", "XLFILL=b")</f>
        <v>3661</v>
      </c>
      <c r="L146" s="9">
        <f>_xll.BQL("DAL US Equity", "IS_EBIT_AS_REPORTED/1M", "FPT=A", "FPO=-2A", "ACT_EST_MAPPING=PRECISE", "FS=MRC", "CURRENCY=USD", "XLFILL=b")</f>
        <v>1886</v>
      </c>
      <c r="M146" s="9">
        <f>_xll.BQL("DAL US Equity", "IS_EBIT_AS_REPORTED/1M", "FPT=A", "FPO=-3A", "ACT_EST_MAPPING=PRECISE", "FS=MRC", "CURRENCY=USD", "XLFILL=b")</f>
        <v>-12469</v>
      </c>
      <c r="N146" s="9">
        <f>_xll.BQL("DAL US Equity", "IS_EBIT_AS_REPORTED/1M", "FPT=A", "FPO=-4A", "ACT_EST_MAPPING=PRECISE", "FS=MRC", "CURRENCY=USD", "XLFILL=b")</f>
        <v>6618</v>
      </c>
    </row>
    <row r="147" spans="1:14" x14ac:dyDescent="0.2">
      <c r="A147" s="8" t="s">
        <v>12</v>
      </c>
      <c r="B147" s="4" t="s">
        <v>159</v>
      </c>
      <c r="C147" s="4"/>
      <c r="D147" s="4"/>
      <c r="E147" s="9">
        <f>_xll.BQL("DAL US Equity", "FA_GROWTH(IS_EBIT_AS_REPORTED, YOY)", "FPT=A", "FPO=5A", "ACT_EST_MAPPING=PRECISE", "FS=MRC", "CURRENCY=USD", "XLFILL=b")</f>
        <v>1.3133796464974101</v>
      </c>
      <c r="F147" s="9">
        <f>_xll.BQL("DAL US Equity", "FA_GROWTH(IS_EBIT_AS_REPORTED, YOY)", "FPT=A", "FPO=4A", "ACT_EST_MAPPING=PRECISE", "FS=MRC", "CURRENCY=USD", "XLFILL=b")</f>
        <v>1.0248549391062916</v>
      </c>
      <c r="G147" s="9">
        <f>_xll.BQL("DAL US Equity", "FA_GROWTH(IS_EBIT_AS_REPORTED, YOY)", "FPT=A", "FPO=3A", "ACT_EST_MAPPING=PRECISE", "FS=MRC", "CURRENCY=USD", "XLFILL=b")</f>
        <v>-2.5481506749527472</v>
      </c>
      <c r="H147" s="9">
        <f>_xll.BQL("DAL US Equity", "FA_GROWTH(IS_EBIT_AS_REPORTED, YOY)", "FPT=A", "FPO=2A", "ACT_EST_MAPPING=PRECISE", "FS=MRC", "CURRENCY=USD", "XLFILL=b")</f>
        <v>18.69757197293632</v>
      </c>
      <c r="I147" s="9">
        <f>_xll.BQL("DAL US Equity", "FA_GROWTH(IS_EBIT_AS_REPORTED, YOY)", "FPT=A", "FPO=1A", "ACT_EST_MAPPING=PRECISE", "FS=MRC", "CURRENCY=USD", "XLFILL=b")</f>
        <v>10.302116881532898</v>
      </c>
      <c r="J147" s="9">
        <f>_xll.BQL("DAL US Equity", "FA_GROWTH(IS_EBIT_AS_REPORTED, YOY)", "FPT=A", "FPO=0A", "ACT_EST_MAPPING=PRECISE", "FS=MRC", "CURRENCY=USD", "XLFILL=b")</f>
        <v>50.805790767549851</v>
      </c>
      <c r="K147" s="9">
        <f>_xll.BQL("DAL US Equity", "FA_GROWTH(IS_EBIT_AS_REPORTED, YOY)", "FPT=A", "FPO=-1A", "ACT_EST_MAPPING=PRECISE", "FS=MRC", "CURRENCY=USD", "XLFILL=b")</f>
        <v>94.114528101802762</v>
      </c>
      <c r="L147" s="9">
        <f>_xll.BQL("DAL US Equity", "FA_GROWTH(IS_EBIT_AS_REPORTED, YOY)", "FPT=A", "FPO=-2A", "ACT_EST_MAPPING=PRECISE", "FS=MRC", "CURRENCY=USD", "XLFILL=b")</f>
        <v>115.1255112679445</v>
      </c>
      <c r="M147" s="9">
        <f>_xll.BQL("DAL US Equity", "FA_GROWTH(IS_EBIT_AS_REPORTED, YOY)", "FPT=A", "FPO=-3A", "ACT_EST_MAPPING=PRECISE", "FS=MRC", "CURRENCY=USD", "XLFILL=b")</f>
        <v>-288.41039588999701</v>
      </c>
      <c r="N147" s="9">
        <f>_xll.BQL("DAL US Equity", "FA_GROWTH(IS_EBIT_AS_REPORTED, YOY)", "FPT=A", "FPO=-4A", "ACT_EST_MAPPING=PRECISE", "FS=MRC", "CURRENCY=USD", "XLFILL=b")</f>
        <v>25.721884498480243</v>
      </c>
    </row>
    <row r="148" spans="1:14" x14ac:dyDescent="0.2">
      <c r="A148" s="8" t="s">
        <v>160</v>
      </c>
      <c r="B148" s="4" t="s">
        <v>161</v>
      </c>
      <c r="C148" s="4"/>
      <c r="D148" s="4"/>
      <c r="E148" s="9">
        <f>_xll.BQL("DAL US Equity", "OPER_MARGIN", "FPT=A", "FPO=5A", "ACT_EST_MAPPING=PRECISE", "FS=MRC", "CURRENCY=USD", "XLFILL=b")</f>
        <v>10.592949378776286</v>
      </c>
      <c r="F148" s="9">
        <f>_xll.BQL("DAL US Equity", "OPER_MARGIN", "FPT=A", "FPO=4A", "ACT_EST_MAPPING=PRECISE", "FS=MRC", "CURRENCY=USD", "XLFILL=b")</f>
        <v>10.59292566729453</v>
      </c>
      <c r="G148" s="9">
        <f>_xll.BQL("DAL US Equity", "OPER_MARGIN", "FPT=A", "FPO=3A", "ACT_EST_MAPPING=PRECISE", "FS=MRC", "CURRENCY=USD", "XLFILL=b")</f>
        <v>10.900682280395666</v>
      </c>
      <c r="H148" s="9">
        <f>_xll.BQL("DAL US Equity", "OPER_MARGIN", "FPT=A", "FPO=2A", "ACT_EST_MAPPING=PRECISE", "FS=MRC", "CURRENCY=USD", "XLFILL=b")</f>
        <v>10.478966690578611</v>
      </c>
      <c r="I148" s="9">
        <f>_xll.BQL("DAL US Equity", "OPER_MARGIN", "FPT=A", "FPO=1A", "ACT_EST_MAPPING=PRECISE", "FS=MRC", "CURRENCY=USD", "XLFILL=b")</f>
        <v>10.01813487435478</v>
      </c>
      <c r="J148" s="9">
        <f>_xll.BQL("DAL US Equity", "OPER_MARGIN", "FPT=A", "FPO=0A", "ACT_EST_MAPPING=PRECISE", "FS=MRC", "CURRENCY=USD", "XLFILL=b")</f>
        <v>9.5110942668136715</v>
      </c>
      <c r="K148" s="9">
        <f>_xll.BQL("DAL US Equity", "OPER_MARGIN", "FPT=A", "FPO=-1A", "ACT_EST_MAPPING=PRECISE", "FS=MRC", "CURRENCY=USD", "XLFILL=b")</f>
        <v>7.2377525601992803</v>
      </c>
      <c r="L148" s="9">
        <f>_xll.BQL("DAL US Equity", "OPER_MARGIN", "FPT=A", "FPO=-2A", "ACT_EST_MAPPING=PRECISE", "FS=MRC", "CURRENCY=USD", "XLFILL=b")</f>
        <v>6.3079032743570016</v>
      </c>
      <c r="M148" s="9">
        <f>_xll.BQL("DAL US Equity", "OPER_MARGIN", "FPT=A", "FPO=-3A", "ACT_EST_MAPPING=PRECISE", "FS=MRC", "CURRENCY=USD", "XLFILL=b")</f>
        <v>-72.939455981281071</v>
      </c>
      <c r="N148" s="9">
        <f>_xll.BQL("DAL US Equity", "OPER_MARGIN", "FPT=A", "FPO=-4A", "ACT_EST_MAPPING=PRECISE", "FS=MRC", "CURRENCY=USD", "XLFILL=b")</f>
        <v>14.078754228093688</v>
      </c>
    </row>
    <row r="149" spans="1:14" x14ac:dyDescent="0.2">
      <c r="A149" s="8" t="s">
        <v>86</v>
      </c>
      <c r="B149" s="4" t="s">
        <v>161</v>
      </c>
      <c r="C149" s="4"/>
      <c r="D149" s="4"/>
      <c r="E149" s="9">
        <f>_xll.BQL("DAL US Equity", "FA_GROWTH(OPER_MARGIN, YOY)", "FPT=A", "FPO=5A", "ACT_EST_MAPPING=PRECISE", "FS=MRC", "CURRENCY=USD", "XLFILL=b")</f>
        <v>2.2384261440678318E-4</v>
      </c>
      <c r="F149" s="9">
        <f>_xll.BQL("DAL US Equity", "FA_GROWTH(OPER_MARGIN, YOY)", "FPT=A", "FPO=4A", "ACT_EST_MAPPING=PRECISE", "FS=MRC", "CURRENCY=USD", "XLFILL=b")</f>
        <v>-2.8232784442733507</v>
      </c>
      <c r="G149" s="9">
        <f>_xll.BQL("DAL US Equity", "FA_GROWTH(OPER_MARGIN, YOY)", "FPT=A", "FPO=3A", "ACT_EST_MAPPING=PRECISE", "FS=MRC", "CURRENCY=USD", "XLFILL=b")</f>
        <v>4.0244005183851668</v>
      </c>
      <c r="H149" s="9">
        <f>_xll.BQL("DAL US Equity", "FA_GROWTH(OPER_MARGIN, YOY)", "FPT=A", "FPO=2A", "ACT_EST_MAPPING=PRECISE", "FS=MRC", "CURRENCY=USD", "XLFILL=b")</f>
        <v>4.5999761632627294</v>
      </c>
      <c r="I149" s="9">
        <f>_xll.BQL("DAL US Equity", "FA_GROWTH(OPER_MARGIN, YOY)", "FPT=A", "FPO=1A", "ACT_EST_MAPPING=PRECISE", "FS=MRC", "CURRENCY=USD", "XLFILL=b")</f>
        <v>5.3310438664275113</v>
      </c>
      <c r="J149" s="9">
        <f>_xll.BQL("DAL US Equity", "FA_GROWTH(OPER_MARGIN, YOY)", "FPT=A", "FPO=0A", "ACT_EST_MAPPING=PRECISE", "FS=MRC", "CURRENCY=USD", "XLFILL=b")</f>
        <v>31.409497460794629</v>
      </c>
      <c r="K149" s="9">
        <f>_xll.BQL("DAL US Equity", "FA_GROWTH(OPER_MARGIN, YOY)", "FPT=A", "FPO=-1A", "ACT_EST_MAPPING=PRECISE", "FS=MRC", "CURRENCY=USD", "XLFILL=b")</f>
        <v>14.741020041038331</v>
      </c>
      <c r="L149" s="9">
        <f>_xll.BQL("DAL US Equity", "FA_GROWTH(OPER_MARGIN, YOY)", "FPT=A", "FPO=-2A", "ACT_EST_MAPPING=PRECISE", "FS=MRC", "CURRENCY=USD", "XLFILL=b")</f>
        <v>108.64813589503032</v>
      </c>
      <c r="M149" s="9">
        <f>_xll.BQL("DAL US Equity", "FA_GROWTH(OPER_MARGIN, YOY)", "FPT=A", "FPO=-3A", "ACT_EST_MAPPING=PRECISE", "FS=MRC", "CURRENCY=USD", "XLFILL=b")</f>
        <v>-618.08174785616188</v>
      </c>
      <c r="N149" s="9">
        <f>_xll.BQL("DAL US Equity", "FA_GROWTH(OPER_MARGIN, YOY)", "FPT=A", "FPO=-4A", "ACT_EST_MAPPING=PRECISE", "FS=MRC", "CURRENCY=USD", "XLFILL=b")</f>
        <v>18.851003113227083</v>
      </c>
    </row>
    <row r="150" spans="1:14" x14ac:dyDescent="0.2">
      <c r="A150" s="8" t="s">
        <v>16</v>
      </c>
      <c r="B150" s="4"/>
      <c r="C150" s="4"/>
      <c r="D150" s="4"/>
      <c r="E150" s="9"/>
      <c r="F150" s="9"/>
      <c r="G150" s="9"/>
      <c r="H150" s="9"/>
      <c r="I150" s="9"/>
      <c r="J150" s="9"/>
      <c r="K150" s="9"/>
      <c r="L150" s="9"/>
      <c r="M150" s="9"/>
      <c r="N150" s="9"/>
    </row>
    <row r="151" spans="1:14" x14ac:dyDescent="0.2">
      <c r="A151" s="8" t="s">
        <v>162</v>
      </c>
      <c r="B151" s="4"/>
      <c r="C151" s="4"/>
      <c r="D151" s="4"/>
      <c r="E151" s="9"/>
      <c r="F151" s="9"/>
      <c r="G151" s="9"/>
      <c r="H151" s="9"/>
      <c r="I151" s="9"/>
      <c r="J151" s="9"/>
      <c r="K151" s="9"/>
      <c r="L151" s="9"/>
      <c r="M151" s="9"/>
      <c r="N151" s="9"/>
    </row>
    <row r="152" spans="1:14" x14ac:dyDescent="0.2">
      <c r="A152" s="8" t="s">
        <v>163</v>
      </c>
      <c r="B152" s="4" t="s">
        <v>164</v>
      </c>
      <c r="C152" s="4" t="s">
        <v>165</v>
      </c>
      <c r="D152" s="4"/>
      <c r="E152" s="9">
        <f>_xll.BQL("DAL US Equity", "IS_INT_EXPENSE/1M", "FPT=A", "FPO=5A", "ACT_EST_MAPPING=PRECISE", "FS=MRC", "CURRENCY=USD", "XLFILL=b")</f>
        <v>620.70930905468981</v>
      </c>
      <c r="F152" s="9">
        <f>_xll.BQL("DAL US Equity", "IS_INT_EXPENSE/1M", "FPT=A", "FPO=4A", "ACT_EST_MAPPING=PRECISE", "FS=MRC", "CURRENCY=USD", "XLFILL=b")</f>
        <v>616.59988057886767</v>
      </c>
      <c r="G152" s="9">
        <f>_xll.BQL("DAL US Equity", "IS_INT_EXPENSE/1M", "FPT=A", "FPO=3A", "ACT_EST_MAPPING=PRECISE", "FS=MRC", "CURRENCY=USD", "XLFILL=b")</f>
        <v>613.35162560137269</v>
      </c>
      <c r="H152" s="9">
        <f>_xll.BQL("DAL US Equity", "IS_INT_EXPENSE/1M", "FPT=A", "FPO=2A", "ACT_EST_MAPPING=PRECISE", "FS=MRC", "CURRENCY=USD", "XLFILL=b")</f>
        <v>681.53493458244282</v>
      </c>
      <c r="I152" s="9">
        <f>_xll.BQL("DAL US Equity", "IS_INT_EXPENSE/1M", "FPT=A", "FPO=1A", "ACT_EST_MAPPING=PRECISE", "FS=MRC", "CURRENCY=USD", "XLFILL=b")</f>
        <v>774.75472674026673</v>
      </c>
      <c r="J152" s="9">
        <f>_xll.BQL("DAL US Equity", "IS_INT_EXPENSE/1M", "FPT=A", "FPO=0A", "ACT_EST_MAPPING=PRECISE", "FS=MRC", "CURRENCY=USD", "XLFILL=b")</f>
        <v>834</v>
      </c>
      <c r="K152" s="9">
        <f>_xll.BQL("DAL US Equity", "IS_INT_EXPENSE/1M", "FPT=A", "FPO=-1A", "ACT_EST_MAPPING=PRECISE", "FS=MRC", "CURRENCY=USD", "XLFILL=b")</f>
        <v>1029</v>
      </c>
      <c r="L152" s="9">
        <f>_xll.BQL("DAL US Equity", "IS_INT_EXPENSE/1M", "FPT=A", "FPO=-2A", "ACT_EST_MAPPING=PRECISE", "FS=MRC", "CURRENCY=USD", "XLFILL=b")</f>
        <v>1279</v>
      </c>
      <c r="M152" s="9">
        <f>_xll.BQL("DAL US Equity", "IS_INT_EXPENSE/1M", "FPT=A", "FPO=-3A", "ACT_EST_MAPPING=PRECISE", "FS=MRC", "CURRENCY=USD", "XLFILL=b")</f>
        <v>929</v>
      </c>
      <c r="N152" s="9">
        <f>_xll.BQL("DAL US Equity", "IS_INT_EXPENSE/1M", "FPT=A", "FPO=-4A", "ACT_EST_MAPPING=PRECISE", "FS=MRC", "CURRENCY=USD", "XLFILL=b")</f>
        <v>301</v>
      </c>
    </row>
    <row r="153" spans="1:14" x14ac:dyDescent="0.2">
      <c r="A153" s="8" t="s">
        <v>86</v>
      </c>
      <c r="B153" s="4" t="s">
        <v>164</v>
      </c>
      <c r="C153" s="4" t="s">
        <v>165</v>
      </c>
      <c r="D153" s="4"/>
      <c r="E153" s="9">
        <f>_xll.BQL("DAL US Equity", "FA_GROWTH(IS_INT_EXPENSE, YOY)", "FPT=A", "FPO=5A", "ACT_EST_MAPPING=PRECISE", "FS=MRC", "CURRENCY=USD", "XLFILL=b")</f>
        <v>0.66646598633203347</v>
      </c>
      <c r="F153" s="9">
        <f>_xll.BQL("DAL US Equity", "FA_GROWTH(IS_INT_EXPENSE, YOY)", "FPT=A", "FPO=4A", "ACT_EST_MAPPING=PRECISE", "FS=MRC", "CURRENCY=USD", "XLFILL=b")</f>
        <v>0.52959099510173124</v>
      </c>
      <c r="G153" s="9">
        <f>_xll.BQL("DAL US Equity", "FA_GROWTH(IS_INT_EXPENSE, YOY)", "FPT=A", "FPO=3A", "ACT_EST_MAPPING=PRECISE", "FS=MRC", "CURRENCY=USD", "XLFILL=b")</f>
        <v>-10.004374760751483</v>
      </c>
      <c r="H153" s="9">
        <f>_xll.BQL("DAL US Equity", "FA_GROWTH(IS_INT_EXPENSE, YOY)", "FPT=A", "FPO=2A", "ACT_EST_MAPPING=PRECISE", "FS=MRC", "CURRENCY=USD", "XLFILL=b")</f>
        <v>-12.032168238590879</v>
      </c>
      <c r="I153" s="9">
        <f>_xll.BQL("DAL US Equity", "FA_GROWTH(IS_INT_EXPENSE, YOY)", "FPT=A", "FPO=1A", "ACT_EST_MAPPING=PRECISE", "FS=MRC", "CURRENCY=USD", "XLFILL=b")</f>
        <v>-7.1037497913349297</v>
      </c>
      <c r="J153" s="9">
        <f>_xll.BQL("DAL US Equity", "FA_GROWTH(IS_INT_EXPENSE, YOY)", "FPT=A", "FPO=0A", "ACT_EST_MAPPING=PRECISE", "FS=MRC", "CURRENCY=USD", "XLFILL=b")</f>
        <v>-18.950437317784257</v>
      </c>
      <c r="K153" s="9">
        <f>_xll.BQL("DAL US Equity", "FA_GROWTH(IS_INT_EXPENSE, YOY)", "FPT=A", "FPO=-1A", "ACT_EST_MAPPING=PRECISE", "FS=MRC", "CURRENCY=USD", "XLFILL=b")</f>
        <v>-19.546520719311964</v>
      </c>
      <c r="L153" s="9">
        <f>_xll.BQL("DAL US Equity", "FA_GROWTH(IS_INT_EXPENSE, YOY)", "FPT=A", "FPO=-2A", "ACT_EST_MAPPING=PRECISE", "FS=MRC", "CURRENCY=USD", "XLFILL=b")</f>
        <v>37.674919268030138</v>
      </c>
      <c r="M153" s="9">
        <f>_xll.BQL("DAL US Equity", "FA_GROWTH(IS_INT_EXPENSE, YOY)", "FPT=A", "FPO=-3A", "ACT_EST_MAPPING=PRECISE", "FS=MRC", "CURRENCY=USD", "XLFILL=b")</f>
        <v>208.63787375415282</v>
      </c>
      <c r="N153" s="9">
        <f>_xll.BQL("DAL US Equity", "FA_GROWTH(IS_INT_EXPENSE, YOY)", "FPT=A", "FPO=-4A", "ACT_EST_MAPPING=PRECISE", "FS=MRC", "CURRENCY=USD", "XLFILL=b")</f>
        <v>-3.215434083601286</v>
      </c>
    </row>
    <row r="154" spans="1:14" x14ac:dyDescent="0.2">
      <c r="A154" s="8" t="s">
        <v>166</v>
      </c>
      <c r="B154" s="4" t="s">
        <v>167</v>
      </c>
      <c r="C154" s="4" t="s">
        <v>168</v>
      </c>
      <c r="D154" s="4"/>
      <c r="E154" s="9" t="str">
        <f>_xll.BQL("DAL US Equity", "IS_NET_INCR_FAIR_VALUE_INVEST/1M", "FPT=A", "FPO=5A", "ACT_EST_MAPPING=PRECISE", "FS=MRC", "CURRENCY=USD", "XLFILL=b")</f>
        <v/>
      </c>
      <c r="F154" s="9" t="str">
        <f>_xll.BQL("DAL US Equity", "IS_NET_INCR_FAIR_VALUE_INVEST/1M", "FPT=A", "FPO=4A", "ACT_EST_MAPPING=PRECISE", "FS=MRC", "CURRENCY=USD", "XLFILL=b")</f>
        <v/>
      </c>
      <c r="G154" s="9" t="str">
        <f>_xll.BQL("DAL US Equity", "IS_NET_INCR_FAIR_VALUE_INVEST/1M", "FPT=A", "FPO=3A", "ACT_EST_MAPPING=PRECISE", "FS=MRC", "CURRENCY=USD", "XLFILL=b")</f>
        <v/>
      </c>
      <c r="H154" s="9" t="str">
        <f>_xll.BQL("DAL US Equity", "IS_NET_INCR_FAIR_VALUE_INVEST/1M", "FPT=A", "FPO=2A", "ACT_EST_MAPPING=PRECISE", "FS=MRC", "CURRENCY=USD", "XLFILL=b")</f>
        <v/>
      </c>
      <c r="I154" s="9" t="str">
        <f>_xll.BQL("DAL US Equity", "IS_NET_INCR_FAIR_VALUE_INVEST/1M", "FPT=A", "FPO=1A", "ACT_EST_MAPPING=PRECISE", "FS=MRC", "CURRENCY=USD", "XLFILL=b")</f>
        <v/>
      </c>
      <c r="J154" s="9">
        <f>_xll.BQL("DAL US Equity", "IS_NET_INCR_FAIR_VALUE_INVEST/1M", "FPT=A", "FPO=0A", "ACT_EST_MAPPING=PRECISE", "FS=MRC", "CURRENCY=USD", "XLFILL=b")</f>
        <v>-1263</v>
      </c>
      <c r="K154" s="9">
        <f>_xll.BQL("DAL US Equity", "IS_NET_INCR_FAIR_VALUE_INVEST/1M", "FPT=A", "FPO=-1A", "ACT_EST_MAPPING=PRECISE", "FS=MRC", "CURRENCY=USD", "XLFILL=b")</f>
        <v>783</v>
      </c>
      <c r="L154" s="9">
        <f>_xll.BQL("DAL US Equity", "IS_NET_INCR_FAIR_VALUE_INVEST/1M", "FPT=A", "FPO=-2A", "ACT_EST_MAPPING=PRECISE", "FS=MRC", "CURRENCY=USD", "XLFILL=b")</f>
        <v>-56</v>
      </c>
      <c r="M154" s="9">
        <f>_xll.BQL("DAL US Equity", "IS_NET_INCR_FAIR_VALUE_INVEST/1M", "FPT=A", "FPO=-3A", "ACT_EST_MAPPING=PRECISE", "FS=MRC", "CURRENCY=USD", "XLFILL=b")</f>
        <v>105</v>
      </c>
      <c r="N154" s="9">
        <f>_xll.BQL("DAL US Equity", "IS_NET_INCR_FAIR_VALUE_INVEST/1M", "FPT=A", "FPO=-4A", "ACT_EST_MAPPING=PRECISE", "FS=MRC", "CURRENCY=USD", "XLFILL=b")</f>
        <v>-119</v>
      </c>
    </row>
    <row r="155" spans="1:14" x14ac:dyDescent="0.2">
      <c r="A155" s="8" t="s">
        <v>86</v>
      </c>
      <c r="B155" s="4" t="s">
        <v>167</v>
      </c>
      <c r="C155" s="4" t="s">
        <v>168</v>
      </c>
      <c r="D155" s="4"/>
      <c r="E155" s="9" t="str">
        <f>_xll.BQL("DAL US Equity", "FA_GROWTH(IS_NET_INCR_FAIR_VALUE_INVEST, YOY)", "FPT=A", "FPO=5A", "ACT_EST_MAPPING=PRECISE", "FS=MRC", "CURRENCY=USD", "XLFILL=b")</f>
        <v/>
      </c>
      <c r="F155" s="9" t="str">
        <f>_xll.BQL("DAL US Equity", "FA_GROWTH(IS_NET_INCR_FAIR_VALUE_INVEST, YOY)", "FPT=A", "FPO=4A", "ACT_EST_MAPPING=PRECISE", "FS=MRC", "CURRENCY=USD", "XLFILL=b")</f>
        <v/>
      </c>
      <c r="G155" s="9" t="str">
        <f>_xll.BQL("DAL US Equity", "FA_GROWTH(IS_NET_INCR_FAIR_VALUE_INVEST, YOY)", "FPT=A", "FPO=3A", "ACT_EST_MAPPING=PRECISE", "FS=MRC", "CURRENCY=USD", "XLFILL=b")</f>
        <v/>
      </c>
      <c r="H155" s="9" t="str">
        <f>_xll.BQL("DAL US Equity", "FA_GROWTH(IS_NET_INCR_FAIR_VALUE_INVEST, YOY)", "FPT=A", "FPO=2A", "ACT_EST_MAPPING=PRECISE", "FS=MRC", "CURRENCY=USD", "XLFILL=b")</f>
        <v/>
      </c>
      <c r="I155" s="9" t="str">
        <f>_xll.BQL("DAL US Equity", "FA_GROWTH(IS_NET_INCR_FAIR_VALUE_INVEST, YOY)", "FPT=A", "FPO=1A", "ACT_EST_MAPPING=PRECISE", "FS=MRC", "CURRENCY=USD", "XLFILL=b")</f>
        <v/>
      </c>
      <c r="J155" s="9">
        <f>_xll.BQL("DAL US Equity", "FA_GROWTH(IS_NET_INCR_FAIR_VALUE_INVEST, YOY)", "FPT=A", "FPO=0A", "ACT_EST_MAPPING=PRECISE", "FS=MRC", "CURRENCY=USD", "XLFILL=b")</f>
        <v>-261.30268199233717</v>
      </c>
      <c r="K155" s="9">
        <f>_xll.BQL("DAL US Equity", "FA_GROWTH(IS_NET_INCR_FAIR_VALUE_INVEST, YOY)", "FPT=A", "FPO=-1A", "ACT_EST_MAPPING=PRECISE", "FS=MRC", "CURRENCY=USD", "XLFILL=b")</f>
        <v>1498.2142857142858</v>
      </c>
      <c r="L155" s="9">
        <f>_xll.BQL("DAL US Equity", "FA_GROWTH(IS_NET_INCR_FAIR_VALUE_INVEST, YOY)", "FPT=A", "FPO=-2A", "ACT_EST_MAPPING=PRECISE", "FS=MRC", "CURRENCY=USD", "XLFILL=b")</f>
        <v>-153.33333333333334</v>
      </c>
      <c r="M155" s="9">
        <f>_xll.BQL("DAL US Equity", "FA_GROWTH(IS_NET_INCR_FAIR_VALUE_INVEST, YOY)", "FPT=A", "FPO=-3A", "ACT_EST_MAPPING=PRECISE", "FS=MRC", "CURRENCY=USD", "XLFILL=b")</f>
        <v>188.23529411764707</v>
      </c>
      <c r="N155" s="9">
        <f>_xll.BQL("DAL US Equity", "FA_GROWTH(IS_NET_INCR_FAIR_VALUE_INVEST, YOY)", "FPT=A", "FPO=-4A", "ACT_EST_MAPPING=PRECISE", "FS=MRC", "CURRENCY=USD", "XLFILL=b")</f>
        <v>-213.15789473684211</v>
      </c>
    </row>
    <row r="156" spans="1:14" x14ac:dyDescent="0.2">
      <c r="A156" s="8" t="s">
        <v>169</v>
      </c>
      <c r="B156" s="4" t="s">
        <v>170</v>
      </c>
      <c r="C156" s="4"/>
      <c r="D156" s="4"/>
      <c r="E156" s="9" t="str">
        <f>_xll.BQL("DAL US Equity", "IS_G_L_ON_EXT_DBT_OR_SETTLE_DBT/1M", "FPT=A", "FPO=5A", "ACT_EST_MAPPING=PRECISE", "FS=MRC", "CURRENCY=USD", "XLFILL=b")</f>
        <v/>
      </c>
      <c r="F156" s="9" t="str">
        <f>_xll.BQL("DAL US Equity", "IS_G_L_ON_EXT_DBT_OR_SETTLE_DBT/1M", "FPT=A", "FPO=4A", "ACT_EST_MAPPING=PRECISE", "FS=MRC", "CURRENCY=USD", "XLFILL=b")</f>
        <v/>
      </c>
      <c r="G156" s="9" t="str">
        <f>_xll.BQL("DAL US Equity", "IS_G_L_ON_EXT_DBT_OR_SETTLE_DBT/1M", "FPT=A", "FPO=3A", "ACT_EST_MAPPING=PRECISE", "FS=MRC", "CURRENCY=USD", "XLFILL=b")</f>
        <v/>
      </c>
      <c r="H156" s="9" t="str">
        <f>_xll.BQL("DAL US Equity", "IS_G_L_ON_EXT_DBT_OR_SETTLE_DBT/1M", "FPT=A", "FPO=2A", "ACT_EST_MAPPING=PRECISE", "FS=MRC", "CURRENCY=USD", "XLFILL=b")</f>
        <v/>
      </c>
      <c r="I156" s="9">
        <f>_xll.BQL("DAL US Equity", "IS_G_L_ON_EXT_DBT_OR_SETTLE_DBT/1M", "FPT=A", "FPO=1A", "ACT_EST_MAPPING=PRECISE", "FS=MRC", "CURRENCY=USD", "XLFILL=b")</f>
        <v>36</v>
      </c>
      <c r="J156" s="9">
        <f>_xll.BQL("DAL US Equity", "IS_G_L_ON_EXT_DBT_OR_SETTLE_DBT/1M", "FPT=A", "FPO=0A", "ACT_EST_MAPPING=PRECISE", "FS=MRC", "CURRENCY=USD", "XLFILL=b")</f>
        <v>63</v>
      </c>
      <c r="K156" s="9">
        <f>_xll.BQL("DAL US Equity", "IS_G_L_ON_EXT_DBT_OR_SETTLE_DBT/1M", "FPT=A", "FPO=-1A", "ACT_EST_MAPPING=PRECISE", "FS=MRC", "CURRENCY=USD", "XLFILL=b")</f>
        <v>100</v>
      </c>
      <c r="L156" s="9">
        <f>_xll.BQL("DAL US Equity", "IS_G_L_ON_EXT_DBT_OR_SETTLE_DBT/1M", "FPT=A", "FPO=-2A", "ACT_EST_MAPPING=PRECISE", "FS=MRC", "CURRENCY=USD", "XLFILL=b")</f>
        <v>319</v>
      </c>
      <c r="M156" s="9">
        <f>_xll.BQL("DAL US Equity", "IS_G_L_ON_EXT_DBT_OR_SETTLE_DBT/1M", "FPT=A", "FPO=-3A", "ACT_EST_MAPPING=PRECISE", "FS=MRC", "CURRENCY=USD", "XLFILL=b")</f>
        <v>8</v>
      </c>
      <c r="N156" s="9" t="str">
        <f>_xll.BQL("DAL US Equity", "IS_G_L_ON_EXT_DBT_OR_SETTLE_DBT/1M", "FPT=A", "FPO=-4A", "ACT_EST_MAPPING=PRECISE", "FS=MRC", "CURRENCY=USD", "XLFILL=b")</f>
        <v/>
      </c>
    </row>
    <row r="157" spans="1:14" x14ac:dyDescent="0.2">
      <c r="A157" s="8" t="s">
        <v>86</v>
      </c>
      <c r="B157" s="4" t="s">
        <v>170</v>
      </c>
      <c r="C157" s="4"/>
      <c r="D157" s="4"/>
      <c r="E157" s="9" t="str">
        <f>_xll.BQL("DAL US Equity", "FA_GROWTH(IS_G_L_ON_EXT_DBT_OR_SETTLE_DBT, YOY)", "FPT=A", "FPO=5A", "ACT_EST_MAPPING=PRECISE", "FS=MRC", "CURRENCY=USD", "XLFILL=b")</f>
        <v/>
      </c>
      <c r="F157" s="9" t="str">
        <f>_xll.BQL("DAL US Equity", "FA_GROWTH(IS_G_L_ON_EXT_DBT_OR_SETTLE_DBT, YOY)", "FPT=A", "FPO=4A", "ACT_EST_MAPPING=PRECISE", "FS=MRC", "CURRENCY=USD", "XLFILL=b")</f>
        <v/>
      </c>
      <c r="G157" s="9" t="str">
        <f>_xll.BQL("DAL US Equity", "FA_GROWTH(IS_G_L_ON_EXT_DBT_OR_SETTLE_DBT, YOY)", "FPT=A", "FPO=3A", "ACT_EST_MAPPING=PRECISE", "FS=MRC", "CURRENCY=USD", "XLFILL=b")</f>
        <v/>
      </c>
      <c r="H157" s="9" t="str">
        <f>_xll.BQL("DAL US Equity", "FA_GROWTH(IS_G_L_ON_EXT_DBT_OR_SETTLE_DBT, YOY)", "FPT=A", "FPO=2A", "ACT_EST_MAPPING=PRECISE", "FS=MRC", "CURRENCY=USD", "XLFILL=b")</f>
        <v/>
      </c>
      <c r="I157" s="9">
        <f>_xll.BQL("DAL US Equity", "FA_GROWTH(IS_G_L_ON_EXT_DBT_OR_SETTLE_DBT, YOY)", "FPT=A", "FPO=1A", "ACT_EST_MAPPING=PRECISE", "FS=MRC", "CURRENCY=USD", "XLFILL=b")</f>
        <v>-42.857142857142854</v>
      </c>
      <c r="J157" s="9">
        <f>_xll.BQL("DAL US Equity", "FA_GROWTH(IS_G_L_ON_EXT_DBT_OR_SETTLE_DBT, YOY)", "FPT=A", "FPO=0A", "ACT_EST_MAPPING=PRECISE", "FS=MRC", "CURRENCY=USD", "XLFILL=b")</f>
        <v>-37</v>
      </c>
      <c r="K157" s="9">
        <f>_xll.BQL("DAL US Equity", "FA_GROWTH(IS_G_L_ON_EXT_DBT_OR_SETTLE_DBT, YOY)", "FPT=A", "FPO=-1A", "ACT_EST_MAPPING=PRECISE", "FS=MRC", "CURRENCY=USD", "XLFILL=b")</f>
        <v>-68.652037617554853</v>
      </c>
      <c r="L157" s="9">
        <f>_xll.BQL("DAL US Equity", "FA_GROWTH(IS_G_L_ON_EXT_DBT_OR_SETTLE_DBT, YOY)", "FPT=A", "FPO=-2A", "ACT_EST_MAPPING=PRECISE", "FS=MRC", "CURRENCY=USD", "XLFILL=b")</f>
        <v>3887.5</v>
      </c>
      <c r="M157" s="9" t="str">
        <f>_xll.BQL("DAL US Equity", "FA_GROWTH(IS_G_L_ON_EXT_DBT_OR_SETTLE_DBT, YOY)", "FPT=A", "FPO=-3A", "ACT_EST_MAPPING=PRECISE", "FS=MRC", "CURRENCY=USD", "XLFILL=b")</f>
        <v/>
      </c>
      <c r="N157" s="9" t="str">
        <f>_xll.BQL("DAL US Equity", "FA_GROWTH(IS_G_L_ON_EXT_DBT_OR_SETTLE_DBT, YOY)", "FPT=A", "FPO=-4A", "ACT_EST_MAPPING=PRECISE", "FS=MRC", "CURRENCY=USD", "XLFILL=b")</f>
        <v/>
      </c>
    </row>
    <row r="158" spans="1:14" x14ac:dyDescent="0.2">
      <c r="A158" s="8" t="s">
        <v>171</v>
      </c>
      <c r="B158" s="4" t="s">
        <v>172</v>
      </c>
      <c r="C158" s="4" t="s">
        <v>165</v>
      </c>
      <c r="D158" s="4"/>
      <c r="E158" s="9">
        <f>_xll.BQL("DAL US Equity", "NOI_LOSS_GAAP_RATIO/1M", "FPT=A", "FPO=5A", "ACT_EST_MAPPING=PRECISE", "FS=MRC", "CURRENCY=USD", "XLFILL=b")</f>
        <v>703.43396358203461</v>
      </c>
      <c r="F158" s="9">
        <f>_xll.BQL("DAL US Equity", "NOI_LOSS_GAAP_RATIO/1M", "FPT=A", "FPO=4A", "ACT_EST_MAPPING=PRECISE", "FS=MRC", "CURRENCY=USD", "XLFILL=b")</f>
        <v>699.51317410515685</v>
      </c>
      <c r="G158" s="9">
        <f>_xll.BQL("DAL US Equity", "NOI_LOSS_GAAP_RATIO/1M", "FPT=A", "FPO=3A", "ACT_EST_MAPPING=PRECISE", "FS=MRC", "CURRENCY=USD", "XLFILL=b")</f>
        <v>719.47317764051377</v>
      </c>
      <c r="H158" s="9">
        <f>_xll.BQL("DAL US Equity", "NOI_LOSS_GAAP_RATIO/1M", "FPT=A", "FPO=2A", "ACT_EST_MAPPING=PRECISE", "FS=MRC", "CURRENCY=USD", "XLFILL=b")</f>
        <v>834.65848011865455</v>
      </c>
      <c r="I158" s="9">
        <f>_xll.BQL("DAL US Equity", "NOI_LOSS_GAAP_RATIO/1M", "FPT=A", "FPO=1A", "ACT_EST_MAPPING=PRECISE", "FS=MRC", "CURRENCY=USD", "XLFILL=b")</f>
        <v>1395.2509552467543</v>
      </c>
      <c r="J158" s="9">
        <f>_xll.BQL("DAL US Equity", "NOI_LOSS_GAAP_RATIO/1M", "FPT=A", "FPO=0A", "ACT_EST_MAPPING=PRECISE", "FS=MRC", "CURRENCY=USD", "XLFILL=b")</f>
        <v>-87</v>
      </c>
      <c r="K158" s="9">
        <f>_xll.BQL("DAL US Equity", "NOI_LOSS_GAAP_RATIO/1M", "FPT=A", "FPO=-1A", "ACT_EST_MAPPING=PRECISE", "FS=MRC", "CURRENCY=USD", "XLFILL=b")</f>
        <v>1747</v>
      </c>
      <c r="L158" s="9">
        <f>_xll.BQL("DAL US Equity", "NOI_LOSS_GAAP_RATIO/1M", "FPT=A", "FPO=-2A", "ACT_EST_MAPPING=PRECISE", "FS=MRC", "CURRENCY=USD", "XLFILL=b")</f>
        <v>1488</v>
      </c>
      <c r="M158" s="9">
        <f>_xll.BQL("DAL US Equity", "NOI_LOSS_GAAP_RATIO/1M", "FPT=A", "FPO=-3A", "ACT_EST_MAPPING=PRECISE", "FS=MRC", "CURRENCY=USD", "XLFILL=b")</f>
        <v>3118</v>
      </c>
      <c r="N158" s="9">
        <f>_xll.BQL("DAL US Equity", "NOI_LOSS_GAAP_RATIO/1M", "FPT=A", "FPO=-4A", "ACT_EST_MAPPING=PRECISE", "FS=MRC", "CURRENCY=USD", "XLFILL=b")</f>
        <v>420</v>
      </c>
    </row>
    <row r="159" spans="1:14" x14ac:dyDescent="0.2">
      <c r="A159" s="8" t="s">
        <v>12</v>
      </c>
      <c r="B159" s="4" t="s">
        <v>172</v>
      </c>
      <c r="C159" s="4" t="s">
        <v>165</v>
      </c>
      <c r="D159" s="4"/>
      <c r="E159" s="9">
        <f>_xll.BQL("DAL US Equity", "FA_GROWTH(NOI_LOSS_GAAP_RATIO, YOY)", "FPT=A", "FPO=5A", "ACT_EST_MAPPING=PRECISE", "FS=MRC", "CURRENCY=USD", "XLFILL=b")</f>
        <v>0.56050259266286273</v>
      </c>
      <c r="F159" s="9">
        <f>_xll.BQL("DAL US Equity", "FA_GROWTH(NOI_LOSS_GAAP_RATIO, YOY)", "FPT=A", "FPO=4A", "ACT_EST_MAPPING=PRECISE", "FS=MRC", "CURRENCY=USD", "XLFILL=b")</f>
        <v>-2.7742526275704935</v>
      </c>
      <c r="G159" s="9">
        <f>_xll.BQL("DAL US Equity", "FA_GROWTH(NOI_LOSS_GAAP_RATIO, YOY)", "FPT=A", "FPO=3A", "ACT_EST_MAPPING=PRECISE", "FS=MRC", "CURRENCY=USD", "XLFILL=b")</f>
        <v>-13.800291403229515</v>
      </c>
      <c r="H159" s="9">
        <f>_xll.BQL("DAL US Equity", "FA_GROWTH(NOI_LOSS_GAAP_RATIO, YOY)", "FPT=A", "FPO=2A", "ACT_EST_MAPPING=PRECISE", "FS=MRC", "CURRENCY=USD", "XLFILL=b")</f>
        <v>-40.178612529884084</v>
      </c>
      <c r="I159" s="9">
        <f>_xll.BQL("DAL US Equity", "FA_GROWTH(NOI_LOSS_GAAP_RATIO, YOY)", "FPT=A", "FPO=1A", "ACT_EST_MAPPING=PRECISE", "FS=MRC", "CURRENCY=USD", "XLFILL=b")</f>
        <v>1703.7367301686834</v>
      </c>
      <c r="J159" s="9">
        <f>_xll.BQL("DAL US Equity", "FA_GROWTH(NOI_LOSS_GAAP_RATIO, YOY)", "FPT=A", "FPO=0A", "ACT_EST_MAPPING=PRECISE", "FS=MRC", "CURRENCY=USD", "XLFILL=b")</f>
        <v>-104.97996565540927</v>
      </c>
      <c r="K159" s="9">
        <f>_xll.BQL("DAL US Equity", "FA_GROWTH(NOI_LOSS_GAAP_RATIO, YOY)", "FPT=A", "FPO=-1A", "ACT_EST_MAPPING=PRECISE", "FS=MRC", "CURRENCY=USD", "XLFILL=b")</f>
        <v>17.405913978494624</v>
      </c>
      <c r="L159" s="9">
        <f>_xll.BQL("DAL US Equity", "FA_GROWTH(NOI_LOSS_GAAP_RATIO, YOY)", "FPT=A", "FPO=-2A", "ACT_EST_MAPPING=PRECISE", "FS=MRC", "CURRENCY=USD", "XLFILL=b")</f>
        <v>-52.277100705580501</v>
      </c>
      <c r="M159" s="9">
        <f>_xll.BQL("DAL US Equity", "FA_GROWTH(NOI_LOSS_GAAP_RATIO, YOY)", "FPT=A", "FPO=-3A", "ACT_EST_MAPPING=PRECISE", "FS=MRC", "CURRENCY=USD", "XLFILL=b")</f>
        <v>642.38095238095241</v>
      </c>
      <c r="N159" s="9">
        <f>_xll.BQL("DAL US Equity", "FA_GROWTH(NOI_LOSS_GAAP_RATIO, YOY)", "FPT=A", "FPO=-4A", "ACT_EST_MAPPING=PRECISE", "FS=MRC", "CURRENCY=USD", "XLFILL=b")</f>
        <v>271.68141592920352</v>
      </c>
    </row>
    <row r="160" spans="1:14" x14ac:dyDescent="0.2">
      <c r="A160" s="8" t="s">
        <v>16</v>
      </c>
      <c r="B160" s="4"/>
      <c r="C160" s="4"/>
      <c r="D160" s="4"/>
      <c r="E160" s="9"/>
      <c r="F160" s="9"/>
      <c r="G160" s="9"/>
      <c r="H160" s="9"/>
      <c r="I160" s="9"/>
      <c r="J160" s="9"/>
      <c r="K160" s="9"/>
      <c r="L160" s="9"/>
      <c r="M160" s="9"/>
      <c r="N160" s="9"/>
    </row>
    <row r="161" spans="1:14" x14ac:dyDescent="0.2">
      <c r="A161" s="8" t="s">
        <v>173</v>
      </c>
      <c r="B161" s="4" t="s">
        <v>174</v>
      </c>
      <c r="C161" s="4" t="s">
        <v>175</v>
      </c>
      <c r="D161" s="4"/>
      <c r="E161" s="9">
        <f>_xll.BQL("DAL US Equity", "PRETAX_INC/1M", "FPT=A", "FPO=5A", "ACT_EST_MAPPING=PRECISE", "FS=MRC", "CURRENCY=USD", "XLFILL=b")</f>
        <v>6506.4546168593315</v>
      </c>
      <c r="F161" s="9">
        <f>_xll.BQL("DAL US Equity", "PRETAX_INC/1M", "FPT=A", "FPO=4A", "ACT_EST_MAPPING=PRECISE", "FS=MRC", "CURRENCY=USD", "XLFILL=b")</f>
        <v>6416.9097560133578</v>
      </c>
      <c r="G161" s="9">
        <f>_xll.BQL("DAL US Equity", "PRETAX_INC/1M", "FPT=A", "FPO=3A", "ACT_EST_MAPPING=PRECISE", "FS=MRC", "CURRENCY=USD", "XLFILL=b")</f>
        <v>6324.7566155207915</v>
      </c>
      <c r="H161" s="9">
        <f>_xll.BQL("DAL US Equity", "PRETAX_INC/1M", "FPT=A", "FPO=2A", "ACT_EST_MAPPING=PRECISE", "FS=MRC", "CURRENCY=USD", "XLFILL=b")</f>
        <v>6403.4466716401139</v>
      </c>
      <c r="I161" s="9">
        <f>_xll.BQL("DAL US Equity", "PRETAX_INC/1M", "FPT=A", "FPO=1A", "ACT_EST_MAPPING=PRECISE", "FS=MRC", "CURRENCY=USD", "XLFILL=b")</f>
        <v>4694.528917782678</v>
      </c>
      <c r="J161" s="9">
        <f>_xll.BQL("DAL US Equity", "PRETAX_INC/1M", "FPT=A", "FPO=0A", "ACT_EST_MAPPING=PRECISE", "FS=MRC", "CURRENCY=USD", "XLFILL=b")</f>
        <v>5608</v>
      </c>
      <c r="K161" s="9">
        <f>_xll.BQL("DAL US Equity", "PRETAX_INC/1M", "FPT=A", "FPO=-1A", "ACT_EST_MAPPING=PRECISE", "FS=MRC", "CURRENCY=USD", "XLFILL=b")</f>
        <v>1914</v>
      </c>
      <c r="L161" s="9">
        <f>_xll.BQL("DAL US Equity", "PRETAX_INC/1M", "FPT=A", "FPO=-2A", "ACT_EST_MAPPING=PRECISE", "FS=MRC", "CURRENCY=USD", "XLFILL=b")</f>
        <v>398</v>
      </c>
      <c r="M161" s="9">
        <f>_xll.BQL("DAL US Equity", "PRETAX_INC/1M", "FPT=A", "FPO=-3A", "ACT_EST_MAPPING=PRECISE", "FS=MRC", "CURRENCY=USD", "XLFILL=b")</f>
        <v>-15587</v>
      </c>
      <c r="N161" s="9">
        <f>_xll.BQL("DAL US Equity", "PRETAX_INC/1M", "FPT=A", "FPO=-4A", "ACT_EST_MAPPING=PRECISE", "FS=MRC", "CURRENCY=USD", "XLFILL=b")</f>
        <v>6198</v>
      </c>
    </row>
    <row r="162" spans="1:14" x14ac:dyDescent="0.2">
      <c r="A162" s="8" t="s">
        <v>12</v>
      </c>
      <c r="B162" s="4" t="s">
        <v>174</v>
      </c>
      <c r="C162" s="4" t="s">
        <v>175</v>
      </c>
      <c r="D162" s="4"/>
      <c r="E162" s="9">
        <f>_xll.BQL("DAL US Equity", "FA_GROWTH(PRETAX_INC, YOY)", "FPT=A", "FPO=5A", "ACT_EST_MAPPING=PRECISE", "FS=MRC", "CURRENCY=USD", "XLFILL=b")</f>
        <v>1.3954514595138185</v>
      </c>
      <c r="F162" s="9">
        <f>_xll.BQL("DAL US Equity", "FA_GROWTH(PRETAX_INC, YOY)", "FPT=A", "FPO=4A", "ACT_EST_MAPPING=PRECISE", "FS=MRC", "CURRENCY=USD", "XLFILL=b")</f>
        <v>1.4570227139875329</v>
      </c>
      <c r="G162" s="9">
        <f>_xll.BQL("DAL US Equity", "FA_GROWTH(PRETAX_INC, YOY)", "FPT=A", "FPO=3A", "ACT_EST_MAPPING=PRECISE", "FS=MRC", "CURRENCY=USD", "XLFILL=b")</f>
        <v>-1.2288703280348847</v>
      </c>
      <c r="H162" s="9">
        <f>_xll.BQL("DAL US Equity", "FA_GROWTH(PRETAX_INC, YOY)", "FPT=A", "FPO=2A", "ACT_EST_MAPPING=PRECISE", "FS=MRC", "CURRENCY=USD", "XLFILL=b")</f>
        <v>36.402326703838753</v>
      </c>
      <c r="I162" s="9">
        <f>_xll.BQL("DAL US Equity", "FA_GROWTH(PRETAX_INC, YOY)", "FPT=A", "FPO=1A", "ACT_EST_MAPPING=PRECISE", "FS=MRC", "CURRENCY=USD", "XLFILL=b")</f>
        <v>-16.288714019567088</v>
      </c>
      <c r="J162" s="9">
        <f>_xll.BQL("DAL US Equity", "FA_GROWTH(PRETAX_INC, YOY)", "FPT=A", "FPO=0A", "ACT_EST_MAPPING=PRECISE", "FS=MRC", "CURRENCY=USD", "XLFILL=b")</f>
        <v>192.99895506792058</v>
      </c>
      <c r="K162" s="9">
        <f>_xll.BQL("DAL US Equity", "FA_GROWTH(PRETAX_INC, YOY)", "FPT=A", "FPO=-1A", "ACT_EST_MAPPING=PRECISE", "FS=MRC", "CURRENCY=USD", "XLFILL=b")</f>
        <v>380.90452261306535</v>
      </c>
      <c r="L162" s="9">
        <f>_xll.BQL("DAL US Equity", "FA_GROWTH(PRETAX_INC, YOY)", "FPT=A", "FPO=-2A", "ACT_EST_MAPPING=PRECISE", "FS=MRC", "CURRENCY=USD", "XLFILL=b")</f>
        <v>102.55340989285943</v>
      </c>
      <c r="M162" s="9">
        <f>_xll.BQL("DAL US Equity", "FA_GROWTH(PRETAX_INC, YOY)", "FPT=A", "FPO=-3A", "ACT_EST_MAPPING=PRECISE", "FS=MRC", "CURRENCY=USD", "XLFILL=b")</f>
        <v>-351.4843497902549</v>
      </c>
      <c r="N162" s="9">
        <f>_xll.BQL("DAL US Equity", "FA_GROWTH(PRETAX_INC, YOY)", "FPT=A", "FPO=-4A", "ACT_EST_MAPPING=PRECISE", "FS=MRC", "CURRENCY=USD", "XLFILL=b")</f>
        <v>20.326150262085033</v>
      </c>
    </row>
    <row r="163" spans="1:14" x14ac:dyDescent="0.2">
      <c r="A163" s="8" t="s">
        <v>176</v>
      </c>
      <c r="B163" s="4" t="s">
        <v>177</v>
      </c>
      <c r="C163" s="4"/>
      <c r="D163" s="4"/>
      <c r="E163" s="9">
        <f>_xll.BQL("DAL US Equity", "ADJUSTED_PTP_MARGIN_AS_REPORTED", "FPT=A", "FPO=5A", "ACT_EST_MAPPING=PRECISE", "FS=MRC", "CURRENCY=USD", "XLFILL=b")</f>
        <v>11.729938242986361</v>
      </c>
      <c r="F163" s="9">
        <f>_xll.BQL("DAL US Equity", "ADJUSTED_PTP_MARGIN_AS_REPORTED", "FPT=A", "FPO=4A", "ACT_EST_MAPPING=PRECISE", "FS=MRC", "CURRENCY=USD", "XLFILL=b")</f>
        <v>11.143460765074529</v>
      </c>
      <c r="G163" s="9">
        <f>_xll.BQL("DAL US Equity", "ADJUSTED_PTP_MARGIN_AS_REPORTED", "FPT=A", "FPO=3A", "ACT_EST_MAPPING=PRECISE", "FS=MRC", "CURRENCY=USD", "XLFILL=b")</f>
        <v>10.266658922660101</v>
      </c>
      <c r="H163" s="9">
        <f>_xll.BQL("DAL US Equity", "ADJUSTED_PTP_MARGIN_AS_REPORTED", "FPT=A", "FPO=2A", "ACT_EST_MAPPING=PRECISE", "FS=MRC", "CURRENCY=USD", "XLFILL=b")</f>
        <v>9.6761840254241225</v>
      </c>
      <c r="I163" s="9">
        <f>_xll.BQL("DAL US Equity", "ADJUSTED_PTP_MARGIN_AS_REPORTED", "FPT=A", "FPO=1A", "ACT_EST_MAPPING=PRECISE", "FS=MRC", "CURRENCY=USD", "XLFILL=b")</f>
        <v>8.2586683370147167</v>
      </c>
      <c r="J163" s="9">
        <f>_xll.BQL("DAL US Equity", "ADJUSTED_PTP_MARGIN_AS_REPORTED", "FPT=A", "FPO=0A", "ACT_EST_MAPPING=PRECISE", "FS=MRC", "CURRENCY=USD", "XLFILL=b")</f>
        <v>8.9925578831312016</v>
      </c>
      <c r="K163" s="9">
        <f>_xll.BQL("DAL US Equity", "ADJUSTED_PTP_MARGIN_AS_REPORTED", "FPT=A", "FPO=-1A", "ACT_EST_MAPPING=PRECISE", "FS=MRC", "CURRENCY=USD", "XLFILL=b")</f>
        <v>5.3437981890791191</v>
      </c>
      <c r="L163" s="9">
        <f>_xll.BQL("DAL US Equity", "ADJUSTED_PTP_MARGIN_AS_REPORTED", "FPT=A", "FPO=-2A", "ACT_EST_MAPPING=PRECISE", "FS=MRC", "CURRENCY=USD", "XLFILL=b")</f>
        <v>-11.421786681828824</v>
      </c>
      <c r="M163" s="9">
        <f>_xll.BQL("DAL US Equity", "ADJUSTED_PTP_MARGIN_AS_REPORTED", "FPT=A", "FPO=-3A", "ACT_EST_MAPPING=PRECISE", "FS=MRC", "CURRENCY=USD", "XLFILL=b")</f>
        <v>-52.623574144486696</v>
      </c>
      <c r="N163" s="9">
        <f>_xll.BQL("DAL US Equity", "ADJUSTED_PTP_MARGIN_AS_REPORTED", "FPT=A", "FPO=-4A", "ACT_EST_MAPPING=PRECISE", "FS=MRC", "CURRENCY=USD", "XLFILL=b")</f>
        <v>13.212925734465081</v>
      </c>
    </row>
    <row r="164" spans="1:14" x14ac:dyDescent="0.2">
      <c r="A164" s="8" t="s">
        <v>86</v>
      </c>
      <c r="B164" s="4" t="s">
        <v>177</v>
      </c>
      <c r="C164" s="4"/>
      <c r="D164" s="4"/>
      <c r="E164" s="9">
        <f>_xll.BQL("DAL US Equity", "FA_GROWTH(ADJUSTED_PTP_MARGIN_AS_REPORTED, YOY)", "FPT=A", "FPO=5A", "ACT_EST_MAPPING=PRECISE", "FS=MRC", "CURRENCY=USD", "XLFILL=b")</f>
        <v>5.2629743153935618</v>
      </c>
      <c r="F164" s="9">
        <f>_xll.BQL("DAL US Equity", "FA_GROWTH(ADJUSTED_PTP_MARGIN_AS_REPORTED, YOY)", "FPT=A", "FPO=4A", "ACT_EST_MAPPING=PRECISE", "FS=MRC", "CURRENCY=USD", "XLFILL=b")</f>
        <v>8.5402841276745978</v>
      </c>
      <c r="G164" s="9">
        <f>_xll.BQL("DAL US Equity", "FA_GROWTH(ADJUSTED_PTP_MARGIN_AS_REPORTED, YOY)", "FPT=A", "FPO=3A", "ACT_EST_MAPPING=PRECISE", "FS=MRC", "CURRENCY=USD", "XLFILL=b")</f>
        <v>6.1023529077631089</v>
      </c>
      <c r="H164" s="9">
        <f>_xll.BQL("DAL US Equity", "FA_GROWTH(ADJUSTED_PTP_MARGIN_AS_REPORTED, YOY)", "FPT=A", "FPO=2A", "ACT_EST_MAPPING=PRECISE", "FS=MRC", "CURRENCY=USD", "XLFILL=b")</f>
        <v>17.163974027824917</v>
      </c>
      <c r="I164" s="9">
        <f>_xll.BQL("DAL US Equity", "FA_GROWTH(ADJUSTED_PTP_MARGIN_AS_REPORTED, YOY)", "FPT=A", "FPO=1A", "ACT_EST_MAPPING=PRECISE", "FS=MRC", "CURRENCY=USD", "XLFILL=b")</f>
        <v>-8.1610766998026296</v>
      </c>
      <c r="J164" s="9">
        <f>_xll.BQL("DAL US Equity", "FA_GROWTH(ADJUSTED_PTP_MARGIN_AS_REPORTED, YOY)", "FPT=A", "FPO=0A", "ACT_EST_MAPPING=PRECISE", "FS=MRC", "CURRENCY=USD", "XLFILL=b")</f>
        <v>68.28026742306416</v>
      </c>
      <c r="K164" s="9">
        <f>_xll.BQL("DAL US Equity", "FA_GROWTH(ADJUSTED_PTP_MARGIN_AS_REPORTED, YOY)", "FPT=A", "FPO=-1A", "ACT_EST_MAPPING=PRECISE", "FS=MRC", "CURRENCY=USD", "XLFILL=b")</f>
        <v>146.78600938661103</v>
      </c>
      <c r="L164" s="9">
        <f>_xll.BQL("DAL US Equity", "FA_GROWTH(ADJUSTED_PTP_MARGIN_AS_REPORTED, YOY)", "FPT=A", "FPO=-2A", "ACT_EST_MAPPING=PRECISE", "FS=MRC", "CURRENCY=USD", "XLFILL=b")</f>
        <v>78.295304210108526</v>
      </c>
      <c r="M164" s="9">
        <f>_xll.BQL("DAL US Equity", "FA_GROWTH(ADJUSTED_PTP_MARGIN_AS_REPORTED, YOY)", "FPT=A", "FPO=-3A", "ACT_EST_MAPPING=PRECISE", "FS=MRC", "CURRENCY=USD", "XLFILL=b")</f>
        <v>-498.27344224921683</v>
      </c>
      <c r="N164" s="9">
        <f>_xll.BQL("DAL US Equity", "FA_GROWTH(ADJUSTED_PTP_MARGIN_AS_REPORTED, YOY)", "FPT=A", "FPO=-4A", "ACT_EST_MAPPING=PRECISE", "FS=MRC", "CURRENCY=USD", "XLFILL=b")</f>
        <v>15.53640176862638</v>
      </c>
    </row>
    <row r="165" spans="1:14" x14ac:dyDescent="0.2">
      <c r="A165" s="8" t="s">
        <v>16</v>
      </c>
      <c r="B165" s="4"/>
      <c r="C165" s="4"/>
      <c r="D165" s="4"/>
      <c r="E165" s="9"/>
      <c r="F165" s="9"/>
      <c r="G165" s="9"/>
      <c r="H165" s="9"/>
      <c r="I165" s="9"/>
      <c r="J165" s="9"/>
      <c r="K165" s="9"/>
      <c r="L165" s="9"/>
      <c r="M165" s="9"/>
      <c r="N165" s="9"/>
    </row>
    <row r="166" spans="1:14" x14ac:dyDescent="0.2">
      <c r="A166" s="8" t="s">
        <v>178</v>
      </c>
      <c r="B166" s="4" t="s">
        <v>179</v>
      </c>
      <c r="C166" s="4" t="s">
        <v>180</v>
      </c>
      <c r="D166" s="4"/>
      <c r="E166" s="9">
        <f>_xll.BQL("DAL US Equity", "IS_INC_TAX_EXP/1M", "FPT=A", "FPO=5A", "ACT_EST_MAPPING=PRECISE", "FS=MRC", "CURRENCY=USD", "XLFILL=b")</f>
        <v>1542.5823964413357</v>
      </c>
      <c r="F166" s="9">
        <f>_xll.BQL("DAL US Equity", "IS_INC_TAX_EXP/1M", "FPT=A", "FPO=4A", "ACT_EST_MAPPING=PRECISE", "FS=MRC", "CURRENCY=USD", "XLFILL=b")</f>
        <v>1539.7192647647498</v>
      </c>
      <c r="G166" s="9">
        <f>_xll.BQL("DAL US Equity", "IS_INC_TAX_EXP/1M", "FPT=A", "FPO=3A", "ACT_EST_MAPPING=PRECISE", "FS=MRC", "CURRENCY=USD", "XLFILL=b")</f>
        <v>1511.4214016808587</v>
      </c>
      <c r="H166" s="9">
        <f>_xll.BQL("DAL US Equity", "IS_INC_TAX_EXP/1M", "FPT=A", "FPO=2A", "ACT_EST_MAPPING=PRECISE", "FS=MRC", "CURRENCY=USD", "XLFILL=b")</f>
        <v>1524.521992818791</v>
      </c>
      <c r="I166" s="9">
        <f>_xll.BQL("DAL US Equity", "IS_INC_TAX_EXP/1M", "FPT=A", "FPO=1A", "ACT_EST_MAPPING=PRECISE", "FS=MRC", "CURRENCY=USD", "XLFILL=b")</f>
        <v>1172.2364085884965</v>
      </c>
      <c r="J166" s="9">
        <f>_xll.BQL("DAL US Equity", "IS_INC_TAX_EXP/1M", "FPT=A", "FPO=0A", "ACT_EST_MAPPING=PRECISE", "FS=MRC", "CURRENCY=USD", "XLFILL=b")</f>
        <v>999</v>
      </c>
      <c r="K166" s="9">
        <f>_xll.BQL("DAL US Equity", "IS_INC_TAX_EXP/1M", "FPT=A", "FPO=-1A", "ACT_EST_MAPPING=PRECISE", "FS=MRC", "CURRENCY=USD", "XLFILL=b")</f>
        <v>596</v>
      </c>
      <c r="L166" s="9">
        <f>_xll.BQL("DAL US Equity", "IS_INC_TAX_EXP/1M", "FPT=A", "FPO=-2A", "ACT_EST_MAPPING=PRECISE", "FS=MRC", "CURRENCY=USD", "XLFILL=b")</f>
        <v>118</v>
      </c>
      <c r="M166" s="9">
        <f>_xll.BQL("DAL US Equity", "IS_INC_TAX_EXP/1M", "FPT=A", "FPO=-3A", "ACT_EST_MAPPING=PRECISE", "FS=MRC", "CURRENCY=USD", "XLFILL=b")</f>
        <v>-3202</v>
      </c>
      <c r="N166" s="9">
        <f>_xll.BQL("DAL US Equity", "IS_INC_TAX_EXP/1M", "FPT=A", "FPO=-4A", "ACT_EST_MAPPING=PRECISE", "FS=MRC", "CURRENCY=USD", "XLFILL=b")</f>
        <v>1431</v>
      </c>
    </row>
    <row r="167" spans="1:14" x14ac:dyDescent="0.2">
      <c r="A167" s="8" t="s">
        <v>12</v>
      </c>
      <c r="B167" s="4" t="s">
        <v>179</v>
      </c>
      <c r="C167" s="4" t="s">
        <v>180</v>
      </c>
      <c r="D167" s="4"/>
      <c r="E167" s="9">
        <f>_xll.BQL("DAL US Equity", "FA_GROWTH(IS_INC_TAX_EXP, YOY)", "FPT=A", "FPO=5A", "ACT_EST_MAPPING=PRECISE", "FS=MRC", "CURRENCY=USD", "XLFILL=b")</f>
        <v>0.18595153948556747</v>
      </c>
      <c r="F167" s="9">
        <f>_xll.BQL("DAL US Equity", "FA_GROWTH(IS_INC_TAX_EXP, YOY)", "FPT=A", "FPO=4A", "ACT_EST_MAPPING=PRECISE", "FS=MRC", "CURRENCY=USD", "XLFILL=b")</f>
        <v>1.8722682537392266</v>
      </c>
      <c r="G167" s="9">
        <f>_xll.BQL("DAL US Equity", "FA_GROWTH(IS_INC_TAX_EXP, YOY)", "FPT=A", "FPO=3A", "ACT_EST_MAPPING=PRECISE", "FS=MRC", "CURRENCY=USD", "XLFILL=b")</f>
        <v>-0.85932450956051731</v>
      </c>
      <c r="H167" s="9">
        <f>_xll.BQL("DAL US Equity", "FA_GROWTH(IS_INC_TAX_EXP, YOY)", "FPT=A", "FPO=2A", "ACT_EST_MAPPING=PRECISE", "FS=MRC", "CURRENCY=USD", "XLFILL=b")</f>
        <v>30.052434956740996</v>
      </c>
      <c r="I167" s="9">
        <f>_xll.BQL("DAL US Equity", "FA_GROWTH(IS_INC_TAX_EXP, YOY)", "FPT=A", "FPO=1A", "ACT_EST_MAPPING=PRECISE", "FS=MRC", "CURRENCY=USD", "XLFILL=b")</f>
        <v>17.340981840690333</v>
      </c>
      <c r="J167" s="9">
        <f>_xll.BQL("DAL US Equity", "FA_GROWTH(IS_INC_TAX_EXP, YOY)", "FPT=A", "FPO=0A", "ACT_EST_MAPPING=PRECISE", "FS=MRC", "CURRENCY=USD", "XLFILL=b")</f>
        <v>67.617449664429529</v>
      </c>
      <c r="K167" s="9">
        <f>_xll.BQL("DAL US Equity", "FA_GROWTH(IS_INC_TAX_EXP, YOY)", "FPT=A", "FPO=-1A", "ACT_EST_MAPPING=PRECISE", "FS=MRC", "CURRENCY=USD", "XLFILL=b")</f>
        <v>405.08474576271186</v>
      </c>
      <c r="L167" s="9">
        <f>_xll.BQL("DAL US Equity", "FA_GROWTH(IS_INC_TAX_EXP, YOY)", "FPT=A", "FPO=-2A", "ACT_EST_MAPPING=PRECISE", "FS=MRC", "CURRENCY=USD", "XLFILL=b")</f>
        <v>103.68519675202998</v>
      </c>
      <c r="M167" s="9">
        <f>_xll.BQL("DAL US Equity", "FA_GROWTH(IS_INC_TAX_EXP, YOY)", "FPT=A", "FPO=-3A", "ACT_EST_MAPPING=PRECISE", "FS=MRC", "CURRENCY=USD", "XLFILL=b")</f>
        <v>-323.75960866526907</v>
      </c>
      <c r="N167" s="9">
        <f>_xll.BQL("DAL US Equity", "FA_GROWTH(IS_INC_TAX_EXP, YOY)", "FPT=A", "FPO=-4A", "ACT_EST_MAPPING=PRECISE", "FS=MRC", "CURRENCY=USD", "XLFILL=b")</f>
        <v>17.680921052631579</v>
      </c>
    </row>
    <row r="168" spans="1:14" x14ac:dyDescent="0.2">
      <c r="A168" s="8" t="s">
        <v>181</v>
      </c>
      <c r="B168" s="4" t="s">
        <v>182</v>
      </c>
      <c r="C168" s="4" t="s">
        <v>183</v>
      </c>
      <c r="D168" s="4"/>
      <c r="E168" s="9">
        <f>_xll.BQL("DAL US Equity", "EFF_TAX_RATE", "FPT=A", "FPO=5A", "ACT_EST_MAPPING=PRECISE", "FS=MRC", "CURRENCY=USD", "XLFILL=b")</f>
        <v>24</v>
      </c>
      <c r="F168" s="9">
        <f>_xll.BQL("DAL US Equity", "EFF_TAX_RATE", "FPT=A", "FPO=4A", "ACT_EST_MAPPING=PRECISE", "FS=MRC", "CURRENCY=USD", "XLFILL=b")</f>
        <v>24.166666666666668</v>
      </c>
      <c r="G168" s="9">
        <f>_xll.BQL("DAL US Equity", "EFF_TAX_RATE", "FPT=A", "FPO=3A", "ACT_EST_MAPPING=PRECISE", "FS=MRC", "CURRENCY=USD", "XLFILL=b")</f>
        <v>24</v>
      </c>
      <c r="H168" s="9">
        <f>_xll.BQL("DAL US Equity", "EFF_TAX_RATE", "FPT=A", "FPO=2A", "ACT_EST_MAPPING=PRECISE", "FS=MRC", "CURRENCY=USD", "XLFILL=b")</f>
        <v>24.000000000000014</v>
      </c>
      <c r="I168" s="9">
        <f>_xll.BQL("DAL US Equity", "EFF_TAX_RATE", "FPT=A", "FPO=1A", "ACT_EST_MAPPING=PRECISE", "FS=MRC", "CURRENCY=USD", "XLFILL=b")</f>
        <v>25.005845344084751</v>
      </c>
      <c r="J168" s="9">
        <f>_xll.BQL("DAL US Equity", "EFF_TAX_RATE", "FPT=A", "FPO=0A", "ACT_EST_MAPPING=PRECISE", "FS=MRC", "CURRENCY=USD", "XLFILL=b")</f>
        <v>17.813837375178316</v>
      </c>
      <c r="K168" s="9">
        <f>_xll.BQL("DAL US Equity", "EFF_TAX_RATE", "FPT=A", "FPO=-1A", "ACT_EST_MAPPING=PRECISE", "FS=MRC", "CURRENCY=USD", "XLFILL=b")</f>
        <v>31.138975966562175</v>
      </c>
      <c r="L168" s="9">
        <f>_xll.BQL("DAL US Equity", "EFF_TAX_RATE", "FPT=A", "FPO=-2A", "ACT_EST_MAPPING=PRECISE", "FS=MRC", "CURRENCY=USD", "XLFILL=b")</f>
        <v>29.64824120603015</v>
      </c>
      <c r="M168" s="9" t="str">
        <f>_xll.BQL("DAL US Equity", "EFF_TAX_RATE", "FPT=A", "FPO=-3A", "ACT_EST_MAPPING=PRECISE", "FS=MRC", "CURRENCY=USD", "XLFILL=b")</f>
        <v/>
      </c>
      <c r="N168" s="9">
        <f>_xll.BQL("DAL US Equity", "EFF_TAX_RATE", "FPT=A", "FPO=-4A", "ACT_EST_MAPPING=PRECISE", "FS=MRC", "CURRENCY=USD", "XLFILL=b")</f>
        <v>23.088092933204258</v>
      </c>
    </row>
    <row r="169" spans="1:14" x14ac:dyDescent="0.2">
      <c r="A169" s="8" t="s">
        <v>86</v>
      </c>
      <c r="B169" s="4" t="s">
        <v>182</v>
      </c>
      <c r="C169" s="4" t="s">
        <v>183</v>
      </c>
      <c r="D169" s="4"/>
      <c r="E169" s="9">
        <f>_xll.BQL("DAL US Equity", "FA_GROWTH(EFF_TAX_RATE, YOY)", "FPT=A", "FPO=5A", "ACT_EST_MAPPING=PRECISE", "FS=MRC", "CURRENCY=USD", "XLFILL=b")</f>
        <v>-0.68965517241379792</v>
      </c>
      <c r="F169" s="9">
        <f>_xll.BQL("DAL US Equity", "FA_GROWTH(EFF_TAX_RATE, YOY)", "FPT=A", "FPO=4A", "ACT_EST_MAPPING=PRECISE", "FS=MRC", "CURRENCY=USD", "XLFILL=b")</f>
        <v>0.69444444444444942</v>
      </c>
      <c r="G169" s="9">
        <f>_xll.BQL("DAL US Equity", "FA_GROWTH(EFF_TAX_RATE, YOY)", "FPT=A", "FPO=3A", "ACT_EST_MAPPING=PRECISE", "FS=MRC", "CURRENCY=USD", "XLFILL=b")</f>
        <v>-5.9211894646674982E-14</v>
      </c>
      <c r="H169" s="9">
        <f>_xll.BQL("DAL US Equity", "FA_GROWTH(EFF_TAX_RATE, YOY)", "FPT=A", "FPO=2A", "ACT_EST_MAPPING=PRECISE", "FS=MRC", "CURRENCY=USD", "XLFILL=b")</f>
        <v>-4.0224408743001128</v>
      </c>
      <c r="I169" s="9">
        <f>_xll.BQL("DAL US Equity", "FA_GROWTH(EFF_TAX_RATE, YOY)", "FPT=A", "FPO=1A", "ACT_EST_MAPPING=PRECISE", "FS=MRC", "CURRENCY=USD", "XLFILL=b")</f>
        <v>40.37315384347076</v>
      </c>
      <c r="J169" s="9">
        <f>_xll.BQL("DAL US Equity", "FA_GROWTH(EFF_TAX_RATE, YOY)", "FPT=A", "FPO=0A", "ACT_EST_MAPPING=PRECISE", "FS=MRC", "CURRENCY=USD", "XLFILL=b")</f>
        <v>-42.792475275014603</v>
      </c>
      <c r="K169" s="9">
        <f>_xll.BQL("DAL US Equity", "FA_GROWTH(EFF_TAX_RATE, YOY)", "FPT=A", "FPO=-1A", "ACT_EST_MAPPING=PRECISE", "FS=MRC", "CURRENCY=USD", "XLFILL=b")</f>
        <v>5.0280714804385234</v>
      </c>
      <c r="L169" s="9" t="str">
        <f>_xll.BQL("DAL US Equity", "FA_GROWTH(EFF_TAX_RATE, YOY)", "FPT=A", "FPO=-2A", "ACT_EST_MAPPING=PRECISE", "FS=MRC", "CURRENCY=USD", "XLFILL=b")</f>
        <v/>
      </c>
      <c r="M169" s="9" t="str">
        <f>_xll.BQL("DAL US Equity", "FA_GROWTH(EFF_TAX_RATE, YOY)", "FPT=A", "FPO=-3A", "ACT_EST_MAPPING=PRECISE", "FS=MRC", "CURRENCY=USD", "XLFILL=b")</f>
        <v/>
      </c>
      <c r="N169" s="9">
        <f>_xll.BQL("DAL US Equity", "FA_GROWTH(EFF_TAX_RATE, YOY)", "FPT=A", "FPO=-4A", "ACT_EST_MAPPING=PRECISE", "FS=MRC", "CURRENCY=USD", "XLFILL=b")</f>
        <v>-2.1983826489020317</v>
      </c>
    </row>
    <row r="170" spans="1:14" x14ac:dyDescent="0.2">
      <c r="A170" s="8" t="s">
        <v>16</v>
      </c>
      <c r="B170" s="4"/>
      <c r="C170" s="4"/>
      <c r="D170" s="4"/>
      <c r="E170" s="9"/>
      <c r="F170" s="9"/>
      <c r="G170" s="9"/>
      <c r="H170" s="9"/>
      <c r="I170" s="9"/>
      <c r="J170" s="9"/>
      <c r="K170" s="9"/>
      <c r="L170" s="9"/>
      <c r="M170" s="9"/>
      <c r="N170" s="9"/>
    </row>
    <row r="171" spans="1:14" x14ac:dyDescent="0.2">
      <c r="A171" s="8" t="s">
        <v>184</v>
      </c>
      <c r="B171" s="4" t="s">
        <v>185</v>
      </c>
      <c r="C171" s="4" t="s">
        <v>186</v>
      </c>
      <c r="D171" s="4"/>
      <c r="E171" s="9">
        <f>_xll.BQL("DAL US Equity", "IS_COMP_NET_INCOME_GAAP/1M", "FPT=A", "FPO=5A", "ACT_EST_MAPPING=PRECISE", "FS=MRC", "CURRENCY=USD", "XLFILL=b")</f>
        <v>6308</v>
      </c>
      <c r="F171" s="9">
        <f>_xll.BQL("DAL US Equity", "IS_COMP_NET_INCOME_GAAP/1M", "FPT=A", "FPO=4A", "ACT_EST_MAPPING=PRECISE", "FS=MRC", "CURRENCY=USD", "XLFILL=b")</f>
        <v>5081.25</v>
      </c>
      <c r="G171" s="9">
        <f>_xll.BQL("DAL US Equity", "IS_COMP_NET_INCOME_GAAP/1M", "FPT=A", "FPO=3A", "ACT_EST_MAPPING=PRECISE", "FS=MRC", "CURRENCY=USD", "XLFILL=b")</f>
        <v>4903</v>
      </c>
      <c r="H171" s="9">
        <f>_xll.BQL("DAL US Equity", "IS_COMP_NET_INCOME_GAAP/1M", "FPT=A", "FPO=2A", "ACT_EST_MAPPING=PRECISE", "FS=MRC", "CURRENCY=USD", "XLFILL=b")</f>
        <v>4687.454545454545</v>
      </c>
      <c r="I171" s="9">
        <f>_xll.BQL("DAL US Equity", "IS_COMP_NET_INCOME_GAAP/1M", "FPT=A", "FPO=1A", "ACT_EST_MAPPING=PRECISE", "FS=MRC", "CURRENCY=USD", "XLFILL=b")</f>
        <v>3521.3846153846152</v>
      </c>
      <c r="J171" s="9">
        <f>_xll.BQL("DAL US Equity", "IS_COMP_NET_INCOME_GAAP/1M", "FPT=A", "FPO=0A", "ACT_EST_MAPPING=PRECISE", "FS=MRC", "CURRENCY=USD", "XLFILL=b")</f>
        <v>4609</v>
      </c>
      <c r="K171" s="9">
        <f>_xll.BQL("DAL US Equity", "IS_COMP_NET_INCOME_GAAP/1M", "FPT=A", "FPO=-1A", "ACT_EST_MAPPING=PRECISE", "FS=MRC", "CURRENCY=USD", "XLFILL=b")</f>
        <v>1318</v>
      </c>
      <c r="L171" s="9">
        <f>_xll.BQL("DAL US Equity", "IS_COMP_NET_INCOME_GAAP/1M", "FPT=A", "FPO=-2A", "ACT_EST_MAPPING=PRECISE", "FS=MRC", "CURRENCY=USD", "XLFILL=b")</f>
        <v>280</v>
      </c>
      <c r="M171" s="9">
        <f>_xll.BQL("DAL US Equity", "IS_COMP_NET_INCOME_GAAP/1M", "FPT=A", "FPO=-3A", "ACT_EST_MAPPING=PRECISE", "FS=MRC", "CURRENCY=USD", "XLFILL=b")</f>
        <v>-12385</v>
      </c>
      <c r="N171" s="9">
        <f>_xll.BQL("DAL US Equity", "IS_COMP_NET_INCOME_GAAP/1M", "FPT=A", "FPO=-4A", "ACT_EST_MAPPING=PRECISE", "FS=MRC", "CURRENCY=USD", "XLFILL=b")</f>
        <v>4767</v>
      </c>
    </row>
    <row r="172" spans="1:14" x14ac:dyDescent="0.2">
      <c r="A172" s="8" t="s">
        <v>12</v>
      </c>
      <c r="B172" s="4" t="s">
        <v>185</v>
      </c>
      <c r="C172" s="4" t="s">
        <v>186</v>
      </c>
      <c r="D172" s="4"/>
      <c r="E172" s="9">
        <f>_xll.BQL("DAL US Equity", "FA_GROWTH(IS_COMP_NET_INCOME_GAAP, YOY)", "FPT=A", "FPO=5A", "ACT_EST_MAPPING=PRECISE", "FS=MRC", "CURRENCY=USD", "XLFILL=b")</f>
        <v>24.142681426814267</v>
      </c>
      <c r="F172" s="9">
        <f>_xll.BQL("DAL US Equity", "FA_GROWTH(IS_COMP_NET_INCOME_GAAP, YOY)", "FPT=A", "FPO=4A", "ACT_EST_MAPPING=PRECISE", "FS=MRC", "CURRENCY=USD", "XLFILL=b")</f>
        <v>3.6355292677952273</v>
      </c>
      <c r="G172" s="9">
        <f>_xll.BQL("DAL US Equity", "FA_GROWTH(IS_COMP_NET_INCOME_GAAP, YOY)", "FPT=A", "FPO=3A", "ACT_EST_MAPPING=PRECISE", "FS=MRC", "CURRENCY=USD", "XLFILL=b")</f>
        <v>4.5983476203405704</v>
      </c>
      <c r="H172" s="9">
        <f>_xll.BQL("DAL US Equity", "FA_GROWTH(IS_COMP_NET_INCOME_GAAP, YOY)", "FPT=A", "FPO=2A", "ACT_EST_MAPPING=PRECISE", "FS=MRC", "CURRENCY=USD", "XLFILL=b")</f>
        <v>33.1139610531458</v>
      </c>
      <c r="I172" s="9">
        <f>_xll.BQL("DAL US Equity", "FA_GROWTH(IS_COMP_NET_INCOME_GAAP, YOY)", "FPT=A", "FPO=1A", "ACT_EST_MAPPING=PRECISE", "FS=MRC", "CURRENCY=USD", "XLFILL=b")</f>
        <v>-23.597643406712617</v>
      </c>
      <c r="J172" s="9">
        <f>_xll.BQL("DAL US Equity", "FA_GROWTH(IS_COMP_NET_INCOME_GAAP, YOY)", "FPT=A", "FPO=0A", "ACT_EST_MAPPING=PRECISE", "FS=MRC", "CURRENCY=USD", "XLFILL=b")</f>
        <v>249.69650986342944</v>
      </c>
      <c r="K172" s="9">
        <f>_xll.BQL("DAL US Equity", "FA_GROWTH(IS_COMP_NET_INCOME_GAAP, YOY)", "FPT=A", "FPO=-1A", "ACT_EST_MAPPING=PRECISE", "FS=MRC", "CURRENCY=USD", "XLFILL=b")</f>
        <v>370.71428571428572</v>
      </c>
      <c r="L172" s="9">
        <f>_xll.BQL("DAL US Equity", "FA_GROWTH(IS_COMP_NET_INCOME_GAAP, YOY)", "FPT=A", "FPO=-2A", "ACT_EST_MAPPING=PRECISE", "FS=MRC", "CURRENCY=USD", "XLFILL=b")</f>
        <v>102.26079935405733</v>
      </c>
      <c r="M172" s="9">
        <f>_xll.BQL("DAL US Equity", "FA_GROWTH(IS_COMP_NET_INCOME_GAAP, YOY)", "FPT=A", "FPO=-3A", "ACT_EST_MAPPING=PRECISE", "FS=MRC", "CURRENCY=USD", "XLFILL=b")</f>
        <v>-359.80700650304175</v>
      </c>
      <c r="N172" s="9">
        <f>_xll.BQL("DAL US Equity", "FA_GROWTH(IS_COMP_NET_INCOME_GAAP, YOY)", "FPT=A", "FPO=-4A", "ACT_EST_MAPPING=PRECISE", "FS=MRC", "CURRENCY=USD", "XLFILL=b")</f>
        <v>21.143583227445998</v>
      </c>
    </row>
    <row r="173" spans="1:14" x14ac:dyDescent="0.2">
      <c r="A173" s="8" t="s">
        <v>16</v>
      </c>
      <c r="B173" s="4"/>
      <c r="C173" s="4"/>
      <c r="D173" s="4"/>
      <c r="E173" s="9"/>
      <c r="F173" s="9"/>
      <c r="G173" s="9"/>
      <c r="H173" s="9"/>
      <c r="I173" s="9"/>
      <c r="J173" s="9"/>
      <c r="K173" s="9"/>
      <c r="L173" s="9"/>
      <c r="M173" s="9"/>
      <c r="N173" s="9"/>
    </row>
    <row r="174" spans="1:14" x14ac:dyDescent="0.2">
      <c r="A174" s="8" t="s">
        <v>187</v>
      </c>
      <c r="B174" s="4" t="s">
        <v>188</v>
      </c>
      <c r="C174" s="4"/>
      <c r="D174" s="4"/>
      <c r="E174" s="9">
        <f>_xll.BQL("DAL US Equity", "IS_AVG_NUM_SH_FOR_EPS/1M", "FPT=A", "FPO=5A", "ACT_EST_MAPPING=PRECISE", "FS=MRC", "CURRENCY=USD", "XLFILL=b")</f>
        <v>616.93369608782587</v>
      </c>
      <c r="F174" s="9">
        <f>_xll.BQL("DAL US Equity", "IS_AVG_NUM_SH_FOR_EPS/1M", "FPT=A", "FPO=4A", "ACT_EST_MAPPING=PRECISE", "FS=MRC", "CURRENCY=USD", "XLFILL=b")</f>
        <v>626.41152215351428</v>
      </c>
      <c r="G174" s="9">
        <f>_xll.BQL("DAL US Equity", "IS_AVG_NUM_SH_FOR_EPS/1M", "FPT=A", "FPO=3A", "ACT_EST_MAPPING=PRECISE", "FS=MRC", "CURRENCY=USD", "XLFILL=b")</f>
        <v>641.1978126152344</v>
      </c>
      <c r="H174" s="9">
        <f>_xll.BQL("DAL US Equity", "IS_AVG_NUM_SH_FOR_EPS/1M", "FPT=A", "FPO=2A", "ACT_EST_MAPPING=PRECISE", "FS=MRC", "CURRENCY=USD", "XLFILL=b")</f>
        <v>643.77927904904561</v>
      </c>
      <c r="I174" s="9">
        <f>_xll.BQL("DAL US Equity", "IS_AVG_NUM_SH_FOR_EPS/1M", "FPT=A", "FPO=1A", "ACT_EST_MAPPING=PRECISE", "FS=MRC", "CURRENCY=USD", "XLFILL=b")</f>
        <v>643.95819095833338</v>
      </c>
      <c r="J174" s="9">
        <f>_xll.BQL("DAL US Equity", "IS_AVG_NUM_SH_FOR_EPS/1M", "FPT=A", "FPO=0A", "ACT_EST_MAPPING=PRECISE", "FS=MRC", "CURRENCY=USD", "XLFILL=b")</f>
        <v>639</v>
      </c>
      <c r="K174" s="9">
        <f>_xll.BQL("DAL US Equity", "IS_AVG_NUM_SH_FOR_EPS/1M", "FPT=A", "FPO=-1A", "ACT_EST_MAPPING=PRECISE", "FS=MRC", "CURRENCY=USD", "XLFILL=b")</f>
        <v>638</v>
      </c>
      <c r="L174" s="9">
        <f>_xll.BQL("DAL US Equity", "IS_AVG_NUM_SH_FOR_EPS/1M", "FPT=A", "FPO=-2A", "ACT_EST_MAPPING=PRECISE", "FS=MRC", "CURRENCY=USD", "XLFILL=b")</f>
        <v>636</v>
      </c>
      <c r="M174" s="9">
        <f>_xll.BQL("DAL US Equity", "IS_AVG_NUM_SH_FOR_EPS/1M", "FPT=A", "FPO=-3A", "ACT_EST_MAPPING=PRECISE", "FS=MRC", "CURRENCY=USD", "XLFILL=b")</f>
        <v>636</v>
      </c>
      <c r="N174" s="9">
        <f>_xll.BQL("DAL US Equity", "IS_AVG_NUM_SH_FOR_EPS/1M", "FPT=A", "FPO=-4A", "ACT_EST_MAPPING=PRECISE", "FS=MRC", "CURRENCY=USD", "XLFILL=b")</f>
        <v>651</v>
      </c>
    </row>
    <row r="175" spans="1:14" x14ac:dyDescent="0.2">
      <c r="A175" s="8" t="s">
        <v>12</v>
      </c>
      <c r="B175" s="4" t="s">
        <v>188</v>
      </c>
      <c r="C175" s="4"/>
      <c r="D175" s="4"/>
      <c r="E175" s="9">
        <f>_xll.BQL("DAL US Equity", "FA_GROWTH(IS_AVG_NUM_SH_FOR_EPS, YOY)", "FPT=A", "FPO=5A", "ACT_EST_MAPPING=PRECISE", "FS=MRC", "CURRENCY=USD", "XLFILL=b")</f>
        <v>-1.5130350784584781</v>
      </c>
      <c r="F175" s="9">
        <f>_xll.BQL("DAL US Equity", "FA_GROWTH(IS_AVG_NUM_SH_FOR_EPS, YOY)", "FPT=A", "FPO=4A", "ACT_EST_MAPPING=PRECISE", "FS=MRC", "CURRENCY=USD", "XLFILL=b")</f>
        <v>-2.3060419375748817</v>
      </c>
      <c r="G175" s="9">
        <f>_xll.BQL("DAL US Equity", "FA_GROWTH(IS_AVG_NUM_SH_FOR_EPS, YOY)", "FPT=A", "FPO=3A", "ACT_EST_MAPPING=PRECISE", "FS=MRC", "CURRENCY=USD", "XLFILL=b")</f>
        <v>-0.40098625690848333</v>
      </c>
      <c r="H175" s="9">
        <f>_xll.BQL("DAL US Equity", "FA_GROWTH(IS_AVG_NUM_SH_FOR_EPS, YOY)", "FPT=A", "FPO=2A", "ACT_EST_MAPPING=PRECISE", "FS=MRC", "CURRENCY=USD", "XLFILL=b")</f>
        <v>-2.778315608060751E-2</v>
      </c>
      <c r="I175" s="9">
        <f>_xll.BQL("DAL US Equity", "FA_GROWTH(IS_AVG_NUM_SH_FOR_EPS, YOY)", "FPT=A", "FPO=1A", "ACT_EST_MAPPING=PRECISE", "FS=MRC", "CURRENCY=USD", "XLFILL=b")</f>
        <v>0.77592972743871258</v>
      </c>
      <c r="J175" s="9">
        <f>_xll.BQL("DAL US Equity", "FA_GROWTH(IS_AVG_NUM_SH_FOR_EPS, YOY)", "FPT=A", "FPO=0A", "ACT_EST_MAPPING=PRECISE", "FS=MRC", "CURRENCY=USD", "XLFILL=b")</f>
        <v>0.15673981191222572</v>
      </c>
      <c r="K175" s="9">
        <f>_xll.BQL("DAL US Equity", "FA_GROWTH(IS_AVG_NUM_SH_FOR_EPS, YOY)", "FPT=A", "FPO=-1A", "ACT_EST_MAPPING=PRECISE", "FS=MRC", "CURRENCY=USD", "XLFILL=b")</f>
        <v>0.31446540880503143</v>
      </c>
      <c r="L175" s="9">
        <f>_xll.BQL("DAL US Equity", "FA_GROWTH(IS_AVG_NUM_SH_FOR_EPS, YOY)", "FPT=A", "FPO=-2A", "ACT_EST_MAPPING=PRECISE", "FS=MRC", "CURRENCY=USD", "XLFILL=b")</f>
        <v>0</v>
      </c>
      <c r="M175" s="9">
        <f>_xll.BQL("DAL US Equity", "FA_GROWTH(IS_AVG_NUM_SH_FOR_EPS, YOY)", "FPT=A", "FPO=-3A", "ACT_EST_MAPPING=PRECISE", "FS=MRC", "CURRENCY=USD", "XLFILL=b")</f>
        <v>-2.3041474654377878</v>
      </c>
      <c r="N175" s="9">
        <f>_xll.BQL("DAL US Equity", "FA_GROWTH(IS_AVG_NUM_SH_FOR_EPS, YOY)", "FPT=A", "FPO=-4A", "ACT_EST_MAPPING=PRECISE", "FS=MRC", "CURRENCY=USD", "XLFILL=b")</f>
        <v>-5.7887120115774238</v>
      </c>
    </row>
    <row r="176" spans="1:14" x14ac:dyDescent="0.2">
      <c r="A176" s="8" t="s">
        <v>189</v>
      </c>
      <c r="B176" s="4" t="s">
        <v>190</v>
      </c>
      <c r="C176" s="4" t="s">
        <v>191</v>
      </c>
      <c r="D176" s="4"/>
      <c r="E176" s="9">
        <f>_xll.BQL("DAL US Equity", "IS_EPS", "FPT=A", "FPO=5A", "ACT_EST_MAPPING=PRECISE", "FS=MRC", "CURRENCY=USD", "XLFILL=b")</f>
        <v>8.5926519289770837</v>
      </c>
      <c r="F176" s="9">
        <f>_xll.BQL("DAL US Equity", "IS_EPS", "FPT=A", "FPO=4A", "ACT_EST_MAPPING=PRECISE", "FS=MRC", "CURRENCY=USD", "XLFILL=b")</f>
        <v>8.0574208956388205</v>
      </c>
      <c r="G176" s="9">
        <f>_xll.BQL("DAL US Equity", "IS_EPS", "FPT=A", "FPO=3A", "ACT_EST_MAPPING=PRECISE", "FS=MRC", "CURRENCY=USD", "XLFILL=b")</f>
        <v>7.5356685237777707</v>
      </c>
      <c r="H176" s="9">
        <f>_xll.BQL("DAL US Equity", "IS_EPS", "FPT=A", "FPO=2A", "ACT_EST_MAPPING=PRECISE", "FS=MRC", "CURRENCY=USD", "XLFILL=b")</f>
        <v>6.7506952988589513</v>
      </c>
      <c r="I176" s="9">
        <f>_xll.BQL("DAL US Equity", "IS_EPS", "FPT=A", "FPO=1A", "ACT_EST_MAPPING=PRECISE", "FS=MRC", "CURRENCY=USD", "XLFILL=b")</f>
        <v>5.3890304673593326</v>
      </c>
      <c r="J176" s="9">
        <f>_xll.BQL("DAL US Equity", "IS_EPS", "FPT=A", "FPO=0A", "ACT_EST_MAPPING=PRECISE", "FS=MRC", "CURRENCY=USD", "XLFILL=b")</f>
        <v>7.21</v>
      </c>
      <c r="K176" s="9">
        <f>_xll.BQL("DAL US Equity", "IS_EPS", "FPT=A", "FPO=-1A", "ACT_EST_MAPPING=PRECISE", "FS=MRC", "CURRENCY=USD", "XLFILL=b")</f>
        <v>2.0699999999999998</v>
      </c>
      <c r="L176" s="9">
        <f>_xll.BQL("DAL US Equity", "IS_EPS", "FPT=A", "FPO=-2A", "ACT_EST_MAPPING=PRECISE", "FS=MRC", "CURRENCY=USD", "XLFILL=b")</f>
        <v>0.44</v>
      </c>
      <c r="M176" s="9">
        <f>_xll.BQL("DAL US Equity", "IS_EPS", "FPT=A", "FPO=-3A", "ACT_EST_MAPPING=PRECISE", "FS=MRC", "CURRENCY=USD", "XLFILL=b")</f>
        <v>-19.489999999999998</v>
      </c>
      <c r="N176" s="9">
        <f>_xll.BQL("DAL US Equity", "IS_EPS", "FPT=A", "FPO=-4A", "ACT_EST_MAPPING=PRECISE", "FS=MRC", "CURRENCY=USD", "XLFILL=b")</f>
        <v>7.32</v>
      </c>
    </row>
    <row r="177" spans="1:14" x14ac:dyDescent="0.2">
      <c r="A177" s="8" t="s">
        <v>12</v>
      </c>
      <c r="B177" s="4" t="s">
        <v>190</v>
      </c>
      <c r="C177" s="4" t="s">
        <v>191</v>
      </c>
      <c r="D177" s="4"/>
      <c r="E177" s="9">
        <f>_xll.BQL("DAL US Equity", "FA_GROWTH(IS_EPS, YOY)", "FPT=A", "FPO=5A", "ACT_EST_MAPPING=PRECISE", "FS=MRC", "CURRENCY=USD", "XLFILL=b")</f>
        <v>6.6427091282765645</v>
      </c>
      <c r="F177" s="9">
        <f>_xll.BQL("DAL US Equity", "FA_GROWTH(IS_EPS, YOY)", "FPT=A", "FPO=4A", "ACT_EST_MAPPING=PRECISE", "FS=MRC", "CURRENCY=USD", "XLFILL=b")</f>
        <v>6.9237702031973871</v>
      </c>
      <c r="G177" s="9">
        <f>_xll.BQL("DAL US Equity", "FA_GROWTH(IS_EPS, YOY)", "FPT=A", "FPO=3A", "ACT_EST_MAPPING=PRECISE", "FS=MRC", "CURRENCY=USD", "XLFILL=b")</f>
        <v>11.628035189967781</v>
      </c>
      <c r="H177" s="9">
        <f>_xll.BQL("DAL US Equity", "FA_GROWTH(IS_EPS, YOY)", "FPT=A", "FPO=2A", "ACT_EST_MAPPING=PRECISE", "FS=MRC", "CURRENCY=USD", "XLFILL=b")</f>
        <v>25.26734335140705</v>
      </c>
      <c r="I177" s="9">
        <f>_xll.BQL("DAL US Equity", "FA_GROWTH(IS_EPS, YOY)", "FPT=A", "FPO=1A", "ACT_EST_MAPPING=PRECISE", "FS=MRC", "CURRENCY=USD", "XLFILL=b")</f>
        <v>-25.256165501257524</v>
      </c>
      <c r="J177" s="9">
        <f>_xll.BQL("DAL US Equity", "FA_GROWTH(IS_EPS, YOY)", "FPT=A", "FPO=0A", "ACT_EST_MAPPING=PRECISE", "FS=MRC", "CURRENCY=USD", "XLFILL=b")</f>
        <v>248.30917874396138</v>
      </c>
      <c r="K177" s="9">
        <f>_xll.BQL("DAL US Equity", "FA_GROWTH(IS_EPS, YOY)", "FPT=A", "FPO=-1A", "ACT_EST_MAPPING=PRECISE", "FS=MRC", "CURRENCY=USD", "XLFILL=b")</f>
        <v>370.45454545454544</v>
      </c>
      <c r="L177" s="9">
        <f>_xll.BQL("DAL US Equity", "FA_GROWTH(IS_EPS, YOY)", "FPT=A", "FPO=-2A", "ACT_EST_MAPPING=PRECISE", "FS=MRC", "CURRENCY=USD", "XLFILL=b")</f>
        <v>102.25756798358134</v>
      </c>
      <c r="M177" s="9">
        <f>_xll.BQL("DAL US Equity", "FA_GROWTH(IS_EPS, YOY)", "FPT=A", "FPO=-3A", "ACT_EST_MAPPING=PRECISE", "FS=MRC", "CURRENCY=USD", "XLFILL=b")</f>
        <v>-366.25683060109287</v>
      </c>
      <c r="N177" s="9">
        <f>_xll.BQL("DAL US Equity", "FA_GROWTH(IS_EPS, YOY)", "FPT=A", "FPO=-4A", "ACT_EST_MAPPING=PRECISE", "FS=MRC", "CURRENCY=USD", "XLFILL=b")</f>
        <v>28.646748681898064</v>
      </c>
    </row>
    <row r="178" spans="1:14" x14ac:dyDescent="0.2">
      <c r="A178" s="8" t="s">
        <v>16</v>
      </c>
      <c r="B178" s="4"/>
      <c r="C178" s="4"/>
      <c r="D178" s="4"/>
      <c r="E178" s="9"/>
      <c r="F178" s="9"/>
      <c r="G178" s="9"/>
      <c r="H178" s="9"/>
      <c r="I178" s="9"/>
      <c r="J178" s="9"/>
      <c r="K178" s="9"/>
      <c r="L178" s="9"/>
      <c r="M178" s="9"/>
      <c r="N178" s="9"/>
    </row>
    <row r="179" spans="1:14" x14ac:dyDescent="0.2">
      <c r="A179" s="8" t="s">
        <v>192</v>
      </c>
      <c r="B179" s="4" t="s">
        <v>193</v>
      </c>
      <c r="C179" s="4" t="s">
        <v>194</v>
      </c>
      <c r="D179" s="4"/>
      <c r="E179" s="9">
        <f>_xll.BQL("DAL US Equity", "IS_SH_FOR_DILUTED_EPS/1M", "FPT=A", "FPO=5A", "ACT_EST_MAPPING=PRECISE", "FS=MRC", "CURRENCY=USD", "XLFILL=b")</f>
        <v>618.85677301090288</v>
      </c>
      <c r="F179" s="9">
        <f>_xll.BQL("DAL US Equity", "IS_SH_FOR_DILUTED_EPS/1M", "FPT=A", "FPO=4A", "ACT_EST_MAPPING=PRECISE", "FS=MRC", "CURRENCY=USD", "XLFILL=b")</f>
        <v>630.14411769877563</v>
      </c>
      <c r="G179" s="9">
        <f>_xll.BQL("DAL US Equity", "IS_SH_FOR_DILUTED_EPS/1M", "FPT=A", "FPO=3A", "ACT_EST_MAPPING=PRECISE", "FS=MRC", "CURRENCY=USD", "XLFILL=b")</f>
        <v>646.07769064303966</v>
      </c>
      <c r="H179" s="9">
        <f>_xll.BQL("DAL US Equity", "IS_SH_FOR_DILUTED_EPS/1M", "FPT=A", "FPO=2A", "ACT_EST_MAPPING=PRECISE", "FS=MRC", "CURRENCY=USD", "XLFILL=b")</f>
        <v>645.38477673075693</v>
      </c>
      <c r="I179" s="9">
        <f>_xll.BQL("DAL US Equity", "IS_SH_FOR_DILUTED_EPS/1M", "FPT=A", "FPO=1A", "ACT_EST_MAPPING=PRECISE", "FS=MRC", "CURRENCY=USD", "XLFILL=b")</f>
        <v>645.39632830814742</v>
      </c>
      <c r="J179" s="9">
        <f>_xll.BQL("DAL US Equity", "IS_SH_FOR_DILUTED_EPS/1M", "FPT=A", "FPO=0A", "ACT_EST_MAPPING=PRECISE", "FS=MRC", "CURRENCY=USD", "XLFILL=b")</f>
        <v>643</v>
      </c>
      <c r="K179" s="9">
        <f>_xll.BQL("DAL US Equity", "IS_SH_FOR_DILUTED_EPS/1M", "FPT=A", "FPO=-1A", "ACT_EST_MAPPING=PRECISE", "FS=MRC", "CURRENCY=USD", "XLFILL=b")</f>
        <v>641</v>
      </c>
      <c r="L179" s="9">
        <f>_xll.BQL("DAL US Equity", "IS_SH_FOR_DILUTED_EPS/1M", "FPT=A", "FPO=-2A", "ACT_EST_MAPPING=PRECISE", "FS=MRC", "CURRENCY=USD", "XLFILL=b")</f>
        <v>641</v>
      </c>
      <c r="M179" s="9">
        <f>_xll.BQL("DAL US Equity", "IS_SH_FOR_DILUTED_EPS/1M", "FPT=A", "FPO=-3A", "ACT_EST_MAPPING=PRECISE", "FS=MRC", "CURRENCY=USD", "XLFILL=b")</f>
        <v>636</v>
      </c>
      <c r="N179" s="9">
        <f>_xll.BQL("DAL US Equity", "IS_SH_FOR_DILUTED_EPS/1M", "FPT=A", "FPO=-4A", "ACT_EST_MAPPING=PRECISE", "FS=MRC", "CURRENCY=USD", "XLFILL=b")</f>
        <v>653</v>
      </c>
    </row>
    <row r="180" spans="1:14" x14ac:dyDescent="0.2">
      <c r="A180" s="8" t="s">
        <v>12</v>
      </c>
      <c r="B180" s="4" t="s">
        <v>193</v>
      </c>
      <c r="C180" s="4" t="s">
        <v>194</v>
      </c>
      <c r="D180" s="4"/>
      <c r="E180" s="9">
        <f>_xll.BQL("DAL US Equity", "FA_GROWTH(IS_SH_FOR_DILUTED_EPS, YOY)", "FPT=A", "FPO=5A", "ACT_EST_MAPPING=PRECISE", "FS=MRC", "CURRENCY=USD", "XLFILL=b")</f>
        <v>-1.7912322547884825</v>
      </c>
      <c r="F180" s="9">
        <f>_xll.BQL("DAL US Equity", "FA_GROWTH(IS_SH_FOR_DILUTED_EPS, YOY)", "FPT=A", "FPO=4A", "ACT_EST_MAPPING=PRECISE", "FS=MRC", "CURRENCY=USD", "XLFILL=b")</f>
        <v>-2.4662007642463872</v>
      </c>
      <c r="G180" s="9">
        <f>_xll.BQL("DAL US Equity", "FA_GROWTH(IS_SH_FOR_DILUTED_EPS, YOY)", "FPT=A", "FPO=3A", "ACT_EST_MAPPING=PRECISE", "FS=MRC", "CURRENCY=USD", "XLFILL=b")</f>
        <v>0.10736446493095636</v>
      </c>
      <c r="H180" s="9">
        <f>_xll.BQL("DAL US Equity", "FA_GROWTH(IS_SH_FOR_DILUTED_EPS, YOY)", "FPT=A", "FPO=2A", "ACT_EST_MAPPING=PRECISE", "FS=MRC", "CURRENCY=USD", "XLFILL=b")</f>
        <v>-1.7898424400450282E-3</v>
      </c>
      <c r="I180" s="9">
        <f>_xll.BQL("DAL US Equity", "FA_GROWTH(IS_SH_FOR_DILUTED_EPS, YOY)", "FPT=A", "FPO=1A", "ACT_EST_MAPPING=PRECISE", "FS=MRC", "CURRENCY=USD", "XLFILL=b")</f>
        <v>0.37267936363101561</v>
      </c>
      <c r="J180" s="9">
        <f>_xll.BQL("DAL US Equity", "FA_GROWTH(IS_SH_FOR_DILUTED_EPS, YOY)", "FPT=A", "FPO=0A", "ACT_EST_MAPPING=PRECISE", "FS=MRC", "CURRENCY=USD", "XLFILL=b")</f>
        <v>0.31201248049921998</v>
      </c>
      <c r="K180" s="9">
        <f>_xll.BQL("DAL US Equity", "FA_GROWTH(IS_SH_FOR_DILUTED_EPS, YOY)", "FPT=A", "FPO=-1A", "ACT_EST_MAPPING=PRECISE", "FS=MRC", "CURRENCY=USD", "XLFILL=b")</f>
        <v>0</v>
      </c>
      <c r="L180" s="9">
        <f>_xll.BQL("DAL US Equity", "FA_GROWTH(IS_SH_FOR_DILUTED_EPS, YOY)", "FPT=A", "FPO=-2A", "ACT_EST_MAPPING=PRECISE", "FS=MRC", "CURRENCY=USD", "XLFILL=b")</f>
        <v>0.78616352201257866</v>
      </c>
      <c r="M180" s="9">
        <f>_xll.BQL("DAL US Equity", "FA_GROWTH(IS_SH_FOR_DILUTED_EPS, YOY)", "FPT=A", "FPO=-3A", "ACT_EST_MAPPING=PRECISE", "FS=MRC", "CURRENCY=USD", "XLFILL=b")</f>
        <v>-2.6033690658499236</v>
      </c>
      <c r="N180" s="9">
        <f>_xll.BQL("DAL US Equity", "FA_GROWTH(IS_SH_FOR_DILUTED_EPS, YOY)", "FPT=A", "FPO=-4A", "ACT_EST_MAPPING=PRECISE", "FS=MRC", "CURRENCY=USD", "XLFILL=b")</f>
        <v>-5.9077809798270895</v>
      </c>
    </row>
    <row r="181" spans="1:14" x14ac:dyDescent="0.2">
      <c r="A181" s="8" t="s">
        <v>195</v>
      </c>
      <c r="B181" s="4" t="s">
        <v>196</v>
      </c>
      <c r="C181" s="4" t="s">
        <v>197</v>
      </c>
      <c r="D181" s="4"/>
      <c r="E181" s="9">
        <f>_xll.BQL("DAL US Equity", "IS_COMP_EPS_GAAP", "FPT=A", "FPO=5A", "ACT_EST_MAPPING=PRECISE", "FS=MRC", "CURRENCY=USD", "XLFILL=b")</f>
        <v>10.029999999999999</v>
      </c>
      <c r="F181" s="9">
        <f>_xll.BQL("DAL US Equity", "IS_COMP_EPS_GAAP", "FPT=A", "FPO=4A", "ACT_EST_MAPPING=PRECISE", "FS=MRC", "CURRENCY=USD", "XLFILL=b")</f>
        <v>7.7100000000000009</v>
      </c>
      <c r="G181" s="9">
        <f>_xll.BQL("DAL US Equity", "IS_COMP_EPS_GAAP", "FPT=A", "FPO=3A", "ACT_EST_MAPPING=PRECISE", "FS=MRC", "CURRENCY=USD", "XLFILL=b")</f>
        <v>8.2712500000000002</v>
      </c>
      <c r="H181" s="9">
        <f>_xll.BQL("DAL US Equity", "IS_COMP_EPS_GAAP", "FPT=A", "FPO=2A", "ACT_EST_MAPPING=PRECISE", "FS=MRC", "CURRENCY=USD", "XLFILL=b")</f>
        <v>7.3030769230769232</v>
      </c>
      <c r="I181" s="9">
        <f>_xll.BQL("DAL US Equity", "IS_COMP_EPS_GAAP", "FPT=A", "FPO=1A", "ACT_EST_MAPPING=PRECISE", "FS=MRC", "CURRENCY=USD", "XLFILL=b")</f>
        <v>5.7364285714285703</v>
      </c>
      <c r="J181" s="9">
        <f>_xll.BQL("DAL US Equity", "IS_COMP_EPS_GAAP", "FPT=A", "FPO=0A", "ACT_EST_MAPPING=PRECISE", "FS=MRC", "CURRENCY=USD", "XLFILL=b")</f>
        <v>7.17</v>
      </c>
      <c r="K181" s="9">
        <f>_xll.BQL("DAL US Equity", "IS_COMP_EPS_GAAP", "FPT=A", "FPO=-1A", "ACT_EST_MAPPING=PRECISE", "FS=MRC", "CURRENCY=USD", "XLFILL=b")</f>
        <v>2.06</v>
      </c>
      <c r="L181" s="9">
        <f>_xll.BQL("DAL US Equity", "IS_COMP_EPS_GAAP", "FPT=A", "FPO=-2A", "ACT_EST_MAPPING=PRECISE", "FS=MRC", "CURRENCY=USD", "XLFILL=b")</f>
        <v>0.44</v>
      </c>
      <c r="M181" s="9">
        <f>_xll.BQL("DAL US Equity", "IS_COMP_EPS_GAAP", "FPT=A", "FPO=-3A", "ACT_EST_MAPPING=PRECISE", "FS=MRC", "CURRENCY=USD", "XLFILL=b")</f>
        <v>-19.489999999999998</v>
      </c>
      <c r="N181" s="9">
        <f>_xll.BQL("DAL US Equity", "IS_COMP_EPS_GAAP", "FPT=A", "FPO=-4A", "ACT_EST_MAPPING=PRECISE", "FS=MRC", "CURRENCY=USD", "XLFILL=b")</f>
        <v>7.3</v>
      </c>
    </row>
    <row r="182" spans="1:14" x14ac:dyDescent="0.2">
      <c r="A182" s="8" t="s">
        <v>12</v>
      </c>
      <c r="B182" s="4" t="s">
        <v>196</v>
      </c>
      <c r="C182" s="4" t="s">
        <v>197</v>
      </c>
      <c r="D182" s="4"/>
      <c r="E182" s="9">
        <f>_xll.BQL("DAL US Equity", "FA_GROWTH(IS_COMP_EPS_GAAP, YOY)", "FPT=A", "FPO=5A", "ACT_EST_MAPPING=PRECISE", "FS=MRC", "CURRENCY=USD", "XLFILL=b")</f>
        <v>30.090791180285322</v>
      </c>
      <c r="F182" s="9">
        <f>_xll.BQL("DAL US Equity", "FA_GROWTH(IS_COMP_EPS_GAAP, YOY)", "FPT=A", "FPO=4A", "ACT_EST_MAPPING=PRECISE", "FS=MRC", "CURRENCY=USD", "XLFILL=b")</f>
        <v>-6.7855523651201368</v>
      </c>
      <c r="G182" s="9">
        <f>_xll.BQL("DAL US Equity", "FA_GROWTH(IS_COMP_EPS_GAAP, YOY)", "FPT=A", "FPO=3A", "ACT_EST_MAPPING=PRECISE", "FS=MRC", "CURRENCY=USD", "XLFILL=b")</f>
        <v>13.257057088687592</v>
      </c>
      <c r="H182" s="9">
        <f>_xll.BQL("DAL US Equity", "FA_GROWTH(IS_COMP_EPS_GAAP, YOY)", "FPT=A", "FPO=2A", "ACT_EST_MAPPING=PRECISE", "FS=MRC", "CURRENCY=USD", "XLFILL=b")</f>
        <v>27.310517896995325</v>
      </c>
      <c r="I182" s="9">
        <f>_xll.BQL("DAL US Equity", "FA_GROWTH(IS_COMP_EPS_GAAP, YOY)", "FPT=A", "FPO=1A", "ACT_EST_MAPPING=PRECISE", "FS=MRC", "CURRENCY=USD", "XLFILL=b")</f>
        <v>-19.994022713687997</v>
      </c>
      <c r="J182" s="9">
        <f>_xll.BQL("DAL US Equity", "FA_GROWTH(IS_COMP_EPS_GAAP, YOY)", "FPT=A", "FPO=0A", "ACT_EST_MAPPING=PRECISE", "FS=MRC", "CURRENCY=USD", "XLFILL=b")</f>
        <v>248.05825242718444</v>
      </c>
      <c r="K182" s="9">
        <f>_xll.BQL("DAL US Equity", "FA_GROWTH(IS_COMP_EPS_GAAP, YOY)", "FPT=A", "FPO=-1A", "ACT_EST_MAPPING=PRECISE", "FS=MRC", "CURRENCY=USD", "XLFILL=b")</f>
        <v>368.18181818181819</v>
      </c>
      <c r="L182" s="9">
        <f>_xll.BQL("DAL US Equity", "FA_GROWTH(IS_COMP_EPS_GAAP, YOY)", "FPT=A", "FPO=-2A", "ACT_EST_MAPPING=PRECISE", "FS=MRC", "CURRENCY=USD", "XLFILL=b")</f>
        <v>102.25756798358134</v>
      </c>
      <c r="M182" s="9">
        <f>_xll.BQL("DAL US Equity", "FA_GROWTH(IS_COMP_EPS_GAAP, YOY)", "FPT=A", "FPO=-3A", "ACT_EST_MAPPING=PRECISE", "FS=MRC", "CURRENCY=USD", "XLFILL=b")</f>
        <v>-366.98630136986304</v>
      </c>
      <c r="N182" s="9">
        <f>_xll.BQL("DAL US Equity", "FA_GROWTH(IS_COMP_EPS_GAAP, YOY)", "FPT=A", "FPO=-4A", "ACT_EST_MAPPING=PRECISE", "FS=MRC", "CURRENCY=USD", "XLFILL=b")</f>
        <v>28.747795414462082</v>
      </c>
    </row>
    <row r="183" spans="1:14" x14ac:dyDescent="0.2">
      <c r="A183" s="8" t="s">
        <v>16</v>
      </c>
      <c r="B183" s="4"/>
      <c r="C183" s="4"/>
      <c r="D183" s="4"/>
      <c r="E183" s="9"/>
      <c r="F183" s="9"/>
      <c r="G183" s="9"/>
      <c r="H183" s="9"/>
      <c r="I183" s="9"/>
      <c r="J183" s="9"/>
      <c r="K183" s="9"/>
      <c r="L183" s="9"/>
      <c r="M183" s="9"/>
      <c r="N183" s="9"/>
    </row>
    <row r="184" spans="1:14" x14ac:dyDescent="0.2">
      <c r="A184" s="8" t="s">
        <v>198</v>
      </c>
      <c r="B184" s="4" t="s">
        <v>199</v>
      </c>
      <c r="C184" s="4" t="s">
        <v>197</v>
      </c>
      <c r="D184" s="4"/>
      <c r="E184" s="9">
        <f>_xll.BQL("DAL US Equity", "IS_DIV_PER_SHR", "FPT=A", "FPO=5A", "ACT_EST_MAPPING=PRECISE", "FS=MRC", "CURRENCY=USD", "XLFILL=b")</f>
        <v>1.3</v>
      </c>
      <c r="F184" s="9">
        <f>_xll.BQL("DAL US Equity", "IS_DIV_PER_SHR", "FPT=A", "FPO=4A", "ACT_EST_MAPPING=PRECISE", "FS=MRC", "CURRENCY=USD", "XLFILL=b")</f>
        <v>1.0405000000000002</v>
      </c>
      <c r="G184" s="9">
        <f>_xll.BQL("DAL US Equity", "IS_DIV_PER_SHR", "FPT=A", "FPO=3A", "ACT_EST_MAPPING=PRECISE", "FS=MRC", "CURRENCY=USD", "XLFILL=b")</f>
        <v>0.94499999999999995</v>
      </c>
      <c r="H184" s="9">
        <f>_xll.BQL("DAL US Equity", "IS_DIV_PER_SHR", "FPT=A", "FPO=2A", "ACT_EST_MAPPING=PRECISE", "FS=MRC", "CURRENCY=USD", "XLFILL=b")</f>
        <v>0.6825</v>
      </c>
      <c r="I184" s="9">
        <f>_xll.BQL("DAL US Equity", "IS_DIV_PER_SHR", "FPT=A", "FPO=1A", "ACT_EST_MAPPING=PRECISE", "FS=MRC", "CURRENCY=USD", "XLFILL=b")</f>
        <v>0.48749999999999999</v>
      </c>
      <c r="J184" s="9">
        <f>_xll.BQL("DAL US Equity", "IS_DIV_PER_SHR", "FPT=A", "FPO=0A", "ACT_EST_MAPPING=PRECISE", "FS=MRC", "CURRENCY=USD", "XLFILL=b")</f>
        <v>0</v>
      </c>
      <c r="K184" s="9">
        <f>_xll.BQL("DAL US Equity", "IS_DIV_PER_SHR", "FPT=A", "FPO=-1A", "ACT_EST_MAPPING=PRECISE", "FS=MRC", "CURRENCY=USD", "XLFILL=b")</f>
        <v>0</v>
      </c>
      <c r="L184" s="9">
        <f>_xll.BQL("DAL US Equity", "IS_DIV_PER_SHR", "FPT=A", "FPO=-2A", "ACT_EST_MAPPING=PRECISE", "FS=MRC", "CURRENCY=USD", "XLFILL=b")</f>
        <v>0</v>
      </c>
      <c r="M184" s="9">
        <f>_xll.BQL("DAL US Equity", "IS_DIV_PER_SHR", "FPT=A", "FPO=-3A", "ACT_EST_MAPPING=PRECISE", "FS=MRC", "CURRENCY=USD", "XLFILL=b")</f>
        <v>0.4</v>
      </c>
      <c r="N184" s="9">
        <f>_xll.BQL("DAL US Equity", "IS_DIV_PER_SHR", "FPT=A", "FPO=-4A", "ACT_EST_MAPPING=PRECISE", "FS=MRC", "CURRENCY=USD", "XLFILL=b")</f>
        <v>1.51</v>
      </c>
    </row>
    <row r="185" spans="1:14" x14ac:dyDescent="0.2">
      <c r="A185" s="8" t="s">
        <v>12</v>
      </c>
      <c r="B185" s="4" t="s">
        <v>199</v>
      </c>
      <c r="C185" s="4" t="s">
        <v>197</v>
      </c>
      <c r="D185" s="4"/>
      <c r="E185" s="9">
        <f>_xll.BQL("DAL US Equity", "FA_GROWTH(IS_DIV_PER_SHR, YOY)", "FPT=A", "FPO=5A", "ACT_EST_MAPPING=PRECISE", "FS=MRC", "CURRENCY=USD", "XLFILL=b")</f>
        <v>24.939932724651591</v>
      </c>
      <c r="F185" s="9">
        <f>_xll.BQL("DAL US Equity", "FA_GROWTH(IS_DIV_PER_SHR, YOY)", "FPT=A", "FPO=4A", "ACT_EST_MAPPING=PRECISE", "FS=MRC", "CURRENCY=USD", "XLFILL=b")</f>
        <v>10.105820105820133</v>
      </c>
      <c r="G185" s="9">
        <f>_xll.BQL("DAL US Equity", "FA_GROWTH(IS_DIV_PER_SHR, YOY)", "FPT=A", "FPO=3A", "ACT_EST_MAPPING=PRECISE", "FS=MRC", "CURRENCY=USD", "XLFILL=b")</f>
        <v>38.46153846153846</v>
      </c>
      <c r="H185" s="9">
        <f>_xll.BQL("DAL US Equity", "FA_GROWTH(IS_DIV_PER_SHR, YOY)", "FPT=A", "FPO=2A", "ACT_EST_MAPPING=PRECISE", "FS=MRC", "CURRENCY=USD", "XLFILL=b")</f>
        <v>40</v>
      </c>
      <c r="I185" s="9" t="str">
        <f>_xll.BQL("DAL US Equity", "FA_GROWTH(IS_DIV_PER_SHR, YOY)", "FPT=A", "FPO=1A", "ACT_EST_MAPPING=PRECISE", "FS=MRC", "CURRENCY=USD", "XLFILL=b")</f>
        <v/>
      </c>
      <c r="J185" s="9" t="str">
        <f>_xll.BQL("DAL US Equity", "FA_GROWTH(IS_DIV_PER_SHR, YOY)", "FPT=A", "FPO=0A", "ACT_EST_MAPPING=PRECISE", "FS=MRC", "CURRENCY=USD", "XLFILL=b")</f>
        <v/>
      </c>
      <c r="K185" s="9" t="str">
        <f>_xll.BQL("DAL US Equity", "FA_GROWTH(IS_DIV_PER_SHR, YOY)", "FPT=A", "FPO=-1A", "ACT_EST_MAPPING=PRECISE", "FS=MRC", "CURRENCY=USD", "XLFILL=b")</f>
        <v/>
      </c>
      <c r="L185" s="9">
        <f>_xll.BQL("DAL US Equity", "FA_GROWTH(IS_DIV_PER_SHR, YOY)", "FPT=A", "FPO=-2A", "ACT_EST_MAPPING=PRECISE", "FS=MRC", "CURRENCY=USD", "XLFILL=b")</f>
        <v>-100</v>
      </c>
      <c r="M185" s="9">
        <f>_xll.BQL("DAL US Equity", "FA_GROWTH(IS_DIV_PER_SHR, YOY)", "FPT=A", "FPO=-3A", "ACT_EST_MAPPING=PRECISE", "FS=MRC", "CURRENCY=USD", "XLFILL=b")</f>
        <v>-73.509933774834423</v>
      </c>
      <c r="N185" s="9">
        <f>_xll.BQL("DAL US Equity", "FA_GROWTH(IS_DIV_PER_SHR, YOY)", "FPT=A", "FPO=-4A", "ACT_EST_MAPPING=PRECISE", "FS=MRC", "CURRENCY=USD", "XLFILL=b")</f>
        <v>15.267175572519081</v>
      </c>
    </row>
    <row r="186" spans="1:14" x14ac:dyDescent="0.2">
      <c r="A186" s="8" t="s">
        <v>16</v>
      </c>
      <c r="B186" s="4"/>
      <c r="C186" s="4"/>
      <c r="D186" s="4"/>
      <c r="E186" s="9"/>
      <c r="F186" s="9"/>
      <c r="G186" s="9"/>
      <c r="H186" s="9"/>
      <c r="I186" s="9"/>
      <c r="J186" s="9"/>
      <c r="K186" s="9"/>
      <c r="L186" s="9"/>
      <c r="M186" s="9"/>
      <c r="N186" s="9"/>
    </row>
    <row r="187" spans="1:14" x14ac:dyDescent="0.2">
      <c r="A187" s="8" t="s">
        <v>200</v>
      </c>
      <c r="B187" s="4"/>
      <c r="C187" s="4" t="s">
        <v>201</v>
      </c>
      <c r="D187" s="4"/>
      <c r="E187" s="9"/>
      <c r="F187" s="9"/>
      <c r="G187" s="9"/>
      <c r="H187" s="9"/>
      <c r="I187" s="9"/>
      <c r="J187" s="9"/>
      <c r="K187" s="9"/>
      <c r="L187" s="9"/>
      <c r="M187" s="9"/>
      <c r="N187" s="9"/>
    </row>
    <row r="188" spans="1:14" x14ac:dyDescent="0.2">
      <c r="A188" s="8" t="s">
        <v>202</v>
      </c>
      <c r="B188" s="4" t="s">
        <v>14</v>
      </c>
      <c r="C188" s="4"/>
      <c r="D188" s="4"/>
      <c r="E188" s="9">
        <f>_xll.BQL("DAL US Equity", "IS_COMP_SALES/1M", "FPT=A", "FPO=5A", "ACT_EST_MAPPING=PRECISE", "FS=MRC", "CURRENCY=USD", "XLFILL=b")</f>
        <v>67201.5</v>
      </c>
      <c r="F188" s="9">
        <f>_xll.BQL("DAL US Equity", "IS_COMP_SALES/1M", "FPT=A", "FPO=4A", "ACT_EST_MAPPING=PRECISE", "FS=MRC", "CURRENCY=USD", "XLFILL=b")</f>
        <v>64918</v>
      </c>
      <c r="G188" s="9">
        <f>_xll.BQL("DAL US Equity", "IS_COMP_SALES/1M", "FPT=A", "FPO=3A", "ACT_EST_MAPPING=PRECISE", "FS=MRC", "CURRENCY=USD", "XLFILL=b")</f>
        <v>62186.727272727272</v>
      </c>
      <c r="H188" s="9">
        <f>_xll.BQL("DAL US Equity", "IS_COMP_SALES/1M", "FPT=A", "FPO=2A", "ACT_EST_MAPPING=PRECISE", "FS=MRC", "CURRENCY=USD", "XLFILL=b")</f>
        <v>60097.733333333337</v>
      </c>
      <c r="I188" s="9">
        <f>_xll.BQL("DAL US Equity", "IS_COMP_SALES/1M", "FPT=A", "FPO=1A", "ACT_EST_MAPPING=PRECISE", "FS=MRC", "CURRENCY=USD", "XLFILL=b")</f>
        <v>56803.3125</v>
      </c>
      <c r="J188" s="9">
        <f>_xll.BQL("DAL US Equity", "IS_COMP_SALES/1M", "FPT=A", "FPO=0A", "ACT_EST_MAPPING=PRECISE", "FS=MRC", "CURRENCY=USD", "XLFILL=b")</f>
        <v>54669</v>
      </c>
      <c r="K188" s="9">
        <f>_xll.BQL("DAL US Equity", "IS_COMP_SALES/1M", "FPT=A", "FPO=-1A", "ACT_EST_MAPPING=PRECISE", "FS=MRC", "CURRENCY=USD", "XLFILL=b")</f>
        <v>45605</v>
      </c>
      <c r="L188" s="9">
        <f>_xll.BQL("DAL US Equity", "IS_COMP_SALES/1M", "FPT=A", "FPO=-2A", "ACT_EST_MAPPING=PRECISE", "FS=MRC", "CURRENCY=USD", "XLFILL=b")</f>
        <v>26670</v>
      </c>
      <c r="M188" s="9">
        <f>_xll.BQL("DAL US Equity", "IS_COMP_SALES/1M", "FPT=A", "FPO=-3A", "ACT_EST_MAPPING=PRECISE", "FS=MRC", "CURRENCY=USD", "XLFILL=b")</f>
        <v>15945</v>
      </c>
      <c r="N188" s="9">
        <f>_xll.BQL("DAL US Equity", "IS_COMP_SALES/1M", "FPT=A", "FPO=-4A", "ACT_EST_MAPPING=PRECISE", "FS=MRC", "CURRENCY=USD", "XLFILL=b")</f>
        <v>47007</v>
      </c>
    </row>
    <row r="189" spans="1:14" x14ac:dyDescent="0.2">
      <c r="A189" s="8" t="s">
        <v>86</v>
      </c>
      <c r="B189" s="4" t="s">
        <v>14</v>
      </c>
      <c r="C189" s="4"/>
      <c r="D189" s="4"/>
      <c r="E189" s="9">
        <f>_xll.BQL("DAL US Equity", "FA_GROWTH(IS_COMP_SALES, YOY)", "FPT=A", "FPO=5A", "ACT_EST_MAPPING=PRECISE", "FS=MRC", "CURRENCY=USD", "XLFILL=b")</f>
        <v>3.5175144027850518</v>
      </c>
      <c r="F189" s="9">
        <f>_xll.BQL("DAL US Equity", "FA_GROWTH(IS_COMP_SALES, YOY)", "FPT=A", "FPO=4A", "ACT_EST_MAPPING=PRECISE", "FS=MRC", "CURRENCY=USD", "XLFILL=b")</f>
        <v>4.3920509199566125</v>
      </c>
      <c r="G189" s="9">
        <f>_xll.BQL("DAL US Equity", "FA_GROWTH(IS_COMP_SALES, YOY)", "FPT=A", "FPO=3A", "ACT_EST_MAPPING=PRECISE", "FS=MRC", "CURRENCY=USD", "XLFILL=b")</f>
        <v>3.4759945567452397</v>
      </c>
      <c r="H189" s="9">
        <f>_xll.BQL("DAL US Equity", "FA_GROWTH(IS_COMP_SALES, YOY)", "FPT=A", "FPO=2A", "ACT_EST_MAPPING=PRECISE", "FS=MRC", "CURRENCY=USD", "XLFILL=b")</f>
        <v>5.7996984477504476</v>
      </c>
      <c r="I189" s="9">
        <f>_xll.BQL("DAL US Equity", "FA_GROWTH(IS_COMP_SALES, YOY)", "FPT=A", "FPO=1A", "ACT_EST_MAPPING=PRECISE", "FS=MRC", "CURRENCY=USD", "XLFILL=b")</f>
        <v>3.9040635460681554</v>
      </c>
      <c r="J189" s="9">
        <f>_xll.BQL("DAL US Equity", "FA_GROWTH(IS_COMP_SALES, YOY)", "FPT=A", "FPO=0A", "ACT_EST_MAPPING=PRECISE", "FS=MRC", "CURRENCY=USD", "XLFILL=b")</f>
        <v>19.875013704637649</v>
      </c>
      <c r="K189" s="9">
        <f>_xll.BQL("DAL US Equity", "FA_GROWTH(IS_COMP_SALES, YOY)", "FPT=A", "FPO=-1A", "ACT_EST_MAPPING=PRECISE", "FS=MRC", "CURRENCY=USD", "XLFILL=b")</f>
        <v>70.99737532808399</v>
      </c>
      <c r="L189" s="9">
        <f>_xll.BQL("DAL US Equity", "FA_GROWTH(IS_COMP_SALES, YOY)", "FPT=A", "FPO=-2A", "ACT_EST_MAPPING=PRECISE", "FS=MRC", "CURRENCY=USD", "XLFILL=b")</f>
        <v>67.262464722483543</v>
      </c>
      <c r="M189" s="9">
        <f>_xll.BQL("DAL US Equity", "FA_GROWTH(IS_COMP_SALES, YOY)", "FPT=A", "FPO=-3A", "ACT_EST_MAPPING=PRECISE", "FS=MRC", "CURRENCY=USD", "XLFILL=b")</f>
        <v>-66.079520071478711</v>
      </c>
      <c r="N189" s="9">
        <f>_xll.BQL("DAL US Equity", "FA_GROWTH(IS_COMP_SALES, YOY)", "FPT=A", "FPO=-4A", "ACT_EST_MAPPING=PRECISE", "FS=MRC", "CURRENCY=USD", "XLFILL=b")</f>
        <v>5.7810882577973803</v>
      </c>
    </row>
    <row r="190" spans="1:14" x14ac:dyDescent="0.2">
      <c r="A190" s="8" t="s">
        <v>203</v>
      </c>
      <c r="B190" s="4" t="s">
        <v>204</v>
      </c>
      <c r="C190" s="4" t="s">
        <v>168</v>
      </c>
      <c r="D190" s="4"/>
      <c r="E190" s="9" t="str">
        <f>_xll.BQL("DAL US Equity", "CB_IS_ADJUSTED_OPEX/1M", "FPT=A", "FPO=5A", "ACT_EST_MAPPING=PRECISE", "FS=MRC", "CURRENCY=USD", "XLFILL=b")</f>
        <v/>
      </c>
      <c r="F190" s="9" t="str">
        <f>_xll.BQL("DAL US Equity", "CB_IS_ADJUSTED_OPEX/1M", "FPT=A", "FPO=4A", "ACT_EST_MAPPING=PRECISE", "FS=MRC", "CURRENCY=USD", "XLFILL=b")</f>
        <v/>
      </c>
      <c r="G190" s="9">
        <f>_xll.BQL("DAL US Equity", "CB_IS_ADJUSTED_OPEX/1M", "FPT=A", "FPO=3A", "ACT_EST_MAPPING=PRECISE", "FS=MRC", "CURRENCY=USD", "XLFILL=b")</f>
        <v>54627.617098792085</v>
      </c>
      <c r="H190" s="9">
        <f>_xll.BQL("DAL US Equity", "CB_IS_ADJUSTED_OPEX/1M", "FPT=A", "FPO=2A", "ACT_EST_MAPPING=PRECISE", "FS=MRC", "CURRENCY=USD", "XLFILL=b")</f>
        <v>52940.500121887839</v>
      </c>
      <c r="I190" s="9">
        <f>_xll.BQL("DAL US Equity", "CB_IS_ADJUSTED_OPEX/1M", "FPT=A", "FPO=1A", "ACT_EST_MAPPING=PRECISE", "FS=MRC", "CURRENCY=USD", "XLFILL=b")</f>
        <v>50664.556835487063</v>
      </c>
      <c r="J190" s="9">
        <f>_xll.BQL("DAL US Equity", "CB_IS_ADJUSTED_OPEX/1M", "FPT=A", "FPO=0A", "ACT_EST_MAPPING=PRECISE", "FS=MRC", "CURRENCY=USD", "XLFILL=b")</f>
        <v>48335</v>
      </c>
      <c r="K190" s="9">
        <f>_xll.BQL("DAL US Equity", "CB_IS_ADJUSTED_OPEX/1M", "FPT=A", "FPO=-1A", "ACT_EST_MAPPING=PRECISE", "FS=MRC", "CURRENCY=USD", "XLFILL=b")</f>
        <v>42039</v>
      </c>
      <c r="L190" s="9" t="str">
        <f>_xll.BQL("DAL US Equity", "CB_IS_ADJUSTED_OPEX/1M", "FPT=A", "FPO=-2A", "ACT_EST_MAPPING=PRECISE", "FS=MRC", "CURRENCY=USD", "XLFILL=b")</f>
        <v/>
      </c>
      <c r="M190" s="9" t="str">
        <f>_xll.BQL("DAL US Equity", "CB_IS_ADJUSTED_OPEX/1M", "FPT=A", "FPO=-3A", "ACT_EST_MAPPING=PRECISE", "FS=MRC", "CURRENCY=USD", "XLFILL=b")</f>
        <v/>
      </c>
      <c r="N190" s="9" t="str">
        <f>_xll.BQL("DAL US Equity", "CB_IS_ADJUSTED_OPEX/1M", "FPT=A", "FPO=-4A", "ACT_EST_MAPPING=PRECISE", "FS=MRC", "CURRENCY=USD", "XLFILL=b")</f>
        <v/>
      </c>
    </row>
    <row r="191" spans="1:14" x14ac:dyDescent="0.2">
      <c r="A191" s="8" t="s">
        <v>86</v>
      </c>
      <c r="B191" s="4" t="s">
        <v>204</v>
      </c>
      <c r="C191" s="4" t="s">
        <v>168</v>
      </c>
      <c r="D191" s="4"/>
      <c r="E191" s="9" t="str">
        <f>_xll.BQL("DAL US Equity", "FA_GROWTH(CB_IS_ADJUSTED_OPEX, YOY)", "FPT=A", "FPO=5A", "ACT_EST_MAPPING=PRECISE", "FS=MRC", "CURRENCY=USD", "XLFILL=b")</f>
        <v/>
      </c>
      <c r="F191" s="9" t="str">
        <f>_xll.BQL("DAL US Equity", "FA_GROWTH(CB_IS_ADJUSTED_OPEX, YOY)", "FPT=A", "FPO=4A", "ACT_EST_MAPPING=PRECISE", "FS=MRC", "CURRENCY=USD", "XLFILL=b")</f>
        <v/>
      </c>
      <c r="G191" s="9">
        <f>_xll.BQL("DAL US Equity", "FA_GROWTH(CB_IS_ADJUSTED_OPEX, YOY)", "FPT=A", "FPO=3A", "ACT_EST_MAPPING=PRECISE", "FS=MRC", "CURRENCY=USD", "XLFILL=b")</f>
        <v>3.1868172250354658</v>
      </c>
      <c r="H191" s="9">
        <f>_xll.BQL("DAL US Equity", "FA_GROWTH(CB_IS_ADJUSTED_OPEX, YOY)", "FPT=A", "FPO=2A", "ACT_EST_MAPPING=PRECISE", "FS=MRC", "CURRENCY=USD", "XLFILL=b")</f>
        <v>4.4921803891248819</v>
      </c>
      <c r="I191" s="9">
        <f>_xll.BQL("DAL US Equity", "FA_GROWTH(CB_IS_ADJUSTED_OPEX, YOY)", "FPT=A", "FPO=1A", "ACT_EST_MAPPING=PRECISE", "FS=MRC", "CURRENCY=USD", "XLFILL=b")</f>
        <v>4.8196065697466857</v>
      </c>
      <c r="J191" s="9">
        <f>_xll.BQL("DAL US Equity", "FA_GROWTH(CB_IS_ADJUSTED_OPEX, YOY)", "FPT=A", "FPO=0A", "ACT_EST_MAPPING=PRECISE", "FS=MRC", "CURRENCY=USD", "XLFILL=b")</f>
        <v>14.976569376055567</v>
      </c>
      <c r="K191" s="9" t="str">
        <f>_xll.BQL("DAL US Equity", "FA_GROWTH(CB_IS_ADJUSTED_OPEX, YOY)", "FPT=A", "FPO=-1A", "ACT_EST_MAPPING=PRECISE", "FS=MRC", "CURRENCY=USD", "XLFILL=b")</f>
        <v/>
      </c>
      <c r="L191" s="9" t="str">
        <f>_xll.BQL("DAL US Equity", "FA_GROWTH(CB_IS_ADJUSTED_OPEX, YOY)", "FPT=A", "FPO=-2A", "ACT_EST_MAPPING=PRECISE", "FS=MRC", "CURRENCY=USD", "XLFILL=b")</f>
        <v/>
      </c>
      <c r="M191" s="9" t="str">
        <f>_xll.BQL("DAL US Equity", "FA_GROWTH(CB_IS_ADJUSTED_OPEX, YOY)", "FPT=A", "FPO=-3A", "ACT_EST_MAPPING=PRECISE", "FS=MRC", "CURRENCY=USD", "XLFILL=b")</f>
        <v/>
      </c>
      <c r="N191" s="9" t="str">
        <f>_xll.BQL("DAL US Equity", "FA_GROWTH(CB_IS_ADJUSTED_OPEX, YOY)", "FPT=A", "FPO=-4A", "ACT_EST_MAPPING=PRECISE", "FS=MRC", "CURRENCY=USD", "XLFILL=b")</f>
        <v/>
      </c>
    </row>
    <row r="192" spans="1:14" x14ac:dyDescent="0.2">
      <c r="A192" s="8" t="s">
        <v>205</v>
      </c>
      <c r="B192" s="4" t="s">
        <v>206</v>
      </c>
      <c r="C192" s="4" t="s">
        <v>168</v>
      </c>
      <c r="D192" s="4"/>
      <c r="E192" s="9">
        <f>_xll.BQL("DAL US Equity", "IS_COMPARABLE_EBIT/1M", "FPT=A", "FPO=5A", "ACT_EST_MAPPING=PRECISE", "FS=MRC", "CURRENCY=USD", "XLFILL=b")</f>
        <v>7694</v>
      </c>
      <c r="F192" s="9">
        <f>_xll.BQL("DAL US Equity", "IS_COMPARABLE_EBIT/1M", "FPT=A", "FPO=4A", "ACT_EST_MAPPING=PRECISE", "FS=MRC", "CURRENCY=USD", "XLFILL=b")</f>
        <v>8401</v>
      </c>
      <c r="G192" s="9">
        <f>_xll.BQL("DAL US Equity", "IS_COMPARABLE_EBIT/1M", "FPT=A", "FPO=3A", "ACT_EST_MAPPING=PRECISE", "FS=MRC", "CURRENCY=USD", "XLFILL=b")</f>
        <v>7211.9333333333334</v>
      </c>
      <c r="H192" s="9">
        <f>_xll.BQL("DAL US Equity", "IS_COMPARABLE_EBIT/1M", "FPT=A", "FPO=2A", "ACT_EST_MAPPING=PRECISE", "FS=MRC", "CURRENCY=USD", "XLFILL=b")</f>
        <v>6996.0588235294117</v>
      </c>
      <c r="I192" s="9">
        <f>_xll.BQL("DAL US Equity", "IS_COMPARABLE_EBIT/1M", "FPT=A", "FPO=1A", "ACT_EST_MAPPING=PRECISE", "FS=MRC", "CURRENCY=USD", "XLFILL=b")</f>
        <v>6124.8888888888896</v>
      </c>
      <c r="J192" s="9">
        <f>_xll.BQL("DAL US Equity", "IS_COMPARABLE_EBIT/1M", "FPT=A", "FPO=0A", "ACT_EST_MAPPING=PRECISE", "FS=MRC", "CURRENCY=USD", "XLFILL=b")</f>
        <v>6334</v>
      </c>
      <c r="K192" s="9">
        <f>_xll.BQL("DAL US Equity", "IS_COMPARABLE_EBIT/1M", "FPT=A", "FPO=-1A", "ACT_EST_MAPPING=PRECISE", "FS=MRC", "CURRENCY=USD", "XLFILL=b")</f>
        <v>3568</v>
      </c>
      <c r="L192" s="9">
        <f>_xll.BQL("DAL US Equity", "IS_COMPARABLE_EBIT/1M", "FPT=A", "FPO=-2A", "ACT_EST_MAPPING=PRECISE", "FS=MRC", "CURRENCY=USD", "XLFILL=b")</f>
        <v>-2527</v>
      </c>
      <c r="M192" s="9">
        <f>_xll.BQL("DAL US Equity", "IS_COMPARABLE_EBIT/1M", "FPT=A", "FPO=-3A", "ACT_EST_MAPPING=PRECISE", "FS=MRC", "CURRENCY=USD", "XLFILL=b")</f>
        <v>-8185</v>
      </c>
      <c r="N192" s="9">
        <f>_xll.BQL("DAL US Equity", "IS_COMPARABLE_EBIT/1M", "FPT=A", "FPO=-4A", "ACT_EST_MAPPING=PRECISE", "FS=MRC", "CURRENCY=USD", "XLFILL=b")</f>
        <v>6597</v>
      </c>
    </row>
    <row r="193" spans="1:14" x14ac:dyDescent="0.2">
      <c r="A193" s="8" t="s">
        <v>86</v>
      </c>
      <c r="B193" s="4" t="s">
        <v>206</v>
      </c>
      <c r="C193" s="4" t="s">
        <v>168</v>
      </c>
      <c r="D193" s="4"/>
      <c r="E193" s="9">
        <f>_xll.BQL("DAL US Equity", "FA_GROWTH(IS_COMPARABLE_EBIT, YOY)", "FPT=A", "FPO=5A", "ACT_EST_MAPPING=PRECISE", "FS=MRC", "CURRENCY=USD", "XLFILL=b")</f>
        <v>-8.4156648018093083</v>
      </c>
      <c r="F193" s="9">
        <f>_xll.BQL("DAL US Equity", "FA_GROWTH(IS_COMPARABLE_EBIT, YOY)", "FPT=A", "FPO=4A", "ACT_EST_MAPPING=PRECISE", "FS=MRC", "CURRENCY=USD", "XLFILL=b")</f>
        <v>16.487488329527917</v>
      </c>
      <c r="G193" s="9">
        <f>_xll.BQL("DAL US Equity", "FA_GROWTH(IS_COMPARABLE_EBIT, YOY)", "FPT=A", "FPO=3A", "ACT_EST_MAPPING=PRECISE", "FS=MRC", "CURRENCY=USD", "XLFILL=b")</f>
        <v>3.0856588723623126</v>
      </c>
      <c r="H193" s="9">
        <f>_xll.BQL("DAL US Equity", "FA_GROWTH(IS_COMPARABLE_EBIT, YOY)", "FPT=A", "FPO=2A", "ACT_EST_MAPPING=PRECISE", "FS=MRC", "CURRENCY=USD", "XLFILL=b")</f>
        <v>14.223440627974561</v>
      </c>
      <c r="I193" s="9">
        <f>_xll.BQL("DAL US Equity", "FA_GROWTH(IS_COMPARABLE_EBIT, YOY)", "FPT=A", "FPO=1A", "ACT_EST_MAPPING=PRECISE", "FS=MRC", "CURRENCY=USD", "XLFILL=b")</f>
        <v>-3.3014068694523315</v>
      </c>
      <c r="J193" s="9">
        <f>_xll.BQL("DAL US Equity", "FA_GROWTH(IS_COMPARABLE_EBIT, YOY)", "FPT=A", "FPO=0A", "ACT_EST_MAPPING=PRECISE", "FS=MRC", "CURRENCY=USD", "XLFILL=b")</f>
        <v>77.52242152466367</v>
      </c>
      <c r="K193" s="9">
        <f>_xll.BQL("DAL US Equity", "FA_GROWTH(IS_COMPARABLE_EBIT, YOY)", "FPT=A", "FPO=-1A", "ACT_EST_MAPPING=PRECISE", "FS=MRC", "CURRENCY=USD", "XLFILL=b")</f>
        <v>241.195092995647</v>
      </c>
      <c r="L193" s="9">
        <f>_xll.BQL("DAL US Equity", "FA_GROWTH(IS_COMPARABLE_EBIT, YOY)", "FPT=A", "FPO=-2A", "ACT_EST_MAPPING=PRECISE", "FS=MRC", "CURRENCY=USD", "XLFILL=b")</f>
        <v>69.126450824679296</v>
      </c>
      <c r="M193" s="9">
        <f>_xll.BQL("DAL US Equity", "FA_GROWTH(IS_COMPARABLE_EBIT, YOY)", "FPT=A", "FPO=-3A", "ACT_EST_MAPPING=PRECISE", "FS=MRC", "CURRENCY=USD", "XLFILL=b")</f>
        <v>-224.07154767318477</v>
      </c>
      <c r="N193" s="9">
        <f>_xll.BQL("DAL US Equity", "FA_GROWTH(IS_COMPARABLE_EBIT, YOY)", "FPT=A", "FPO=-4A", "ACT_EST_MAPPING=PRECISE", "FS=MRC", "CURRENCY=USD", "XLFILL=b")</f>
        <v>26.234213547646384</v>
      </c>
    </row>
    <row r="194" spans="1:14" x14ac:dyDescent="0.2">
      <c r="A194" s="8" t="s">
        <v>122</v>
      </c>
      <c r="B194" s="4" t="s">
        <v>207</v>
      </c>
      <c r="C194" s="4"/>
      <c r="D194" s="4"/>
      <c r="E194" s="9">
        <f>_xll.BQL("DAL US Equity", "ADJ_OPERATING_MARGIN", "FPT=A", "FPO=5A", "ACT_EST_MAPPING=PRECISE", "FS=MRC", "CURRENCY=USD", "XLFILL=b")</f>
        <v>13.255977610495639</v>
      </c>
      <c r="F194" s="9">
        <f>_xll.BQL("DAL US Equity", "ADJ_OPERATING_MARGIN", "FPT=A", "FPO=4A", "ACT_EST_MAPPING=PRECISE", "FS=MRC", "CURRENCY=USD", "XLFILL=b")</f>
        <v>13.090939044687946</v>
      </c>
      <c r="G194" s="9">
        <f>_xll.BQL("DAL US Equity", "ADJ_OPERATING_MARGIN", "FPT=A", "FPO=3A", "ACT_EST_MAPPING=PRECISE", "FS=MRC", "CURRENCY=USD", "XLFILL=b")</f>
        <v>11.938231790881419</v>
      </c>
      <c r="H194" s="9">
        <f>_xll.BQL("DAL US Equity", "ADJ_OPERATING_MARGIN", "FPT=A", "FPO=2A", "ACT_EST_MAPPING=PRECISE", "FS=MRC", "CURRENCY=USD", "XLFILL=b")</f>
        <v>10.83252994309359</v>
      </c>
      <c r="I194" s="9">
        <f>_xll.BQL("DAL US Equity", "ADJ_OPERATING_MARGIN", "FPT=A", "FPO=1A", "ACT_EST_MAPPING=PRECISE", "FS=MRC", "CURRENCY=USD", "XLFILL=b")</f>
        <v>10.617127979723186</v>
      </c>
      <c r="J194" s="9">
        <f>_xll.BQL("DAL US Equity", "ADJ_OPERATING_MARGIN", "FPT=A", "FPO=0A", "ACT_EST_MAPPING=PRECISE", "FS=MRC", "CURRENCY=USD", "XLFILL=b")</f>
        <v>10.911659316427784</v>
      </c>
      <c r="K194" s="9">
        <f>_xll.BQL("DAL US Equity", "ADJ_OPERATING_MARGIN", "FPT=A", "FPO=-1A", "ACT_EST_MAPPING=PRECISE", "FS=MRC", "CURRENCY=USD", "XLFILL=b")</f>
        <v>7.0499387133762994</v>
      </c>
      <c r="L194" s="9">
        <f>_xll.BQL("DAL US Equity", "ADJ_OPERATING_MARGIN", "FPT=A", "FPO=-2A", "ACT_EST_MAPPING=PRECISE", "FS=MRC", "CURRENCY=USD", "XLFILL=b")</f>
        <v>-8.4517876852068632</v>
      </c>
      <c r="M194" s="9">
        <f>_xll.BQL("DAL US Equity", "ADJ_OPERATING_MARGIN", "FPT=A", "FPO=-3A", "ACT_EST_MAPPING=PRECISE", "FS=MRC", "CURRENCY=USD", "XLFILL=b")</f>
        <v>38.818367943843228</v>
      </c>
      <c r="N194" s="9">
        <f>_xll.BQL("DAL US Equity", "ADJ_OPERATING_MARGIN", "FPT=A", "FPO=-4A", "ACT_EST_MAPPING=PRECISE", "FS=MRC", "CURRENCY=USD", "XLFILL=b")</f>
        <v>14.117046397345076</v>
      </c>
    </row>
    <row r="195" spans="1:14" x14ac:dyDescent="0.2">
      <c r="A195" s="8" t="s">
        <v>94</v>
      </c>
      <c r="B195" s="4" t="s">
        <v>207</v>
      </c>
      <c r="C195" s="4"/>
      <c r="D195" s="4"/>
      <c r="E195" s="9">
        <f>_xll.BQL("DAL US Equity", "FA_GROWTH(ADJ_OPERATING_MARGIN, YOY)", "FPT=A", "FPO=5A", "ACT_EST_MAPPING=PRECISE", "FS=MRC", "CURRENCY=USD", "XLFILL=b")</f>
        <v>1.260708381914456</v>
      </c>
      <c r="F195" s="9">
        <f>_xll.BQL("DAL US Equity", "FA_GROWTH(ADJ_OPERATING_MARGIN, YOY)", "FPT=A", "FPO=4A", "ACT_EST_MAPPING=PRECISE", "FS=MRC", "CURRENCY=USD", "XLFILL=b")</f>
        <v>9.6555945134771157</v>
      </c>
      <c r="G195" s="9">
        <f>_xll.BQL("DAL US Equity", "FA_GROWTH(ADJ_OPERATING_MARGIN, YOY)", "FPT=A", "FPO=3A", "ACT_EST_MAPPING=PRECISE", "FS=MRC", "CURRENCY=USD", "XLFILL=b")</f>
        <v>10.20723555435711</v>
      </c>
      <c r="H195" s="9">
        <f>_xll.BQL("DAL US Equity", "FA_GROWTH(ADJ_OPERATING_MARGIN, YOY)", "FPT=A", "FPO=2A", "ACT_EST_MAPPING=PRECISE", "FS=MRC", "CURRENCY=USD", "XLFILL=b")</f>
        <v>2.0288157379451679</v>
      </c>
      <c r="I195" s="9">
        <f>_xll.BQL("DAL US Equity", "FA_GROWTH(ADJ_OPERATING_MARGIN, YOY)", "FPT=A", "FPO=1A", "ACT_EST_MAPPING=PRECISE", "FS=MRC", "CURRENCY=USD", "XLFILL=b")</f>
        <v>-2.6992350857323153</v>
      </c>
      <c r="J195" s="9">
        <f>_xll.BQL("DAL US Equity", "FA_GROWTH(ADJ_OPERATING_MARGIN, YOY)", "FPT=A", "FPO=0A", "ACT_EST_MAPPING=PRECISE", "FS=MRC", "CURRENCY=USD", "XLFILL=b")</f>
        <v>54.776654947714576</v>
      </c>
      <c r="K195" s="9">
        <f>_xll.BQL("DAL US Equity", "FA_GROWTH(ADJ_OPERATING_MARGIN, YOY)", "FPT=A", "FPO=-1A", "ACT_EST_MAPPING=PRECISE", "FS=MRC", "CURRENCY=USD", "XLFILL=b")</f>
        <v>183.41358036851523</v>
      </c>
      <c r="L195" s="9">
        <f>_xll.BQL("DAL US Equity", "FA_GROWTH(ADJ_OPERATING_MARGIN, YOY)", "FPT=A", "FPO=-2A", "ACT_EST_MAPPING=PRECISE", "FS=MRC", "CURRENCY=USD", "XLFILL=b")</f>
        <v>-121.77265076531215</v>
      </c>
      <c r="M195" s="9">
        <f>_xll.BQL("DAL US Equity", "FA_GROWTH(ADJ_OPERATING_MARGIN, YOY)", "FPT=A", "FPO=-3A", "ACT_EST_MAPPING=PRECISE", "FS=MRC", "CURRENCY=USD", "XLFILL=b")</f>
        <v>174.97513892951153</v>
      </c>
      <c r="N195" s="9">
        <f>_xll.BQL("DAL US Equity", "FA_GROWTH(ADJ_OPERATING_MARGIN, YOY)", "FPT=A", "FPO=-4A", "ACT_EST_MAPPING=PRECISE", "FS=MRC", "CURRENCY=USD", "XLFILL=b")</f>
        <v>20.386357283673089</v>
      </c>
    </row>
    <row r="196" spans="1:14" x14ac:dyDescent="0.2">
      <c r="A196" s="8" t="s">
        <v>208</v>
      </c>
      <c r="B196" s="4" t="s">
        <v>209</v>
      </c>
      <c r="C196" s="4" t="s">
        <v>157</v>
      </c>
      <c r="D196" s="4"/>
      <c r="E196" s="9">
        <f>_xll.BQL("DAL US Equity", "IS_COMPARABLE_EBITDA/1M", "FPT=A", "FPO=5A", "ACT_EST_MAPPING=PRECISE", "FS=MRC", "CURRENCY=USD", "XLFILL=b")</f>
        <v>11755</v>
      </c>
      <c r="F196" s="9">
        <f>_xll.BQL("DAL US Equity", "IS_COMPARABLE_EBITDA/1M", "FPT=A", "FPO=4A", "ACT_EST_MAPPING=PRECISE", "FS=MRC", "CURRENCY=USD", "XLFILL=b")</f>
        <v>11553.5</v>
      </c>
      <c r="G196" s="9">
        <f>_xll.BQL("DAL US Equity", "IS_COMPARABLE_EBITDA/1M", "FPT=A", "FPO=3A", "ACT_EST_MAPPING=PRECISE", "FS=MRC", "CURRENCY=USD", "XLFILL=b")</f>
        <v>10462</v>
      </c>
      <c r="H196" s="9">
        <f>_xll.BQL("DAL US Equity", "IS_COMPARABLE_EBITDA/1M", "FPT=A", "FPO=2A", "ACT_EST_MAPPING=PRECISE", "FS=MRC", "CURRENCY=USD", "XLFILL=b")</f>
        <v>9648</v>
      </c>
      <c r="I196" s="9">
        <f>_xll.BQL("DAL US Equity", "IS_COMPARABLE_EBITDA/1M", "FPT=A", "FPO=1A", "ACT_EST_MAPPING=PRECISE", "FS=MRC", "CURRENCY=USD", "XLFILL=b")</f>
        <v>8676.4</v>
      </c>
      <c r="J196" s="9">
        <f>_xll.BQL("DAL US Equity", "IS_COMPARABLE_EBITDA/1M", "FPT=A", "FPO=0A", "ACT_EST_MAPPING=PRECISE", "FS=MRC", "CURRENCY=USD", "XLFILL=b")</f>
        <v>8671</v>
      </c>
      <c r="K196" s="9">
        <f>_xll.BQL("DAL US Equity", "IS_COMPARABLE_EBITDA/1M", "FPT=A", "FPO=-1A", "ACT_EST_MAPPING=PRECISE", "FS=MRC", "CURRENCY=USD", "XLFILL=b")</f>
        <v>5676</v>
      </c>
      <c r="L196" s="9">
        <f>_xll.BQL("DAL US Equity", "IS_COMPARABLE_EBITDA/1M", "FPT=A", "FPO=-2A", "ACT_EST_MAPPING=PRECISE", "FS=MRC", "CURRENCY=USD", "XLFILL=b")</f>
        <v>-529</v>
      </c>
      <c r="M196" s="9">
        <f>_xll.BQL("DAL US Equity", "IS_COMPARABLE_EBITDA/1M", "FPT=A", "FPO=-3A", "ACT_EST_MAPPING=PRECISE", "FS=MRC", "CURRENCY=USD", "XLFILL=b")</f>
        <v>-3566</v>
      </c>
      <c r="N196" s="9">
        <f>_xll.BQL("DAL US Equity", "IS_COMPARABLE_EBITDA/1M", "FPT=A", "FPO=-4A", "ACT_EST_MAPPING=PRECISE", "FS=MRC", "CURRENCY=USD", "XLFILL=b")</f>
        <v>9199</v>
      </c>
    </row>
    <row r="197" spans="1:14" x14ac:dyDescent="0.2">
      <c r="A197" s="8" t="s">
        <v>86</v>
      </c>
      <c r="B197" s="4" t="s">
        <v>209</v>
      </c>
      <c r="C197" s="4" t="s">
        <v>157</v>
      </c>
      <c r="D197" s="4"/>
      <c r="E197" s="9">
        <f>_xll.BQL("DAL US Equity", "FA_GROWTH(IS_COMPARABLE_EBITDA, YOY)", "FPT=A", "FPO=5A", "ACT_EST_MAPPING=PRECISE", "FS=MRC", "CURRENCY=USD", "XLFILL=b")</f>
        <v>1.7440602414852642</v>
      </c>
      <c r="F197" s="9">
        <f>_xll.BQL("DAL US Equity", "FA_GROWTH(IS_COMPARABLE_EBITDA, YOY)", "FPT=A", "FPO=4A", "ACT_EST_MAPPING=PRECISE", "FS=MRC", "CURRENCY=USD", "XLFILL=b")</f>
        <v>10.432995603135156</v>
      </c>
      <c r="G197" s="9">
        <f>_xll.BQL("DAL US Equity", "FA_GROWTH(IS_COMPARABLE_EBITDA, YOY)", "FPT=A", "FPO=3A", "ACT_EST_MAPPING=PRECISE", "FS=MRC", "CURRENCY=USD", "XLFILL=b")</f>
        <v>8.4369817578772803</v>
      </c>
      <c r="H197" s="9">
        <f>_xll.BQL("DAL US Equity", "FA_GROWTH(IS_COMPARABLE_EBITDA, YOY)", "FPT=A", "FPO=2A", "ACT_EST_MAPPING=PRECISE", "FS=MRC", "CURRENCY=USD", "XLFILL=b")</f>
        <v>11.198192798856669</v>
      </c>
      <c r="I197" s="9">
        <f>_xll.BQL("DAL US Equity", "FA_GROWTH(IS_COMPARABLE_EBITDA, YOY)", "FPT=A", "FPO=1A", "ACT_EST_MAPPING=PRECISE", "FS=MRC", "CURRENCY=USD", "XLFILL=b")</f>
        <v>6.2276554030676966E-2</v>
      </c>
      <c r="J197" s="9">
        <f>_xll.BQL("DAL US Equity", "FA_GROWTH(IS_COMPARABLE_EBITDA, YOY)", "FPT=A", "FPO=0A", "ACT_EST_MAPPING=PRECISE", "FS=MRC", "CURRENCY=USD", "XLFILL=b")</f>
        <v>52.766032417195206</v>
      </c>
      <c r="K197" s="9">
        <f>_xll.BQL("DAL US Equity", "FA_GROWTH(IS_COMPARABLE_EBITDA, YOY)", "FPT=A", "FPO=-1A", "ACT_EST_MAPPING=PRECISE", "FS=MRC", "CURRENCY=USD", "XLFILL=b")</f>
        <v>1172.9678638941398</v>
      </c>
      <c r="L197" s="9">
        <f>_xll.BQL("DAL US Equity", "FA_GROWTH(IS_COMPARABLE_EBITDA, YOY)", "FPT=A", "FPO=-2A", "ACT_EST_MAPPING=PRECISE", "FS=MRC", "CURRENCY=USD", "XLFILL=b")</f>
        <v>85.165451486259116</v>
      </c>
      <c r="M197" s="9">
        <f>_xll.BQL("DAL US Equity", "FA_GROWTH(IS_COMPARABLE_EBITDA, YOY)", "FPT=A", "FPO=-3A", "ACT_EST_MAPPING=PRECISE", "FS=MRC", "CURRENCY=USD", "XLFILL=b")</f>
        <v>-138.76508316121317</v>
      </c>
      <c r="N197" s="9">
        <f>_xll.BQL("DAL US Equity", "FA_GROWTH(IS_COMPARABLE_EBITDA, YOY)", "FPT=A", "FPO=-4A", "ACT_EST_MAPPING=PRECISE", "FS=MRC", "CURRENCY=USD", "XLFILL=b")</f>
        <v>21.760423560555925</v>
      </c>
    </row>
    <row r="198" spans="1:14" x14ac:dyDescent="0.2">
      <c r="A198" s="8" t="s">
        <v>210</v>
      </c>
      <c r="B198" s="4" t="s">
        <v>211</v>
      </c>
      <c r="C198" s="4"/>
      <c r="D198" s="4"/>
      <c r="E198" s="9">
        <f>_xll.BQL("DAL US Equity", "EBITDA_TO_REVENUE", "FPT=A", "FPO=5A", "ACT_EST_MAPPING=PRECISE", "FS=MRC", "CURRENCY=USD", "XLFILL=b")</f>
        <v>15.580454973163352</v>
      </c>
      <c r="F198" s="9">
        <f>_xll.BQL("DAL US Equity", "EBITDA_TO_REVENUE", "FPT=A", "FPO=4A", "ACT_EST_MAPPING=PRECISE", "FS=MRC", "CURRENCY=USD", "XLFILL=b")</f>
        <v>15.358409897354653</v>
      </c>
      <c r="G198" s="9">
        <f>_xll.BQL("DAL US Equity", "EBITDA_TO_REVENUE", "FPT=A", "FPO=3A", "ACT_EST_MAPPING=PRECISE", "FS=MRC", "CURRENCY=USD", "XLFILL=b")</f>
        <v>15.189999789924713</v>
      </c>
      <c r="H198" s="9">
        <f>_xll.BQL("DAL US Equity", "EBITDA_TO_REVENUE", "FPT=A", "FPO=2A", "ACT_EST_MAPPING=PRECISE", "FS=MRC", "CURRENCY=USD", "XLFILL=b")</f>
        <v>14.446593323382517</v>
      </c>
      <c r="I198" s="9">
        <f>_xll.BQL("DAL US Equity", "EBITDA_TO_REVENUE", "FPT=A", "FPO=1A", "ACT_EST_MAPPING=PRECISE", "FS=MRC", "CURRENCY=USD", "XLFILL=b")</f>
        <v>14.290074221735269</v>
      </c>
      <c r="J198" s="9">
        <f>_xll.BQL("DAL US Equity", "EBITDA_TO_REVENUE", "FPT=A", "FPO=0A", "ACT_EST_MAPPING=PRECISE", "FS=MRC", "CURRENCY=USD", "XLFILL=b")</f>
        <v>15.233944321940463</v>
      </c>
      <c r="K198" s="9">
        <f>_xll.BQL("DAL US Equity", "EBITDA_TO_REVENUE", "FPT=A", "FPO=-1A", "ACT_EST_MAPPING=PRECISE", "FS=MRC", "CURRENCY=USD", "XLFILL=b")</f>
        <v>13.279427464315368</v>
      </c>
      <c r="L198" s="9">
        <f>_xll.BQL("DAL US Equity", "EBITDA_TO_REVENUE", "FPT=A", "FPO=-2A", "ACT_EST_MAPPING=PRECISE", "FS=MRC", "CURRENCY=USD", "XLFILL=b")</f>
        <v>15.876785176761764</v>
      </c>
      <c r="M198" s="9">
        <f>_xll.BQL("DAL US Equity", "EBITDA_TO_REVENUE", "FPT=A", "FPO=-3A", "ACT_EST_MAPPING=PRECISE", "FS=MRC", "CURRENCY=USD", "XLFILL=b")</f>
        <v>-53.454226381983041</v>
      </c>
      <c r="N198" s="9">
        <f>_xll.BQL("DAL US Equity", "EBITDA_TO_REVENUE", "FPT=A", "FPO=-4A", "ACT_EST_MAPPING=PRECISE", "FS=MRC", "CURRENCY=USD", "XLFILL=b")</f>
        <v>21.724424021954178</v>
      </c>
    </row>
    <row r="199" spans="1:14" x14ac:dyDescent="0.2">
      <c r="A199" s="8" t="s">
        <v>94</v>
      </c>
      <c r="B199" s="4" t="s">
        <v>211</v>
      </c>
      <c r="C199" s="4"/>
      <c r="D199" s="4"/>
      <c r="E199" s="9">
        <f>_xll.BQL("DAL US Equity", "FA_GROWTH(EBITDA_TO_REVENUE, YOY)", "FPT=A", "FPO=5A", "ACT_EST_MAPPING=PRECISE", "FS=MRC", "CURRENCY=USD", "XLFILL=b")</f>
        <v>1.4457556302553471</v>
      </c>
      <c r="F199" s="9">
        <f>_xll.BQL("DAL US Equity", "FA_GROWTH(EBITDA_TO_REVENUE, YOY)", "FPT=A", "FPO=4A", "ACT_EST_MAPPING=PRECISE", "FS=MRC", "CURRENCY=USD", "XLFILL=b")</f>
        <v>1.1086906501581653</v>
      </c>
      <c r="G199" s="9">
        <f>_xll.BQL("DAL US Equity", "FA_GROWTH(EBITDA_TO_REVENUE, YOY)", "FPT=A", "FPO=3A", "ACT_EST_MAPPING=PRECISE", "FS=MRC", "CURRENCY=USD", "XLFILL=b")</f>
        <v>5.1458946057473334</v>
      </c>
      <c r="H199" s="9">
        <f>_xll.BQL("DAL US Equity", "FA_GROWTH(EBITDA_TO_REVENUE, YOY)", "FPT=A", "FPO=2A", "ACT_EST_MAPPING=PRECISE", "FS=MRC", "CURRENCY=USD", "XLFILL=b")</f>
        <v>1.0952994310497139</v>
      </c>
      <c r="I199" s="9">
        <f>_xll.BQL("DAL US Equity", "FA_GROWTH(EBITDA_TO_REVENUE, YOY)", "FPT=A", "FPO=1A", "ACT_EST_MAPPING=PRECISE", "FS=MRC", "CURRENCY=USD", "XLFILL=b")</f>
        <v>-6.1958353021272305</v>
      </c>
      <c r="J199" s="9">
        <f>_xll.BQL("DAL US Equity", "FA_GROWTH(EBITDA_TO_REVENUE, YOY)", "FPT=A", "FPO=0A", "ACT_EST_MAPPING=PRECISE", "FS=MRC", "CURRENCY=USD", "XLFILL=b")</f>
        <v>14.718381969985488</v>
      </c>
      <c r="K199" s="9">
        <f>_xll.BQL("DAL US Equity", "FA_GROWTH(EBITDA_TO_REVENUE, YOY)", "FPT=A", "FPO=-1A", "ACT_EST_MAPPING=PRECISE", "FS=MRC", "CURRENCY=USD", "XLFILL=b")</f>
        <v>-16.359468768576953</v>
      </c>
      <c r="L199" s="9">
        <f>_xll.BQL("DAL US Equity", "FA_GROWTH(EBITDA_TO_REVENUE, YOY)", "FPT=A", "FPO=-2A", "ACT_EST_MAPPING=PRECISE", "FS=MRC", "CURRENCY=USD", "XLFILL=b")</f>
        <v>129.70164615854043</v>
      </c>
      <c r="M199" s="9">
        <f>_xll.BQL("DAL US Equity", "FA_GROWTH(EBITDA_TO_REVENUE, YOY)", "FPT=A", "FPO=-3A", "ACT_EST_MAPPING=PRECISE", "FS=MRC", "CURRENCY=USD", "XLFILL=b")</f>
        <v>-346.05589693868745</v>
      </c>
      <c r="N199" s="9">
        <f>_xll.BQL("DAL US Equity", "FA_GROWTH(EBITDA_TO_REVENUE, YOY)", "FPT=A", "FPO=-4A", "ACT_EST_MAPPING=PRECISE", "FS=MRC", "CURRENCY=USD", "XLFILL=b")</f>
        <v>12.42459004164432</v>
      </c>
    </row>
    <row r="200" spans="1:14" x14ac:dyDescent="0.2">
      <c r="A200" s="8" t="s">
        <v>212</v>
      </c>
      <c r="B200" s="4" t="s">
        <v>46</v>
      </c>
      <c r="C200" s="4"/>
      <c r="D200" s="4"/>
      <c r="E200" s="9">
        <f>_xll.BQL("DAL US Equity", "IS_COMP_PTP_EX_STK_BASED_COMP/1M", "FPT=A", "FPO=5A", "ACT_EST_MAPPING=PRECISE", "FS=MRC", "CURRENCY=USD", "XLFILL=b")</f>
        <v>8245</v>
      </c>
      <c r="F200" s="9">
        <f>_xll.BQL("DAL US Equity", "IS_COMP_PTP_EX_STK_BASED_COMP/1M", "FPT=A", "FPO=4A", "ACT_EST_MAPPING=PRECISE", "FS=MRC", "CURRENCY=USD", "XLFILL=b")</f>
        <v>7773.333333333333</v>
      </c>
      <c r="G200" s="9">
        <f>_xll.BQL("DAL US Equity", "IS_COMP_PTP_EX_STK_BASED_COMP/1M", "FPT=A", "FPO=3A", "ACT_EST_MAPPING=PRECISE", "FS=MRC", "CURRENCY=USD", "XLFILL=b")</f>
        <v>6950.833333333333</v>
      </c>
      <c r="H200" s="9">
        <f>_xll.BQL("DAL US Equity", "IS_COMP_PTP_EX_STK_BASED_COMP/1M", "FPT=A", "FPO=2A", "ACT_EST_MAPPING=PRECISE", "FS=MRC", "CURRENCY=USD", "XLFILL=b")</f>
        <v>6162.0588235294117</v>
      </c>
      <c r="I200" s="9">
        <f>_xll.BQL("DAL US Equity", "IS_COMP_PTP_EX_STK_BASED_COMP/1M", "FPT=A", "FPO=1A", "ACT_EST_MAPPING=PRECISE", "FS=MRC", "CURRENCY=USD", "XLFILL=b")</f>
        <v>5060.0588235294117</v>
      </c>
      <c r="J200" s="9">
        <f>_xll.BQL("DAL US Equity", "IS_COMP_PTP_EX_STK_BASED_COMP/1M", "FPT=A", "FPO=0A", "ACT_EST_MAPPING=PRECISE", "FS=MRC", "CURRENCY=USD", "XLFILL=b")</f>
        <v>5220</v>
      </c>
      <c r="K200" s="9">
        <f>_xll.BQL("DAL US Equity", "IS_COMP_PTP_EX_STK_BASED_COMP/1M", "FPT=A", "FPO=-1A", "ACT_EST_MAPPING=PRECISE", "FS=MRC", "CURRENCY=USD", "XLFILL=b")</f>
        <v>2703</v>
      </c>
      <c r="L200" s="9">
        <f>_xll.BQL("DAL US Equity", "IS_COMP_PTP_EX_STK_BASED_COMP/1M", "FPT=A", "FPO=-2A", "ACT_EST_MAPPING=PRECISE", "FS=MRC", "CURRENCY=USD", "XLFILL=b")</f>
        <v>-3415</v>
      </c>
      <c r="M200" s="9">
        <f>_xll.BQL("DAL US Equity", "IS_COMP_PTP_EX_STK_BASED_COMP/1M", "FPT=A", "FPO=-3A", "ACT_EST_MAPPING=PRECISE", "FS=MRC", "CURRENCY=USD", "XLFILL=b")</f>
        <v>-8996</v>
      </c>
      <c r="N200" s="9">
        <f>_xll.BQL("DAL US Equity", "IS_COMP_PTP_EX_STK_BASED_COMP/1M", "FPT=A", "FPO=-4A", "ACT_EST_MAPPING=PRECISE", "FS=MRC", "CURRENCY=USD", "XLFILL=b")</f>
        <v>6198</v>
      </c>
    </row>
    <row r="201" spans="1:14" x14ac:dyDescent="0.2">
      <c r="A201" s="8" t="s">
        <v>86</v>
      </c>
      <c r="B201" s="4" t="s">
        <v>46</v>
      </c>
      <c r="C201" s="4"/>
      <c r="D201" s="4"/>
      <c r="E201" s="9">
        <f>_xll.BQL("DAL US Equity", "FA_GROWTH(IS_COMP_PTP_EX_STK_BASED_COMP, YOY)", "FPT=A", "FPO=5A", "ACT_EST_MAPPING=PRECISE", "FS=MRC", "CURRENCY=USD", "XLFILL=b")</f>
        <v>6.0677530017152703</v>
      </c>
      <c r="F201" s="9">
        <f>_xll.BQL("DAL US Equity", "FA_GROWTH(IS_COMP_PTP_EX_STK_BASED_COMP, YOY)", "FPT=A", "FPO=4A", "ACT_EST_MAPPING=PRECISE", "FS=MRC", "CURRENCY=USD", "XLFILL=b")</f>
        <v>11.833113535547296</v>
      </c>
      <c r="G201" s="9">
        <f>_xll.BQL("DAL US Equity", "FA_GROWTH(IS_COMP_PTP_EX_STK_BASED_COMP, YOY)", "FPT=A", "FPO=3A", "ACT_EST_MAPPING=PRECISE", "FS=MRC", "CURRENCY=USD", "XLFILL=b")</f>
        <v>12.800502760409211</v>
      </c>
      <c r="H201" s="9">
        <f>_xll.BQL("DAL US Equity", "FA_GROWTH(IS_COMP_PTP_EX_STK_BASED_COMP, YOY)", "FPT=A", "FPO=2A", "ACT_EST_MAPPING=PRECISE", "FS=MRC", "CURRENCY=USD", "XLFILL=b")</f>
        <v>21.778402948117321</v>
      </c>
      <c r="I201" s="9">
        <f>_xll.BQL("DAL US Equity", "FA_GROWTH(IS_COMP_PTP_EX_STK_BASED_COMP, YOY)", "FPT=A", "FPO=1A", "ACT_EST_MAPPING=PRECISE", "FS=MRC", "CURRENCY=USD", "XLFILL=b")</f>
        <v>-3.0640072120802428</v>
      </c>
      <c r="J201" s="9">
        <f>_xll.BQL("DAL US Equity", "FA_GROWTH(IS_COMP_PTP_EX_STK_BASED_COMP, YOY)", "FPT=A", "FPO=0A", "ACT_EST_MAPPING=PRECISE", "FS=MRC", "CURRENCY=USD", "XLFILL=b")</f>
        <v>93.118756936736958</v>
      </c>
      <c r="K201" s="9">
        <f>_xll.BQL("DAL US Equity", "FA_GROWTH(IS_COMP_PTP_EX_STK_BASED_COMP, YOY)", "FPT=A", "FPO=-1A", "ACT_EST_MAPPING=PRECISE", "FS=MRC", "CURRENCY=USD", "XLFILL=b")</f>
        <v>179.15080527086383</v>
      </c>
      <c r="L201" s="9">
        <f>_xll.BQL("DAL US Equity", "FA_GROWTH(IS_COMP_PTP_EX_STK_BASED_COMP, YOY)", "FPT=A", "FPO=-2A", "ACT_EST_MAPPING=PRECISE", "FS=MRC", "CURRENCY=USD", "XLFILL=b")</f>
        <v>62.038683859493105</v>
      </c>
      <c r="M201" s="9">
        <f>_xll.BQL("DAL US Equity", "FA_GROWTH(IS_COMP_PTP_EX_STK_BASED_COMP, YOY)", "FPT=A", "FPO=-3A", "ACT_EST_MAPPING=PRECISE", "FS=MRC", "CURRENCY=USD", "XLFILL=b")</f>
        <v>-245.14359470797032</v>
      </c>
      <c r="N201" s="9">
        <f>_xll.BQL("DAL US Equity", "FA_GROWTH(IS_COMP_PTP_EX_STK_BASED_COMP, YOY)", "FPT=A", "FPO=-4A", "ACT_EST_MAPPING=PRECISE", "FS=MRC", "CURRENCY=USD", "XLFILL=b")</f>
        <v>21.220418540973988</v>
      </c>
    </row>
    <row r="202" spans="1:14" x14ac:dyDescent="0.2">
      <c r="A202" s="8" t="s">
        <v>213</v>
      </c>
      <c r="B202" s="4" t="s">
        <v>214</v>
      </c>
      <c r="C202" s="4"/>
      <c r="D202" s="4"/>
      <c r="E202" s="9">
        <f>_xll.BQL("DAL US Equity", "CB_IS_ADJ_INC_TAX_EXPN/1M", "FPT=A", "FPO=5A", "ACT_EST_MAPPING=PRECISE", "FS=MRC", "CURRENCY=USD", "XLFILL=b")</f>
        <v>1940.8939425334354</v>
      </c>
      <c r="F202" s="9">
        <f>_xll.BQL("DAL US Equity", "CB_IS_ADJ_INC_TAX_EXPN/1M", "FPT=A", "FPO=4A", "ACT_EST_MAPPING=PRECISE", "FS=MRC", "CURRENCY=USD", "XLFILL=b")</f>
        <v>1903.7547009609186</v>
      </c>
      <c r="G202" s="9">
        <f>_xll.BQL("DAL US Equity", "CB_IS_ADJ_INC_TAX_EXPN/1M", "FPT=A", "FPO=3A", "ACT_EST_MAPPING=PRECISE", "FS=MRC", "CURRENCY=USD", "XLFILL=b")</f>
        <v>1625.8339756521323</v>
      </c>
      <c r="H202" s="9">
        <f>_xll.BQL("DAL US Equity", "CB_IS_ADJ_INC_TAX_EXPN/1M", "FPT=A", "FPO=2A", "ACT_EST_MAPPING=PRECISE", "FS=MRC", "CURRENCY=USD", "XLFILL=b")</f>
        <v>1447.0103453914965</v>
      </c>
      <c r="I202" s="9">
        <f>_xll.BQL("DAL US Equity", "CB_IS_ADJ_INC_TAX_EXPN/1M", "FPT=A", "FPO=1A", "ACT_EST_MAPPING=PRECISE", "FS=MRC", "CURRENCY=USD", "XLFILL=b")</f>
        <v>1206.0928006241988</v>
      </c>
      <c r="J202" s="9">
        <f>_xll.BQL("DAL US Equity", "CB_IS_ADJ_INC_TAX_EXPN/1M", "FPT=A", "FPO=0A", "ACT_EST_MAPPING=PRECISE", "FS=MRC", "CURRENCY=USD", "XLFILL=b")</f>
        <v>1200</v>
      </c>
      <c r="K202" s="9">
        <f>_xll.BQL("DAL US Equity", "CB_IS_ADJ_INC_TAX_EXPN/1M", "FPT=A", "FPO=-1A", "ACT_EST_MAPPING=PRECISE", "FS=MRC", "CURRENCY=USD", "XLFILL=b")</f>
        <v>650</v>
      </c>
      <c r="L202" s="9">
        <f>_xll.BQL("DAL US Equity", "CB_IS_ADJ_INC_TAX_EXPN/1M", "FPT=A", "FPO=-2A", "ACT_EST_MAPPING=PRECISE", "FS=MRC", "CURRENCY=USD", "XLFILL=b")</f>
        <v>-817</v>
      </c>
      <c r="M202" s="9">
        <f>_xll.BQL("DAL US Equity", "CB_IS_ADJ_INC_TAX_EXPN/1M", "FPT=A", "FPO=-3A", "ACT_EST_MAPPING=PRECISE", "FS=MRC", "CURRENCY=USD", "XLFILL=b")</f>
        <v>-2156</v>
      </c>
      <c r="N202" s="9">
        <f>_xll.BQL("DAL US Equity", "CB_IS_ADJ_INC_TAX_EXPN/1M", "FPT=A", "FPO=-4A", "ACT_EST_MAPPING=PRECISE", "FS=MRC", "CURRENCY=USD", "XLFILL=b")</f>
        <v>1438</v>
      </c>
    </row>
    <row r="203" spans="1:14" x14ac:dyDescent="0.2">
      <c r="A203" s="8" t="s">
        <v>86</v>
      </c>
      <c r="B203" s="4" t="s">
        <v>214</v>
      </c>
      <c r="C203" s="4"/>
      <c r="D203" s="4"/>
      <c r="E203" s="9">
        <f>_xll.BQL("DAL US Equity", "FA_GROWTH(CB_IS_ADJ_INC_TAX_EXPN, YOY)", "FPT=A", "FPO=5A", "ACT_EST_MAPPING=PRECISE", "FS=MRC", "CURRENCY=USD", "XLFILL=b")</f>
        <v>1.9508417525519794</v>
      </c>
      <c r="F203" s="9">
        <f>_xll.BQL("DAL US Equity", "FA_GROWTH(CB_IS_ADJ_INC_TAX_EXPN, YOY)", "FPT=A", "FPO=4A", "ACT_EST_MAPPING=PRECISE", "FS=MRC", "CURRENCY=USD", "XLFILL=b")</f>
        <v>17.09404093350372</v>
      </c>
      <c r="G203" s="9">
        <f>_xll.BQL("DAL US Equity", "FA_GROWTH(CB_IS_ADJ_INC_TAX_EXPN, YOY)", "FPT=A", "FPO=3A", "ACT_EST_MAPPING=PRECISE", "FS=MRC", "CURRENCY=USD", "XLFILL=b")</f>
        <v>12.358144558548691</v>
      </c>
      <c r="H203" s="9">
        <f>_xll.BQL("DAL US Equity", "FA_GROWTH(CB_IS_ADJ_INC_TAX_EXPN, YOY)", "FPT=A", "FPO=2A", "ACT_EST_MAPPING=PRECISE", "FS=MRC", "CURRENCY=USD", "XLFILL=b")</f>
        <v>19.975042106429417</v>
      </c>
      <c r="I203" s="9">
        <f>_xll.BQL("DAL US Equity", "FA_GROWTH(CB_IS_ADJ_INC_TAX_EXPN, YOY)", "FPT=A", "FPO=1A", "ACT_EST_MAPPING=PRECISE", "FS=MRC", "CURRENCY=USD", "XLFILL=b")</f>
        <v>0.50773338534990942</v>
      </c>
      <c r="J203" s="9">
        <f>_xll.BQL("DAL US Equity", "FA_GROWTH(CB_IS_ADJ_INC_TAX_EXPN, YOY)", "FPT=A", "FPO=0A", "ACT_EST_MAPPING=PRECISE", "FS=MRC", "CURRENCY=USD", "XLFILL=b")</f>
        <v>84.615384615384613</v>
      </c>
      <c r="K203" s="9">
        <f>_xll.BQL("DAL US Equity", "FA_GROWTH(CB_IS_ADJ_INC_TAX_EXPN, YOY)", "FPT=A", "FPO=-1A", "ACT_EST_MAPPING=PRECISE", "FS=MRC", "CURRENCY=USD", "XLFILL=b")</f>
        <v>179.55936352509181</v>
      </c>
      <c r="L203" s="9">
        <f>_xll.BQL("DAL US Equity", "FA_GROWTH(CB_IS_ADJ_INC_TAX_EXPN, YOY)", "FPT=A", "FPO=-2A", "ACT_EST_MAPPING=PRECISE", "FS=MRC", "CURRENCY=USD", "XLFILL=b")</f>
        <v>62.105751391465674</v>
      </c>
      <c r="M203" s="9">
        <f>_xll.BQL("DAL US Equity", "FA_GROWTH(CB_IS_ADJ_INC_TAX_EXPN, YOY)", "FPT=A", "FPO=-3A", "ACT_EST_MAPPING=PRECISE", "FS=MRC", "CURRENCY=USD", "XLFILL=b")</f>
        <v>-249.93045897079276</v>
      </c>
      <c r="N203" s="9">
        <f>_xll.BQL("DAL US Equity", "FA_GROWTH(CB_IS_ADJ_INC_TAX_EXPN, YOY)", "FPT=A", "FPO=-4A", "ACT_EST_MAPPING=PRECISE", "FS=MRC", "CURRENCY=USD", "XLFILL=b")</f>
        <v>20.94196804037006</v>
      </c>
    </row>
    <row r="204" spans="1:14" x14ac:dyDescent="0.2">
      <c r="A204" s="8" t="s">
        <v>215</v>
      </c>
      <c r="B204" s="4" t="s">
        <v>48</v>
      </c>
      <c r="C204" s="4" t="s">
        <v>186</v>
      </c>
      <c r="D204" s="4"/>
      <c r="E204" s="9">
        <f>_xll.BQL("DAL US Equity", "IS_COMP_NET_INCOME_ADJUST_OLD/1M", "FPT=A", "FPO=5A", "ACT_EST_MAPPING=PRECISE", "FS=MRC", "CURRENCY=USD", "XLFILL=b")</f>
        <v>6308</v>
      </c>
      <c r="F204" s="9">
        <f>_xll.BQL("DAL US Equity", "IS_COMP_NET_INCOME_ADJUST_OLD/1M", "FPT=A", "FPO=4A", "ACT_EST_MAPPING=PRECISE", "FS=MRC", "CURRENCY=USD", "XLFILL=b")</f>
        <v>5081.25</v>
      </c>
      <c r="G204" s="9">
        <f>_xll.BQL("DAL US Equity", "IS_COMP_NET_INCOME_ADJUST_OLD/1M", "FPT=A", "FPO=3A", "ACT_EST_MAPPING=PRECISE", "FS=MRC", "CURRENCY=USD", "XLFILL=b")</f>
        <v>5051</v>
      </c>
      <c r="H204" s="9">
        <f>_xll.BQL("DAL US Equity", "IS_COMP_NET_INCOME_ADJUST_OLD/1M", "FPT=A", "FPO=2A", "ACT_EST_MAPPING=PRECISE", "FS=MRC", "CURRENCY=USD", "XLFILL=b")</f>
        <v>4699.5</v>
      </c>
      <c r="I204" s="9">
        <f>_xll.BQL("DAL US Equity", "IS_COMP_NET_INCOME_ADJUST_OLD/1M", "FPT=A", "FPO=1A", "ACT_EST_MAPPING=PRECISE", "FS=MRC", "CURRENCY=USD", "XLFILL=b")</f>
        <v>3935.1052631578946</v>
      </c>
      <c r="J204" s="9">
        <f>_xll.BQL("DAL US Equity", "IS_COMP_NET_INCOME_ADJUST_OLD/1M", "FPT=A", "FPO=0A", "ACT_EST_MAPPING=PRECISE", "FS=MRC", "CURRENCY=USD", "XLFILL=b")</f>
        <v>4020</v>
      </c>
      <c r="K204" s="9">
        <f>_xll.BQL("DAL US Equity", "IS_COMP_NET_INCOME_ADJUST_OLD/1M", "FPT=A", "FPO=-1A", "ACT_EST_MAPPING=PRECISE", "FS=MRC", "CURRENCY=USD", "XLFILL=b")</f>
        <v>2053</v>
      </c>
      <c r="L204" s="9">
        <f>_xll.BQL("DAL US Equity", "IS_COMP_NET_INCOME_ADJUST_OLD/1M", "FPT=A", "FPO=-2A", "ACT_EST_MAPPING=PRECISE", "FS=MRC", "CURRENCY=USD", "XLFILL=b")</f>
        <v>-2598</v>
      </c>
      <c r="M204" s="9">
        <f>_xll.BQL("DAL US Equity", "IS_COMP_NET_INCOME_ADJUST_OLD/1M", "FPT=A", "FPO=-3A", "ACT_EST_MAPPING=PRECISE", "FS=MRC", "CURRENCY=USD", "XLFILL=b")</f>
        <v>-6839</v>
      </c>
      <c r="N204" s="9">
        <f>_xll.BQL("DAL US Equity", "IS_COMP_NET_INCOME_ADJUST_OLD/1M", "FPT=A", "FPO=-4A", "ACT_EST_MAPPING=PRECISE", "FS=MRC", "CURRENCY=USD", "XLFILL=b")</f>
        <v>4773</v>
      </c>
    </row>
    <row r="205" spans="1:14" x14ac:dyDescent="0.2">
      <c r="A205" s="8" t="s">
        <v>86</v>
      </c>
      <c r="B205" s="4" t="s">
        <v>48</v>
      </c>
      <c r="C205" s="4" t="s">
        <v>186</v>
      </c>
      <c r="D205" s="4"/>
      <c r="E205" s="9">
        <f>_xll.BQL("DAL US Equity", "FA_GROWTH(IS_COMP_NET_INCOME_ADJUST_OLD, YOY)", "FPT=A", "FPO=5A", "ACT_EST_MAPPING=PRECISE", "FS=MRC", "CURRENCY=USD", "XLFILL=b")</f>
        <v>24.142681426814267</v>
      </c>
      <c r="F205" s="9">
        <f>_xll.BQL("DAL US Equity", "FA_GROWTH(IS_COMP_NET_INCOME_ADJUST_OLD, YOY)", "FPT=A", "FPO=4A", "ACT_EST_MAPPING=PRECISE", "FS=MRC", "CURRENCY=USD", "XLFILL=b")</f>
        <v>0.59889130865175211</v>
      </c>
      <c r="G205" s="9">
        <f>_xll.BQL("DAL US Equity", "FA_GROWTH(IS_COMP_NET_INCOME_ADJUST_OLD, YOY)", "FPT=A", "FPO=3A", "ACT_EST_MAPPING=PRECISE", "FS=MRC", "CURRENCY=USD", "XLFILL=b")</f>
        <v>7.4795190977763593</v>
      </c>
      <c r="H205" s="9">
        <f>_xll.BQL("DAL US Equity", "FA_GROWTH(IS_COMP_NET_INCOME_ADJUST_OLD, YOY)", "FPT=A", "FPO=2A", "ACT_EST_MAPPING=PRECISE", "FS=MRC", "CURRENCY=USD", "XLFILL=b")</f>
        <v>19.425013709256763</v>
      </c>
      <c r="I205" s="9">
        <f>_xll.BQL("DAL US Equity", "FA_GROWTH(IS_COMP_NET_INCOME_ADJUST_OLD, YOY)", "FPT=A", "FPO=1A", "ACT_EST_MAPPING=PRECISE", "FS=MRC", "CURRENCY=USD", "XLFILL=b")</f>
        <v>-2.1118093741817261</v>
      </c>
      <c r="J205" s="9">
        <f>_xll.BQL("DAL US Equity", "FA_GROWTH(IS_COMP_NET_INCOME_ADJUST_OLD, YOY)", "FPT=A", "FPO=0A", "ACT_EST_MAPPING=PRECISE", "FS=MRC", "CURRENCY=USD", "XLFILL=b")</f>
        <v>95.811008280565034</v>
      </c>
      <c r="K205" s="9">
        <f>_xll.BQL("DAL US Equity", "FA_GROWTH(IS_COMP_NET_INCOME_ADJUST_OLD, YOY)", "FPT=A", "FPO=-1A", "ACT_EST_MAPPING=PRECISE", "FS=MRC", "CURRENCY=USD", "XLFILL=b")</f>
        <v>179.02232486528098</v>
      </c>
      <c r="L205" s="9">
        <f>_xll.BQL("DAL US Equity", "FA_GROWTH(IS_COMP_NET_INCOME_ADJUST_OLD, YOY)", "FPT=A", "FPO=-2A", "ACT_EST_MAPPING=PRECISE", "FS=MRC", "CURRENCY=USD", "XLFILL=b")</f>
        <v>62.011990057025884</v>
      </c>
      <c r="M205" s="9">
        <f>_xll.BQL("DAL US Equity", "FA_GROWTH(IS_COMP_NET_INCOME_ADJUST_OLD, YOY)", "FPT=A", "FPO=-3A", "ACT_EST_MAPPING=PRECISE", "FS=MRC", "CURRENCY=USD", "XLFILL=b")</f>
        <v>-243.285145610727</v>
      </c>
      <c r="N205" s="9">
        <f>_xll.BQL("DAL US Equity", "FA_GROWTH(IS_COMP_NET_INCOME_ADJUST_OLD, YOY)", "FPT=A", "FPO=-4A", "ACT_EST_MAPPING=PRECISE", "FS=MRC", "CURRENCY=USD", "XLFILL=b")</f>
        <v>21.853459280061273</v>
      </c>
    </row>
    <row r="206" spans="1:14" x14ac:dyDescent="0.2">
      <c r="A206" s="8" t="s">
        <v>216</v>
      </c>
      <c r="B206" s="4" t="s">
        <v>217</v>
      </c>
      <c r="C206" s="4"/>
      <c r="D206" s="4"/>
      <c r="E206" s="9">
        <f>_xll.BQL("DAL US Equity", "ADJ_PROFIT_MARGIN", "FPT=A", "FPO=5A", "ACT_EST_MAPPING=PRECISE", "FS=MRC", "CURRENCY=USD", "XLFILL=b")</f>
        <v>8.9730628744404441</v>
      </c>
      <c r="F206" s="9">
        <f>_xll.BQL("DAL US Equity", "ADJ_PROFIT_MARGIN", "FPT=A", "FPO=4A", "ACT_EST_MAPPING=PRECISE", "FS=MRC", "CURRENCY=USD", "XLFILL=b")</f>
        <v>8.5243027808960186</v>
      </c>
      <c r="G206" s="9">
        <f>_xll.BQL("DAL US Equity", "ADJ_PROFIT_MARGIN", "FPT=A", "FPO=3A", "ACT_EST_MAPPING=PRECISE", "FS=MRC", "CURRENCY=USD", "XLFILL=b")</f>
        <v>8.0377733239483895</v>
      </c>
      <c r="H206" s="9">
        <f>_xll.BQL("DAL US Equity", "ADJ_PROFIT_MARGIN", "FPT=A", "FPO=2A", "ACT_EST_MAPPING=PRECISE", "FS=MRC", "CURRENCY=USD", "XLFILL=b")</f>
        <v>7.5165726654323652</v>
      </c>
      <c r="I206" s="9">
        <f>_xll.BQL("DAL US Equity", "ADJ_PROFIT_MARGIN", "FPT=A", "FPO=1A", "ACT_EST_MAPPING=PRECISE", "FS=MRC", "CURRENCY=USD", "XLFILL=b")</f>
        <v>6.2935671600204142</v>
      </c>
      <c r="J206" s="9">
        <f>_xll.BQL("DAL US Equity", "ADJ_PROFIT_MARGIN", "FPT=A", "FPO=0A", "ACT_EST_MAPPING=PRECISE", "FS=MRC", "CURRENCY=USD", "XLFILL=b")</f>
        <v>6.9253031973539141</v>
      </c>
      <c r="K206" s="9">
        <f>_xll.BQL("DAL US Equity", "ADJ_PROFIT_MARGIN", "FPT=A", "FPO=-1A", "ACT_EST_MAPPING=PRECISE", "FS=MRC", "CURRENCY=USD", "XLFILL=b")</f>
        <v>4.0587560792376731</v>
      </c>
      <c r="L206" s="9">
        <f>_xll.BQL("DAL US Equity", "ADJ_PROFIT_MARGIN", "FPT=A", "FPO=-2A", "ACT_EST_MAPPING=PRECISE", "FS=MRC", "CURRENCY=USD", "XLFILL=b")</f>
        <v>-8.689253821198033</v>
      </c>
      <c r="M206" s="9">
        <f>_xll.BQL("DAL US Equity", "ADJ_PROFIT_MARGIN", "FPT=A", "FPO=-3A", "ACT_EST_MAPPING=PRECISE", "FS=MRC", "CURRENCY=USD", "XLFILL=b")</f>
        <v>-40.005849663644341</v>
      </c>
      <c r="N206" s="9">
        <f>_xll.BQL("DAL US Equity", "ADJ_PROFIT_MARGIN", "FPT=A", "FPO=-4A", "ACT_EST_MAPPING=PRECISE", "FS=MRC", "CURRENCY=USD", "XLFILL=b")</f>
        <v>10.153806879826409</v>
      </c>
    </row>
    <row r="207" spans="1:14" x14ac:dyDescent="0.2">
      <c r="A207" s="8" t="s">
        <v>94</v>
      </c>
      <c r="B207" s="4" t="s">
        <v>217</v>
      </c>
      <c r="C207" s="4"/>
      <c r="D207" s="4"/>
      <c r="E207" s="9">
        <f>_xll.BQL("DAL US Equity", "FA_GROWTH(ADJ_PROFIT_MARGIN, YOY)", "FPT=A", "FPO=5A", "ACT_EST_MAPPING=PRECISE", "FS=MRC", "CURRENCY=USD", "XLFILL=b")</f>
        <v>5.2644785747187512</v>
      </c>
      <c r="F207" s="9">
        <f>_xll.BQL("DAL US Equity", "FA_GROWTH(ADJ_PROFIT_MARGIN, YOY)", "FPT=A", "FPO=4A", "ACT_EST_MAPPING=PRECISE", "FS=MRC", "CURRENCY=USD", "XLFILL=b")</f>
        <v>6.0530377921709233</v>
      </c>
      <c r="G207" s="9">
        <f>_xll.BQL("DAL US Equity", "FA_GROWTH(ADJ_PROFIT_MARGIN, YOY)", "FPT=A", "FPO=3A", "ACT_EST_MAPPING=PRECISE", "FS=MRC", "CURRENCY=USD", "XLFILL=b")</f>
        <v>6.934020087545365</v>
      </c>
      <c r="H207" s="9">
        <f>_xll.BQL("DAL US Equity", "FA_GROWTH(ADJ_PROFIT_MARGIN, YOY)", "FPT=A", "FPO=2A", "ACT_EST_MAPPING=PRECISE", "FS=MRC", "CURRENCY=USD", "XLFILL=b")</f>
        <v>19.432628179151489</v>
      </c>
      <c r="I207" s="9">
        <f>_xll.BQL("DAL US Equity", "FA_GROWTH(ADJ_PROFIT_MARGIN, YOY)", "FPT=A", "FPO=1A", "ACT_EST_MAPPING=PRECISE", "FS=MRC", "CURRENCY=USD", "XLFILL=b")</f>
        <v>-9.1221426604813445</v>
      </c>
      <c r="J207" s="9">
        <f>_xll.BQL("DAL US Equity", "FA_GROWTH(ADJ_PROFIT_MARGIN, YOY)", "FPT=A", "FPO=0A", "ACT_EST_MAPPING=PRECISE", "FS=MRC", "CURRENCY=USD", "XLFILL=b")</f>
        <v>70.626247602803559</v>
      </c>
      <c r="K207" s="9">
        <f>_xll.BQL("DAL US Equity", "FA_GROWTH(ADJ_PROFIT_MARGIN, YOY)", "FPT=A", "FPO=-1A", "ACT_EST_MAPPING=PRECISE", "FS=MRC", "CURRENCY=USD", "XLFILL=b")</f>
        <v>146.71006467017983</v>
      </c>
      <c r="L207" s="9">
        <f>_xll.BQL("DAL US Equity", "FA_GROWTH(ADJ_PROFIT_MARGIN, YOY)", "FPT=A", "FPO=-2A", "ACT_EST_MAPPING=PRECISE", "FS=MRC", "CURRENCY=USD", "XLFILL=b")</f>
        <v>78.280041808249692</v>
      </c>
      <c r="M207" s="9">
        <f>_xll.BQL("DAL US Equity", "FA_GROWTH(ADJ_PROFIT_MARGIN, YOY)", "FPT=A", "FPO=-3A", "ACT_EST_MAPPING=PRECISE", "FS=MRC", "CURRENCY=USD", "XLFILL=b")</f>
        <v>-493.9985282084495</v>
      </c>
      <c r="N207" s="9">
        <f>_xll.BQL("DAL US Equity", "FA_GROWTH(ADJ_PROFIT_MARGIN, YOY)", "FPT=A", "FPO=-4A", "ACT_EST_MAPPING=PRECISE", "FS=MRC", "CURRENCY=USD", "XLFILL=b")</f>
        <v>15.904153641337254</v>
      </c>
    </row>
    <row r="208" spans="1:14" x14ac:dyDescent="0.2">
      <c r="A208" s="8" t="s">
        <v>218</v>
      </c>
      <c r="B208" s="4" t="s">
        <v>10</v>
      </c>
      <c r="C208" s="4" t="s">
        <v>197</v>
      </c>
      <c r="D208" s="4"/>
      <c r="E208" s="9">
        <f>_xll.BQL("DAL US Equity", "IS_COMP_EPS_ADJUSTED_OLD", "FPT=A", "FPO=5A", "ACT_EST_MAPPING=PRECISE", "FS=MRC", "CURRENCY=USD", "XLFILL=b")</f>
        <v>9.9600000000000009</v>
      </c>
      <c r="F208" s="9">
        <f>_xll.BQL("DAL US Equity", "IS_COMP_EPS_ADJUSTED_OLD", "FPT=A", "FPO=4A", "ACT_EST_MAPPING=PRECISE", "FS=MRC", "CURRENCY=USD", "XLFILL=b")</f>
        <v>9.2899999999999991</v>
      </c>
      <c r="G208" s="9">
        <f>_xll.BQL("DAL US Equity", "IS_COMP_EPS_ADJUSTED_OLD", "FPT=A", "FPO=3A", "ACT_EST_MAPPING=PRECISE", "FS=MRC", "CURRENCY=USD", "XLFILL=b")</f>
        <v>8.15</v>
      </c>
      <c r="H208" s="9">
        <f>_xll.BQL("DAL US Equity", "IS_COMP_EPS_ADJUSTED_OLD", "FPT=A", "FPO=2A", "ACT_EST_MAPPING=PRECISE", "FS=MRC", "CURRENCY=USD", "XLFILL=b")</f>
        <v>7.2942105263157897</v>
      </c>
      <c r="I208" s="9">
        <f>_xll.BQL("DAL US Equity", "IS_COMP_EPS_ADJUSTED_OLD", "FPT=A", "FPO=1A", "ACT_EST_MAPPING=PRECISE", "FS=MRC", "CURRENCY=USD", "XLFILL=b")</f>
        <v>6.1624999999999996</v>
      </c>
      <c r="J208" s="9">
        <f>_xll.BQL("DAL US Equity", "IS_COMP_EPS_ADJUSTED_OLD", "FPT=A", "FPO=0A", "ACT_EST_MAPPING=PRECISE", "FS=MRC", "CURRENCY=USD", "XLFILL=b")</f>
        <v>6.25</v>
      </c>
      <c r="K208" s="9">
        <f>_xll.BQL("DAL US Equity", "IS_COMP_EPS_ADJUSTED_OLD", "FPT=A", "FPO=-1A", "ACT_EST_MAPPING=PRECISE", "FS=MRC", "CURRENCY=USD", "XLFILL=b")</f>
        <v>3.2</v>
      </c>
      <c r="L208" s="9">
        <f>_xll.BQL("DAL US Equity", "IS_COMP_EPS_ADJUSTED_OLD", "FPT=A", "FPO=-2A", "ACT_EST_MAPPING=PRECISE", "FS=MRC", "CURRENCY=USD", "XLFILL=b")</f>
        <v>-4.08</v>
      </c>
      <c r="M208" s="9">
        <f>_xll.BQL("DAL US Equity", "IS_COMP_EPS_ADJUSTED_OLD", "FPT=A", "FPO=-3A", "ACT_EST_MAPPING=PRECISE", "FS=MRC", "CURRENCY=USD", "XLFILL=b")</f>
        <v>-10.76</v>
      </c>
      <c r="N208" s="9">
        <f>_xll.BQL("DAL US Equity", "IS_COMP_EPS_ADJUSTED_OLD", "FPT=A", "FPO=-4A", "ACT_EST_MAPPING=PRECISE", "FS=MRC", "CURRENCY=USD", "XLFILL=b")</f>
        <v>7.31</v>
      </c>
    </row>
    <row r="209" spans="1:14" x14ac:dyDescent="0.2">
      <c r="A209" s="8" t="s">
        <v>86</v>
      </c>
      <c r="B209" s="4" t="s">
        <v>10</v>
      </c>
      <c r="C209" s="4" t="s">
        <v>197</v>
      </c>
      <c r="D209" s="4"/>
      <c r="E209" s="9">
        <f>_xll.BQL("DAL US Equity", "FA_GROWTH(IS_COMP_EPS_ADJUSTED_OLD, YOY)", "FPT=A", "FPO=5A", "ACT_EST_MAPPING=PRECISE", "FS=MRC", "CURRENCY=USD", "XLFILL=b")</f>
        <v>7.2120559741657884</v>
      </c>
      <c r="F209" s="9">
        <f>_xll.BQL("DAL US Equity", "FA_GROWTH(IS_COMP_EPS_ADJUSTED_OLD, YOY)", "FPT=A", "FPO=4A", "ACT_EST_MAPPING=PRECISE", "FS=MRC", "CURRENCY=USD", "XLFILL=b")</f>
        <v>13.987730061349678</v>
      </c>
      <c r="G209" s="9">
        <f>_xll.BQL("DAL US Equity", "FA_GROWTH(IS_COMP_EPS_ADJUSTED_OLD, YOY)", "FPT=A", "FPO=3A", "ACT_EST_MAPPING=PRECISE", "FS=MRC", "CURRENCY=USD", "XLFILL=b")</f>
        <v>11.732448228587923</v>
      </c>
      <c r="H209" s="9">
        <f>_xll.BQL("DAL US Equity", "FA_GROWTH(IS_COMP_EPS_ADJUSTED_OLD, YOY)", "FPT=A", "FPO=2A", "ACT_EST_MAPPING=PRECISE", "FS=MRC", "CURRENCY=USD", "XLFILL=b")</f>
        <v>18.364471015266371</v>
      </c>
      <c r="I209" s="9">
        <f>_xll.BQL("DAL US Equity", "FA_GROWTH(IS_COMP_EPS_ADJUSTED_OLD, YOY)", "FPT=A", "FPO=1A", "ACT_EST_MAPPING=PRECISE", "FS=MRC", "CURRENCY=USD", "XLFILL=b")</f>
        <v>-1.4000000000000057</v>
      </c>
      <c r="J209" s="9">
        <f>_xll.BQL("DAL US Equity", "FA_GROWTH(IS_COMP_EPS_ADJUSTED_OLD, YOY)", "FPT=A", "FPO=0A", "ACT_EST_MAPPING=PRECISE", "FS=MRC", "CURRENCY=USD", "XLFILL=b")</f>
        <v>95.3125</v>
      </c>
      <c r="K209" s="9">
        <f>_xll.BQL("DAL US Equity", "FA_GROWTH(IS_COMP_EPS_ADJUSTED_OLD, YOY)", "FPT=A", "FPO=-1A", "ACT_EST_MAPPING=PRECISE", "FS=MRC", "CURRENCY=USD", "XLFILL=b")</f>
        <v>178.43137254901961</v>
      </c>
      <c r="L209" s="9">
        <f>_xll.BQL("DAL US Equity", "FA_GROWTH(IS_COMP_EPS_ADJUSTED_OLD, YOY)", "FPT=A", "FPO=-2A", "ACT_EST_MAPPING=PRECISE", "FS=MRC", "CURRENCY=USD", "XLFILL=b")</f>
        <v>62.081784386617102</v>
      </c>
      <c r="M209" s="9">
        <f>_xll.BQL("DAL US Equity", "FA_GROWTH(IS_COMP_EPS_ADJUSTED_OLD, YOY)", "FPT=A", "FPO=-3A", "ACT_EST_MAPPING=PRECISE", "FS=MRC", "CURRENCY=USD", "XLFILL=b")</f>
        <v>-247.19562243502054</v>
      </c>
      <c r="N209" s="9">
        <f>_xll.BQL("DAL US Equity", "FA_GROWTH(IS_COMP_EPS_ADJUSTED_OLD, YOY)", "FPT=A", "FPO=-4A", "ACT_EST_MAPPING=PRECISE", "FS=MRC", "CURRENCY=USD", "XLFILL=b")</f>
        <v>29.380530973451311</v>
      </c>
    </row>
    <row r="210" spans="1:14" x14ac:dyDescent="0.2">
      <c r="A210" s="8" t="s">
        <v>16</v>
      </c>
      <c r="B210" s="4"/>
      <c r="C210" s="4"/>
      <c r="D210" s="4"/>
      <c r="E210" s="9"/>
      <c r="F210" s="9"/>
      <c r="G210" s="9"/>
      <c r="H210" s="9"/>
      <c r="I210" s="9"/>
      <c r="J210" s="9"/>
      <c r="K210" s="9"/>
      <c r="L210" s="9"/>
      <c r="M210" s="9"/>
      <c r="N210" s="9"/>
    </row>
    <row r="211" spans="1:14" x14ac:dyDescent="0.2">
      <c r="A211" s="8" t="s">
        <v>219</v>
      </c>
      <c r="B211" s="4"/>
      <c r="C211" s="4" t="s">
        <v>220</v>
      </c>
      <c r="D211" s="4"/>
      <c r="E211" s="9"/>
      <c r="F211" s="9"/>
      <c r="G211" s="9"/>
      <c r="H211" s="9"/>
      <c r="I211" s="9"/>
      <c r="J211" s="9"/>
      <c r="K211" s="9"/>
      <c r="L211" s="9"/>
      <c r="M211" s="9"/>
      <c r="N211" s="9"/>
    </row>
    <row r="212" spans="1:14" x14ac:dyDescent="0.2">
      <c r="A212" s="8" t="s">
        <v>221</v>
      </c>
      <c r="B212" s="4" t="s">
        <v>170</v>
      </c>
      <c r="C212" s="4" t="s">
        <v>197</v>
      </c>
      <c r="D212" s="4"/>
      <c r="E212" s="9" t="str">
        <f>_xll.BQL("DAL US Equity", "IS_G_L_ON_EXT_DBT_OR_SETTLE_DBT/1M", "FPT=A", "FPO=5A", "ACT_EST_MAPPING=PRECISE", "FS=MRC", "CURRENCY=USD", "XLFILL=b")</f>
        <v/>
      </c>
      <c r="F212" s="9" t="str">
        <f>_xll.BQL("DAL US Equity", "IS_G_L_ON_EXT_DBT_OR_SETTLE_DBT/1M", "FPT=A", "FPO=4A", "ACT_EST_MAPPING=PRECISE", "FS=MRC", "CURRENCY=USD", "XLFILL=b")</f>
        <v/>
      </c>
      <c r="G212" s="9" t="str">
        <f>_xll.BQL("DAL US Equity", "IS_G_L_ON_EXT_DBT_OR_SETTLE_DBT/1M", "FPT=A", "FPO=3A", "ACT_EST_MAPPING=PRECISE", "FS=MRC", "CURRENCY=USD", "XLFILL=b")</f>
        <v/>
      </c>
      <c r="H212" s="9" t="str">
        <f>_xll.BQL("DAL US Equity", "IS_G_L_ON_EXT_DBT_OR_SETTLE_DBT/1M", "FPT=A", "FPO=2A", "ACT_EST_MAPPING=PRECISE", "FS=MRC", "CURRENCY=USD", "XLFILL=b")</f>
        <v/>
      </c>
      <c r="I212" s="9">
        <f>_xll.BQL("DAL US Equity", "IS_G_L_ON_EXT_DBT_OR_SETTLE_DBT/1M", "FPT=A", "FPO=1A", "ACT_EST_MAPPING=PRECISE", "FS=MRC", "CURRENCY=USD", "XLFILL=b")</f>
        <v>36</v>
      </c>
      <c r="J212" s="9">
        <f>_xll.BQL("DAL US Equity", "IS_G_L_ON_EXT_DBT_OR_SETTLE_DBT/1M", "FPT=A", "FPO=0A", "ACT_EST_MAPPING=PRECISE", "FS=MRC", "CURRENCY=USD", "XLFILL=b")</f>
        <v>63</v>
      </c>
      <c r="K212" s="9">
        <f>_xll.BQL("DAL US Equity", "IS_G_L_ON_EXT_DBT_OR_SETTLE_DBT/1M", "FPT=A", "FPO=-1A", "ACT_EST_MAPPING=PRECISE", "FS=MRC", "CURRENCY=USD", "XLFILL=b")</f>
        <v>100</v>
      </c>
      <c r="L212" s="9">
        <f>_xll.BQL("DAL US Equity", "IS_G_L_ON_EXT_DBT_OR_SETTLE_DBT/1M", "FPT=A", "FPO=-2A", "ACT_EST_MAPPING=PRECISE", "FS=MRC", "CURRENCY=USD", "XLFILL=b")</f>
        <v>319</v>
      </c>
      <c r="M212" s="9">
        <f>_xll.BQL("DAL US Equity", "IS_G_L_ON_EXT_DBT_OR_SETTLE_DBT/1M", "FPT=A", "FPO=-3A", "ACT_EST_MAPPING=PRECISE", "FS=MRC", "CURRENCY=USD", "XLFILL=b")</f>
        <v>8</v>
      </c>
      <c r="N212" s="9" t="str">
        <f>_xll.BQL("DAL US Equity", "IS_G_L_ON_EXT_DBT_OR_SETTLE_DBT/1M", "FPT=A", "FPO=-4A", "ACT_EST_MAPPING=PRECISE", "FS=MRC", "CURRENCY=USD", "XLFILL=b")</f>
        <v/>
      </c>
    </row>
    <row r="213" spans="1:14" x14ac:dyDescent="0.2">
      <c r="A213" s="8" t="s">
        <v>86</v>
      </c>
      <c r="B213" s="4" t="s">
        <v>170</v>
      </c>
      <c r="C213" s="4" t="s">
        <v>197</v>
      </c>
      <c r="D213" s="4"/>
      <c r="E213" s="9" t="str">
        <f>_xll.BQL("DAL US Equity", "FA_GROWTH(IS_G_L_ON_EXT_DBT_OR_SETTLE_DBT, YOY)", "FPT=A", "FPO=5A", "ACT_EST_MAPPING=PRECISE", "FS=MRC", "CURRENCY=USD", "XLFILL=b")</f>
        <v/>
      </c>
      <c r="F213" s="9" t="str">
        <f>_xll.BQL("DAL US Equity", "FA_GROWTH(IS_G_L_ON_EXT_DBT_OR_SETTLE_DBT, YOY)", "FPT=A", "FPO=4A", "ACT_EST_MAPPING=PRECISE", "FS=MRC", "CURRENCY=USD", "XLFILL=b")</f>
        <v/>
      </c>
      <c r="G213" s="9" t="str">
        <f>_xll.BQL("DAL US Equity", "FA_GROWTH(IS_G_L_ON_EXT_DBT_OR_SETTLE_DBT, YOY)", "FPT=A", "FPO=3A", "ACT_EST_MAPPING=PRECISE", "FS=MRC", "CURRENCY=USD", "XLFILL=b")</f>
        <v/>
      </c>
      <c r="H213" s="9" t="str">
        <f>_xll.BQL("DAL US Equity", "FA_GROWTH(IS_G_L_ON_EXT_DBT_OR_SETTLE_DBT, YOY)", "FPT=A", "FPO=2A", "ACT_EST_MAPPING=PRECISE", "FS=MRC", "CURRENCY=USD", "XLFILL=b")</f>
        <v/>
      </c>
      <c r="I213" s="9">
        <f>_xll.BQL("DAL US Equity", "FA_GROWTH(IS_G_L_ON_EXT_DBT_OR_SETTLE_DBT, YOY)", "FPT=A", "FPO=1A", "ACT_EST_MAPPING=PRECISE", "FS=MRC", "CURRENCY=USD", "XLFILL=b")</f>
        <v>-42.857142857142854</v>
      </c>
      <c r="J213" s="9">
        <f>_xll.BQL("DAL US Equity", "FA_GROWTH(IS_G_L_ON_EXT_DBT_OR_SETTLE_DBT, YOY)", "FPT=A", "FPO=0A", "ACT_EST_MAPPING=PRECISE", "FS=MRC", "CURRENCY=USD", "XLFILL=b")</f>
        <v>-37</v>
      </c>
      <c r="K213" s="9">
        <f>_xll.BQL("DAL US Equity", "FA_GROWTH(IS_G_L_ON_EXT_DBT_OR_SETTLE_DBT, YOY)", "FPT=A", "FPO=-1A", "ACT_EST_MAPPING=PRECISE", "FS=MRC", "CURRENCY=USD", "XLFILL=b")</f>
        <v>-68.652037617554853</v>
      </c>
      <c r="L213" s="9">
        <f>_xll.BQL("DAL US Equity", "FA_GROWTH(IS_G_L_ON_EXT_DBT_OR_SETTLE_DBT, YOY)", "FPT=A", "FPO=-2A", "ACT_EST_MAPPING=PRECISE", "FS=MRC", "CURRENCY=USD", "XLFILL=b")</f>
        <v>3887.5</v>
      </c>
      <c r="M213" s="9" t="str">
        <f>_xll.BQL("DAL US Equity", "FA_GROWTH(IS_G_L_ON_EXT_DBT_OR_SETTLE_DBT, YOY)", "FPT=A", "FPO=-3A", "ACT_EST_MAPPING=PRECISE", "FS=MRC", "CURRENCY=USD", "XLFILL=b")</f>
        <v/>
      </c>
      <c r="N213" s="9" t="str">
        <f>_xll.BQL("DAL US Equity", "FA_GROWTH(IS_G_L_ON_EXT_DBT_OR_SETTLE_DBT, YOY)", "FPT=A", "FPO=-4A", "ACT_EST_MAPPING=PRECISE", "FS=MRC", "CURRENCY=USD", "XLFILL=b")</f>
        <v/>
      </c>
    </row>
    <row r="214" spans="1:14" x14ac:dyDescent="0.2">
      <c r="A214" s="8" t="s">
        <v>222</v>
      </c>
      <c r="B214" s="4" t="s">
        <v>223</v>
      </c>
      <c r="C214" s="4" t="s">
        <v>197</v>
      </c>
      <c r="D214" s="4"/>
      <c r="E214" s="9">
        <f>_xll.BQL("DAL US Equity", "IS_RESTRUCTURING_OP/1M", "FPT=A", "FPO=5A", "ACT_EST_MAPPING=PRECISE", "FS=MRC", "CURRENCY=USD", "XLFILL=b")</f>
        <v>0</v>
      </c>
      <c r="F214" s="9">
        <f>_xll.BQL("DAL US Equity", "IS_RESTRUCTURING_OP/1M", "FPT=A", "FPO=4A", "ACT_EST_MAPPING=PRECISE", "FS=MRC", "CURRENCY=USD", "XLFILL=b")</f>
        <v>0</v>
      </c>
      <c r="G214" s="9">
        <f>_xll.BQL("DAL US Equity", "IS_RESTRUCTURING_OP/1M", "FPT=A", "FPO=3A", "ACT_EST_MAPPING=PRECISE", "FS=MRC", "CURRENCY=USD", "XLFILL=b")</f>
        <v>0</v>
      </c>
      <c r="H214" s="9">
        <f>_xll.BQL("DAL US Equity", "IS_RESTRUCTURING_OP/1M", "FPT=A", "FPO=2A", "ACT_EST_MAPPING=PRECISE", "FS=MRC", "CURRENCY=USD", "XLFILL=b")</f>
        <v>0</v>
      </c>
      <c r="I214" s="9">
        <f>_xll.BQL("DAL US Equity", "IS_RESTRUCTURING_OP/1M", "FPT=A", "FPO=1A", "ACT_EST_MAPPING=PRECISE", "FS=MRC", "CURRENCY=USD", "XLFILL=b")</f>
        <v>432</v>
      </c>
      <c r="J214" s="9">
        <f>_xll.BQL("DAL US Equity", "IS_RESTRUCTURING_OP/1M", "FPT=A", "FPO=0A", "ACT_EST_MAPPING=PRECISE", "FS=MRC", "CURRENCY=USD", "XLFILL=b")</f>
        <v>0</v>
      </c>
      <c r="K214" s="9">
        <f>_xll.BQL("DAL US Equity", "IS_RESTRUCTURING_OP/1M", "FPT=A", "FPO=-1A", "ACT_EST_MAPPING=PRECISE", "FS=MRC", "CURRENCY=USD", "XLFILL=b")</f>
        <v>-124</v>
      </c>
      <c r="L214" s="9">
        <f>_xll.BQL("DAL US Equity", "IS_RESTRUCTURING_OP/1M", "FPT=A", "FPO=-2A", "ACT_EST_MAPPING=PRECISE", "FS=MRC", "CURRENCY=USD", "XLFILL=b")</f>
        <v>-19</v>
      </c>
      <c r="M214" s="9">
        <f>_xll.BQL("DAL US Equity", "IS_RESTRUCTURING_OP/1M", "FPT=A", "FPO=-3A", "ACT_EST_MAPPING=PRECISE", "FS=MRC", "CURRENCY=USD", "XLFILL=b")</f>
        <v>8219</v>
      </c>
      <c r="N214" s="9">
        <f>_xll.BQL("DAL US Equity", "IS_RESTRUCTURING_OP/1M", "FPT=A", "FPO=-4A", "ACT_EST_MAPPING=PRECISE", "FS=MRC", "CURRENCY=USD", "XLFILL=b")</f>
        <v>196</v>
      </c>
    </row>
    <row r="215" spans="1:14" x14ac:dyDescent="0.2">
      <c r="A215" s="8" t="s">
        <v>86</v>
      </c>
      <c r="B215" s="4" t="s">
        <v>223</v>
      </c>
      <c r="C215" s="4" t="s">
        <v>197</v>
      </c>
      <c r="D215" s="4"/>
      <c r="E215" s="9" t="str">
        <f>_xll.BQL("DAL US Equity", "FA_GROWTH(IS_RESTRUCTURING_OP, YOY)", "FPT=A", "FPO=5A", "ACT_EST_MAPPING=PRECISE", "FS=MRC", "CURRENCY=USD", "XLFILL=b")</f>
        <v/>
      </c>
      <c r="F215" s="9" t="str">
        <f>_xll.BQL("DAL US Equity", "FA_GROWTH(IS_RESTRUCTURING_OP, YOY)", "FPT=A", "FPO=4A", "ACT_EST_MAPPING=PRECISE", "FS=MRC", "CURRENCY=USD", "XLFILL=b")</f>
        <v/>
      </c>
      <c r="G215" s="9" t="str">
        <f>_xll.BQL("DAL US Equity", "FA_GROWTH(IS_RESTRUCTURING_OP, YOY)", "FPT=A", "FPO=3A", "ACT_EST_MAPPING=PRECISE", "FS=MRC", "CURRENCY=USD", "XLFILL=b")</f>
        <v/>
      </c>
      <c r="H215" s="9">
        <f>_xll.BQL("DAL US Equity", "FA_GROWTH(IS_RESTRUCTURING_OP, YOY)", "FPT=A", "FPO=2A", "ACT_EST_MAPPING=PRECISE", "FS=MRC", "CURRENCY=USD", "XLFILL=b")</f>
        <v>-100</v>
      </c>
      <c r="I215" s="9" t="str">
        <f>_xll.BQL("DAL US Equity", "FA_GROWTH(IS_RESTRUCTURING_OP, YOY)", "FPT=A", "FPO=1A", "ACT_EST_MAPPING=PRECISE", "FS=MRC", "CURRENCY=USD", "XLFILL=b")</f>
        <v/>
      </c>
      <c r="J215" s="9">
        <f>_xll.BQL("DAL US Equity", "FA_GROWTH(IS_RESTRUCTURING_OP, YOY)", "FPT=A", "FPO=0A", "ACT_EST_MAPPING=PRECISE", "FS=MRC", "CURRENCY=USD", "XLFILL=b")</f>
        <v>100</v>
      </c>
      <c r="K215" s="9">
        <f>_xll.BQL("DAL US Equity", "FA_GROWTH(IS_RESTRUCTURING_OP, YOY)", "FPT=A", "FPO=-1A", "ACT_EST_MAPPING=PRECISE", "FS=MRC", "CURRENCY=USD", "XLFILL=b")</f>
        <v>-552.63157894736844</v>
      </c>
      <c r="L215" s="9">
        <f>_xll.BQL("DAL US Equity", "FA_GROWTH(IS_RESTRUCTURING_OP, YOY)", "FPT=A", "FPO=-2A", "ACT_EST_MAPPING=PRECISE", "FS=MRC", "CURRENCY=USD", "XLFILL=b")</f>
        <v>-100.23117167538631</v>
      </c>
      <c r="M215" s="9">
        <f>_xll.BQL("DAL US Equity", "FA_GROWTH(IS_RESTRUCTURING_OP, YOY)", "FPT=A", "FPO=-3A", "ACT_EST_MAPPING=PRECISE", "FS=MRC", "CURRENCY=USD", "XLFILL=b")</f>
        <v>4093.3673469387754</v>
      </c>
      <c r="N215" s="9" t="str">
        <f>_xll.BQL("DAL US Equity", "FA_GROWTH(IS_RESTRUCTURING_OP, YOY)", "FPT=A", "FPO=-4A", "ACT_EST_MAPPING=PRECISE", "FS=MRC", "CURRENCY=USD", "XLFILL=b")</f>
        <v/>
      </c>
    </row>
    <row r="216" spans="1:14" x14ac:dyDescent="0.2">
      <c r="A216" s="8" t="s">
        <v>16</v>
      </c>
      <c r="B216" s="4"/>
      <c r="C216" s="4"/>
      <c r="D216" s="4"/>
      <c r="E216" s="9"/>
      <c r="F216" s="9"/>
      <c r="G216" s="9"/>
      <c r="H216" s="9"/>
      <c r="I216" s="9"/>
      <c r="J216" s="9"/>
      <c r="K216" s="9"/>
      <c r="L216" s="9"/>
      <c r="M216" s="9"/>
      <c r="N216" s="9"/>
    </row>
    <row r="217" spans="1:14" x14ac:dyDescent="0.2">
      <c r="A217" s="8" t="s">
        <v>224</v>
      </c>
      <c r="B217" s="4"/>
      <c r="C217" s="4" t="s">
        <v>225</v>
      </c>
      <c r="D217" s="4"/>
      <c r="E217" s="9"/>
      <c r="F217" s="9"/>
      <c r="G217" s="9"/>
      <c r="H217" s="9"/>
      <c r="I217" s="9"/>
      <c r="J217" s="9"/>
      <c r="K217" s="9"/>
      <c r="L217" s="9"/>
      <c r="M217" s="9"/>
      <c r="N217" s="9"/>
    </row>
    <row r="218" spans="1:14" x14ac:dyDescent="0.2">
      <c r="A218" s="8" t="s">
        <v>226</v>
      </c>
      <c r="B218" s="4"/>
      <c r="C218" s="4" t="s">
        <v>227</v>
      </c>
      <c r="D218" s="4"/>
      <c r="E218" s="9"/>
      <c r="F218" s="9"/>
      <c r="G218" s="9"/>
      <c r="H218" s="9"/>
      <c r="I218" s="9"/>
      <c r="J218" s="9"/>
      <c r="K218" s="9"/>
      <c r="L218" s="9"/>
      <c r="M218" s="9"/>
      <c r="N218" s="9"/>
    </row>
    <row r="219" spans="1:14" x14ac:dyDescent="0.2">
      <c r="A219" s="8" t="s">
        <v>228</v>
      </c>
      <c r="B219" s="4" t="s">
        <v>229</v>
      </c>
      <c r="C219" s="4" t="s">
        <v>230</v>
      </c>
      <c r="D219" s="4"/>
      <c r="E219" s="9">
        <f>_xll.BQL("DAL US Equity", "BS_CUR_ASSET_REPORT/1M", "FPT=A", "FPO=5A", "ACT_EST_MAPPING=PRECISE", "FS=MRC", "CURRENCY=USD", "XLFILL=b")</f>
        <v>12840.339304612131</v>
      </c>
      <c r="F219" s="9">
        <f>_xll.BQL("DAL US Equity", "BS_CUR_ASSET_REPORT/1M", "FPT=A", "FPO=4A", "ACT_EST_MAPPING=PRECISE", "FS=MRC", "CURRENCY=USD", "XLFILL=b")</f>
        <v>11744.395385445456</v>
      </c>
      <c r="G219" s="9">
        <f>_xll.BQL("DAL US Equity", "BS_CUR_ASSET_REPORT/1M", "FPT=A", "FPO=3A", "ACT_EST_MAPPING=PRECISE", "FS=MRC", "CURRENCY=USD", "XLFILL=b")</f>
        <v>10480.714652609387</v>
      </c>
      <c r="H219" s="9">
        <f>_xll.BQL("DAL US Equity", "BS_CUR_ASSET_REPORT/1M", "FPT=A", "FPO=2A", "ACT_EST_MAPPING=PRECISE", "FS=MRC", "CURRENCY=USD", "XLFILL=b")</f>
        <v>10879.141877404365</v>
      </c>
      <c r="I219" s="9">
        <f>_xll.BQL("DAL US Equity", "BS_CUR_ASSET_REPORT/1M", "FPT=A", "FPO=1A", "ACT_EST_MAPPING=PRECISE", "FS=MRC", "CURRENCY=USD", "XLFILL=b")</f>
        <v>10403.395816540289</v>
      </c>
      <c r="J219" s="9">
        <f>_xll.BQL("DAL US Equity", "BS_CUR_ASSET_REPORT/1M", "FPT=A", "FPO=0A", "ACT_EST_MAPPING=PRECISE", "FS=MRC", "CURRENCY=USD", "XLFILL=b")</f>
        <v>10269</v>
      </c>
      <c r="K219" s="9">
        <f>_xll.BQL("DAL US Equity", "BS_CUR_ASSET_REPORT/1M", "FPT=A", "FPO=-1A", "ACT_EST_MAPPING=PRECISE", "FS=MRC", "CURRENCY=USD", "XLFILL=b")</f>
        <v>13011</v>
      </c>
      <c r="L219" s="9">
        <f>_xll.BQL("DAL US Equity", "BS_CUR_ASSET_REPORT/1M", "FPT=A", "FPO=-2A", "ACT_EST_MAPPING=PRECISE", "FS=MRC", "CURRENCY=USD", "XLFILL=b")</f>
        <v>15940</v>
      </c>
      <c r="M219" s="9">
        <f>_xll.BQL("DAL US Equity", "BS_CUR_ASSET_REPORT/1M", "FPT=A", "FPO=-3A", "ACT_EST_MAPPING=PRECISE", "FS=MRC", "CURRENCY=USD", "XLFILL=b")</f>
        <v>17404</v>
      </c>
      <c r="N219" s="9">
        <f>_xll.BQL("DAL US Equity", "BS_CUR_ASSET_REPORT/1M", "FPT=A", "FPO=-4A", "ACT_EST_MAPPING=PRECISE", "FS=MRC", "CURRENCY=USD", "XLFILL=b")</f>
        <v>8249</v>
      </c>
    </row>
    <row r="220" spans="1:14" x14ac:dyDescent="0.2">
      <c r="A220" s="8" t="s">
        <v>86</v>
      </c>
      <c r="B220" s="4" t="s">
        <v>229</v>
      </c>
      <c r="C220" s="4" t="s">
        <v>230</v>
      </c>
      <c r="D220" s="4"/>
      <c r="E220" s="9">
        <f>_xll.BQL("DAL US Equity", "FA_GROWTH(BS_CUR_ASSET_REPORT, YOY)", "FPT=A", "FPO=5A", "ACT_EST_MAPPING=PRECISE", "FS=MRC", "CURRENCY=USD", "XLFILL=b")</f>
        <v>9.3316333723305362</v>
      </c>
      <c r="F220" s="9">
        <f>_xll.BQL("DAL US Equity", "FA_GROWTH(BS_CUR_ASSET_REPORT, YOY)", "FPT=A", "FPO=4A", "ACT_EST_MAPPING=PRECISE", "FS=MRC", "CURRENCY=USD", "XLFILL=b")</f>
        <v>12.057200054782982</v>
      </c>
      <c r="G220" s="9">
        <f>_xll.BQL("DAL US Equity", "FA_GROWTH(BS_CUR_ASSET_REPORT, YOY)", "FPT=A", "FPO=3A", "ACT_EST_MAPPING=PRECISE", "FS=MRC", "CURRENCY=USD", "XLFILL=b")</f>
        <v>-3.6623037853977984</v>
      </c>
      <c r="H220" s="9">
        <f>_xll.BQL("DAL US Equity", "FA_GROWTH(BS_CUR_ASSET_REPORT, YOY)", "FPT=A", "FPO=2A", "ACT_EST_MAPPING=PRECISE", "FS=MRC", "CURRENCY=USD", "XLFILL=b")</f>
        <v>4.5729881786069422</v>
      </c>
      <c r="I220" s="9">
        <f>_xll.BQL("DAL US Equity", "FA_GROWTH(BS_CUR_ASSET_REPORT, YOY)", "FPT=A", "FPO=1A", "ACT_EST_MAPPING=PRECISE", "FS=MRC", "CURRENCY=USD", "XLFILL=b")</f>
        <v>1.3087527173073223</v>
      </c>
      <c r="J220" s="9">
        <f>_xll.BQL("DAL US Equity", "FA_GROWTH(BS_CUR_ASSET_REPORT, YOY)", "FPT=A", "FPO=0A", "ACT_EST_MAPPING=PRECISE", "FS=MRC", "CURRENCY=USD", "XLFILL=b")</f>
        <v>-21.074475443855199</v>
      </c>
      <c r="K220" s="9">
        <f>_xll.BQL("DAL US Equity", "FA_GROWTH(BS_CUR_ASSET_REPORT, YOY)", "FPT=A", "FPO=-1A", "ACT_EST_MAPPING=PRECISE", "FS=MRC", "CURRENCY=USD", "XLFILL=b")</f>
        <v>-18.375156838143038</v>
      </c>
      <c r="L220" s="9">
        <f>_xll.BQL("DAL US Equity", "FA_GROWTH(BS_CUR_ASSET_REPORT, YOY)", "FPT=A", "FPO=-2A", "ACT_EST_MAPPING=PRECISE", "FS=MRC", "CURRENCY=USD", "XLFILL=b")</f>
        <v>-8.4118593426798434</v>
      </c>
      <c r="M220" s="9">
        <f>_xll.BQL("DAL US Equity", "FA_GROWTH(BS_CUR_ASSET_REPORT, YOY)", "FPT=A", "FPO=-3A", "ACT_EST_MAPPING=PRECISE", "FS=MRC", "CURRENCY=USD", "XLFILL=b")</f>
        <v>110.98314947266336</v>
      </c>
      <c r="N220" s="9">
        <f>_xll.BQL("DAL US Equity", "FA_GROWTH(BS_CUR_ASSET_REPORT, YOY)", "FPT=A", "FPO=-4A", "ACT_EST_MAPPING=PRECISE", "FS=MRC", "CURRENCY=USD", "XLFILL=b")</f>
        <v>30.110410094637224</v>
      </c>
    </row>
    <row r="221" spans="1:14" x14ac:dyDescent="0.2">
      <c r="A221" s="8" t="s">
        <v>231</v>
      </c>
      <c r="B221" s="4" t="s">
        <v>232</v>
      </c>
      <c r="C221" s="4" t="s">
        <v>233</v>
      </c>
      <c r="D221" s="4"/>
      <c r="E221" s="9">
        <f>_xll.BQL("DAL US Equity", "BS_CASH_CASH_EQUIVALENTS_AND_STI/1M", "FPT=A", "FPO=5A", "ACT_EST_MAPPING=PRECISE", "FS=MRC", "CURRENCY=USD", "XLFILL=b")</f>
        <v>8347.5815345797746</v>
      </c>
      <c r="F221" s="9">
        <f>_xll.BQL("DAL US Equity", "BS_CASH_CASH_EQUIVALENTS_AND_STI/1M", "FPT=A", "FPO=4A", "ACT_EST_MAPPING=PRECISE", "FS=MRC", "CURRENCY=USD", "XLFILL=b")</f>
        <v>5105.4655381984139</v>
      </c>
      <c r="G221" s="9">
        <f>_xll.BQL("DAL US Equity", "BS_CASH_CASH_EQUIVALENTS_AND_STI/1M", "FPT=A", "FPO=3A", "ACT_EST_MAPPING=PRECISE", "FS=MRC", "CURRENCY=USD", "XLFILL=b")</f>
        <v>4051.206783777387</v>
      </c>
      <c r="H221" s="9">
        <f>_xll.BQL("DAL US Equity", "BS_CASH_CASH_EQUIVALENTS_AND_STI/1M", "FPT=A", "FPO=2A", "ACT_EST_MAPPING=PRECISE", "FS=MRC", "CURRENCY=USD", "XLFILL=b")</f>
        <v>4980.9569240627789</v>
      </c>
      <c r="I221" s="9">
        <f>_xll.BQL("DAL US Equity", "BS_CASH_CASH_EQUIVALENTS_AND_STI/1M", "FPT=A", "FPO=1A", "ACT_EST_MAPPING=PRECISE", "FS=MRC", "CURRENCY=USD", "XLFILL=b")</f>
        <v>3555.8352951420375</v>
      </c>
      <c r="J221" s="9">
        <f>_xll.BQL("DAL US Equity", "BS_CASH_CASH_EQUIVALENTS_AND_STI/1M", "FPT=A", "FPO=0A", "ACT_EST_MAPPING=PRECISE", "FS=MRC", "CURRENCY=USD", "XLFILL=b")</f>
        <v>3868</v>
      </c>
      <c r="K221" s="9">
        <f>_xll.BQL("DAL US Equity", "BS_CASH_CASH_EQUIVALENTS_AND_STI/1M", "FPT=A", "FPO=-1A", "ACT_EST_MAPPING=PRECISE", "FS=MRC", "CURRENCY=USD", "XLFILL=b")</f>
        <v>6534</v>
      </c>
      <c r="L221" s="9">
        <f>_xll.BQL("DAL US Equity", "BS_CASH_CASH_EQUIVALENTS_AND_STI/1M", "FPT=A", "FPO=-2A", "ACT_EST_MAPPING=PRECISE", "FS=MRC", "CURRENCY=USD", "XLFILL=b")</f>
        <v>11319</v>
      </c>
      <c r="M221" s="9">
        <f>_xll.BQL("DAL US Equity", "BS_CASH_CASH_EQUIVALENTS_AND_STI/1M", "FPT=A", "FPO=-3A", "ACT_EST_MAPPING=PRECISE", "FS=MRC", "CURRENCY=USD", "XLFILL=b")</f>
        <v>14096</v>
      </c>
      <c r="N221" s="9">
        <f>_xll.BQL("DAL US Equity", "BS_CASH_CASH_EQUIVALENTS_AND_STI/1M", "FPT=A", "FPO=-4A", "ACT_EST_MAPPING=PRECISE", "FS=MRC", "CURRENCY=USD", "XLFILL=b")</f>
        <v>2882</v>
      </c>
    </row>
    <row r="222" spans="1:14" x14ac:dyDescent="0.2">
      <c r="A222" s="8" t="s">
        <v>94</v>
      </c>
      <c r="B222" s="4" t="s">
        <v>232</v>
      </c>
      <c r="C222" s="4" t="s">
        <v>233</v>
      </c>
      <c r="D222" s="4"/>
      <c r="E222" s="9">
        <f>_xll.BQL("DAL US Equity", "FA_GROWTH(BS_CASH_CASH_EQUIVALENTS_AND_STI, YOY)", "FPT=A", "FPO=5A", "ACT_EST_MAPPING=PRECISE", "FS=MRC", "CURRENCY=USD", "XLFILL=b")</f>
        <v>63.502847529266049</v>
      </c>
      <c r="F222" s="9">
        <f>_xll.BQL("DAL US Equity", "FA_GROWTH(BS_CASH_CASH_EQUIVALENTS_AND_STI, YOY)", "FPT=A", "FPO=4A", "ACT_EST_MAPPING=PRECISE", "FS=MRC", "CURRENCY=USD", "XLFILL=b")</f>
        <v>26.023326151671405</v>
      </c>
      <c r="G222" s="9">
        <f>_xll.BQL("DAL US Equity", "FA_GROWTH(BS_CASH_CASH_EQUIVALENTS_AND_STI, YOY)", "FPT=A", "FPO=3A", "ACT_EST_MAPPING=PRECISE", "FS=MRC", "CURRENCY=USD", "XLFILL=b")</f>
        <v>-18.666094777768713</v>
      </c>
      <c r="H222" s="9">
        <f>_xll.BQL("DAL US Equity", "FA_GROWTH(BS_CASH_CASH_EQUIVALENTS_AND_STI, YOY)", "FPT=A", "FPO=2A", "ACT_EST_MAPPING=PRECISE", "FS=MRC", "CURRENCY=USD", "XLFILL=b")</f>
        <v>40.078392575374181</v>
      </c>
      <c r="I222" s="9">
        <f>_xll.BQL("DAL US Equity", "FA_GROWTH(BS_CASH_CASH_EQUIVALENTS_AND_STI, YOY)", "FPT=A", "FPO=1A", "ACT_EST_MAPPING=PRECISE", "FS=MRC", "CURRENCY=USD", "XLFILL=b")</f>
        <v>-8.0704422145285051</v>
      </c>
      <c r="J222" s="9">
        <f>_xll.BQL("DAL US Equity", "FA_GROWTH(BS_CASH_CASH_EQUIVALENTS_AND_STI, YOY)", "FPT=A", "FPO=0A", "ACT_EST_MAPPING=PRECISE", "FS=MRC", "CURRENCY=USD", "XLFILL=b")</f>
        <v>-40.801958983777169</v>
      </c>
      <c r="K222" s="9">
        <f>_xll.BQL("DAL US Equity", "FA_GROWTH(BS_CASH_CASH_EQUIVALENTS_AND_STI, YOY)", "FPT=A", "FPO=-1A", "ACT_EST_MAPPING=PRECISE", "FS=MRC", "CURRENCY=USD", "XLFILL=b")</f>
        <v>-42.274052478134109</v>
      </c>
      <c r="L222" s="9">
        <f>_xll.BQL("DAL US Equity", "FA_GROWTH(BS_CASH_CASH_EQUIVALENTS_AND_STI, YOY)", "FPT=A", "FPO=-2A", "ACT_EST_MAPPING=PRECISE", "FS=MRC", "CURRENCY=USD", "XLFILL=b")</f>
        <v>-19.700624290578887</v>
      </c>
      <c r="M222" s="9">
        <f>_xll.BQL("DAL US Equity", "FA_GROWTH(BS_CASH_CASH_EQUIVALENTS_AND_STI, YOY)", "FPT=A", "FPO=-3A", "ACT_EST_MAPPING=PRECISE", "FS=MRC", "CURRENCY=USD", "XLFILL=b")</f>
        <v>389.10478834142958</v>
      </c>
      <c r="N222" s="9">
        <f>_xll.BQL("DAL US Equity", "FA_GROWTH(BS_CASH_CASH_EQUIVALENTS_AND_STI, YOY)", "FPT=A", "FPO=-4A", "ACT_EST_MAPPING=PRECISE", "FS=MRC", "CURRENCY=USD", "XLFILL=b")</f>
        <v>63.009049773755656</v>
      </c>
    </row>
    <row r="223" spans="1:14" x14ac:dyDescent="0.2">
      <c r="A223" s="8" t="s">
        <v>234</v>
      </c>
      <c r="B223" s="4" t="s">
        <v>235</v>
      </c>
      <c r="C223" s="4" t="s">
        <v>236</v>
      </c>
      <c r="D223" s="4"/>
      <c r="E223" s="9">
        <f>_xll.BQL("DAL US Equity", "BS_CASH_NEAR_CASH_ITEM/1M", "FPT=A", "FPO=5A", "ACT_EST_MAPPING=PRECISE", "FS=MRC", "CURRENCY=USD", "XLFILL=b")</f>
        <v>158.48406623010078</v>
      </c>
      <c r="F223" s="9">
        <f>_xll.BQL("DAL US Equity", "BS_CASH_NEAR_CASH_ITEM/1M", "FPT=A", "FPO=4A", "ACT_EST_MAPPING=PRECISE", "FS=MRC", "CURRENCY=USD", "XLFILL=b")</f>
        <v>2572.237506342839</v>
      </c>
      <c r="G223" s="9">
        <f>_xll.BQL("DAL US Equity", "BS_CASH_NEAR_CASH_ITEM/1M", "FPT=A", "FPO=3A", "ACT_EST_MAPPING=PRECISE", "FS=MRC", "CURRENCY=USD", "XLFILL=b")</f>
        <v>2124.0081485881265</v>
      </c>
      <c r="H223" s="9">
        <f>_xll.BQL("DAL US Equity", "BS_CASH_NEAR_CASH_ITEM/1M", "FPT=A", "FPO=2A", "ACT_EST_MAPPING=PRECISE", "FS=MRC", "CURRENCY=USD", "XLFILL=b")</f>
        <v>3668.2681633865714</v>
      </c>
      <c r="I223" s="9">
        <f>_xll.BQL("DAL US Equity", "BS_CASH_NEAR_CASH_ITEM/1M", "FPT=A", "FPO=1A", "ACT_EST_MAPPING=PRECISE", "FS=MRC", "CURRENCY=USD", "XLFILL=b")</f>
        <v>3264.4297472872754</v>
      </c>
      <c r="J223" s="9">
        <f>_xll.BQL("DAL US Equity", "BS_CASH_NEAR_CASH_ITEM/1M", "FPT=A", "FPO=0A", "ACT_EST_MAPPING=PRECISE", "FS=MRC", "CURRENCY=USD", "XLFILL=b")</f>
        <v>2741</v>
      </c>
      <c r="K223" s="9">
        <f>_xll.BQL("DAL US Equity", "BS_CASH_NEAR_CASH_ITEM/1M", "FPT=A", "FPO=-1A", "ACT_EST_MAPPING=PRECISE", "FS=MRC", "CURRENCY=USD", "XLFILL=b")</f>
        <v>3266</v>
      </c>
      <c r="L223" s="9">
        <f>_xll.BQL("DAL US Equity", "BS_CASH_NEAR_CASH_ITEM/1M", "FPT=A", "FPO=-2A", "ACT_EST_MAPPING=PRECISE", "FS=MRC", "CURRENCY=USD", "XLFILL=b")</f>
        <v>7933</v>
      </c>
      <c r="M223" s="9">
        <f>_xll.BQL("DAL US Equity", "BS_CASH_NEAR_CASH_ITEM/1M", "FPT=A", "FPO=-3A", "ACT_EST_MAPPING=PRECISE", "FS=MRC", "CURRENCY=USD", "XLFILL=b")</f>
        <v>8307</v>
      </c>
      <c r="N223" s="9">
        <f>_xll.BQL("DAL US Equity", "BS_CASH_NEAR_CASH_ITEM/1M", "FPT=A", "FPO=-4A", "ACT_EST_MAPPING=PRECISE", "FS=MRC", "CURRENCY=USD", "XLFILL=b")</f>
        <v>2882</v>
      </c>
    </row>
    <row r="224" spans="1:14" x14ac:dyDescent="0.2">
      <c r="A224" s="8" t="s">
        <v>99</v>
      </c>
      <c r="B224" s="4" t="s">
        <v>235</v>
      </c>
      <c r="C224" s="4" t="s">
        <v>236</v>
      </c>
      <c r="D224" s="4"/>
      <c r="E224" s="9">
        <f>_xll.BQL("DAL US Equity", "FA_GROWTH(BS_CASH_NEAR_CASH_ITEM, YOY)", "FPT=A", "FPO=5A", "ACT_EST_MAPPING=PRECISE", "FS=MRC", "CURRENCY=USD", "XLFILL=b")</f>
        <v>-93.838669024952111</v>
      </c>
      <c r="F224" s="9">
        <f>_xll.BQL("DAL US Equity", "FA_GROWTH(BS_CASH_NEAR_CASH_ITEM, YOY)", "FPT=A", "FPO=4A", "ACT_EST_MAPPING=PRECISE", "FS=MRC", "CURRENCY=USD", "XLFILL=b")</f>
        <v>21.102996146820811</v>
      </c>
      <c r="G224" s="9">
        <f>_xll.BQL("DAL US Equity", "FA_GROWTH(BS_CASH_NEAR_CASH_ITEM, YOY)", "FPT=A", "FPO=3A", "ACT_EST_MAPPING=PRECISE", "FS=MRC", "CURRENCY=USD", "XLFILL=b")</f>
        <v>-42.097795090661343</v>
      </c>
      <c r="H224" s="9">
        <f>_xll.BQL("DAL US Equity", "FA_GROWTH(BS_CASH_NEAR_CASH_ITEM, YOY)", "FPT=A", "FPO=2A", "ACT_EST_MAPPING=PRECISE", "FS=MRC", "CURRENCY=USD", "XLFILL=b")</f>
        <v>12.370871709978866</v>
      </c>
      <c r="I224" s="9">
        <f>_xll.BQL("DAL US Equity", "FA_GROWTH(BS_CASH_NEAR_CASH_ITEM, YOY)", "FPT=A", "FPO=1A", "ACT_EST_MAPPING=PRECISE", "FS=MRC", "CURRENCY=USD", "XLFILL=b")</f>
        <v>19.096305993698479</v>
      </c>
      <c r="J224" s="9">
        <f>_xll.BQL("DAL US Equity", "FA_GROWTH(BS_CASH_NEAR_CASH_ITEM, YOY)", "FPT=A", "FPO=0A", "ACT_EST_MAPPING=PRECISE", "FS=MRC", "CURRENCY=USD", "XLFILL=b")</f>
        <v>-16.074709124311084</v>
      </c>
      <c r="K224" s="9">
        <f>_xll.BQL("DAL US Equity", "FA_GROWTH(BS_CASH_NEAR_CASH_ITEM, YOY)", "FPT=A", "FPO=-1A", "ACT_EST_MAPPING=PRECISE", "FS=MRC", "CURRENCY=USD", "XLFILL=b")</f>
        <v>-58.830202949703768</v>
      </c>
      <c r="L224" s="9">
        <f>_xll.BQL("DAL US Equity", "FA_GROWTH(BS_CASH_NEAR_CASH_ITEM, YOY)", "FPT=A", "FPO=-2A", "ACT_EST_MAPPING=PRECISE", "FS=MRC", "CURRENCY=USD", "XLFILL=b")</f>
        <v>-4.5022270374383053</v>
      </c>
      <c r="M224" s="9">
        <f>_xll.BQL("DAL US Equity", "FA_GROWTH(BS_CASH_NEAR_CASH_ITEM, YOY)", "FPT=A", "FPO=-3A", "ACT_EST_MAPPING=PRECISE", "FS=MRC", "CURRENCY=USD", "XLFILL=b")</f>
        <v>188.23733518390006</v>
      </c>
      <c r="N224" s="9">
        <f>_xll.BQL("DAL US Equity", "FA_GROWTH(BS_CASH_NEAR_CASH_ITEM, YOY)", "FPT=A", "FPO=-4A", "ACT_EST_MAPPING=PRECISE", "FS=MRC", "CURRENCY=USD", "XLFILL=b")</f>
        <v>84.153354632587863</v>
      </c>
    </row>
    <row r="225" spans="1:14" x14ac:dyDescent="0.2">
      <c r="A225" s="8" t="s">
        <v>237</v>
      </c>
      <c r="B225" s="4" t="s">
        <v>238</v>
      </c>
      <c r="C225" s="4" t="s">
        <v>239</v>
      </c>
      <c r="D225" s="4"/>
      <c r="E225" s="9">
        <f>_xll.BQL("DAL US Equity", "BS_MKT_SEC_OTHER_ST_INVEST/1M", "FPT=A", "FPO=5A", "ACT_EST_MAPPING=PRECISE", "FS=MRC", "CURRENCY=USD", "XLFILL=b")</f>
        <v>1127</v>
      </c>
      <c r="F225" s="9">
        <f>_xll.BQL("DAL US Equity", "BS_MKT_SEC_OTHER_ST_INVEST/1M", "FPT=A", "FPO=4A", "ACT_EST_MAPPING=PRECISE", "FS=MRC", "CURRENCY=USD", "XLFILL=b")</f>
        <v>625.5</v>
      </c>
      <c r="G225" s="9">
        <f>_xll.BQL("DAL US Equity", "BS_MKT_SEC_OTHER_ST_INVEST/1M", "FPT=A", "FPO=3A", "ACT_EST_MAPPING=PRECISE", "FS=MRC", "CURRENCY=USD", "XLFILL=b")</f>
        <v>568.4693553925232</v>
      </c>
      <c r="H225" s="9">
        <f>_xll.BQL("DAL US Equity", "BS_MKT_SEC_OTHER_ST_INVEST/1M", "FPT=A", "FPO=2A", "ACT_EST_MAPPING=PRECISE", "FS=MRC", "CURRENCY=USD", "XLFILL=b")</f>
        <v>577.93206012523717</v>
      </c>
      <c r="I225" s="9">
        <f>_xll.BQL("DAL US Equity", "BS_MKT_SEC_OTHER_ST_INVEST/1M", "FPT=A", "FPO=1A", "ACT_EST_MAPPING=PRECISE", "FS=MRC", "CURRENCY=USD", "XLFILL=b")</f>
        <v>507.36627518255995</v>
      </c>
      <c r="J225" s="9">
        <f>_xll.BQL("DAL US Equity", "BS_MKT_SEC_OTHER_ST_INVEST/1M", "FPT=A", "FPO=0A", "ACT_EST_MAPPING=PRECISE", "FS=MRC", "CURRENCY=USD", "XLFILL=b")</f>
        <v>1127</v>
      </c>
      <c r="K225" s="9">
        <f>_xll.BQL("DAL US Equity", "BS_MKT_SEC_OTHER_ST_INVEST/1M", "FPT=A", "FPO=-1A", "ACT_EST_MAPPING=PRECISE", "FS=MRC", "CURRENCY=USD", "XLFILL=b")</f>
        <v>3268</v>
      </c>
      <c r="L225" s="9">
        <f>_xll.BQL("DAL US Equity", "BS_MKT_SEC_OTHER_ST_INVEST/1M", "FPT=A", "FPO=-2A", "ACT_EST_MAPPING=PRECISE", "FS=MRC", "CURRENCY=USD", "XLFILL=b")</f>
        <v>3386</v>
      </c>
      <c r="M225" s="9">
        <f>_xll.BQL("DAL US Equity", "BS_MKT_SEC_OTHER_ST_INVEST/1M", "FPT=A", "FPO=-3A", "ACT_EST_MAPPING=PRECISE", "FS=MRC", "CURRENCY=USD", "XLFILL=b")</f>
        <v>5789</v>
      </c>
      <c r="N225" s="9">
        <f>_xll.BQL("DAL US Equity", "BS_MKT_SEC_OTHER_ST_INVEST/1M", "FPT=A", "FPO=-4A", "ACT_EST_MAPPING=PRECISE", "FS=MRC", "CURRENCY=USD", "XLFILL=b")</f>
        <v>0</v>
      </c>
    </row>
    <row r="226" spans="1:14" x14ac:dyDescent="0.2">
      <c r="A226" s="8" t="s">
        <v>99</v>
      </c>
      <c r="B226" s="4" t="s">
        <v>238</v>
      </c>
      <c r="C226" s="4" t="s">
        <v>239</v>
      </c>
      <c r="D226" s="4"/>
      <c r="E226" s="9">
        <f>_xll.BQL("DAL US Equity", "FA_GROWTH(BS_MKT_SEC_OTHER_ST_INVEST, YOY)", "FPT=A", "FPO=5A", "ACT_EST_MAPPING=PRECISE", "FS=MRC", "CURRENCY=USD", "XLFILL=b")</f>
        <v>80.17585931254996</v>
      </c>
      <c r="F226" s="9">
        <f>_xll.BQL("DAL US Equity", "FA_GROWTH(BS_MKT_SEC_OTHER_ST_INVEST, YOY)", "FPT=A", "FPO=4A", "ACT_EST_MAPPING=PRECISE", "FS=MRC", "CURRENCY=USD", "XLFILL=b")</f>
        <v>10.032316441771545</v>
      </c>
      <c r="G226" s="9">
        <f>_xll.BQL("DAL US Equity", "FA_GROWTH(BS_MKT_SEC_OTHER_ST_INVEST, YOY)", "FPT=A", "FPO=3A", "ACT_EST_MAPPING=PRECISE", "FS=MRC", "CURRENCY=USD", "XLFILL=b")</f>
        <v>-1.6373386052788799</v>
      </c>
      <c r="H226" s="9">
        <f>_xll.BQL("DAL US Equity", "FA_GROWTH(BS_MKT_SEC_OTHER_ST_INVEST, YOY)", "FPT=A", "FPO=2A", "ACT_EST_MAPPING=PRECISE", "FS=MRC", "CURRENCY=USD", "XLFILL=b")</f>
        <v>13.90825295143757</v>
      </c>
      <c r="I226" s="9">
        <f>_xll.BQL("DAL US Equity", "FA_GROWTH(BS_MKT_SEC_OTHER_ST_INVEST, YOY)", "FPT=A", "FPO=1A", "ACT_EST_MAPPING=PRECISE", "FS=MRC", "CURRENCY=USD", "XLFILL=b")</f>
        <v>-54.98080965549601</v>
      </c>
      <c r="J226" s="9">
        <f>_xll.BQL("DAL US Equity", "FA_GROWTH(BS_MKT_SEC_OTHER_ST_INVEST, YOY)", "FPT=A", "FPO=0A", "ACT_EST_MAPPING=PRECISE", "FS=MRC", "CURRENCY=USD", "XLFILL=b")</f>
        <v>-65.514075887392906</v>
      </c>
      <c r="K226" s="9">
        <f>_xll.BQL("DAL US Equity", "FA_GROWTH(BS_MKT_SEC_OTHER_ST_INVEST, YOY)", "FPT=A", "FPO=-1A", "ACT_EST_MAPPING=PRECISE", "FS=MRC", "CURRENCY=USD", "XLFILL=b")</f>
        <v>-3.4849379799173064</v>
      </c>
      <c r="L226" s="9">
        <f>_xll.BQL("DAL US Equity", "FA_GROWTH(BS_MKT_SEC_OTHER_ST_INVEST, YOY)", "FPT=A", "FPO=-2A", "ACT_EST_MAPPING=PRECISE", "FS=MRC", "CURRENCY=USD", "XLFILL=b")</f>
        <v>-41.509759889445498</v>
      </c>
      <c r="M226" s="9" t="str">
        <f>_xll.BQL("DAL US Equity", "FA_GROWTH(BS_MKT_SEC_OTHER_ST_INVEST, YOY)", "FPT=A", "FPO=-3A", "ACT_EST_MAPPING=PRECISE", "FS=MRC", "CURRENCY=USD", "XLFILL=b")</f>
        <v/>
      </c>
      <c r="N226" s="9">
        <f>_xll.BQL("DAL US Equity", "FA_GROWTH(BS_MKT_SEC_OTHER_ST_INVEST, YOY)", "FPT=A", "FPO=-4A", "ACT_EST_MAPPING=PRECISE", "FS=MRC", "CURRENCY=USD", "XLFILL=b")</f>
        <v>-100</v>
      </c>
    </row>
    <row r="227" spans="1:14" x14ac:dyDescent="0.2">
      <c r="A227" s="8" t="s">
        <v>240</v>
      </c>
      <c r="B227" s="4" t="s">
        <v>241</v>
      </c>
      <c r="C227" s="4" t="s">
        <v>242</v>
      </c>
      <c r="D227" s="4"/>
      <c r="E227" s="9">
        <f>_xll.BQL("DAL US Equity", "BS_ACCTS_REC_EXCL_NOTES_REC/1M", "FPT=A", "FPO=5A", "ACT_EST_MAPPING=PRECISE", "FS=MRC", "CURRENCY=USD", "XLFILL=b")</f>
        <v>4039.9638414619899</v>
      </c>
      <c r="F227" s="9">
        <f>_xll.BQL("DAL US Equity", "BS_ACCTS_REC_EXCL_NOTES_REC/1M", "FPT=A", "FPO=4A", "ACT_EST_MAPPING=PRECISE", "FS=MRC", "CURRENCY=USD", "XLFILL=b")</f>
        <v>3987.0454290311736</v>
      </c>
      <c r="G227" s="9">
        <f>_xll.BQL("DAL US Equity", "BS_ACCTS_REC_EXCL_NOTES_REC/1M", "FPT=A", "FPO=3A", "ACT_EST_MAPPING=PRECISE", "FS=MRC", "CURRENCY=USD", "XLFILL=b")</f>
        <v>3800.5410828511331</v>
      </c>
      <c r="H227" s="9">
        <f>_xll.BQL("DAL US Equity", "BS_ACCTS_REC_EXCL_NOTES_REC/1M", "FPT=A", "FPO=2A", "ACT_EST_MAPPING=PRECISE", "FS=MRC", "CURRENCY=USD", "XLFILL=b")</f>
        <v>3519.3335031560923</v>
      </c>
      <c r="I227" s="9">
        <f>_xll.BQL("DAL US Equity", "BS_ACCTS_REC_EXCL_NOTES_REC/1M", "FPT=A", "FPO=1A", "ACT_EST_MAPPING=PRECISE", "FS=MRC", "CURRENCY=USD", "XLFILL=b")</f>
        <v>3458.5627696157799</v>
      </c>
      <c r="J227" s="9">
        <f>_xll.BQL("DAL US Equity", "BS_ACCTS_REC_EXCL_NOTES_REC/1M", "FPT=A", "FPO=0A", "ACT_EST_MAPPING=PRECISE", "FS=MRC", "CURRENCY=USD", "XLFILL=b")</f>
        <v>3130</v>
      </c>
      <c r="K227" s="9">
        <f>_xll.BQL("DAL US Equity", "BS_ACCTS_REC_EXCL_NOTES_REC/1M", "FPT=A", "FPO=-1A", "ACT_EST_MAPPING=PRECISE", "FS=MRC", "CURRENCY=USD", "XLFILL=b")</f>
        <v>3176</v>
      </c>
      <c r="L227" s="9">
        <f>_xll.BQL("DAL US Equity", "BS_ACCTS_REC_EXCL_NOTES_REC/1M", "FPT=A", "FPO=-2A", "ACT_EST_MAPPING=PRECISE", "FS=MRC", "CURRENCY=USD", "XLFILL=b")</f>
        <v>2404</v>
      </c>
      <c r="M227" s="9">
        <f>_xll.BQL("DAL US Equity", "BS_ACCTS_REC_EXCL_NOTES_REC/1M", "FPT=A", "FPO=-3A", "ACT_EST_MAPPING=PRECISE", "FS=MRC", "CURRENCY=USD", "XLFILL=b")</f>
        <v>1396</v>
      </c>
      <c r="N227" s="9">
        <f>_xll.BQL("DAL US Equity", "BS_ACCTS_REC_EXCL_NOTES_REC/1M", "FPT=A", "FPO=-4A", "ACT_EST_MAPPING=PRECISE", "FS=MRC", "CURRENCY=USD", "XLFILL=b")</f>
        <v>2854</v>
      </c>
    </row>
    <row r="228" spans="1:14" x14ac:dyDescent="0.2">
      <c r="A228" s="8" t="s">
        <v>94</v>
      </c>
      <c r="B228" s="4" t="s">
        <v>241</v>
      </c>
      <c r="C228" s="4" t="s">
        <v>242</v>
      </c>
      <c r="D228" s="4"/>
      <c r="E228" s="9">
        <f>_xll.BQL("DAL US Equity", "FA_GROWTH(BS_ACCTS_REC_EXCL_NOTES_REC, YOY)", "FPT=A", "FPO=5A", "ACT_EST_MAPPING=PRECISE", "FS=MRC", "CURRENCY=USD", "XLFILL=b")</f>
        <v>1.3272588279405435</v>
      </c>
      <c r="F228" s="9">
        <f>_xll.BQL("DAL US Equity", "FA_GROWTH(BS_ACCTS_REC_EXCL_NOTES_REC, YOY)", "FPT=A", "FPO=4A", "ACT_EST_MAPPING=PRECISE", "FS=MRC", "CURRENCY=USD", "XLFILL=b")</f>
        <v>4.9073103569801928</v>
      </c>
      <c r="G228" s="9">
        <f>_xll.BQL("DAL US Equity", "FA_GROWTH(BS_ACCTS_REC_EXCL_NOTES_REC, YOY)", "FPT=A", "FPO=3A", "ACT_EST_MAPPING=PRECISE", "FS=MRC", "CURRENCY=USD", "XLFILL=b")</f>
        <v>7.9903646370216812</v>
      </c>
      <c r="H228" s="9">
        <f>_xll.BQL("DAL US Equity", "FA_GROWTH(BS_ACCTS_REC_EXCL_NOTES_REC, YOY)", "FPT=A", "FPO=2A", "ACT_EST_MAPPING=PRECISE", "FS=MRC", "CURRENCY=USD", "XLFILL=b")</f>
        <v>1.757109458130883</v>
      </c>
      <c r="I228" s="9">
        <f>_xll.BQL("DAL US Equity", "FA_GROWTH(BS_ACCTS_REC_EXCL_NOTES_REC, YOY)", "FPT=A", "FPO=1A", "ACT_EST_MAPPING=PRECISE", "FS=MRC", "CURRENCY=USD", "XLFILL=b")</f>
        <v>10.497213086766131</v>
      </c>
      <c r="J228" s="9">
        <f>_xll.BQL("DAL US Equity", "FA_GROWTH(BS_ACCTS_REC_EXCL_NOTES_REC, YOY)", "FPT=A", "FPO=0A", "ACT_EST_MAPPING=PRECISE", "FS=MRC", "CURRENCY=USD", "XLFILL=b")</f>
        <v>-1.4483627204030227</v>
      </c>
      <c r="K228" s="9">
        <f>_xll.BQL("DAL US Equity", "FA_GROWTH(BS_ACCTS_REC_EXCL_NOTES_REC, YOY)", "FPT=A", "FPO=-1A", "ACT_EST_MAPPING=PRECISE", "FS=MRC", "CURRENCY=USD", "XLFILL=b")</f>
        <v>32.113144758735444</v>
      </c>
      <c r="L228" s="9">
        <f>_xll.BQL("DAL US Equity", "FA_GROWTH(BS_ACCTS_REC_EXCL_NOTES_REC, YOY)", "FPT=A", "FPO=-2A", "ACT_EST_MAPPING=PRECISE", "FS=MRC", "CURRENCY=USD", "XLFILL=b")</f>
        <v>72.206303724928361</v>
      </c>
      <c r="M228" s="9">
        <f>_xll.BQL("DAL US Equity", "FA_GROWTH(BS_ACCTS_REC_EXCL_NOTES_REC, YOY)", "FPT=A", "FPO=-3A", "ACT_EST_MAPPING=PRECISE", "FS=MRC", "CURRENCY=USD", "XLFILL=b")</f>
        <v>-51.086194814295723</v>
      </c>
      <c r="N228" s="9">
        <f>_xll.BQL("DAL US Equity", "FA_GROWTH(BS_ACCTS_REC_EXCL_NOTES_REC, YOY)", "FPT=A", "FPO=-4A", "ACT_EST_MAPPING=PRECISE", "FS=MRC", "CURRENCY=USD", "XLFILL=b")</f>
        <v>23.336214347450301</v>
      </c>
    </row>
    <row r="229" spans="1:14" x14ac:dyDescent="0.2">
      <c r="A229" s="8" t="s">
        <v>243</v>
      </c>
      <c r="B229" s="4" t="s">
        <v>244</v>
      </c>
      <c r="C229" s="4" t="s">
        <v>245</v>
      </c>
      <c r="D229" s="4"/>
      <c r="E229" s="9">
        <f>_xll.BQL("DAL US Equity", "BS_INVENTORIES/1M", "FPT=A", "FPO=5A", "ACT_EST_MAPPING=PRECISE", "FS=MRC", "CURRENCY=USD", "XLFILL=b")</f>
        <v>1565.7152272566452</v>
      </c>
      <c r="F229" s="9">
        <f>_xll.BQL("DAL US Equity", "BS_INVENTORIES/1M", "FPT=A", "FPO=4A", "ACT_EST_MAPPING=PRECISE", "FS=MRC", "CURRENCY=USD", "XLFILL=b")</f>
        <v>1575.6085354952986</v>
      </c>
      <c r="G229" s="9">
        <f>_xll.BQL("DAL US Equity", "BS_INVENTORIES/1M", "FPT=A", "FPO=3A", "ACT_EST_MAPPING=PRECISE", "FS=MRC", "CURRENCY=USD", "XLFILL=b")</f>
        <v>1438.597742523649</v>
      </c>
      <c r="H229" s="9">
        <f>_xll.BQL("DAL US Equity", "BS_INVENTORIES/1M", "FPT=A", "FPO=2A", "ACT_EST_MAPPING=PRECISE", "FS=MRC", "CURRENCY=USD", "XLFILL=b")</f>
        <v>1371.5270164387291</v>
      </c>
      <c r="I229" s="9">
        <f>_xll.BQL("DAL US Equity", "BS_INVENTORIES/1M", "FPT=A", "FPO=1A", "ACT_EST_MAPPING=PRECISE", "FS=MRC", "CURRENCY=USD", "XLFILL=b")</f>
        <v>1346.3514798062988</v>
      </c>
      <c r="J229" s="9">
        <f>_xll.BQL("DAL US Equity", "BS_INVENTORIES/1M", "FPT=A", "FPO=0A", "ACT_EST_MAPPING=PRECISE", "FS=MRC", "CURRENCY=USD", "XLFILL=b")</f>
        <v>1314</v>
      </c>
      <c r="K229" s="9">
        <f>_xll.BQL("DAL US Equity", "BS_INVENTORIES/1M", "FPT=A", "FPO=-1A", "ACT_EST_MAPPING=PRECISE", "FS=MRC", "CURRENCY=USD", "XLFILL=b")</f>
        <v>1424</v>
      </c>
      <c r="L229" s="9">
        <f>_xll.BQL("DAL US Equity", "BS_INVENTORIES/1M", "FPT=A", "FPO=-2A", "ACT_EST_MAPPING=PRECISE", "FS=MRC", "CURRENCY=USD", "XLFILL=b")</f>
        <v>1098</v>
      </c>
      <c r="M229" s="9">
        <f>_xll.BQL("DAL US Equity", "BS_INVENTORIES/1M", "FPT=A", "FPO=-3A", "ACT_EST_MAPPING=PRECISE", "FS=MRC", "CURRENCY=USD", "XLFILL=b")</f>
        <v>732</v>
      </c>
      <c r="N229" s="9">
        <f>_xll.BQL("DAL US Equity", "BS_INVENTORIES/1M", "FPT=A", "FPO=-4A", "ACT_EST_MAPPING=PRECISE", "FS=MRC", "CURRENCY=USD", "XLFILL=b")</f>
        <v>1251</v>
      </c>
    </row>
    <row r="230" spans="1:14" x14ac:dyDescent="0.2">
      <c r="A230" s="8" t="s">
        <v>94</v>
      </c>
      <c r="B230" s="4" t="s">
        <v>244</v>
      </c>
      <c r="C230" s="4" t="s">
        <v>245</v>
      </c>
      <c r="D230" s="4"/>
      <c r="E230" s="9">
        <f>_xll.BQL("DAL US Equity", "FA_GROWTH(BS_INVENTORIES, YOY)", "FPT=A", "FPO=5A", "ACT_EST_MAPPING=PRECISE", "FS=MRC", "CURRENCY=USD", "XLFILL=b")</f>
        <v>-0.62790395049132064</v>
      </c>
      <c r="F230" s="9">
        <f>_xll.BQL("DAL US Equity", "FA_GROWTH(BS_INVENTORIES, YOY)", "FPT=A", "FPO=4A", "ACT_EST_MAPPING=PRECISE", "FS=MRC", "CURRENCY=USD", "XLFILL=b")</f>
        <v>9.5239126909305121</v>
      </c>
      <c r="G230" s="9">
        <f>_xll.BQL("DAL US Equity", "FA_GROWTH(BS_INVENTORIES, YOY)", "FPT=A", "FPO=3A", "ACT_EST_MAPPING=PRECISE", "FS=MRC", "CURRENCY=USD", "XLFILL=b")</f>
        <v>4.8902227430469445</v>
      </c>
      <c r="H230" s="9">
        <f>_xll.BQL("DAL US Equity", "FA_GROWTH(BS_INVENTORIES, YOY)", "FPT=A", "FPO=2A", "ACT_EST_MAPPING=PRECISE", "FS=MRC", "CURRENCY=USD", "XLFILL=b")</f>
        <v>1.8699081933680759</v>
      </c>
      <c r="I230" s="9">
        <f>_xll.BQL("DAL US Equity", "FA_GROWTH(BS_INVENTORIES, YOY)", "FPT=A", "FPO=1A", "ACT_EST_MAPPING=PRECISE", "FS=MRC", "CURRENCY=USD", "XLFILL=b")</f>
        <v>2.4620608680592642</v>
      </c>
      <c r="J230" s="9">
        <f>_xll.BQL("DAL US Equity", "FA_GROWTH(BS_INVENTORIES, YOY)", "FPT=A", "FPO=0A", "ACT_EST_MAPPING=PRECISE", "FS=MRC", "CURRENCY=USD", "XLFILL=b")</f>
        <v>-7.7247191011235952</v>
      </c>
      <c r="K230" s="9">
        <f>_xll.BQL("DAL US Equity", "FA_GROWTH(BS_INVENTORIES, YOY)", "FPT=A", "FPO=-1A", "ACT_EST_MAPPING=PRECISE", "FS=MRC", "CURRENCY=USD", "XLFILL=b")</f>
        <v>29.690346083788707</v>
      </c>
      <c r="L230" s="9">
        <f>_xll.BQL("DAL US Equity", "FA_GROWTH(BS_INVENTORIES, YOY)", "FPT=A", "FPO=-2A", "ACT_EST_MAPPING=PRECISE", "FS=MRC", "CURRENCY=USD", "XLFILL=b")</f>
        <v>50</v>
      </c>
      <c r="M230" s="9">
        <f>_xll.BQL("DAL US Equity", "FA_GROWTH(BS_INVENTORIES, YOY)", "FPT=A", "FPO=-3A", "ACT_EST_MAPPING=PRECISE", "FS=MRC", "CURRENCY=USD", "XLFILL=b")</f>
        <v>-41.486810551558754</v>
      </c>
      <c r="N230" s="9">
        <f>_xll.BQL("DAL US Equity", "FA_GROWTH(BS_INVENTORIES, YOY)", "FPT=A", "FPO=-4A", "ACT_EST_MAPPING=PRECISE", "FS=MRC", "CURRENCY=USD", "XLFILL=b")</f>
        <v>18.578199052132703</v>
      </c>
    </row>
    <row r="231" spans="1:14" x14ac:dyDescent="0.2">
      <c r="A231" s="8" t="s">
        <v>246</v>
      </c>
      <c r="B231" s="4" t="s">
        <v>247</v>
      </c>
      <c r="C231" s="4" t="s">
        <v>248</v>
      </c>
      <c r="D231" s="4"/>
      <c r="E231" s="9">
        <f>_xll.BQL("DAL US Equity", "BS_OTHER_CUR_ASSET/1M", "FPT=A", "FPO=5A", "ACT_EST_MAPPING=PRECISE", "FS=MRC", "CURRENCY=USD", "XLFILL=b")</f>
        <v>2096.6000000000008</v>
      </c>
      <c r="F231" s="9">
        <f>_xll.BQL("DAL US Equity", "BS_OTHER_CUR_ASSET/1M", "FPT=A", "FPO=4A", "ACT_EST_MAPPING=PRECISE", "FS=MRC", "CURRENCY=USD", "XLFILL=b")</f>
        <v>2162.4459797428672</v>
      </c>
      <c r="G231" s="9">
        <f>_xll.BQL("DAL US Equity", "BS_OTHER_CUR_ASSET/1M", "FPT=A", "FPO=3A", "ACT_EST_MAPPING=PRECISE", "FS=MRC", "CURRENCY=USD", "XLFILL=b")</f>
        <v>2106.1810730477341</v>
      </c>
      <c r="H231" s="9">
        <f>_xll.BQL("DAL US Equity", "BS_OTHER_CUR_ASSET/1M", "FPT=A", "FPO=2A", "ACT_EST_MAPPING=PRECISE", "FS=MRC", "CURRENCY=USD", "XLFILL=b")</f>
        <v>1990.9875127095227</v>
      </c>
      <c r="I231" s="9">
        <f>_xll.BQL("DAL US Equity", "BS_OTHER_CUR_ASSET/1M", "FPT=A", "FPO=1A", "ACT_EST_MAPPING=PRECISE", "FS=MRC", "CURRENCY=USD", "XLFILL=b")</f>
        <v>1951.145332524819</v>
      </c>
      <c r="J231" s="9">
        <f>_xll.BQL("DAL US Equity", "BS_OTHER_CUR_ASSET/1M", "FPT=A", "FPO=0A", "ACT_EST_MAPPING=PRECISE", "FS=MRC", "CURRENCY=USD", "XLFILL=b")</f>
        <v>1957</v>
      </c>
      <c r="K231" s="9">
        <f>_xll.BQL("DAL US Equity", "BS_OTHER_CUR_ASSET/1M", "FPT=A", "FPO=-1A", "ACT_EST_MAPPING=PRECISE", "FS=MRC", "CURRENCY=USD", "XLFILL=b")</f>
        <v>1877</v>
      </c>
      <c r="L231" s="9">
        <f>_xll.BQL("DAL US Equity", "BS_OTHER_CUR_ASSET/1M", "FPT=A", "FPO=-2A", "ACT_EST_MAPPING=PRECISE", "FS=MRC", "CURRENCY=USD", "XLFILL=b")</f>
        <v>1119</v>
      </c>
      <c r="M231" s="9">
        <f>_xll.BQL("DAL US Equity", "BS_OTHER_CUR_ASSET/1M", "FPT=A", "FPO=-3A", "ACT_EST_MAPPING=PRECISE", "FS=MRC", "CURRENCY=USD", "XLFILL=b")</f>
        <v>1180</v>
      </c>
      <c r="N231" s="9">
        <f>_xll.BQL("DAL US Equity", "BS_OTHER_CUR_ASSET/1M", "FPT=A", "FPO=-4A", "ACT_EST_MAPPING=PRECISE", "FS=MRC", "CURRENCY=USD", "XLFILL=b")</f>
        <v>1262</v>
      </c>
    </row>
    <row r="232" spans="1:14" x14ac:dyDescent="0.2">
      <c r="A232" s="8" t="s">
        <v>94</v>
      </c>
      <c r="B232" s="4" t="s">
        <v>247</v>
      </c>
      <c r="C232" s="4" t="s">
        <v>248</v>
      </c>
      <c r="D232" s="4"/>
      <c r="E232" s="9">
        <f>_xll.BQL("DAL US Equity", "FA_GROWTH(BS_OTHER_CUR_ASSET, YOY)", "FPT=A", "FPO=5A", "ACT_EST_MAPPING=PRECISE", "FS=MRC", "CURRENCY=USD", "XLFILL=b")</f>
        <v>-3.044976862298113</v>
      </c>
      <c r="F232" s="9">
        <f>_xll.BQL("DAL US Equity", "FA_GROWTH(BS_OTHER_CUR_ASSET, YOY)", "FPT=A", "FPO=4A", "ACT_EST_MAPPING=PRECISE", "FS=MRC", "CURRENCY=USD", "XLFILL=b")</f>
        <v>2.671418303731846</v>
      </c>
      <c r="G232" s="9">
        <f>_xll.BQL("DAL US Equity", "FA_GROWTH(BS_OTHER_CUR_ASSET, YOY)", "FPT=A", "FPO=3A", "ACT_EST_MAPPING=PRECISE", "FS=MRC", "CURRENCY=USD", "XLFILL=b")</f>
        <v>5.7857500161537967</v>
      </c>
      <c r="H232" s="9">
        <f>_xll.BQL("DAL US Equity", "FA_GROWTH(BS_OTHER_CUR_ASSET, YOY)", "FPT=A", "FPO=2A", "ACT_EST_MAPPING=PRECISE", "FS=MRC", "CURRENCY=USD", "XLFILL=b")</f>
        <v>2.0419893649412213</v>
      </c>
      <c r="I232" s="9">
        <f>_xll.BQL("DAL US Equity", "FA_GROWTH(BS_OTHER_CUR_ASSET, YOY)", "FPT=A", "FPO=1A", "ACT_EST_MAPPING=PRECISE", "FS=MRC", "CURRENCY=USD", "XLFILL=b")</f>
        <v>-0.29916543051513045</v>
      </c>
      <c r="J232" s="9">
        <f>_xll.BQL("DAL US Equity", "FA_GROWTH(BS_OTHER_CUR_ASSET, YOY)", "FPT=A", "FPO=0A", "ACT_EST_MAPPING=PRECISE", "FS=MRC", "CURRENCY=USD", "XLFILL=b")</f>
        <v>4.2621204049014381</v>
      </c>
      <c r="K232" s="9">
        <f>_xll.BQL("DAL US Equity", "FA_GROWTH(BS_OTHER_CUR_ASSET, YOY)", "FPT=A", "FPO=-1A", "ACT_EST_MAPPING=PRECISE", "FS=MRC", "CURRENCY=USD", "XLFILL=b")</f>
        <v>67.739052725647895</v>
      </c>
      <c r="L232" s="9">
        <f>_xll.BQL("DAL US Equity", "FA_GROWTH(BS_OTHER_CUR_ASSET, YOY)", "FPT=A", "FPO=-2A", "ACT_EST_MAPPING=PRECISE", "FS=MRC", "CURRENCY=USD", "XLFILL=b")</f>
        <v>-5.1694915254237293</v>
      </c>
      <c r="M232" s="9">
        <f>_xll.BQL("DAL US Equity", "FA_GROWTH(BS_OTHER_CUR_ASSET, YOY)", "FPT=A", "FPO=-3A", "ACT_EST_MAPPING=PRECISE", "FS=MRC", "CURRENCY=USD", "XLFILL=b")</f>
        <v>-6.497622820919176</v>
      </c>
      <c r="N232" s="9">
        <f>_xll.BQL("DAL US Equity", "FA_GROWTH(BS_OTHER_CUR_ASSET, YOY)", "FPT=A", "FPO=-4A", "ACT_EST_MAPPING=PRECISE", "FS=MRC", "CURRENCY=USD", "XLFILL=b")</f>
        <v>4.9044056525353286</v>
      </c>
    </row>
    <row r="233" spans="1:14" x14ac:dyDescent="0.2">
      <c r="A233" s="8" t="s">
        <v>249</v>
      </c>
      <c r="B233" s="4" t="s">
        <v>250</v>
      </c>
      <c r="C233" s="4" t="s">
        <v>251</v>
      </c>
      <c r="D233" s="4"/>
      <c r="E233" s="9">
        <f>_xll.BQL("DAL US Equity", "BS_TOTAL_NON_CURRENT_ASSETS/1M", "FPT=A", "FPO=5A", "ACT_EST_MAPPING=PRECISE", "FS=MRC", "CURRENCY=USD", "XLFILL=b")</f>
        <v>67879.544010844256</v>
      </c>
      <c r="F233" s="9">
        <f>_xll.BQL("DAL US Equity", "BS_TOTAL_NON_CURRENT_ASSETS/1M", "FPT=A", "FPO=4A", "ACT_EST_MAPPING=PRECISE", "FS=MRC", "CURRENCY=USD", "XLFILL=b")</f>
        <v>67617.706768217569</v>
      </c>
      <c r="G233" s="9">
        <f>_xll.BQL("DAL US Equity", "BS_TOTAL_NON_CURRENT_ASSETS/1M", "FPT=A", "FPO=3A", "ACT_EST_MAPPING=PRECISE", "FS=MRC", "CURRENCY=USD", "XLFILL=b")</f>
        <v>69083.392936043761</v>
      </c>
      <c r="H233" s="9">
        <f>_xll.BQL("DAL US Equity", "BS_TOTAL_NON_CURRENT_ASSETS/1M", "FPT=A", "FPO=2A", "ACT_EST_MAPPING=PRECISE", "FS=MRC", "CURRENCY=USD", "XLFILL=b")</f>
        <v>66478.078083946588</v>
      </c>
      <c r="I233" s="9">
        <f>_xll.BQL("DAL US Equity", "BS_TOTAL_NON_CURRENT_ASSETS/1M", "FPT=A", "FPO=1A", "ACT_EST_MAPPING=PRECISE", "FS=MRC", "CURRENCY=USD", "XLFILL=b")</f>
        <v>64387.937797479455</v>
      </c>
      <c r="J233" s="9">
        <f>_xll.BQL("DAL US Equity", "BS_TOTAL_NON_CURRENT_ASSETS/1M", "FPT=A", "FPO=0A", "ACT_EST_MAPPING=PRECISE", "FS=MRC", "CURRENCY=USD", "XLFILL=b")</f>
        <v>63375</v>
      </c>
      <c r="K233" s="9">
        <f>_xll.BQL("DAL US Equity", "BS_TOTAL_NON_CURRENT_ASSETS/1M", "FPT=A", "FPO=-1A", "ACT_EST_MAPPING=PRECISE", "FS=MRC", "CURRENCY=USD", "XLFILL=b")</f>
        <v>59277</v>
      </c>
      <c r="L233" s="9">
        <f>_xll.BQL("DAL US Equity", "BS_TOTAL_NON_CURRENT_ASSETS/1M", "FPT=A", "FPO=-2A", "ACT_EST_MAPPING=PRECISE", "FS=MRC", "CURRENCY=USD", "XLFILL=b")</f>
        <v>56519</v>
      </c>
      <c r="M233" s="9">
        <f>_xll.BQL("DAL US Equity", "BS_TOTAL_NON_CURRENT_ASSETS/1M", "FPT=A", "FPO=-3A", "ACT_EST_MAPPING=PRECISE", "FS=MRC", "CURRENCY=USD", "XLFILL=b")</f>
        <v>54592</v>
      </c>
      <c r="N233" s="9">
        <f>_xll.BQL("DAL US Equity", "BS_TOTAL_NON_CURRENT_ASSETS/1M", "FPT=A", "FPO=-4A", "ACT_EST_MAPPING=PRECISE", "FS=MRC", "CURRENCY=USD", "XLFILL=b")</f>
        <v>56283</v>
      </c>
    </row>
    <row r="234" spans="1:14" x14ac:dyDescent="0.2">
      <c r="A234" s="8" t="s">
        <v>86</v>
      </c>
      <c r="B234" s="4" t="s">
        <v>250</v>
      </c>
      <c r="C234" s="4" t="s">
        <v>251</v>
      </c>
      <c r="D234" s="4"/>
      <c r="E234" s="9">
        <f>_xll.BQL("DAL US Equity", "FA_GROWTH(BS_TOTAL_NON_CURRENT_ASSETS, YOY)", "FPT=A", "FPO=5A", "ACT_EST_MAPPING=PRECISE", "FS=MRC", "CURRENCY=USD", "XLFILL=b")</f>
        <v>0.38723176981470447</v>
      </c>
      <c r="F234" s="9">
        <f>_xll.BQL("DAL US Equity", "FA_GROWTH(BS_TOTAL_NON_CURRENT_ASSETS, YOY)", "FPT=A", "FPO=4A", "ACT_EST_MAPPING=PRECISE", "FS=MRC", "CURRENCY=USD", "XLFILL=b")</f>
        <v>-2.1216186778537387</v>
      </c>
      <c r="G234" s="9">
        <f>_xll.BQL("DAL US Equity", "FA_GROWTH(BS_TOTAL_NON_CURRENT_ASSETS, YOY)", "FPT=A", "FPO=3A", "ACT_EST_MAPPING=PRECISE", "FS=MRC", "CURRENCY=USD", "XLFILL=b")</f>
        <v>3.9190586238176919</v>
      </c>
      <c r="H234" s="9">
        <f>_xll.BQL("DAL US Equity", "FA_GROWTH(BS_TOTAL_NON_CURRENT_ASSETS, YOY)", "FPT=A", "FPO=2A", "ACT_EST_MAPPING=PRECISE", "FS=MRC", "CURRENCY=USD", "XLFILL=b")</f>
        <v>3.24616746236119</v>
      </c>
      <c r="I234" s="9">
        <f>_xll.BQL("DAL US Equity", "FA_GROWTH(BS_TOTAL_NON_CURRENT_ASSETS, YOY)", "FPT=A", "FPO=1A", "ACT_EST_MAPPING=PRECISE", "FS=MRC", "CURRENCY=USD", "XLFILL=b")</f>
        <v>1.5983239407959826</v>
      </c>
      <c r="J234" s="9">
        <f>_xll.BQL("DAL US Equity", "FA_GROWTH(BS_TOTAL_NON_CURRENT_ASSETS, YOY)", "FPT=A", "FPO=0A", "ACT_EST_MAPPING=PRECISE", "FS=MRC", "CURRENCY=USD", "XLFILL=b")</f>
        <v>6.9133053292170654</v>
      </c>
      <c r="K234" s="9">
        <f>_xll.BQL("DAL US Equity", "FA_GROWTH(BS_TOTAL_NON_CURRENT_ASSETS, YOY)", "FPT=A", "FPO=-1A", "ACT_EST_MAPPING=PRECISE", "FS=MRC", "CURRENCY=USD", "XLFILL=b")</f>
        <v>4.8797749429395427</v>
      </c>
      <c r="L234" s="9">
        <f>_xll.BQL("DAL US Equity", "FA_GROWTH(BS_TOTAL_NON_CURRENT_ASSETS, YOY)", "FPT=A", "FPO=-2A", "ACT_EST_MAPPING=PRECISE", "FS=MRC", "CURRENCY=USD", "XLFILL=b")</f>
        <v>3.5298212192262604</v>
      </c>
      <c r="M234" s="9">
        <f>_xll.BQL("DAL US Equity", "FA_GROWTH(BS_TOTAL_NON_CURRENT_ASSETS, YOY)", "FPT=A", "FPO=-3A", "ACT_EST_MAPPING=PRECISE", "FS=MRC", "CURRENCY=USD", "XLFILL=b")</f>
        <v>-3.0044596059200823</v>
      </c>
      <c r="N234" s="9">
        <f>_xll.BQL("DAL US Equity", "FA_GROWTH(BS_TOTAL_NON_CURRENT_ASSETS, YOY)", "FPT=A", "FPO=-4A", "ACT_EST_MAPPING=PRECISE", "FS=MRC", "CURRENCY=USD", "XLFILL=b")</f>
        <v>4.3708044357081928</v>
      </c>
    </row>
    <row r="235" spans="1:14" x14ac:dyDescent="0.2">
      <c r="A235" s="8" t="s">
        <v>252</v>
      </c>
      <c r="B235" s="4" t="s">
        <v>253</v>
      </c>
      <c r="C235" s="4"/>
      <c r="D235" s="4"/>
      <c r="E235" s="9">
        <f>_xll.BQL("DAL US Equity", "BS_NET_FIX_ASSET/1M", "FPT=A", "FPO=5A", "ACT_EST_MAPPING=PRECISE", "FS=MRC", "CURRENCY=USD", "XLFILL=b")</f>
        <v>46038</v>
      </c>
      <c r="F235" s="9">
        <f>_xll.BQL("DAL US Equity", "BS_NET_FIX_ASSET/1M", "FPT=A", "FPO=4A", "ACT_EST_MAPPING=PRECISE", "FS=MRC", "CURRENCY=USD", "XLFILL=b")</f>
        <v>49464.146874240614</v>
      </c>
      <c r="G235" s="9">
        <f>_xll.BQL("DAL US Equity", "BS_NET_FIX_ASSET/1M", "FPT=A", "FPO=3A", "ACT_EST_MAPPING=PRECISE", "FS=MRC", "CURRENCY=USD", "XLFILL=b")</f>
        <v>47974.075975839914</v>
      </c>
      <c r="H235" s="9">
        <f>_xll.BQL("DAL US Equity", "BS_NET_FIX_ASSET/1M", "FPT=A", "FPO=2A", "ACT_EST_MAPPING=PRECISE", "FS=MRC", "CURRENCY=USD", "XLFILL=b")</f>
        <v>46186.625560819106</v>
      </c>
      <c r="I235" s="9">
        <f>_xll.BQL("DAL US Equity", "BS_NET_FIX_ASSET/1M", "FPT=A", "FPO=1A", "ACT_EST_MAPPING=PRECISE", "FS=MRC", "CURRENCY=USD", "XLFILL=b")</f>
        <v>43733.05753973547</v>
      </c>
      <c r="J235" s="9">
        <f>_xll.BQL("DAL US Equity", "BS_NET_FIX_ASSET/1M", "FPT=A", "FPO=0A", "ACT_EST_MAPPING=PRECISE", "FS=MRC", "CURRENCY=USD", "XLFILL=b")</f>
        <v>42490</v>
      </c>
      <c r="K235" s="9">
        <f>_xll.BQL("DAL US Equity", "BS_NET_FIX_ASSET/1M", "FPT=A", "FPO=-1A", "ACT_EST_MAPPING=PRECISE", "FS=MRC", "CURRENCY=USD", "XLFILL=b")</f>
        <v>40145</v>
      </c>
      <c r="L235" s="9">
        <f>_xll.BQL("DAL US Equity", "BS_NET_FIX_ASSET/1M", "FPT=A", "FPO=-2A", "ACT_EST_MAPPING=PRECISE", "FS=MRC", "CURRENCY=USD", "XLFILL=b")</f>
        <v>35986</v>
      </c>
      <c r="M235" s="9">
        <f>_xll.BQL("DAL US Equity", "BS_NET_FIX_ASSET/1M", "FPT=A", "FPO=-3A", "ACT_EST_MAPPING=PRECISE", "FS=MRC", "CURRENCY=USD", "XLFILL=b")</f>
        <v>32262</v>
      </c>
      <c r="N235" s="9">
        <f>_xll.BQL("DAL US Equity", "BS_NET_FIX_ASSET/1M", "FPT=A", "FPO=-4A", "ACT_EST_MAPPING=PRECISE", "FS=MRC", "CURRENCY=USD", "XLFILL=b")</f>
        <v>36937</v>
      </c>
    </row>
    <row r="236" spans="1:14" x14ac:dyDescent="0.2">
      <c r="A236" s="8" t="s">
        <v>94</v>
      </c>
      <c r="B236" s="4" t="s">
        <v>253</v>
      </c>
      <c r="C236" s="4"/>
      <c r="D236" s="4"/>
      <c r="E236" s="9">
        <f>_xll.BQL("DAL US Equity", "FA_GROWTH(BS_NET_FIX_ASSET, YOY)", "FPT=A", "FPO=5A", "ACT_EST_MAPPING=PRECISE", "FS=MRC", "CURRENCY=USD", "XLFILL=b")</f>
        <v>-6.9265257580432387</v>
      </c>
      <c r="F236" s="9">
        <f>_xll.BQL("DAL US Equity", "FA_GROWTH(BS_NET_FIX_ASSET, YOY)", "FPT=A", "FPO=4A", "ACT_EST_MAPPING=PRECISE", "FS=MRC", "CURRENCY=USD", "XLFILL=b")</f>
        <v>3.1059918676726861</v>
      </c>
      <c r="G236" s="9">
        <f>_xll.BQL("DAL US Equity", "FA_GROWTH(BS_NET_FIX_ASSET, YOY)", "FPT=A", "FPO=3A", "ACT_EST_MAPPING=PRECISE", "FS=MRC", "CURRENCY=USD", "XLFILL=b")</f>
        <v>3.8700606362053209</v>
      </c>
      <c r="H236" s="9">
        <f>_xll.BQL("DAL US Equity", "FA_GROWTH(BS_NET_FIX_ASSET, YOY)", "FPT=A", "FPO=2A", "ACT_EST_MAPPING=PRECISE", "FS=MRC", "CURRENCY=USD", "XLFILL=b")</f>
        <v>5.6103281113019623</v>
      </c>
      <c r="I236" s="9">
        <f>_xll.BQL("DAL US Equity", "FA_GROWTH(BS_NET_FIX_ASSET, YOY)", "FPT=A", "FPO=1A", "ACT_EST_MAPPING=PRECISE", "FS=MRC", "CURRENCY=USD", "XLFILL=b")</f>
        <v>2.925529629878715</v>
      </c>
      <c r="J236" s="9">
        <f>_xll.BQL("DAL US Equity", "FA_GROWTH(BS_NET_FIX_ASSET, YOY)", "FPT=A", "FPO=0A", "ACT_EST_MAPPING=PRECISE", "FS=MRC", "CURRENCY=USD", "XLFILL=b")</f>
        <v>5.8413251961639059</v>
      </c>
      <c r="K236" s="9">
        <f>_xll.BQL("DAL US Equity", "FA_GROWTH(BS_NET_FIX_ASSET, YOY)", "FPT=A", "FPO=-1A", "ACT_EST_MAPPING=PRECISE", "FS=MRC", "CURRENCY=USD", "XLFILL=b")</f>
        <v>11.557272272550437</v>
      </c>
      <c r="L236" s="9">
        <f>_xll.BQL("DAL US Equity", "FA_GROWTH(BS_NET_FIX_ASSET, YOY)", "FPT=A", "FPO=-2A", "ACT_EST_MAPPING=PRECISE", "FS=MRC", "CURRENCY=USD", "XLFILL=b")</f>
        <v>11.54299175500589</v>
      </c>
      <c r="M236" s="9">
        <f>_xll.BQL("DAL US Equity", "FA_GROWTH(BS_NET_FIX_ASSET, YOY)", "FPT=A", "FPO=-3A", "ACT_EST_MAPPING=PRECISE", "FS=MRC", "CURRENCY=USD", "XLFILL=b")</f>
        <v>-12.656685708097571</v>
      </c>
      <c r="N236" s="9">
        <f>_xll.BQL("DAL US Equity", "FA_GROWTH(BS_NET_FIX_ASSET, YOY)", "FPT=A", "FPO=-4A", "ACT_EST_MAPPING=PRECISE", "FS=MRC", "CURRENCY=USD", "XLFILL=b")</f>
        <v>7.5970753590258964</v>
      </c>
    </row>
    <row r="237" spans="1:14" x14ac:dyDescent="0.2">
      <c r="A237" s="8" t="s">
        <v>254</v>
      </c>
      <c r="B237" s="4" t="s">
        <v>255</v>
      </c>
      <c r="C237" s="4" t="s">
        <v>256</v>
      </c>
      <c r="D237" s="4"/>
      <c r="E237" s="9">
        <f>_xll.BQL("DAL US Equity", "CB_BS_PP_AND_E_NET/1M", "FPT=A", "FPO=5A", "ACT_EST_MAPPING=PRECISE", "FS=MRC", "CURRENCY=USD", "XLFILL=b")</f>
        <v>44708.696242712489</v>
      </c>
      <c r="F237" s="9">
        <f>_xll.BQL("DAL US Equity", "CB_BS_PP_AND_E_NET/1M", "FPT=A", "FPO=4A", "ACT_EST_MAPPING=PRECISE", "FS=MRC", "CURRENCY=USD", "XLFILL=b")</f>
        <v>43582.552864310972</v>
      </c>
      <c r="G237" s="9">
        <f>_xll.BQL("DAL US Equity", "CB_BS_PP_AND_E_NET/1M", "FPT=A", "FPO=3A", "ACT_EST_MAPPING=PRECISE", "FS=MRC", "CURRENCY=USD", "XLFILL=b")</f>
        <v>42440.69827166108</v>
      </c>
      <c r="H237" s="9">
        <f>_xll.BQL("DAL US Equity", "CB_BS_PP_AND_E_NET/1M", "FPT=A", "FPO=2A", "ACT_EST_MAPPING=PRECISE", "FS=MRC", "CURRENCY=USD", "XLFILL=b")</f>
        <v>40176.774132097911</v>
      </c>
      <c r="I237" s="9">
        <f>_xll.BQL("DAL US Equity", "CB_BS_PP_AND_E_NET/1M", "FPT=A", "FPO=1A", "ACT_EST_MAPPING=PRECISE", "FS=MRC", "CURRENCY=USD", "XLFILL=b")</f>
        <v>37440.27226764954</v>
      </c>
      <c r="J237" s="9">
        <f>_xll.BQL("DAL US Equity", "CB_BS_PP_AND_E_NET/1M", "FPT=A", "FPO=0A", "ACT_EST_MAPPING=PRECISE", "FS=MRC", "CURRENCY=USD", "XLFILL=b")</f>
        <v>35486</v>
      </c>
      <c r="K237" s="9">
        <f>_xll.BQL("DAL US Equity", "CB_BS_PP_AND_E_NET/1M", "FPT=A", "FPO=-1A", "ACT_EST_MAPPING=PRECISE", "FS=MRC", "CURRENCY=USD", "XLFILL=b")</f>
        <v>33109</v>
      </c>
      <c r="L237" s="9">
        <f>_xll.BQL("DAL US Equity", "CB_BS_PP_AND_E_NET/1M", "FPT=A", "FPO=-2A", "ACT_EST_MAPPING=PRECISE", "FS=MRC", "CURRENCY=USD", "XLFILL=b")</f>
        <v>28749</v>
      </c>
      <c r="M237" s="9">
        <f>_xll.BQL("DAL US Equity", "CB_BS_PP_AND_E_NET/1M", "FPT=A", "FPO=-3A", "ACT_EST_MAPPING=PRECISE", "FS=MRC", "CURRENCY=USD", "XLFILL=b")</f>
        <v>26529</v>
      </c>
      <c r="N237" s="9">
        <f>_xll.BQL("DAL US Equity", "CB_BS_PP_AND_E_NET/1M", "FPT=A", "FPO=-4A", "ACT_EST_MAPPING=PRECISE", "FS=MRC", "CURRENCY=USD", "XLFILL=b")</f>
        <v>31310</v>
      </c>
    </row>
    <row r="238" spans="1:14" x14ac:dyDescent="0.2">
      <c r="A238" s="8" t="s">
        <v>99</v>
      </c>
      <c r="B238" s="4" t="s">
        <v>255</v>
      </c>
      <c r="C238" s="4" t="s">
        <v>256</v>
      </c>
      <c r="D238" s="4"/>
      <c r="E238" s="9">
        <f>_xll.BQL("DAL US Equity", "FA_GROWTH(CB_BS_PP_AND_E_NET, YOY)", "FPT=A", "FPO=5A", "ACT_EST_MAPPING=PRECISE", "FS=MRC", "CURRENCY=USD", "XLFILL=b")</f>
        <v>2.5839316524381299</v>
      </c>
      <c r="F238" s="9">
        <f>_xll.BQL("DAL US Equity", "FA_GROWTH(CB_BS_PP_AND_E_NET, YOY)", "FPT=A", "FPO=4A", "ACT_EST_MAPPING=PRECISE", "FS=MRC", "CURRENCY=USD", "XLFILL=b")</f>
        <v>2.6904707960762866</v>
      </c>
      <c r="G238" s="9">
        <f>_xll.BQL("DAL US Equity", "FA_GROWTH(CB_BS_PP_AND_E_NET, YOY)", "FPT=A", "FPO=3A", "ACT_EST_MAPPING=PRECISE", "FS=MRC", "CURRENCY=USD", "XLFILL=b")</f>
        <v>5.6349077009507438</v>
      </c>
      <c r="H238" s="9">
        <f>_xll.BQL("DAL US Equity", "FA_GROWTH(CB_BS_PP_AND_E_NET, YOY)", "FPT=A", "FPO=2A", "ACT_EST_MAPPING=PRECISE", "FS=MRC", "CURRENCY=USD", "XLFILL=b")</f>
        <v>7.3089796059332102</v>
      </c>
      <c r="I238" s="9">
        <f>_xll.BQL("DAL US Equity", "FA_GROWTH(CB_BS_PP_AND_E_NET, YOY)", "FPT=A", "FPO=1A", "ACT_EST_MAPPING=PRECISE", "FS=MRC", "CURRENCY=USD", "XLFILL=b")</f>
        <v>5.5071641426183175</v>
      </c>
      <c r="J238" s="9">
        <f>_xll.BQL("DAL US Equity", "FA_GROWTH(CB_BS_PP_AND_E_NET, YOY)", "FPT=A", "FPO=0A", "ACT_EST_MAPPING=PRECISE", "FS=MRC", "CURRENCY=USD", "XLFILL=b")</f>
        <v>7.1793168020779845</v>
      </c>
      <c r="K238" s="9">
        <f>_xll.BQL("DAL US Equity", "FA_GROWTH(CB_BS_PP_AND_E_NET, YOY)", "FPT=A", "FPO=-1A", "ACT_EST_MAPPING=PRECISE", "FS=MRC", "CURRENCY=USD", "XLFILL=b")</f>
        <v>15.165744895474624</v>
      </c>
      <c r="L238" s="9">
        <f>_xll.BQL("DAL US Equity", "FA_GROWTH(CB_BS_PP_AND_E_NET, YOY)", "FPT=A", "FPO=-2A", "ACT_EST_MAPPING=PRECISE", "FS=MRC", "CURRENCY=USD", "XLFILL=b")</f>
        <v>8.3682008368200833</v>
      </c>
      <c r="M238" s="9">
        <f>_xll.BQL("DAL US Equity", "FA_GROWTH(CB_BS_PP_AND_E_NET, YOY)", "FPT=A", "FPO=-3A", "ACT_EST_MAPPING=PRECISE", "FS=MRC", "CURRENCY=USD", "XLFILL=b")</f>
        <v>-15.269881826892366</v>
      </c>
      <c r="N238" s="9">
        <f>_xll.BQL("DAL US Equity", "FA_GROWTH(CB_BS_PP_AND_E_NET, YOY)", "FPT=A", "FPO=-4A", "ACT_EST_MAPPING=PRECISE", "FS=MRC", "CURRENCY=USD", "XLFILL=b")</f>
        <v>10.499382389271219</v>
      </c>
    </row>
    <row r="239" spans="1:14" x14ac:dyDescent="0.2">
      <c r="A239" s="8" t="s">
        <v>257</v>
      </c>
      <c r="B239" s="4" t="s">
        <v>258</v>
      </c>
      <c r="C239" s="4" t="s">
        <v>256</v>
      </c>
      <c r="D239" s="4"/>
      <c r="E239" s="9">
        <f>_xll.BQL("DAL US Equity", "CB_BS_ACCUMULATED_DEPRECIATION/1M", "FPT=A", "FPO=5A", "ACT_EST_MAPPING=PRECISE", "FS=MRC", "CURRENCY=USD", "XLFILL=b")</f>
        <v>34449.955635931277</v>
      </c>
      <c r="F239" s="9">
        <f>_xll.BQL("DAL US Equity", "CB_BS_ACCUMULATED_DEPRECIATION/1M", "FPT=A", "FPO=4A", "ACT_EST_MAPPING=PRECISE", "FS=MRC", "CURRENCY=USD", "XLFILL=b")</f>
        <v>31771.436979963306</v>
      </c>
      <c r="G239" s="9">
        <f>_xll.BQL("DAL US Equity", "CB_BS_ACCUMULATED_DEPRECIATION/1M", "FPT=A", "FPO=3A", "ACT_EST_MAPPING=PRECISE", "FS=MRC", "CURRENCY=USD", "XLFILL=b")</f>
        <v>28796.909164692388</v>
      </c>
      <c r="H239" s="9">
        <f>_xll.BQL("DAL US Equity", "CB_BS_ACCUMULATED_DEPRECIATION/1M", "FPT=A", "FPO=2A", "ACT_EST_MAPPING=PRECISE", "FS=MRC", "CURRENCY=USD", "XLFILL=b")</f>
        <v>25990.410583795583</v>
      </c>
      <c r="I239" s="9">
        <f>_xll.BQL("DAL US Equity", "CB_BS_ACCUMULATED_DEPRECIATION/1M", "FPT=A", "FPO=1A", "ACT_EST_MAPPING=PRECISE", "FS=MRC", "CURRENCY=USD", "XLFILL=b")</f>
        <v>23416.195557178271</v>
      </c>
      <c r="J239" s="9">
        <f>_xll.BQL("DAL US Equity", "CB_BS_ACCUMULATED_DEPRECIATION/1M", "FPT=A", "FPO=0A", "ACT_EST_MAPPING=PRECISE", "FS=MRC", "CURRENCY=USD", "XLFILL=b")</f>
        <v>21707</v>
      </c>
      <c r="K239" s="9">
        <f>_xll.BQL("DAL US Equity", "CB_BS_ACCUMULATED_DEPRECIATION/1M", "FPT=A", "FPO=-1A", "ACT_EST_MAPPING=PRECISE", "FS=MRC", "CURRENCY=USD", "XLFILL=b")</f>
        <v>20370</v>
      </c>
      <c r="L239" s="9">
        <f>_xll.BQL("DAL US Equity", "CB_BS_ACCUMULATED_DEPRECIATION/1M", "FPT=A", "FPO=-2A", "ACT_EST_MAPPING=PRECISE", "FS=MRC", "CURRENCY=USD", "XLFILL=b")</f>
        <v>18671</v>
      </c>
      <c r="M239" s="9">
        <f>_xll.BQL("DAL US Equity", "CB_BS_ACCUMULATED_DEPRECIATION/1M", "FPT=A", "FPO=-3A", "ACT_EST_MAPPING=PRECISE", "FS=MRC", "CURRENCY=USD", "XLFILL=b")</f>
        <v>17511</v>
      </c>
      <c r="N239" s="9">
        <f>_xll.BQL("DAL US Equity", "CB_BS_ACCUMULATED_DEPRECIATION/1M", "FPT=A", "FPO=-4A", "ACT_EST_MAPPING=PRECISE", "FS=MRC", "CURRENCY=USD", "XLFILL=b")</f>
        <v>17027</v>
      </c>
    </row>
    <row r="240" spans="1:14" x14ac:dyDescent="0.2">
      <c r="A240" s="8" t="s">
        <v>259</v>
      </c>
      <c r="B240" s="4" t="s">
        <v>258</v>
      </c>
      <c r="C240" s="4" t="s">
        <v>256</v>
      </c>
      <c r="D240" s="4"/>
      <c r="E240" s="9">
        <f>_xll.BQL("DAL US Equity", "FA_GROWTH(CB_BS_ACCUMULATED_DEPRECIATION, YOY)", "FPT=A", "FPO=5A", "ACT_EST_MAPPING=PRECISE", "FS=MRC", "CURRENCY=USD", "XLFILL=b")</f>
        <v>8.4305870636483302</v>
      </c>
      <c r="F240" s="9">
        <f>_xll.BQL("DAL US Equity", "FA_GROWTH(CB_BS_ACCUMULATED_DEPRECIATION, YOY)", "FPT=A", "FPO=4A", "ACT_EST_MAPPING=PRECISE", "FS=MRC", "CURRENCY=USD", "XLFILL=b")</f>
        <v>10.329330131436327</v>
      </c>
      <c r="G240" s="9">
        <f>_xll.BQL("DAL US Equity", "FA_GROWTH(CB_BS_ACCUMULATED_DEPRECIATION, YOY)", "FPT=A", "FPO=3A", "ACT_EST_MAPPING=PRECISE", "FS=MRC", "CURRENCY=USD", "XLFILL=b")</f>
        <v>10.798207946151461</v>
      </c>
      <c r="H240" s="9">
        <f>_xll.BQL("DAL US Equity", "FA_GROWTH(CB_BS_ACCUMULATED_DEPRECIATION, YOY)", "FPT=A", "FPO=2A", "ACT_EST_MAPPING=PRECISE", "FS=MRC", "CURRENCY=USD", "XLFILL=b")</f>
        <v>10.993310251152987</v>
      </c>
      <c r="I240" s="9">
        <f>_xll.BQL("DAL US Equity", "FA_GROWTH(CB_BS_ACCUMULATED_DEPRECIATION, YOY)", "FPT=A", "FPO=1A", "ACT_EST_MAPPING=PRECISE", "FS=MRC", "CURRENCY=USD", "XLFILL=b")</f>
        <v>7.8739372422641178</v>
      </c>
      <c r="J240" s="9">
        <f>_xll.BQL("DAL US Equity", "FA_GROWTH(CB_BS_ACCUMULATED_DEPRECIATION, YOY)", "FPT=A", "FPO=0A", "ACT_EST_MAPPING=PRECISE", "FS=MRC", "CURRENCY=USD", "XLFILL=b")</f>
        <v>6.5635738831615118</v>
      </c>
      <c r="K240" s="9">
        <f>_xll.BQL("DAL US Equity", "FA_GROWTH(CB_BS_ACCUMULATED_DEPRECIATION, YOY)", "FPT=A", "FPO=-1A", "ACT_EST_MAPPING=PRECISE", "FS=MRC", "CURRENCY=USD", "XLFILL=b")</f>
        <v>9.0996732901290773</v>
      </c>
      <c r="L240" s="9">
        <f>_xll.BQL("DAL US Equity", "FA_GROWTH(CB_BS_ACCUMULATED_DEPRECIATION, YOY)", "FPT=A", "FPO=-2A", "ACT_EST_MAPPING=PRECISE", "FS=MRC", "CURRENCY=USD", "XLFILL=b")</f>
        <v>6.6244075152761122</v>
      </c>
      <c r="M240" s="9">
        <f>_xll.BQL("DAL US Equity", "FA_GROWTH(CB_BS_ACCUMULATED_DEPRECIATION, YOY)", "FPT=A", "FPO=-3A", "ACT_EST_MAPPING=PRECISE", "FS=MRC", "CURRENCY=USD", "XLFILL=b")</f>
        <v>2.8425441945145944</v>
      </c>
      <c r="N240" s="9">
        <f>_xll.BQL("DAL US Equity", "FA_GROWTH(CB_BS_ACCUMULATED_DEPRECIATION, YOY)", "FPT=A", "FPO=-4A", "ACT_EST_MAPPING=PRECISE", "FS=MRC", "CURRENCY=USD", "XLFILL=b")</f>
        <v>7.6091765151993931</v>
      </c>
    </row>
    <row r="241" spans="1:14" x14ac:dyDescent="0.2">
      <c r="A241" s="8" t="s">
        <v>260</v>
      </c>
      <c r="B241" s="4" t="s">
        <v>261</v>
      </c>
      <c r="C241" s="4" t="s">
        <v>262</v>
      </c>
      <c r="D241" s="4"/>
      <c r="E241" s="9">
        <f>_xll.BQL("DAL US Equity", "BS_OPER_LEA_RT_OF_USE_ASSETS/1M", "FPT=A", "FPO=5A", "ACT_EST_MAPPING=PRECISE", "FS=MRC", "CURRENCY=USD", "XLFILL=b")</f>
        <v>6805.7469977590927</v>
      </c>
      <c r="F241" s="9">
        <f>_xll.BQL("DAL US Equity", "BS_OPER_LEA_RT_OF_USE_ASSETS/1M", "FPT=A", "FPO=4A", "ACT_EST_MAPPING=PRECISE", "FS=MRC", "CURRENCY=USD", "XLFILL=b")</f>
        <v>6876.8827258623669</v>
      </c>
      <c r="G241" s="9">
        <f>_xll.BQL("DAL US Equity", "BS_OPER_LEA_RT_OF_USE_ASSETS/1M", "FPT=A", "FPO=3A", "ACT_EST_MAPPING=PRECISE", "FS=MRC", "CURRENCY=USD", "XLFILL=b")</f>
        <v>6805.9615023654023</v>
      </c>
      <c r="H241" s="9">
        <f>_xll.BQL("DAL US Equity", "BS_OPER_LEA_RT_OF_USE_ASSETS/1M", "FPT=A", "FPO=2A", "ACT_EST_MAPPING=PRECISE", "FS=MRC", "CURRENCY=USD", "XLFILL=b")</f>
        <v>6657.7162983444869</v>
      </c>
      <c r="I241" s="9">
        <f>_xll.BQL("DAL US Equity", "BS_OPER_LEA_RT_OF_USE_ASSETS/1M", "FPT=A", "FPO=1A", "ACT_EST_MAPPING=PRECISE", "FS=MRC", "CURRENCY=USD", "XLFILL=b")</f>
        <v>6772.862900778252</v>
      </c>
      <c r="J241" s="9">
        <f>_xll.BQL("DAL US Equity", "BS_OPER_LEA_RT_OF_USE_ASSETS/1M", "FPT=A", "FPO=0A", "ACT_EST_MAPPING=PRECISE", "FS=MRC", "CURRENCY=USD", "XLFILL=b")</f>
        <v>7004</v>
      </c>
      <c r="K241" s="9">
        <f>_xll.BQL("DAL US Equity", "BS_OPER_LEA_RT_OF_USE_ASSETS/1M", "FPT=A", "FPO=-1A", "ACT_EST_MAPPING=PRECISE", "FS=MRC", "CURRENCY=USD", "XLFILL=b")</f>
        <v>7036</v>
      </c>
      <c r="L241" s="9">
        <f>_xll.BQL("DAL US Equity", "BS_OPER_LEA_RT_OF_USE_ASSETS/1M", "FPT=A", "FPO=-2A", "ACT_EST_MAPPING=PRECISE", "FS=MRC", "CURRENCY=USD", "XLFILL=b")</f>
        <v>7237</v>
      </c>
      <c r="M241" s="9">
        <f>_xll.BQL("DAL US Equity", "BS_OPER_LEA_RT_OF_USE_ASSETS/1M", "FPT=A", "FPO=-3A", "ACT_EST_MAPPING=PRECISE", "FS=MRC", "CURRENCY=USD", "XLFILL=b")</f>
        <v>5733</v>
      </c>
      <c r="N241" s="9">
        <f>_xll.BQL("DAL US Equity", "BS_OPER_LEA_RT_OF_USE_ASSETS/1M", "FPT=A", "FPO=-4A", "ACT_EST_MAPPING=PRECISE", "FS=MRC", "CURRENCY=USD", "XLFILL=b")</f>
        <v>5627</v>
      </c>
    </row>
    <row r="242" spans="1:14" x14ac:dyDescent="0.2">
      <c r="A242" s="8" t="s">
        <v>99</v>
      </c>
      <c r="B242" s="4" t="s">
        <v>261</v>
      </c>
      <c r="C242" s="4" t="s">
        <v>262</v>
      </c>
      <c r="D242" s="4"/>
      <c r="E242" s="9">
        <f>_xll.BQL("DAL US Equity", "FA_GROWTH(BS_OPER_LEA_RT_OF_USE_ASSETS, YOY)", "FPT=A", "FPO=5A", "ACT_EST_MAPPING=PRECISE", "FS=MRC", "CURRENCY=USD", "XLFILL=b")</f>
        <v>-1.0344182231834391</v>
      </c>
      <c r="F242" s="9">
        <f>_xll.BQL("DAL US Equity", "FA_GROWTH(BS_OPER_LEA_RT_OF_USE_ASSETS, YOY)", "FPT=A", "FPO=4A", "ACT_EST_MAPPING=PRECISE", "FS=MRC", "CURRENCY=USD", "XLFILL=b")</f>
        <v>1.0420456165130509</v>
      </c>
      <c r="G242" s="9">
        <f>_xll.BQL("DAL US Equity", "FA_GROWTH(BS_OPER_LEA_RT_OF_USE_ASSETS, YOY)", "FPT=A", "FPO=3A", "ACT_EST_MAPPING=PRECISE", "FS=MRC", "CURRENCY=USD", "XLFILL=b")</f>
        <v>2.2266674844312275</v>
      </c>
      <c r="H242" s="9">
        <f>_xll.BQL("DAL US Equity", "FA_GROWTH(BS_OPER_LEA_RT_OF_USE_ASSETS, YOY)", "FPT=A", "FPO=2A", "ACT_EST_MAPPING=PRECISE", "FS=MRC", "CURRENCY=USD", "XLFILL=b")</f>
        <v>-1.7001171309777032</v>
      </c>
      <c r="I242" s="9">
        <f>_xll.BQL("DAL US Equity", "FA_GROWTH(BS_OPER_LEA_RT_OF_USE_ASSETS, YOY)", "FPT=A", "FPO=1A", "ACT_EST_MAPPING=PRECISE", "FS=MRC", "CURRENCY=USD", "XLFILL=b")</f>
        <v>-3.3000728044224492</v>
      </c>
      <c r="J242" s="9">
        <f>_xll.BQL("DAL US Equity", "FA_GROWTH(BS_OPER_LEA_RT_OF_USE_ASSETS, YOY)", "FPT=A", "FPO=0A", "ACT_EST_MAPPING=PRECISE", "FS=MRC", "CURRENCY=USD", "XLFILL=b")</f>
        <v>-0.45480386583285959</v>
      </c>
      <c r="K242" s="9">
        <f>_xll.BQL("DAL US Equity", "FA_GROWTH(BS_OPER_LEA_RT_OF_USE_ASSETS, YOY)", "FPT=A", "FPO=-1A", "ACT_EST_MAPPING=PRECISE", "FS=MRC", "CURRENCY=USD", "XLFILL=b")</f>
        <v>-2.7773939477684122</v>
      </c>
      <c r="L242" s="9">
        <f>_xll.BQL("DAL US Equity", "FA_GROWTH(BS_OPER_LEA_RT_OF_USE_ASSETS, YOY)", "FPT=A", "FPO=-2A", "ACT_EST_MAPPING=PRECISE", "FS=MRC", "CURRENCY=USD", "XLFILL=b")</f>
        <v>26.234083376940522</v>
      </c>
      <c r="M242" s="9">
        <f>_xll.BQL("DAL US Equity", "FA_GROWTH(BS_OPER_LEA_RT_OF_USE_ASSETS, YOY)", "FPT=A", "FPO=-3A", "ACT_EST_MAPPING=PRECISE", "FS=MRC", "CURRENCY=USD", "XLFILL=b")</f>
        <v>1.8837746578994135</v>
      </c>
      <c r="N242" s="9">
        <f>_xll.BQL("DAL US Equity", "FA_GROWTH(BS_OPER_LEA_RT_OF_USE_ASSETS, YOY)", "FPT=A", "FPO=-4A", "ACT_EST_MAPPING=PRECISE", "FS=MRC", "CURRENCY=USD", "XLFILL=b")</f>
        <v>-6.1227894561227894</v>
      </c>
    </row>
    <row r="243" spans="1:14" x14ac:dyDescent="0.2">
      <c r="A243" s="8" t="s">
        <v>263</v>
      </c>
      <c r="B243" s="4" t="s">
        <v>264</v>
      </c>
      <c r="C243" s="4"/>
      <c r="D243" s="4"/>
      <c r="E243" s="9" t="str">
        <f>_xll.BQL("DAL US Equity", "BS_DEFERRED_TAX_ASSETS_LT/1M", "FPT=A", "FPO=5A", "ACT_EST_MAPPING=PRECISE", "FS=MRC", "CURRENCY=USD", "XLFILL=b")</f>
        <v/>
      </c>
      <c r="F243" s="9" t="str">
        <f>_xll.BQL("DAL US Equity", "BS_DEFERRED_TAX_ASSETS_LT/1M", "FPT=A", "FPO=4A", "ACT_EST_MAPPING=PRECISE", "FS=MRC", "CURRENCY=USD", "XLFILL=b")</f>
        <v/>
      </c>
      <c r="G243" s="9" t="str">
        <f>_xll.BQL("DAL US Equity", "BS_DEFERRED_TAX_ASSETS_LT/1M", "FPT=A", "FPO=3A", "ACT_EST_MAPPING=PRECISE", "FS=MRC", "CURRENCY=USD", "XLFILL=b")</f>
        <v/>
      </c>
      <c r="H243" s="9" t="str">
        <f>_xll.BQL("DAL US Equity", "BS_DEFERRED_TAX_ASSETS_LT/1M", "FPT=A", "FPO=2A", "ACT_EST_MAPPING=PRECISE", "FS=MRC", "CURRENCY=USD", "XLFILL=b")</f>
        <v/>
      </c>
      <c r="I243" s="9" t="str">
        <f>_xll.BQL("DAL US Equity", "BS_DEFERRED_TAX_ASSETS_LT/1M", "FPT=A", "FPO=1A", "ACT_EST_MAPPING=PRECISE", "FS=MRC", "CURRENCY=USD", "XLFILL=b")</f>
        <v/>
      </c>
      <c r="J243" s="9">
        <f>_xll.BQL("DAL US Equity", "BS_DEFERRED_TAX_ASSETS_LT/1M", "FPT=A", "FPO=0A", "ACT_EST_MAPPING=PRECISE", "FS=MRC", "CURRENCY=USD", "XLFILL=b")</f>
        <v>0</v>
      </c>
      <c r="K243" s="9">
        <f>_xll.BQL("DAL US Equity", "BS_DEFERRED_TAX_ASSETS_LT/1M", "FPT=A", "FPO=-1A", "ACT_EST_MAPPING=PRECISE", "FS=MRC", "CURRENCY=USD", "XLFILL=b")</f>
        <v>325</v>
      </c>
      <c r="L243" s="9">
        <f>_xll.BQL("DAL US Equity", "BS_DEFERRED_TAX_ASSETS_LT/1M", "FPT=A", "FPO=-2A", "ACT_EST_MAPPING=PRECISE", "FS=MRC", "CURRENCY=USD", "XLFILL=b")</f>
        <v>1294</v>
      </c>
      <c r="M243" s="9">
        <f>_xll.BQL("DAL US Equity", "BS_DEFERRED_TAX_ASSETS_LT/1M", "FPT=A", "FPO=-3A", "ACT_EST_MAPPING=PRECISE", "FS=MRC", "CURRENCY=USD", "XLFILL=b")</f>
        <v>1988</v>
      </c>
      <c r="N243" s="9">
        <f>_xll.BQL("DAL US Equity", "BS_DEFERRED_TAX_ASSETS_LT/1M", "FPT=A", "FPO=-4A", "ACT_EST_MAPPING=PRECISE", "FS=MRC", "CURRENCY=USD", "XLFILL=b")</f>
        <v>120</v>
      </c>
    </row>
    <row r="244" spans="1:14" x14ac:dyDescent="0.2">
      <c r="A244" s="8" t="s">
        <v>94</v>
      </c>
      <c r="B244" s="4" t="s">
        <v>264</v>
      </c>
      <c r="C244" s="4"/>
      <c r="D244" s="4"/>
      <c r="E244" s="9" t="str">
        <f>_xll.BQL("DAL US Equity", "FA_GROWTH(BS_DEFERRED_TAX_ASSETS_LT, YOY)", "FPT=A", "FPO=5A", "ACT_EST_MAPPING=PRECISE", "FS=MRC", "CURRENCY=USD", "XLFILL=b")</f>
        <v/>
      </c>
      <c r="F244" s="9" t="str">
        <f>_xll.BQL("DAL US Equity", "FA_GROWTH(BS_DEFERRED_TAX_ASSETS_LT, YOY)", "FPT=A", "FPO=4A", "ACT_EST_MAPPING=PRECISE", "FS=MRC", "CURRENCY=USD", "XLFILL=b")</f>
        <v/>
      </c>
      <c r="G244" s="9" t="str">
        <f>_xll.BQL("DAL US Equity", "FA_GROWTH(BS_DEFERRED_TAX_ASSETS_LT, YOY)", "FPT=A", "FPO=3A", "ACT_EST_MAPPING=PRECISE", "FS=MRC", "CURRENCY=USD", "XLFILL=b")</f>
        <v/>
      </c>
      <c r="H244" s="9" t="str">
        <f>_xll.BQL("DAL US Equity", "FA_GROWTH(BS_DEFERRED_TAX_ASSETS_LT, YOY)", "FPT=A", "FPO=2A", "ACT_EST_MAPPING=PRECISE", "FS=MRC", "CURRENCY=USD", "XLFILL=b")</f>
        <v/>
      </c>
      <c r="I244" s="9" t="str">
        <f>_xll.BQL("DAL US Equity", "FA_GROWTH(BS_DEFERRED_TAX_ASSETS_LT, YOY)", "FPT=A", "FPO=1A", "ACT_EST_MAPPING=PRECISE", "FS=MRC", "CURRENCY=USD", "XLFILL=b")</f>
        <v/>
      </c>
      <c r="J244" s="9">
        <f>_xll.BQL("DAL US Equity", "FA_GROWTH(BS_DEFERRED_TAX_ASSETS_LT, YOY)", "FPT=A", "FPO=0A", "ACT_EST_MAPPING=PRECISE", "FS=MRC", "CURRENCY=USD", "XLFILL=b")</f>
        <v>-100</v>
      </c>
      <c r="K244" s="9">
        <f>_xll.BQL("DAL US Equity", "FA_GROWTH(BS_DEFERRED_TAX_ASSETS_LT, YOY)", "FPT=A", "FPO=-1A", "ACT_EST_MAPPING=PRECISE", "FS=MRC", "CURRENCY=USD", "XLFILL=b")</f>
        <v>-74.884080370942812</v>
      </c>
      <c r="L244" s="9">
        <f>_xll.BQL("DAL US Equity", "FA_GROWTH(BS_DEFERRED_TAX_ASSETS_LT, YOY)", "FPT=A", "FPO=-2A", "ACT_EST_MAPPING=PRECISE", "FS=MRC", "CURRENCY=USD", "XLFILL=b")</f>
        <v>-34.909456740442657</v>
      </c>
      <c r="M244" s="9">
        <f>_xll.BQL("DAL US Equity", "FA_GROWTH(BS_DEFERRED_TAX_ASSETS_LT, YOY)", "FPT=A", "FPO=-3A", "ACT_EST_MAPPING=PRECISE", "FS=MRC", "CURRENCY=USD", "XLFILL=b")</f>
        <v>1556.6666666666667</v>
      </c>
      <c r="N244" s="9">
        <f>_xll.BQL("DAL US Equity", "FA_GROWTH(BS_DEFERRED_TAX_ASSETS_LT, YOY)", "FPT=A", "FPO=-4A", "ACT_EST_MAPPING=PRECISE", "FS=MRC", "CURRENCY=USD", "XLFILL=b")</f>
        <v>-50.413223140495866</v>
      </c>
    </row>
    <row r="245" spans="1:14" x14ac:dyDescent="0.2">
      <c r="A245" s="8" t="s">
        <v>265</v>
      </c>
      <c r="B245" s="4" t="s">
        <v>266</v>
      </c>
      <c r="C245" s="4" t="s">
        <v>267</v>
      </c>
      <c r="D245" s="4"/>
      <c r="E245" s="9">
        <f>_xll.BQL("DAL US Equity", "BS_DISCLOSED_INTANGIBLES/1M", "FPT=A", "FPO=5A", "ACT_EST_MAPPING=PRECISE", "FS=MRC", "CURRENCY=USD", "XLFILL=b")</f>
        <v>15732</v>
      </c>
      <c r="F245" s="9">
        <f>_xll.BQL("DAL US Equity", "BS_DISCLOSED_INTANGIBLES/1M", "FPT=A", "FPO=4A", "ACT_EST_MAPPING=PRECISE", "FS=MRC", "CURRENCY=USD", "XLFILL=b")</f>
        <v>15732</v>
      </c>
      <c r="G245" s="9">
        <f>_xll.BQL("DAL US Equity", "BS_DISCLOSED_INTANGIBLES/1M", "FPT=A", "FPO=3A", "ACT_EST_MAPPING=PRECISE", "FS=MRC", "CURRENCY=USD", "XLFILL=b")</f>
        <v>15732</v>
      </c>
      <c r="H245" s="9">
        <f>_xll.BQL("DAL US Equity", "BS_DISCLOSED_INTANGIBLES/1M", "FPT=A", "FPO=2A", "ACT_EST_MAPPING=PRECISE", "FS=MRC", "CURRENCY=USD", "XLFILL=b")</f>
        <v>15732</v>
      </c>
      <c r="I245" s="9">
        <f>_xll.BQL("DAL US Equity", "BS_DISCLOSED_INTANGIBLES/1M", "FPT=A", "FPO=1A", "ACT_EST_MAPPING=PRECISE", "FS=MRC", "CURRENCY=USD", "XLFILL=b")</f>
        <v>15732</v>
      </c>
      <c r="J245" s="9">
        <f>_xll.BQL("DAL US Equity", "BS_DISCLOSED_INTANGIBLES/1M", "FPT=A", "FPO=0A", "ACT_EST_MAPPING=PRECISE", "FS=MRC", "CURRENCY=USD", "XLFILL=b")</f>
        <v>15736</v>
      </c>
      <c r="K245" s="9">
        <f>_xll.BQL("DAL US Equity", "BS_DISCLOSED_INTANGIBLES/1M", "FPT=A", "FPO=-1A", "ACT_EST_MAPPING=PRECISE", "FS=MRC", "CURRENCY=USD", "XLFILL=b")</f>
        <v>15745</v>
      </c>
      <c r="L245" s="9">
        <f>_xll.BQL("DAL US Equity", "BS_DISCLOSED_INTANGIBLES/1M", "FPT=A", "FPO=-2A", "ACT_EST_MAPPING=PRECISE", "FS=MRC", "CURRENCY=USD", "XLFILL=b")</f>
        <v>15754</v>
      </c>
      <c r="M245" s="9">
        <f>_xll.BQL("DAL US Equity", "BS_DISCLOSED_INTANGIBLES/1M", "FPT=A", "FPO=-3A", "ACT_EST_MAPPING=PRECISE", "FS=MRC", "CURRENCY=USD", "XLFILL=b")</f>
        <v>15764</v>
      </c>
      <c r="N245" s="9">
        <f>_xll.BQL("DAL US Equity", "BS_DISCLOSED_INTANGIBLES/1M", "FPT=A", "FPO=-4A", "ACT_EST_MAPPING=PRECISE", "FS=MRC", "CURRENCY=USD", "XLFILL=b")</f>
        <v>14944</v>
      </c>
    </row>
    <row r="246" spans="1:14" x14ac:dyDescent="0.2">
      <c r="A246" s="8" t="s">
        <v>94</v>
      </c>
      <c r="B246" s="4" t="s">
        <v>266</v>
      </c>
      <c r="C246" s="4" t="s">
        <v>267</v>
      </c>
      <c r="D246" s="4"/>
      <c r="E246" s="9">
        <f>_xll.BQL("DAL US Equity", "FA_GROWTH(BS_DISCLOSED_INTANGIBLES, YOY)", "FPT=A", "FPO=5A", "ACT_EST_MAPPING=PRECISE", "FS=MRC", "CURRENCY=USD", "XLFILL=b")</f>
        <v>0</v>
      </c>
      <c r="F246" s="9">
        <f>_xll.BQL("DAL US Equity", "FA_GROWTH(BS_DISCLOSED_INTANGIBLES, YOY)", "FPT=A", "FPO=4A", "ACT_EST_MAPPING=PRECISE", "FS=MRC", "CURRENCY=USD", "XLFILL=b")</f>
        <v>0</v>
      </c>
      <c r="G246" s="9">
        <f>_xll.BQL("DAL US Equity", "FA_GROWTH(BS_DISCLOSED_INTANGIBLES, YOY)", "FPT=A", "FPO=3A", "ACT_EST_MAPPING=PRECISE", "FS=MRC", "CURRENCY=USD", "XLFILL=b")</f>
        <v>0</v>
      </c>
      <c r="H246" s="9">
        <f>_xll.BQL("DAL US Equity", "FA_GROWTH(BS_DISCLOSED_INTANGIBLES, YOY)", "FPT=A", "FPO=2A", "ACT_EST_MAPPING=PRECISE", "FS=MRC", "CURRENCY=USD", "XLFILL=b")</f>
        <v>0</v>
      </c>
      <c r="I246" s="9">
        <f>_xll.BQL("DAL US Equity", "FA_GROWTH(BS_DISCLOSED_INTANGIBLES, YOY)", "FPT=A", "FPO=1A", "ACT_EST_MAPPING=PRECISE", "FS=MRC", "CURRENCY=USD", "XLFILL=b")</f>
        <v>-2.541942043721403E-2</v>
      </c>
      <c r="J246" s="9">
        <f>_xll.BQL("DAL US Equity", "FA_GROWTH(BS_DISCLOSED_INTANGIBLES, YOY)", "FPT=A", "FPO=0A", "ACT_EST_MAPPING=PRECISE", "FS=MRC", "CURRENCY=USD", "XLFILL=b")</f>
        <v>-5.7161003493172435E-2</v>
      </c>
      <c r="K246" s="9">
        <f>_xll.BQL("DAL US Equity", "FA_GROWTH(BS_DISCLOSED_INTANGIBLES, YOY)", "FPT=A", "FPO=-1A", "ACT_EST_MAPPING=PRECISE", "FS=MRC", "CURRENCY=USD", "XLFILL=b")</f>
        <v>-5.7128348355973087E-2</v>
      </c>
      <c r="L246" s="9">
        <f>_xll.BQL("DAL US Equity", "FA_GROWTH(BS_DISCLOSED_INTANGIBLES, YOY)", "FPT=A", "FPO=-2A", "ACT_EST_MAPPING=PRECISE", "FS=MRC", "CURRENCY=USD", "XLFILL=b")</f>
        <v>-6.3435676224308554E-2</v>
      </c>
      <c r="M246" s="9">
        <f>_xll.BQL("DAL US Equity", "FA_GROWTH(BS_DISCLOSED_INTANGIBLES, YOY)", "FPT=A", "FPO=-3A", "ACT_EST_MAPPING=PRECISE", "FS=MRC", "CURRENCY=USD", "XLFILL=b")</f>
        <v>5.4871520342612419</v>
      </c>
      <c r="N246" s="9">
        <f>_xll.BQL("DAL US Equity", "FA_GROWTH(BS_DISCLOSED_INTANGIBLES, YOY)", "FPT=A", "FPO=-4A", "ACT_EST_MAPPING=PRECISE", "FS=MRC", "CURRENCY=USD", "XLFILL=b")</f>
        <v>2.2791047840667988</v>
      </c>
    </row>
    <row r="247" spans="1:14" x14ac:dyDescent="0.2">
      <c r="A247" s="8" t="s">
        <v>268</v>
      </c>
      <c r="B247" s="4" t="s">
        <v>269</v>
      </c>
      <c r="C247" s="4" t="s">
        <v>270</v>
      </c>
      <c r="D247" s="4"/>
      <c r="E247" s="9">
        <f>_xll.BQL("DAL US Equity", "BS_GOODWILL/1M", "FPT=A", "FPO=5A", "ACT_EST_MAPPING=PRECISE", "FS=MRC", "CURRENCY=USD", "XLFILL=b")</f>
        <v>9753</v>
      </c>
      <c r="F247" s="9">
        <f>_xll.BQL("DAL US Equity", "BS_GOODWILL/1M", "FPT=A", "FPO=4A", "ACT_EST_MAPPING=PRECISE", "FS=MRC", "CURRENCY=USD", "XLFILL=b")</f>
        <v>9753</v>
      </c>
      <c r="G247" s="9">
        <f>_xll.BQL("DAL US Equity", "BS_GOODWILL/1M", "FPT=A", "FPO=3A", "ACT_EST_MAPPING=PRECISE", "FS=MRC", "CURRENCY=USD", "XLFILL=b")</f>
        <v>9753</v>
      </c>
      <c r="H247" s="9">
        <f>_xll.BQL("DAL US Equity", "BS_GOODWILL/1M", "FPT=A", "FPO=2A", "ACT_EST_MAPPING=PRECISE", "FS=MRC", "CURRENCY=USD", "XLFILL=b")</f>
        <v>9753</v>
      </c>
      <c r="I247" s="9">
        <f>_xll.BQL("DAL US Equity", "BS_GOODWILL/1M", "FPT=A", "FPO=1A", "ACT_EST_MAPPING=PRECISE", "FS=MRC", "CURRENCY=USD", "XLFILL=b")</f>
        <v>9753</v>
      </c>
      <c r="J247" s="9">
        <f>_xll.BQL("DAL US Equity", "BS_GOODWILL/1M", "FPT=A", "FPO=0A", "ACT_EST_MAPPING=PRECISE", "FS=MRC", "CURRENCY=USD", "XLFILL=b")</f>
        <v>9753</v>
      </c>
      <c r="K247" s="9">
        <f>_xll.BQL("DAL US Equity", "BS_GOODWILL/1M", "FPT=A", "FPO=-1A", "ACT_EST_MAPPING=PRECISE", "FS=MRC", "CURRENCY=USD", "XLFILL=b")</f>
        <v>9753</v>
      </c>
      <c r="L247" s="9">
        <f>_xll.BQL("DAL US Equity", "BS_GOODWILL/1M", "FPT=A", "FPO=-2A", "ACT_EST_MAPPING=PRECISE", "FS=MRC", "CURRENCY=USD", "XLFILL=b")</f>
        <v>9753</v>
      </c>
      <c r="M247" s="9">
        <f>_xll.BQL("DAL US Equity", "BS_GOODWILL/1M", "FPT=A", "FPO=-3A", "ACT_EST_MAPPING=PRECISE", "FS=MRC", "CURRENCY=USD", "XLFILL=b")</f>
        <v>9753</v>
      </c>
      <c r="N247" s="9">
        <f>_xll.BQL("DAL US Equity", "BS_GOODWILL/1M", "FPT=A", "FPO=-4A", "ACT_EST_MAPPING=PRECISE", "FS=MRC", "CURRENCY=USD", "XLFILL=b")</f>
        <v>9781</v>
      </c>
    </row>
    <row r="248" spans="1:14" x14ac:dyDescent="0.2">
      <c r="A248" s="8" t="s">
        <v>99</v>
      </c>
      <c r="B248" s="4" t="s">
        <v>269</v>
      </c>
      <c r="C248" s="4" t="s">
        <v>270</v>
      </c>
      <c r="D248" s="4"/>
      <c r="E248" s="9">
        <f>_xll.BQL("DAL US Equity", "FA_GROWTH(BS_GOODWILL, YOY)", "FPT=A", "FPO=5A", "ACT_EST_MAPPING=PRECISE", "FS=MRC", "CURRENCY=USD", "XLFILL=b")</f>
        <v>0</v>
      </c>
      <c r="F248" s="9">
        <f>_xll.BQL("DAL US Equity", "FA_GROWTH(BS_GOODWILL, YOY)", "FPT=A", "FPO=4A", "ACT_EST_MAPPING=PRECISE", "FS=MRC", "CURRENCY=USD", "XLFILL=b")</f>
        <v>0</v>
      </c>
      <c r="G248" s="9">
        <f>_xll.BQL("DAL US Equity", "FA_GROWTH(BS_GOODWILL, YOY)", "FPT=A", "FPO=3A", "ACT_EST_MAPPING=PRECISE", "FS=MRC", "CURRENCY=USD", "XLFILL=b")</f>
        <v>0</v>
      </c>
      <c r="H248" s="9">
        <f>_xll.BQL("DAL US Equity", "FA_GROWTH(BS_GOODWILL, YOY)", "FPT=A", "FPO=2A", "ACT_EST_MAPPING=PRECISE", "FS=MRC", "CURRENCY=USD", "XLFILL=b")</f>
        <v>0</v>
      </c>
      <c r="I248" s="9">
        <f>_xll.BQL("DAL US Equity", "FA_GROWTH(BS_GOODWILL, YOY)", "FPT=A", "FPO=1A", "ACT_EST_MAPPING=PRECISE", "FS=MRC", "CURRENCY=USD", "XLFILL=b")</f>
        <v>0</v>
      </c>
      <c r="J248" s="9">
        <f>_xll.BQL("DAL US Equity", "FA_GROWTH(BS_GOODWILL, YOY)", "FPT=A", "FPO=0A", "ACT_EST_MAPPING=PRECISE", "FS=MRC", "CURRENCY=USD", "XLFILL=b")</f>
        <v>0</v>
      </c>
      <c r="K248" s="9">
        <f>_xll.BQL("DAL US Equity", "FA_GROWTH(BS_GOODWILL, YOY)", "FPT=A", "FPO=-1A", "ACT_EST_MAPPING=PRECISE", "FS=MRC", "CURRENCY=USD", "XLFILL=b")</f>
        <v>0</v>
      </c>
      <c r="L248" s="9">
        <f>_xll.BQL("DAL US Equity", "FA_GROWTH(BS_GOODWILL, YOY)", "FPT=A", "FPO=-2A", "ACT_EST_MAPPING=PRECISE", "FS=MRC", "CURRENCY=USD", "XLFILL=b")</f>
        <v>0</v>
      </c>
      <c r="M248" s="9">
        <f>_xll.BQL("DAL US Equity", "FA_GROWTH(BS_GOODWILL, YOY)", "FPT=A", "FPO=-3A", "ACT_EST_MAPPING=PRECISE", "FS=MRC", "CURRENCY=USD", "XLFILL=b")</f>
        <v>-0.28626929761783049</v>
      </c>
      <c r="N248" s="9">
        <f>_xll.BQL("DAL US Equity", "FA_GROWTH(BS_GOODWILL, YOY)", "FPT=A", "FPO=-4A", "ACT_EST_MAPPING=PRECISE", "FS=MRC", "CURRENCY=USD", "XLFILL=b")</f>
        <v>0</v>
      </c>
    </row>
    <row r="249" spans="1:14" x14ac:dyDescent="0.2">
      <c r="A249" s="8" t="s">
        <v>271</v>
      </c>
      <c r="B249" s="4" t="s">
        <v>272</v>
      </c>
      <c r="C249" s="4" t="s">
        <v>273</v>
      </c>
      <c r="D249" s="4"/>
      <c r="E249" s="9">
        <f>_xll.BQL("DAL US Equity", "BS_OTHER_INTANGIBLE_ASSETS/1M", "FPT=A", "FPO=5A", "ACT_EST_MAPPING=PRECISE", "FS=MRC", "CURRENCY=USD", "XLFILL=b")</f>
        <v>5992</v>
      </c>
      <c r="F249" s="9">
        <f>_xll.BQL("DAL US Equity", "BS_OTHER_INTANGIBLE_ASSETS/1M", "FPT=A", "FPO=4A", "ACT_EST_MAPPING=PRECISE", "FS=MRC", "CURRENCY=USD", "XLFILL=b")</f>
        <v>5950.5</v>
      </c>
      <c r="G249" s="9">
        <f>_xll.BQL("DAL US Equity", "BS_OTHER_INTANGIBLE_ASSETS/1M", "FPT=A", "FPO=3A", "ACT_EST_MAPPING=PRECISE", "FS=MRC", "CURRENCY=USD", "XLFILL=b")</f>
        <v>5939.9891693870422</v>
      </c>
      <c r="H249" s="9">
        <f>_xll.BQL("DAL US Equity", "BS_OTHER_INTANGIBLE_ASSETS/1M", "FPT=A", "FPO=2A", "ACT_EST_MAPPING=PRECISE", "FS=MRC", "CURRENCY=USD", "XLFILL=b")</f>
        <v>5967.4901615741855</v>
      </c>
      <c r="I249" s="9">
        <f>_xll.BQL("DAL US Equity", "BS_OTHER_INTANGIBLE_ASSETS/1M", "FPT=A", "FPO=1A", "ACT_EST_MAPPING=PRECISE", "FS=MRC", "CURRENCY=USD", "XLFILL=b")</f>
        <v>5977.1565654285714</v>
      </c>
      <c r="J249" s="9">
        <f>_xll.BQL("DAL US Equity", "BS_OTHER_INTANGIBLE_ASSETS/1M", "FPT=A", "FPO=0A", "ACT_EST_MAPPING=PRECISE", "FS=MRC", "CURRENCY=USD", "XLFILL=b")</f>
        <v>5983</v>
      </c>
      <c r="K249" s="9">
        <f>_xll.BQL("DAL US Equity", "BS_OTHER_INTANGIBLE_ASSETS/1M", "FPT=A", "FPO=-1A", "ACT_EST_MAPPING=PRECISE", "FS=MRC", "CURRENCY=USD", "XLFILL=b")</f>
        <v>5992</v>
      </c>
      <c r="L249" s="9">
        <f>_xll.BQL("DAL US Equity", "BS_OTHER_INTANGIBLE_ASSETS/1M", "FPT=A", "FPO=-2A", "ACT_EST_MAPPING=PRECISE", "FS=MRC", "CURRENCY=USD", "XLFILL=b")</f>
        <v>6001</v>
      </c>
      <c r="M249" s="9">
        <f>_xll.BQL("DAL US Equity", "BS_OTHER_INTANGIBLE_ASSETS/1M", "FPT=A", "FPO=-3A", "ACT_EST_MAPPING=PRECISE", "FS=MRC", "CURRENCY=USD", "XLFILL=b")</f>
        <v>6011</v>
      </c>
      <c r="N249" s="9">
        <f>_xll.BQL("DAL US Equity", "BS_OTHER_INTANGIBLE_ASSETS/1M", "FPT=A", "FPO=-4A", "ACT_EST_MAPPING=PRECISE", "FS=MRC", "CURRENCY=USD", "XLFILL=b")</f>
        <v>5163</v>
      </c>
    </row>
    <row r="250" spans="1:14" x14ac:dyDescent="0.2">
      <c r="A250" s="8" t="s">
        <v>99</v>
      </c>
      <c r="B250" s="4" t="s">
        <v>272</v>
      </c>
      <c r="C250" s="4" t="s">
        <v>273</v>
      </c>
      <c r="D250" s="4"/>
      <c r="E250" s="9">
        <f>_xll.BQL("DAL US Equity", "FA_GROWTH(BS_OTHER_INTANGIBLE_ASSETS, YOY)", "FPT=A", "FPO=5A", "ACT_EST_MAPPING=PRECISE", "FS=MRC", "CURRENCY=USD", "XLFILL=b")</f>
        <v>0.69742038484160995</v>
      </c>
      <c r="F250" s="9">
        <f>_xll.BQL("DAL US Equity", "FA_GROWTH(BS_OTHER_INTANGIBLE_ASSETS, YOY)", "FPT=A", "FPO=4A", "ACT_EST_MAPPING=PRECISE", "FS=MRC", "CURRENCY=USD", "XLFILL=b")</f>
        <v>0.17695033295898394</v>
      </c>
      <c r="G250" s="9">
        <f>_xll.BQL("DAL US Equity", "FA_GROWTH(BS_OTHER_INTANGIBLE_ASSETS, YOY)", "FPT=A", "FPO=3A", "ACT_EST_MAPPING=PRECISE", "FS=MRC", "CURRENCY=USD", "XLFILL=b")</f>
        <v>-0.46084687938368951</v>
      </c>
      <c r="H250" s="9">
        <f>_xll.BQL("DAL US Equity", "FA_GROWTH(BS_OTHER_INTANGIBLE_ASSETS, YOY)", "FPT=A", "FPO=2A", "ACT_EST_MAPPING=PRECISE", "FS=MRC", "CURRENCY=USD", "XLFILL=b")</f>
        <v>-0.16172244692896434</v>
      </c>
      <c r="I250" s="9">
        <f>_xll.BQL("DAL US Equity", "FA_GROWTH(BS_OTHER_INTANGIBLE_ASSETS, YOY)", "FPT=A", "FPO=1A", "ACT_EST_MAPPING=PRECISE", "FS=MRC", "CURRENCY=USD", "XLFILL=b")</f>
        <v>-9.7667300207726876E-2</v>
      </c>
      <c r="J250" s="9">
        <f>_xll.BQL("DAL US Equity", "FA_GROWTH(BS_OTHER_INTANGIBLE_ASSETS, YOY)", "FPT=A", "FPO=0A", "ACT_EST_MAPPING=PRECISE", "FS=MRC", "CURRENCY=USD", "XLFILL=b")</f>
        <v>-0.15020026702269693</v>
      </c>
      <c r="K250" s="9">
        <f>_xll.BQL("DAL US Equity", "FA_GROWTH(BS_OTHER_INTANGIBLE_ASSETS, YOY)", "FPT=A", "FPO=-1A", "ACT_EST_MAPPING=PRECISE", "FS=MRC", "CURRENCY=USD", "XLFILL=b")</f>
        <v>-0.14997500416597234</v>
      </c>
      <c r="L250" s="9">
        <f>_xll.BQL("DAL US Equity", "FA_GROWTH(BS_OTHER_INTANGIBLE_ASSETS, YOY)", "FPT=A", "FPO=-2A", "ACT_EST_MAPPING=PRECISE", "FS=MRC", "CURRENCY=USD", "XLFILL=b")</f>
        <v>-0.16636167027116952</v>
      </c>
      <c r="M250" s="9">
        <f>_xll.BQL("DAL US Equity", "FA_GROWTH(BS_OTHER_INTANGIBLE_ASSETS, YOY)", "FPT=A", "FPO=-3A", "ACT_EST_MAPPING=PRECISE", "FS=MRC", "CURRENCY=USD", "XLFILL=b")</f>
        <v>16.42455936471044</v>
      </c>
      <c r="N250" s="9">
        <f>_xll.BQL("DAL US Equity", "FA_GROWTH(BS_OTHER_INTANGIBLE_ASSETS, YOY)", "FPT=A", "FPO=-4A", "ACT_EST_MAPPING=PRECISE", "FS=MRC", "CURRENCY=USD", "XLFILL=b")</f>
        <v>6.8944099378881987</v>
      </c>
    </row>
    <row r="251" spans="1:14" x14ac:dyDescent="0.2">
      <c r="A251" s="8" t="s">
        <v>274</v>
      </c>
      <c r="B251" s="4" t="s">
        <v>275</v>
      </c>
      <c r="C251" s="4" t="s">
        <v>267</v>
      </c>
      <c r="D251" s="4"/>
      <c r="E251" s="9" t="str">
        <f>_xll.BQL("DAL US Equity", "BS_LONG_TERM_RESTRCTD_CASH_INVT/1M", "FPT=A", "FPO=5A", "ACT_EST_MAPPING=PRECISE", "FS=MRC", "CURRENCY=USD", "XLFILL=b")</f>
        <v/>
      </c>
      <c r="F251" s="9" t="str">
        <f>_xll.BQL("DAL US Equity", "BS_LONG_TERM_RESTRCTD_CASH_INVT/1M", "FPT=A", "FPO=4A", "ACT_EST_MAPPING=PRECISE", "FS=MRC", "CURRENCY=USD", "XLFILL=b")</f>
        <v/>
      </c>
      <c r="G251" s="9">
        <f>_xll.BQL("DAL US Equity", "BS_LONG_TERM_RESTRCTD_CASH_INVT/1M", "FPT=A", "FPO=3A", "ACT_EST_MAPPING=PRECISE", "FS=MRC", "CURRENCY=USD", "XLFILL=b")</f>
        <v>283</v>
      </c>
      <c r="H251" s="9">
        <f>_xll.BQL("DAL US Equity", "BS_LONG_TERM_RESTRCTD_CASH_INVT/1M", "FPT=A", "FPO=2A", "ACT_EST_MAPPING=PRECISE", "FS=MRC", "CURRENCY=USD", "XLFILL=b")</f>
        <v>283</v>
      </c>
      <c r="I251" s="9">
        <f>_xll.BQL("DAL US Equity", "BS_LONG_TERM_RESTRCTD_CASH_INVT/1M", "FPT=A", "FPO=1A", "ACT_EST_MAPPING=PRECISE", "FS=MRC", "CURRENCY=USD", "XLFILL=b")</f>
        <v>283</v>
      </c>
      <c r="J251" s="9">
        <f>_xll.BQL("DAL US Equity", "BS_LONG_TERM_RESTRCTD_CASH_INVT/1M", "FPT=A", "FPO=0A", "ACT_EST_MAPPING=PRECISE", "FS=MRC", "CURRENCY=USD", "XLFILL=b")</f>
        <v>0</v>
      </c>
      <c r="K251" s="9">
        <f>_xll.BQL("DAL US Equity", "BS_LONG_TERM_RESTRCTD_CASH_INVT/1M", "FPT=A", "FPO=-1A", "ACT_EST_MAPPING=PRECISE", "FS=MRC", "CURRENCY=USD", "XLFILL=b")</f>
        <v>0</v>
      </c>
      <c r="L251" s="9">
        <f>_xll.BQL("DAL US Equity", "BS_LONG_TERM_RESTRCTD_CASH_INVT/1M", "FPT=A", "FPO=-2A", "ACT_EST_MAPPING=PRECISE", "FS=MRC", "CURRENCY=USD", "XLFILL=b")</f>
        <v>473</v>
      </c>
      <c r="M251" s="9">
        <f>_xll.BQL("DAL US Equity", "BS_LONG_TERM_RESTRCTD_CASH_INVT/1M", "FPT=A", "FPO=-3A", "ACT_EST_MAPPING=PRECISE", "FS=MRC", "CURRENCY=USD", "XLFILL=b")</f>
        <v>1556</v>
      </c>
      <c r="N251" s="9">
        <f>_xll.BQL("DAL US Equity", "BS_LONG_TERM_RESTRCTD_CASH_INVT/1M", "FPT=A", "FPO=-4A", "ACT_EST_MAPPING=PRECISE", "FS=MRC", "CURRENCY=USD", "XLFILL=b")</f>
        <v>636</v>
      </c>
    </row>
    <row r="252" spans="1:14" x14ac:dyDescent="0.2">
      <c r="A252" s="8" t="s">
        <v>94</v>
      </c>
      <c r="B252" s="4" t="s">
        <v>275</v>
      </c>
      <c r="C252" s="4" t="s">
        <v>267</v>
      </c>
      <c r="D252" s="4"/>
      <c r="E252" s="9" t="str">
        <f>_xll.BQL("DAL US Equity", "FA_GROWTH(BS_LONG_TERM_RESTRCTD_CASH_INVT, YOY)", "FPT=A", "FPO=5A", "ACT_EST_MAPPING=PRECISE", "FS=MRC", "CURRENCY=USD", "XLFILL=b")</f>
        <v/>
      </c>
      <c r="F252" s="9" t="str">
        <f>_xll.BQL("DAL US Equity", "FA_GROWTH(BS_LONG_TERM_RESTRCTD_CASH_INVT, YOY)", "FPT=A", "FPO=4A", "ACT_EST_MAPPING=PRECISE", "FS=MRC", "CURRENCY=USD", "XLFILL=b")</f>
        <v/>
      </c>
      <c r="G252" s="9">
        <f>_xll.BQL("DAL US Equity", "FA_GROWTH(BS_LONG_TERM_RESTRCTD_CASH_INVT, YOY)", "FPT=A", "FPO=3A", "ACT_EST_MAPPING=PRECISE", "FS=MRC", "CURRENCY=USD", "XLFILL=b")</f>
        <v>0</v>
      </c>
      <c r="H252" s="9">
        <f>_xll.BQL("DAL US Equity", "FA_GROWTH(BS_LONG_TERM_RESTRCTD_CASH_INVT, YOY)", "FPT=A", "FPO=2A", "ACT_EST_MAPPING=PRECISE", "FS=MRC", "CURRENCY=USD", "XLFILL=b")</f>
        <v>0</v>
      </c>
      <c r="I252" s="9" t="str">
        <f>_xll.BQL("DAL US Equity", "FA_GROWTH(BS_LONG_TERM_RESTRCTD_CASH_INVT, YOY)", "FPT=A", "FPO=1A", "ACT_EST_MAPPING=PRECISE", "FS=MRC", "CURRENCY=USD", "XLFILL=b")</f>
        <v/>
      </c>
      <c r="J252" s="9" t="str">
        <f>_xll.BQL("DAL US Equity", "FA_GROWTH(BS_LONG_TERM_RESTRCTD_CASH_INVT, YOY)", "FPT=A", "FPO=0A", "ACT_EST_MAPPING=PRECISE", "FS=MRC", "CURRENCY=USD", "XLFILL=b")</f>
        <v/>
      </c>
      <c r="K252" s="9">
        <f>_xll.BQL("DAL US Equity", "FA_GROWTH(BS_LONG_TERM_RESTRCTD_CASH_INVT, YOY)", "FPT=A", "FPO=-1A", "ACT_EST_MAPPING=PRECISE", "FS=MRC", "CURRENCY=USD", "XLFILL=b")</f>
        <v>-100</v>
      </c>
      <c r="L252" s="9">
        <f>_xll.BQL("DAL US Equity", "FA_GROWTH(BS_LONG_TERM_RESTRCTD_CASH_INVT, YOY)", "FPT=A", "FPO=-2A", "ACT_EST_MAPPING=PRECISE", "FS=MRC", "CURRENCY=USD", "XLFILL=b")</f>
        <v>-69.601542416452446</v>
      </c>
      <c r="M252" s="9">
        <f>_xll.BQL("DAL US Equity", "FA_GROWTH(BS_LONG_TERM_RESTRCTD_CASH_INVT, YOY)", "FPT=A", "FPO=-3A", "ACT_EST_MAPPING=PRECISE", "FS=MRC", "CURRENCY=USD", "XLFILL=b")</f>
        <v>144.65408805031447</v>
      </c>
      <c r="N252" s="9">
        <f>_xll.BQL("DAL US Equity", "FA_GROWTH(BS_LONG_TERM_RESTRCTD_CASH_INVT, YOY)", "FPT=A", "FPO=-4A", "ACT_EST_MAPPING=PRECISE", "FS=MRC", "CURRENCY=USD", "XLFILL=b")</f>
        <v>-44.014084507042256</v>
      </c>
    </row>
    <row r="253" spans="1:14" x14ac:dyDescent="0.2">
      <c r="A253" s="8" t="s">
        <v>276</v>
      </c>
      <c r="B253" s="4" t="s">
        <v>277</v>
      </c>
      <c r="C253" s="4" t="s">
        <v>278</v>
      </c>
      <c r="D253" s="4"/>
      <c r="E253" s="9">
        <f>_xll.BQL("DAL US Equity", "BS_TOT_ASSET/1M", "FPT=A", "FPO=5A", "ACT_EST_MAPPING=PRECISE", "FS=MRC", "CURRENCY=USD", "XLFILL=b")</f>
        <v>81992.337747442114</v>
      </c>
      <c r="F253" s="9">
        <f>_xll.BQL("DAL US Equity", "BS_TOT_ASSET/1M", "FPT=A", "FPO=4A", "ACT_EST_MAPPING=PRECISE", "FS=MRC", "CURRENCY=USD", "XLFILL=b")</f>
        <v>80960.711309749822</v>
      </c>
      <c r="G253" s="9">
        <f>_xll.BQL("DAL US Equity", "BS_TOT_ASSET/1M", "FPT=A", "FPO=3A", "ACT_EST_MAPPING=PRECISE", "FS=MRC", "CURRENCY=USD", "XLFILL=b")</f>
        <v>79582.579533361451</v>
      </c>
      <c r="H253" s="9">
        <f>_xll.BQL("DAL US Equity", "BS_TOT_ASSET/1M", "FPT=A", "FPO=2A", "ACT_EST_MAPPING=PRECISE", "FS=MRC", "CURRENCY=USD", "XLFILL=b")</f>
        <v>77870.939076802824</v>
      </c>
      <c r="I253" s="9">
        <f>_xll.BQL("DAL US Equity", "BS_TOT_ASSET/1M", "FPT=A", "FPO=1A", "ACT_EST_MAPPING=PRECISE", "FS=MRC", "CURRENCY=USD", "XLFILL=b")</f>
        <v>75210.007862097453</v>
      </c>
      <c r="J253" s="9">
        <f>_xll.BQL("DAL US Equity", "BS_TOT_ASSET/1M", "FPT=A", "FPO=0A", "ACT_EST_MAPPING=PRECISE", "FS=MRC", "CURRENCY=USD", "XLFILL=b")</f>
        <v>73644</v>
      </c>
      <c r="K253" s="9">
        <f>_xll.BQL("DAL US Equity", "BS_TOT_ASSET/1M", "FPT=A", "FPO=-1A", "ACT_EST_MAPPING=PRECISE", "FS=MRC", "CURRENCY=USD", "XLFILL=b")</f>
        <v>72288</v>
      </c>
      <c r="L253" s="9">
        <f>_xll.BQL("DAL US Equity", "BS_TOT_ASSET/1M", "FPT=A", "FPO=-2A", "ACT_EST_MAPPING=PRECISE", "FS=MRC", "CURRENCY=USD", "XLFILL=b")</f>
        <v>72459</v>
      </c>
      <c r="M253" s="9">
        <f>_xll.BQL("DAL US Equity", "BS_TOT_ASSET/1M", "FPT=A", "FPO=-3A", "ACT_EST_MAPPING=PRECISE", "FS=MRC", "CURRENCY=USD", "XLFILL=b")</f>
        <v>71996</v>
      </c>
      <c r="N253" s="9">
        <f>_xll.BQL("DAL US Equity", "BS_TOT_ASSET/1M", "FPT=A", "FPO=-4A", "ACT_EST_MAPPING=PRECISE", "FS=MRC", "CURRENCY=USD", "XLFILL=b")</f>
        <v>64532</v>
      </c>
    </row>
    <row r="254" spans="1:14" x14ac:dyDescent="0.2">
      <c r="A254" s="8" t="s">
        <v>86</v>
      </c>
      <c r="B254" s="4" t="s">
        <v>277</v>
      </c>
      <c r="C254" s="4" t="s">
        <v>278</v>
      </c>
      <c r="D254" s="4"/>
      <c r="E254" s="9">
        <f>_xll.BQL("DAL US Equity", "FA_GROWTH(BS_TOT_ASSET, YOY)", "FPT=A", "FPO=5A", "ACT_EST_MAPPING=PRECISE", "FS=MRC", "CURRENCY=USD", "XLFILL=b")</f>
        <v>1.2742309461009591</v>
      </c>
      <c r="F254" s="9">
        <f>_xll.BQL("DAL US Equity", "FA_GROWTH(BS_TOT_ASSET, YOY)", "FPT=A", "FPO=4A", "ACT_EST_MAPPING=PRECISE", "FS=MRC", "CURRENCY=USD", "XLFILL=b")</f>
        <v>1.7317003098783024</v>
      </c>
      <c r="G254" s="9">
        <f>_xll.BQL("DAL US Equity", "FA_GROWTH(BS_TOT_ASSET, YOY)", "FPT=A", "FPO=3A", "ACT_EST_MAPPING=PRECISE", "FS=MRC", "CURRENCY=USD", "XLFILL=b")</f>
        <v>2.1980477914494667</v>
      </c>
      <c r="H254" s="9">
        <f>_xll.BQL("DAL US Equity", "FA_GROWTH(BS_TOT_ASSET, YOY)", "FPT=A", "FPO=2A", "ACT_EST_MAPPING=PRECISE", "FS=MRC", "CURRENCY=USD", "XLFILL=b")</f>
        <v>3.5380015111610708</v>
      </c>
      <c r="I254" s="9">
        <f>_xll.BQL("DAL US Equity", "FA_GROWTH(BS_TOT_ASSET, YOY)", "FPT=A", "FPO=1A", "ACT_EST_MAPPING=PRECISE", "FS=MRC", "CURRENCY=USD", "XLFILL=b")</f>
        <v>2.1264568221409181</v>
      </c>
      <c r="J254" s="9">
        <f>_xll.BQL("DAL US Equity", "FA_GROWTH(BS_TOT_ASSET, YOY)", "FPT=A", "FPO=0A", "ACT_EST_MAPPING=PRECISE", "FS=MRC", "CURRENCY=USD", "XLFILL=b")</f>
        <v>1.8758300132802126</v>
      </c>
      <c r="K254" s="9">
        <f>_xll.BQL("DAL US Equity", "FA_GROWTH(BS_TOT_ASSET, YOY)", "FPT=A", "FPO=-1A", "ACT_EST_MAPPING=PRECISE", "FS=MRC", "CURRENCY=USD", "XLFILL=b")</f>
        <v>-0.23599552850577568</v>
      </c>
      <c r="L254" s="9">
        <f>_xll.BQL("DAL US Equity", "FA_GROWTH(BS_TOT_ASSET, YOY)", "FPT=A", "FPO=-2A", "ACT_EST_MAPPING=PRECISE", "FS=MRC", "CURRENCY=USD", "XLFILL=b")</f>
        <v>0.64309128284904715</v>
      </c>
      <c r="M254" s="9">
        <f>_xll.BQL("DAL US Equity", "FA_GROWTH(BS_TOT_ASSET, YOY)", "FPT=A", "FPO=-3A", "ACT_EST_MAPPING=PRECISE", "FS=MRC", "CURRENCY=USD", "XLFILL=b")</f>
        <v>11.566354676749519</v>
      </c>
      <c r="N254" s="9">
        <f>_xll.BQL("DAL US Equity", "FA_GROWTH(BS_TOT_ASSET, YOY)", "FPT=A", "FPO=-4A", "ACT_EST_MAPPING=PRECISE", "FS=MRC", "CURRENCY=USD", "XLFILL=b")</f>
        <v>7.0786181263067069</v>
      </c>
    </row>
    <row r="255" spans="1:14" x14ac:dyDescent="0.2">
      <c r="A255" s="8" t="s">
        <v>16</v>
      </c>
      <c r="B255" s="4"/>
      <c r="C255" s="4"/>
      <c r="D255" s="4"/>
      <c r="E255" s="9"/>
      <c r="F255" s="9"/>
      <c r="G255" s="9"/>
      <c r="H255" s="9"/>
      <c r="I255" s="9"/>
      <c r="J255" s="9"/>
      <c r="K255" s="9"/>
      <c r="L255" s="9"/>
      <c r="M255" s="9"/>
      <c r="N255" s="9"/>
    </row>
    <row r="256" spans="1:14" x14ac:dyDescent="0.2">
      <c r="A256" s="8" t="s">
        <v>279</v>
      </c>
      <c r="B256" s="4"/>
      <c r="C256" s="4" t="s">
        <v>280</v>
      </c>
      <c r="D256" s="4"/>
      <c r="E256" s="9"/>
      <c r="F256" s="9"/>
      <c r="G256" s="9"/>
      <c r="H256" s="9"/>
      <c r="I256" s="9"/>
      <c r="J256" s="9"/>
      <c r="K256" s="9"/>
      <c r="L256" s="9"/>
      <c r="M256" s="9"/>
      <c r="N256" s="9"/>
    </row>
    <row r="257" spans="1:14" x14ac:dyDescent="0.2">
      <c r="A257" s="8" t="s">
        <v>281</v>
      </c>
      <c r="B257" s="4" t="s">
        <v>282</v>
      </c>
      <c r="C257" s="4" t="s">
        <v>283</v>
      </c>
      <c r="D257" s="4"/>
      <c r="E257" s="9">
        <f>_xll.BQL("DAL US Equity", "BS_CUR_LIAB/1M", "FPT=A", "FPO=5A", "ACT_EST_MAPPING=PRECISE", "FS=MRC", "CURRENCY=USD", "XLFILL=b")</f>
        <v>30526.440874705277</v>
      </c>
      <c r="F257" s="9">
        <f>_xll.BQL("DAL US Equity", "BS_CUR_LIAB/1M", "FPT=A", "FPO=4A", "ACT_EST_MAPPING=PRECISE", "FS=MRC", "CURRENCY=USD", "XLFILL=b")</f>
        <v>30135.813900396104</v>
      </c>
      <c r="G257" s="9">
        <f>_xll.BQL("DAL US Equity", "BS_CUR_LIAB/1M", "FPT=A", "FPO=3A", "ACT_EST_MAPPING=PRECISE", "FS=MRC", "CURRENCY=USD", "XLFILL=b")</f>
        <v>29681.740531350537</v>
      </c>
      <c r="H257" s="9">
        <f>_xll.BQL("DAL US Equity", "BS_CUR_LIAB/1M", "FPT=A", "FPO=2A", "ACT_EST_MAPPING=PRECISE", "FS=MRC", "CURRENCY=USD", "XLFILL=b")</f>
        <v>28051.094286187395</v>
      </c>
      <c r="I257" s="9">
        <f>_xll.BQL("DAL US Equity", "BS_CUR_LIAB/1M", "FPT=A", "FPO=1A", "ACT_EST_MAPPING=PRECISE", "FS=MRC", "CURRENCY=USD", "XLFILL=b")</f>
        <v>27438.736782986085</v>
      </c>
      <c r="J257" s="9">
        <f>_xll.BQL("DAL US Equity", "BS_CUR_LIAB/1M", "FPT=A", "FPO=0A", "ACT_EST_MAPPING=PRECISE", "FS=MRC", "CURRENCY=USD", "XLFILL=b")</f>
        <v>26418</v>
      </c>
      <c r="K257" s="9">
        <f>_xll.BQL("DAL US Equity", "BS_CUR_LIAB/1M", "FPT=A", "FPO=-1A", "ACT_EST_MAPPING=PRECISE", "FS=MRC", "CURRENCY=USD", "XLFILL=b")</f>
        <v>25940</v>
      </c>
      <c r="L257" s="9">
        <f>_xll.BQL("DAL US Equity", "BS_CUR_LIAB/1M", "FPT=A", "FPO=-2A", "ACT_EST_MAPPING=PRECISE", "FS=MRC", "CURRENCY=USD", "XLFILL=b")</f>
        <v>20966</v>
      </c>
      <c r="M257" s="9">
        <f>_xll.BQL("DAL US Equity", "BS_CUR_LIAB/1M", "FPT=A", "FPO=-3A", "ACT_EST_MAPPING=PRECISE", "FS=MRC", "CURRENCY=USD", "XLFILL=b")</f>
        <v>15927</v>
      </c>
      <c r="N257" s="9">
        <f>_xll.BQL("DAL US Equity", "BS_CUR_LIAB/1M", "FPT=A", "FPO=-4A", "ACT_EST_MAPPING=PRECISE", "FS=MRC", "CURRENCY=USD", "XLFILL=b")</f>
        <v>20204</v>
      </c>
    </row>
    <row r="258" spans="1:14" x14ac:dyDescent="0.2">
      <c r="A258" s="8" t="s">
        <v>86</v>
      </c>
      <c r="B258" s="4" t="s">
        <v>282</v>
      </c>
      <c r="C258" s="4" t="s">
        <v>283</v>
      </c>
      <c r="D258" s="4"/>
      <c r="E258" s="9">
        <f>_xll.BQL("DAL US Equity", "FA_GROWTH(BS_CUR_LIAB, YOY)", "FPT=A", "FPO=5A", "ACT_EST_MAPPING=PRECISE", "FS=MRC", "CURRENCY=USD", "XLFILL=b")</f>
        <v>1.2962217499758293</v>
      </c>
      <c r="F258" s="9">
        <f>_xll.BQL("DAL US Equity", "FA_GROWTH(BS_CUR_LIAB, YOY)", "FPT=A", "FPO=4A", "ACT_EST_MAPPING=PRECISE", "FS=MRC", "CURRENCY=USD", "XLFILL=b")</f>
        <v>1.5298070831323514</v>
      </c>
      <c r="G258" s="9">
        <f>_xll.BQL("DAL US Equity", "FA_GROWTH(BS_CUR_LIAB, YOY)", "FPT=A", "FPO=3A", "ACT_EST_MAPPING=PRECISE", "FS=MRC", "CURRENCY=USD", "XLFILL=b")</f>
        <v>5.8131288160336894</v>
      </c>
      <c r="H258" s="9">
        <f>_xll.BQL("DAL US Equity", "FA_GROWTH(BS_CUR_LIAB, YOY)", "FPT=A", "FPO=2A", "ACT_EST_MAPPING=PRECISE", "FS=MRC", "CURRENCY=USD", "XLFILL=b")</f>
        <v>2.2317262928117634</v>
      </c>
      <c r="I258" s="9">
        <f>_xll.BQL("DAL US Equity", "FA_GROWTH(BS_CUR_LIAB, YOY)", "FPT=A", "FPO=1A", "ACT_EST_MAPPING=PRECISE", "FS=MRC", "CURRENCY=USD", "XLFILL=b")</f>
        <v>3.8637928040960103</v>
      </c>
      <c r="J258" s="9">
        <f>_xll.BQL("DAL US Equity", "FA_GROWTH(BS_CUR_LIAB, YOY)", "FPT=A", "FPO=0A", "ACT_EST_MAPPING=PRECISE", "FS=MRC", "CURRENCY=USD", "XLFILL=b")</f>
        <v>1.8427139552814187</v>
      </c>
      <c r="K258" s="9">
        <f>_xll.BQL("DAL US Equity", "FA_GROWTH(BS_CUR_LIAB, YOY)", "FPT=A", "FPO=-1A", "ACT_EST_MAPPING=PRECISE", "FS=MRC", "CURRENCY=USD", "XLFILL=b")</f>
        <v>23.724124773442718</v>
      </c>
      <c r="L258" s="9">
        <f>_xll.BQL("DAL US Equity", "FA_GROWTH(BS_CUR_LIAB, YOY)", "FPT=A", "FPO=-2A", "ACT_EST_MAPPING=PRECISE", "FS=MRC", "CURRENCY=USD", "XLFILL=b")</f>
        <v>31.638098825893138</v>
      </c>
      <c r="M258" s="9">
        <f>_xll.BQL("DAL US Equity", "FA_GROWTH(BS_CUR_LIAB, YOY)", "FPT=A", "FPO=-3A", "ACT_EST_MAPPING=PRECISE", "FS=MRC", "CURRENCY=USD", "XLFILL=b")</f>
        <v>-21.169075430607801</v>
      </c>
      <c r="N258" s="9">
        <f>_xll.BQL("DAL US Equity", "FA_GROWTH(BS_CUR_LIAB, YOY)", "FPT=A", "FPO=-4A", "ACT_EST_MAPPING=PRECISE", "FS=MRC", "CURRENCY=USD", "XLFILL=b")</f>
        <v>8.7522876520615789</v>
      </c>
    </row>
    <row r="259" spans="1:14" x14ac:dyDescent="0.2">
      <c r="A259" s="8" t="s">
        <v>284</v>
      </c>
      <c r="B259" s="4" t="s">
        <v>285</v>
      </c>
      <c r="C259" s="4" t="s">
        <v>286</v>
      </c>
      <c r="D259" s="4"/>
      <c r="E259" s="9">
        <f>_xll.BQL("DAL US Equity", "BS_ACCT_PAYABLE/1M", "FPT=A", "FPO=5A", "ACT_EST_MAPPING=PRECISE", "FS=MRC", "CURRENCY=USD", "XLFILL=b")</f>
        <v>7208.8608354418839</v>
      </c>
      <c r="F259" s="9">
        <f>_xll.BQL("DAL US Equity", "BS_ACCT_PAYABLE/1M", "FPT=A", "FPO=4A", "ACT_EST_MAPPING=PRECISE", "FS=MRC", "CURRENCY=USD", "XLFILL=b")</f>
        <v>6718.166395882</v>
      </c>
      <c r="G259" s="9">
        <f>_xll.BQL("DAL US Equity", "BS_ACCT_PAYABLE/1M", "FPT=A", "FPO=3A", "ACT_EST_MAPPING=PRECISE", "FS=MRC", "CURRENCY=USD", "XLFILL=b")</f>
        <v>6228.6995391926657</v>
      </c>
      <c r="H259" s="9">
        <f>_xll.BQL("DAL US Equity", "BS_ACCT_PAYABLE/1M", "FPT=A", "FPO=2A", "ACT_EST_MAPPING=PRECISE", "FS=MRC", "CURRENCY=USD", "XLFILL=b")</f>
        <v>5636.2664840679035</v>
      </c>
      <c r="I259" s="9">
        <f>_xll.BQL("DAL US Equity", "BS_ACCT_PAYABLE/1M", "FPT=A", "FPO=1A", "ACT_EST_MAPPING=PRECISE", "FS=MRC", "CURRENCY=USD", "XLFILL=b")</f>
        <v>5534.8947175226094</v>
      </c>
      <c r="J259" s="9">
        <f>_xll.BQL("DAL US Equity", "BS_ACCT_PAYABLE/1M", "FPT=A", "FPO=0A", "ACT_EST_MAPPING=PRECISE", "FS=MRC", "CURRENCY=USD", "XLFILL=b")</f>
        <v>4446</v>
      </c>
      <c r="K259" s="9">
        <f>_xll.BQL("DAL US Equity", "BS_ACCT_PAYABLE/1M", "FPT=A", "FPO=-1A", "ACT_EST_MAPPING=PRECISE", "FS=MRC", "CURRENCY=USD", "XLFILL=b")</f>
        <v>5106</v>
      </c>
      <c r="L259" s="9">
        <f>_xll.BQL("DAL US Equity", "BS_ACCT_PAYABLE/1M", "FPT=A", "FPO=-2A", "ACT_EST_MAPPING=PRECISE", "FS=MRC", "CURRENCY=USD", "XLFILL=b")</f>
        <v>4240</v>
      </c>
      <c r="M259" s="9">
        <f>_xll.BQL("DAL US Equity", "BS_ACCT_PAYABLE/1M", "FPT=A", "FPO=-3A", "ACT_EST_MAPPING=PRECISE", "FS=MRC", "CURRENCY=USD", "XLFILL=b")</f>
        <v>2840</v>
      </c>
      <c r="N259" s="9">
        <f>_xll.BQL("DAL US Equity", "BS_ACCT_PAYABLE/1M", "FPT=A", "FPO=-4A", "ACT_EST_MAPPING=PRECISE", "FS=MRC", "CURRENCY=USD", "XLFILL=b")</f>
        <v>3266</v>
      </c>
    </row>
    <row r="260" spans="1:14" x14ac:dyDescent="0.2">
      <c r="A260" s="8" t="s">
        <v>94</v>
      </c>
      <c r="B260" s="4" t="s">
        <v>285</v>
      </c>
      <c r="C260" s="4" t="s">
        <v>286</v>
      </c>
      <c r="D260" s="4"/>
      <c r="E260" s="9">
        <f>_xll.BQL("DAL US Equity", "FA_GROWTH(BS_ACCT_PAYABLE, YOY)", "FPT=A", "FPO=5A", "ACT_EST_MAPPING=PRECISE", "FS=MRC", "CURRENCY=USD", "XLFILL=b")</f>
        <v>7.3039935399733844</v>
      </c>
      <c r="F260" s="9">
        <f>_xll.BQL("DAL US Equity", "FA_GROWTH(BS_ACCT_PAYABLE, YOY)", "FPT=A", "FPO=4A", "ACT_EST_MAPPING=PRECISE", "FS=MRC", "CURRENCY=USD", "XLFILL=b")</f>
        <v>7.8582512065235415</v>
      </c>
      <c r="G260" s="9">
        <f>_xll.BQL("DAL US Equity", "FA_GROWTH(BS_ACCT_PAYABLE, YOY)", "FPT=A", "FPO=3A", "ACT_EST_MAPPING=PRECISE", "FS=MRC", "CURRENCY=USD", "XLFILL=b")</f>
        <v>10.511090219019977</v>
      </c>
      <c r="H260" s="9">
        <f>_xll.BQL("DAL US Equity", "FA_GROWTH(BS_ACCT_PAYABLE, YOY)", "FPT=A", "FPO=2A", "ACT_EST_MAPPING=PRECISE", "FS=MRC", "CURRENCY=USD", "XLFILL=b")</f>
        <v>1.8315030676982287</v>
      </c>
      <c r="I260" s="9">
        <f>_xll.BQL("DAL US Equity", "FA_GROWTH(BS_ACCT_PAYABLE, YOY)", "FPT=A", "FPO=1A", "ACT_EST_MAPPING=PRECISE", "FS=MRC", "CURRENCY=USD", "XLFILL=b")</f>
        <v>24.491559098574218</v>
      </c>
      <c r="J260" s="9">
        <f>_xll.BQL("DAL US Equity", "FA_GROWTH(BS_ACCT_PAYABLE, YOY)", "FPT=A", "FPO=0A", "ACT_EST_MAPPING=PRECISE", "FS=MRC", "CURRENCY=USD", "XLFILL=b")</f>
        <v>-12.925969447708578</v>
      </c>
      <c r="K260" s="9">
        <f>_xll.BQL("DAL US Equity", "FA_GROWTH(BS_ACCT_PAYABLE, YOY)", "FPT=A", "FPO=-1A", "ACT_EST_MAPPING=PRECISE", "FS=MRC", "CURRENCY=USD", "XLFILL=b")</f>
        <v>20.424528301886792</v>
      </c>
      <c r="L260" s="9">
        <f>_xll.BQL("DAL US Equity", "FA_GROWTH(BS_ACCT_PAYABLE, YOY)", "FPT=A", "FPO=-2A", "ACT_EST_MAPPING=PRECISE", "FS=MRC", "CURRENCY=USD", "XLFILL=b")</f>
        <v>49.29577464788732</v>
      </c>
      <c r="M260" s="9">
        <f>_xll.BQL("DAL US Equity", "FA_GROWTH(BS_ACCT_PAYABLE, YOY)", "FPT=A", "FPO=-3A", "ACT_EST_MAPPING=PRECISE", "FS=MRC", "CURRENCY=USD", "XLFILL=b")</f>
        <v>-13.043478260869565</v>
      </c>
      <c r="N260" s="9">
        <f>_xll.BQL("DAL US Equity", "FA_GROWTH(BS_ACCT_PAYABLE, YOY)", "FPT=A", "FPO=-4A", "ACT_EST_MAPPING=PRECISE", "FS=MRC", "CURRENCY=USD", "XLFILL=b")</f>
        <v>9.7446236559139781</v>
      </c>
    </row>
    <row r="261" spans="1:14" x14ac:dyDescent="0.2">
      <c r="A261" s="8" t="s">
        <v>287</v>
      </c>
      <c r="B261" s="4" t="s">
        <v>288</v>
      </c>
      <c r="C261" s="4" t="s">
        <v>289</v>
      </c>
      <c r="D261" s="4"/>
      <c r="E261" s="9" t="str">
        <f>_xll.BQL("DAL US Equity", "BS_ST_ACC_CMPNSTN_POSTRET_OBLIG/1M", "FPT=A", "FPO=5A", "ACT_EST_MAPPING=PRECISE", "FS=MRC", "CURRENCY=USD", "XLFILL=b")</f>
        <v/>
      </c>
      <c r="F261" s="9">
        <f>_xll.BQL("DAL US Equity", "BS_ST_ACC_CMPNSTN_POSTRET_OBLIG/1M", "FPT=A", "FPO=4A", "ACT_EST_MAPPING=PRECISE", "FS=MRC", "CURRENCY=USD", "XLFILL=b")</f>
        <v>4565.3431116244983</v>
      </c>
      <c r="G261" s="9">
        <f>_xll.BQL("DAL US Equity", "BS_ST_ACC_CMPNSTN_POSTRET_OBLIG/1M", "FPT=A", "FPO=3A", "ACT_EST_MAPPING=PRECISE", "FS=MRC", "CURRENCY=USD", "XLFILL=b")</f>
        <v>4300.8909447299366</v>
      </c>
      <c r="H261" s="9">
        <f>_xll.BQL("DAL US Equity", "BS_ST_ACC_CMPNSTN_POSTRET_OBLIG/1M", "FPT=A", "FPO=2A", "ACT_EST_MAPPING=PRECISE", "FS=MRC", "CURRENCY=USD", "XLFILL=b")</f>
        <v>4286.0009207438388</v>
      </c>
      <c r="I261" s="9">
        <f>_xll.BQL("DAL US Equity", "BS_ST_ACC_CMPNSTN_POSTRET_OBLIG/1M", "FPT=A", "FPO=1A", "ACT_EST_MAPPING=PRECISE", "FS=MRC", "CURRENCY=USD", "XLFILL=b")</f>
        <v>3794.3489694819586</v>
      </c>
      <c r="J261" s="9">
        <f>_xll.BQL("DAL US Equity", "BS_ST_ACC_CMPNSTN_POSTRET_OBLIG/1M", "FPT=A", "FPO=0A", "ACT_EST_MAPPING=PRECISE", "FS=MRC", "CURRENCY=USD", "XLFILL=b")</f>
        <v>4561</v>
      </c>
      <c r="K261" s="9">
        <f>_xll.BQL("DAL US Equity", "BS_ST_ACC_CMPNSTN_POSTRET_OBLIG/1M", "FPT=A", "FPO=-1A", "ACT_EST_MAPPING=PRECISE", "FS=MRC", "CURRENCY=USD", "XLFILL=b")</f>
        <v>3288</v>
      </c>
      <c r="L261" s="9">
        <f>_xll.BQL("DAL US Equity", "BS_ST_ACC_CMPNSTN_POSTRET_OBLIG/1M", "FPT=A", "FPO=-2A", "ACT_EST_MAPPING=PRECISE", "FS=MRC", "CURRENCY=USD", "XLFILL=b")</f>
        <v>2457</v>
      </c>
      <c r="M261" s="9">
        <f>_xll.BQL("DAL US Equity", "BS_ST_ACC_CMPNSTN_POSTRET_OBLIG/1M", "FPT=A", "FPO=-3A", "ACT_EST_MAPPING=PRECISE", "FS=MRC", "CURRENCY=USD", "XLFILL=b")</f>
        <v>2086</v>
      </c>
      <c r="N261" s="9">
        <f>_xll.BQL("DAL US Equity", "BS_ST_ACC_CMPNSTN_POSTRET_OBLIG/1M", "FPT=A", "FPO=-4A", "ACT_EST_MAPPING=PRECISE", "FS=MRC", "CURRENCY=USD", "XLFILL=b")</f>
        <v>3701</v>
      </c>
    </row>
    <row r="262" spans="1:14" x14ac:dyDescent="0.2">
      <c r="A262" s="8" t="s">
        <v>94</v>
      </c>
      <c r="B262" s="4" t="s">
        <v>288</v>
      </c>
      <c r="C262" s="4" t="s">
        <v>289</v>
      </c>
      <c r="D262" s="4"/>
      <c r="E262" s="9" t="str">
        <f>_xll.BQL("DAL US Equity", "FA_GROWTH(BS_ST_ACC_CMPNSTN_POSTRET_OBLIG, YOY)", "FPT=A", "FPO=5A", "ACT_EST_MAPPING=PRECISE", "FS=MRC", "CURRENCY=USD", "XLFILL=b")</f>
        <v/>
      </c>
      <c r="F262" s="9">
        <f>_xll.BQL("DAL US Equity", "FA_GROWTH(BS_ST_ACC_CMPNSTN_POSTRET_OBLIG, YOY)", "FPT=A", "FPO=4A", "ACT_EST_MAPPING=PRECISE", "FS=MRC", "CURRENCY=USD", "XLFILL=b")</f>
        <v>6.1487763882645332</v>
      </c>
      <c r="G262" s="9">
        <f>_xll.BQL("DAL US Equity", "FA_GROWTH(BS_ST_ACC_CMPNSTN_POSTRET_OBLIG, YOY)", "FPT=A", "FPO=3A", "ACT_EST_MAPPING=PRECISE", "FS=MRC", "CURRENCY=USD", "XLFILL=b")</f>
        <v>0.34741065766064183</v>
      </c>
      <c r="H262" s="9">
        <f>_xll.BQL("DAL US Equity", "FA_GROWTH(BS_ST_ACC_CMPNSTN_POSTRET_OBLIG, YOY)", "FPT=A", "FPO=2A", "ACT_EST_MAPPING=PRECISE", "FS=MRC", "CURRENCY=USD", "XLFILL=b")</f>
        <v>12.957478482244227</v>
      </c>
      <c r="I262" s="9">
        <f>_xll.BQL("DAL US Equity", "FA_GROWTH(BS_ST_ACC_CMPNSTN_POSTRET_OBLIG, YOY)", "FPT=A", "FPO=1A", "ACT_EST_MAPPING=PRECISE", "FS=MRC", "CURRENCY=USD", "XLFILL=b")</f>
        <v>-16.808836450735388</v>
      </c>
      <c r="J262" s="9">
        <f>_xll.BQL("DAL US Equity", "FA_GROWTH(BS_ST_ACC_CMPNSTN_POSTRET_OBLIG, YOY)", "FPT=A", "FPO=0A", "ACT_EST_MAPPING=PRECISE", "FS=MRC", "CURRENCY=USD", "XLFILL=b")</f>
        <v>38.716545012165447</v>
      </c>
      <c r="K262" s="9">
        <f>_xll.BQL("DAL US Equity", "FA_GROWTH(BS_ST_ACC_CMPNSTN_POSTRET_OBLIG, YOY)", "FPT=A", "FPO=-1A", "ACT_EST_MAPPING=PRECISE", "FS=MRC", "CURRENCY=USD", "XLFILL=b")</f>
        <v>33.821733821733822</v>
      </c>
      <c r="L262" s="9">
        <f>_xll.BQL("DAL US Equity", "FA_GROWTH(BS_ST_ACC_CMPNSTN_POSTRET_OBLIG, YOY)", "FPT=A", "FPO=-2A", "ACT_EST_MAPPING=PRECISE", "FS=MRC", "CURRENCY=USD", "XLFILL=b")</f>
        <v>17.785234899328859</v>
      </c>
      <c r="M262" s="9">
        <f>_xll.BQL("DAL US Equity", "FA_GROWTH(BS_ST_ACC_CMPNSTN_POSTRET_OBLIG, YOY)", "FPT=A", "FPO=-3A", "ACT_EST_MAPPING=PRECISE", "FS=MRC", "CURRENCY=USD", "XLFILL=b")</f>
        <v>-43.636854904079975</v>
      </c>
      <c r="N262" s="9">
        <f>_xll.BQL("DAL US Equity", "FA_GROWTH(BS_ST_ACC_CMPNSTN_POSTRET_OBLIG, YOY)", "FPT=A", "FPO=-4A", "ACT_EST_MAPPING=PRECISE", "FS=MRC", "CURRENCY=USD", "XLFILL=b")</f>
        <v>12.59507149376331</v>
      </c>
    </row>
    <row r="263" spans="1:14" x14ac:dyDescent="0.2">
      <c r="A263" s="8" t="s">
        <v>290</v>
      </c>
      <c r="B263" s="4" t="s">
        <v>291</v>
      </c>
      <c r="C263" s="4" t="s">
        <v>292</v>
      </c>
      <c r="D263" s="4"/>
      <c r="E263" s="9" t="str">
        <f>_xll.BQL("DAL US Equity", "BS_SHORTTERM_ACCRUD_EXPNSS/1M", "FPT=A", "FPO=5A", "ACT_EST_MAPPING=PRECISE", "FS=MRC", "CURRENCY=USD", "XLFILL=b")</f>
        <v/>
      </c>
      <c r="F263" s="9" t="str">
        <f>_xll.BQL("DAL US Equity", "BS_SHORTTERM_ACCRUD_EXPNSS/1M", "FPT=A", "FPO=4A", "ACT_EST_MAPPING=PRECISE", "FS=MRC", "CURRENCY=USD", "XLFILL=b")</f>
        <v/>
      </c>
      <c r="G263" s="9">
        <f>_xll.BQL("DAL US Equity", "BS_SHORTTERM_ACCRUD_EXPNSS/1M", "FPT=A", "FPO=3A", "ACT_EST_MAPPING=PRECISE", "FS=MRC", "CURRENCY=USD", "XLFILL=b")</f>
        <v>1736.4830976281414</v>
      </c>
      <c r="H263" s="9">
        <f>_xll.BQL("DAL US Equity", "BS_SHORTTERM_ACCRUD_EXPNSS/1M", "FPT=A", "FPO=2A", "ACT_EST_MAPPING=PRECISE", "FS=MRC", "CURRENCY=USD", "XLFILL=b")</f>
        <v>1619.0441566051677</v>
      </c>
      <c r="I263" s="9">
        <f>_xll.BQL("DAL US Equity", "BS_SHORTTERM_ACCRUD_EXPNSS/1M", "FPT=A", "FPO=1A", "ACT_EST_MAPPING=PRECISE", "FS=MRC", "CURRENCY=USD", "XLFILL=b")</f>
        <v>1593.8516025047343</v>
      </c>
      <c r="J263" s="9">
        <f>_xll.BQL("DAL US Equity", "BS_SHORTTERM_ACCRUD_EXPNSS/1M", "FPT=A", "FPO=0A", "ACT_EST_MAPPING=PRECISE", "FS=MRC", "CURRENCY=USD", "XLFILL=b")</f>
        <v>1617</v>
      </c>
      <c r="K263" s="9">
        <f>_xll.BQL("DAL US Equity", "BS_SHORTTERM_ACCRUD_EXPNSS/1M", "FPT=A", "FPO=-1A", "ACT_EST_MAPPING=PRECISE", "FS=MRC", "CURRENCY=USD", "XLFILL=b")</f>
        <v>1779</v>
      </c>
      <c r="L263" s="9">
        <f>_xll.BQL("DAL US Equity", "BS_SHORTTERM_ACCRUD_EXPNSS/1M", "FPT=A", "FPO=-2A", "ACT_EST_MAPPING=PRECISE", "FS=MRC", "CURRENCY=USD", "XLFILL=b")</f>
        <v>1746</v>
      </c>
      <c r="M263" s="9">
        <f>_xll.BQL("DAL US Equity", "BS_SHORTTERM_ACCRUD_EXPNSS/1M", "FPT=A", "FPO=-3A", "ACT_EST_MAPPING=PRECISE", "FS=MRC", "CURRENCY=USD", "XLFILL=b")</f>
        <v>1670</v>
      </c>
      <c r="N263" s="9">
        <f>_xll.BQL("DAL US Equity", "BS_SHORTTERM_ACCRUD_EXPNSS/1M", "FPT=A", "FPO=-4A", "ACT_EST_MAPPING=PRECISE", "FS=MRC", "CURRENCY=USD", "XLFILL=b")</f>
        <v>1078</v>
      </c>
    </row>
    <row r="264" spans="1:14" x14ac:dyDescent="0.2">
      <c r="A264" s="8" t="s">
        <v>94</v>
      </c>
      <c r="B264" s="4" t="s">
        <v>291</v>
      </c>
      <c r="C264" s="4" t="s">
        <v>292</v>
      </c>
      <c r="D264" s="4"/>
      <c r="E264" s="9" t="str">
        <f>_xll.BQL("DAL US Equity", "FA_GROWTH(BS_SHORTTERM_ACCRUD_EXPNSS, YOY)", "FPT=A", "FPO=5A", "ACT_EST_MAPPING=PRECISE", "FS=MRC", "CURRENCY=USD", "XLFILL=b")</f>
        <v/>
      </c>
      <c r="F264" s="9" t="str">
        <f>_xll.BQL("DAL US Equity", "FA_GROWTH(BS_SHORTTERM_ACCRUD_EXPNSS, YOY)", "FPT=A", "FPO=4A", "ACT_EST_MAPPING=PRECISE", "FS=MRC", "CURRENCY=USD", "XLFILL=b")</f>
        <v/>
      </c>
      <c r="G264" s="9">
        <f>_xll.BQL("DAL US Equity", "FA_GROWTH(BS_SHORTTERM_ACCRUD_EXPNSS, YOY)", "FPT=A", "FPO=3A", "ACT_EST_MAPPING=PRECISE", "FS=MRC", "CURRENCY=USD", "XLFILL=b")</f>
        <v>7.2535971637253702</v>
      </c>
      <c r="H264" s="9">
        <f>_xll.BQL("DAL US Equity", "FA_GROWTH(BS_SHORTTERM_ACCRUD_EXPNSS, YOY)", "FPT=A", "FPO=2A", "ACT_EST_MAPPING=PRECISE", "FS=MRC", "CURRENCY=USD", "XLFILL=b")</f>
        <v>1.5806085121628204</v>
      </c>
      <c r="I264" s="9">
        <f>_xll.BQL("DAL US Equity", "FA_GROWTH(BS_SHORTTERM_ACCRUD_EXPNSS, YOY)", "FPT=A", "FPO=1A", "ACT_EST_MAPPING=PRECISE", "FS=MRC", "CURRENCY=USD", "XLFILL=b")</f>
        <v>-1.4315644709502611</v>
      </c>
      <c r="J264" s="9">
        <f>_xll.BQL("DAL US Equity", "FA_GROWTH(BS_SHORTTERM_ACCRUD_EXPNSS, YOY)", "FPT=A", "FPO=0A", "ACT_EST_MAPPING=PRECISE", "FS=MRC", "CURRENCY=USD", "XLFILL=b")</f>
        <v>-9.1062394603709951</v>
      </c>
      <c r="K264" s="9">
        <f>_xll.BQL("DAL US Equity", "FA_GROWTH(BS_SHORTTERM_ACCRUD_EXPNSS, YOY)", "FPT=A", "FPO=-1A", "ACT_EST_MAPPING=PRECISE", "FS=MRC", "CURRENCY=USD", "XLFILL=b")</f>
        <v>1.8900343642611683</v>
      </c>
      <c r="L264" s="9">
        <f>_xll.BQL("DAL US Equity", "FA_GROWTH(BS_SHORTTERM_ACCRUD_EXPNSS, YOY)", "FPT=A", "FPO=-2A", "ACT_EST_MAPPING=PRECISE", "FS=MRC", "CURRENCY=USD", "XLFILL=b")</f>
        <v>4.5508982035928147</v>
      </c>
      <c r="M264" s="9">
        <f>_xll.BQL("DAL US Equity", "FA_GROWTH(BS_SHORTTERM_ACCRUD_EXPNSS, YOY)", "FPT=A", "FPO=-3A", "ACT_EST_MAPPING=PRECISE", "FS=MRC", "CURRENCY=USD", "XLFILL=b")</f>
        <v>54.916512059369204</v>
      </c>
      <c r="N264" s="9">
        <f>_xll.BQL("DAL US Equity", "FA_GROWTH(BS_SHORTTERM_ACCRUD_EXPNSS, YOY)", "FPT=A", "FPO=-4A", "ACT_EST_MAPPING=PRECISE", "FS=MRC", "CURRENCY=USD", "XLFILL=b")</f>
        <v>-3.4914950760966876</v>
      </c>
    </row>
    <row r="265" spans="1:14" x14ac:dyDescent="0.2">
      <c r="A265" s="8" t="s">
        <v>293</v>
      </c>
      <c r="B265" s="4" t="s">
        <v>294</v>
      </c>
      <c r="C265" s="4" t="s">
        <v>295</v>
      </c>
      <c r="D265" s="4"/>
      <c r="E265" s="9">
        <f>_xll.BQL("DAL US Equity", "CB_BS_CURRENT_PORTION_OF_LT_DEBT/1M", "FPT=A", "FPO=5A", "ACT_EST_MAPPING=PRECISE", "FS=MRC", "CURRENCY=USD", "XLFILL=b")</f>
        <v>2480.3333333333335</v>
      </c>
      <c r="F265" s="9">
        <f>_xll.BQL("DAL US Equity", "CB_BS_CURRENT_PORTION_OF_LT_DEBT/1M", "FPT=A", "FPO=4A", "ACT_EST_MAPPING=PRECISE", "FS=MRC", "CURRENCY=USD", "XLFILL=b")</f>
        <v>2261.4601707167881</v>
      </c>
      <c r="G265" s="9">
        <f>_xll.BQL("DAL US Equity", "CB_BS_CURRENT_PORTION_OF_LT_DEBT/1M", "FPT=A", "FPO=3A", "ACT_EST_MAPPING=PRECISE", "FS=MRC", "CURRENCY=USD", "XLFILL=b")</f>
        <v>2597.5533529449453</v>
      </c>
      <c r="H265" s="9">
        <f>_xll.BQL("DAL US Equity", "CB_BS_CURRENT_PORTION_OF_LT_DEBT/1M", "FPT=A", "FPO=2A", "ACT_EST_MAPPING=PRECISE", "FS=MRC", "CURRENCY=USD", "XLFILL=b")</f>
        <v>2782.3728485522911</v>
      </c>
      <c r="I265" s="9">
        <f>_xll.BQL("DAL US Equity", "CB_BS_CURRENT_PORTION_OF_LT_DEBT/1M", "FPT=A", "FPO=1A", "ACT_EST_MAPPING=PRECISE", "FS=MRC", "CURRENCY=USD", "XLFILL=b")</f>
        <v>2743.7687460292273</v>
      </c>
      <c r="J265" s="9">
        <f>_xll.BQL("DAL US Equity", "CB_BS_CURRENT_PORTION_OF_LT_DEBT/1M", "FPT=A", "FPO=0A", "ACT_EST_MAPPING=PRECISE", "FS=MRC", "CURRENCY=USD", "XLFILL=b")</f>
        <v>2983</v>
      </c>
      <c r="K265" s="9">
        <f>_xll.BQL("DAL US Equity", "CB_BS_CURRENT_PORTION_OF_LT_DEBT/1M", "FPT=A", "FPO=-1A", "ACT_EST_MAPPING=PRECISE", "FS=MRC", "CURRENCY=USD", "XLFILL=b")</f>
        <v>2359</v>
      </c>
      <c r="L265" s="9">
        <f>_xll.BQL("DAL US Equity", "CB_BS_CURRENT_PORTION_OF_LT_DEBT/1M", "FPT=A", "FPO=-2A", "ACT_EST_MAPPING=PRECISE", "FS=MRC", "CURRENCY=USD", "XLFILL=b")</f>
        <v>1782</v>
      </c>
      <c r="M265" s="9">
        <f>_xll.BQL("DAL US Equity", "CB_BS_CURRENT_PORTION_OF_LT_DEBT/1M", "FPT=A", "FPO=-3A", "ACT_EST_MAPPING=PRECISE", "FS=MRC", "CURRENCY=USD", "XLFILL=b")</f>
        <v>1732</v>
      </c>
      <c r="N265" s="9">
        <f>_xll.BQL("DAL US Equity", "CB_BS_CURRENT_PORTION_OF_LT_DEBT/1M", "FPT=A", "FPO=-4A", "ACT_EST_MAPPING=PRECISE", "FS=MRC", "CURRENCY=USD", "XLFILL=b")</f>
        <v>2287</v>
      </c>
    </row>
    <row r="266" spans="1:14" x14ac:dyDescent="0.2">
      <c r="A266" s="8" t="s">
        <v>94</v>
      </c>
      <c r="B266" s="4" t="s">
        <v>294</v>
      </c>
      <c r="C266" s="4" t="s">
        <v>295</v>
      </c>
      <c r="D266" s="4"/>
      <c r="E266" s="9">
        <f>_xll.BQL("DAL US Equity", "FA_GROWTH(CB_BS_CURRENT_PORTION_OF_LT_DEBT, YOY)", "FPT=A", "FPO=5A", "ACT_EST_MAPPING=PRECISE", "FS=MRC", "CURRENCY=USD", "XLFILL=b")</f>
        <v>9.6784000642899475</v>
      </c>
      <c r="F266" s="9">
        <f>_xll.BQL("DAL US Equity", "FA_GROWTH(CB_BS_CURRENT_PORTION_OF_LT_DEBT, YOY)", "FPT=A", "FPO=4A", "ACT_EST_MAPPING=PRECISE", "FS=MRC", "CURRENCY=USD", "XLFILL=b")</f>
        <v>-12.938836534276202</v>
      </c>
      <c r="G266" s="9">
        <f>_xll.BQL("DAL US Equity", "FA_GROWTH(CB_BS_CURRENT_PORTION_OF_LT_DEBT, YOY)", "FPT=A", "FPO=3A", "ACT_EST_MAPPING=PRECISE", "FS=MRC", "CURRENCY=USD", "XLFILL=b")</f>
        <v>-6.6425136265799116</v>
      </c>
      <c r="H266" s="9">
        <f>_xll.BQL("DAL US Equity", "FA_GROWTH(CB_BS_CURRENT_PORTION_OF_LT_DEBT, YOY)", "FPT=A", "FPO=2A", "ACT_EST_MAPPING=PRECISE", "FS=MRC", "CURRENCY=USD", "XLFILL=b")</f>
        <v>1.4069736226470029</v>
      </c>
      <c r="I266" s="9">
        <f>_xll.BQL("DAL US Equity", "FA_GROWTH(CB_BS_CURRENT_PORTION_OF_LT_DEBT, YOY)", "FPT=A", "FPO=1A", "ACT_EST_MAPPING=PRECISE", "FS=MRC", "CURRENCY=USD", "XLFILL=b")</f>
        <v>-8.019820783465395</v>
      </c>
      <c r="J266" s="9">
        <f>_xll.BQL("DAL US Equity", "FA_GROWTH(CB_BS_CURRENT_PORTION_OF_LT_DEBT, YOY)", "FPT=A", "FPO=0A", "ACT_EST_MAPPING=PRECISE", "FS=MRC", "CURRENCY=USD", "XLFILL=b")</f>
        <v>26.451886392539212</v>
      </c>
      <c r="K266" s="9">
        <f>_xll.BQL("DAL US Equity", "FA_GROWTH(CB_BS_CURRENT_PORTION_OF_LT_DEBT, YOY)", "FPT=A", "FPO=-1A", "ACT_EST_MAPPING=PRECISE", "FS=MRC", "CURRENCY=USD", "XLFILL=b")</f>
        <v>32.379349046015712</v>
      </c>
      <c r="L266" s="9">
        <f>_xll.BQL("DAL US Equity", "FA_GROWTH(CB_BS_CURRENT_PORTION_OF_LT_DEBT, YOY)", "FPT=A", "FPO=-2A", "ACT_EST_MAPPING=PRECISE", "FS=MRC", "CURRENCY=USD", "XLFILL=b")</f>
        <v>2.8868360277136258</v>
      </c>
      <c r="M266" s="9">
        <f>_xll.BQL("DAL US Equity", "FA_GROWTH(CB_BS_CURRENT_PORTION_OF_LT_DEBT, YOY)", "FPT=A", "FPO=-3A", "ACT_EST_MAPPING=PRECISE", "FS=MRC", "CURRENCY=USD", "XLFILL=b")</f>
        <v>-24.267599475295146</v>
      </c>
      <c r="N266" s="9">
        <f>_xll.BQL("DAL US Equity", "FA_GROWTH(CB_BS_CURRENT_PORTION_OF_LT_DEBT, YOY)", "FPT=A", "FPO=-4A", "ACT_EST_MAPPING=PRECISE", "FS=MRC", "CURRENCY=USD", "XLFILL=b")</f>
        <v>50.658761528326743</v>
      </c>
    </row>
    <row r="267" spans="1:14" x14ac:dyDescent="0.2">
      <c r="A267" s="8" t="s">
        <v>296</v>
      </c>
      <c r="B267" s="4" t="s">
        <v>297</v>
      </c>
      <c r="C267" s="4" t="s">
        <v>298</v>
      </c>
      <c r="D267" s="4"/>
      <c r="E267" s="9">
        <f>_xll.BQL("DAL US Equity", "BS_ST_OPERATING_LEASE_LIABS/1M", "FPT=A", "FPO=5A", "ACT_EST_MAPPING=PRECISE", "FS=MRC", "CURRENCY=USD", "XLFILL=b")</f>
        <v>657.16476175518812</v>
      </c>
      <c r="F267" s="9">
        <f>_xll.BQL("DAL US Equity", "BS_ST_OPERATING_LEASE_LIABS/1M", "FPT=A", "FPO=4A", "ACT_EST_MAPPING=PRECISE", "FS=MRC", "CURRENCY=USD", "XLFILL=b")</f>
        <v>695.18185420626935</v>
      </c>
      <c r="G267" s="9">
        <f>_xll.BQL("DAL US Equity", "BS_ST_OPERATING_LEASE_LIABS/1M", "FPT=A", "FPO=3A", "ACT_EST_MAPPING=PRECISE", "FS=MRC", "CURRENCY=USD", "XLFILL=b")</f>
        <v>748.97729711819647</v>
      </c>
      <c r="H267" s="9">
        <f>_xll.BQL("DAL US Equity", "BS_ST_OPERATING_LEASE_LIABS/1M", "FPT=A", "FPO=2A", "ACT_EST_MAPPING=PRECISE", "FS=MRC", "CURRENCY=USD", "XLFILL=b")</f>
        <v>770.1450077756665</v>
      </c>
      <c r="I267" s="9">
        <f>_xll.BQL("DAL US Equity", "BS_ST_OPERATING_LEASE_LIABS/1M", "FPT=A", "FPO=1A", "ACT_EST_MAPPING=PRECISE", "FS=MRC", "CURRENCY=USD", "XLFILL=b")</f>
        <v>790.59645651140477</v>
      </c>
      <c r="J267" s="9">
        <f>_xll.BQL("DAL US Equity", "BS_ST_OPERATING_LEASE_LIABS/1M", "FPT=A", "FPO=0A", "ACT_EST_MAPPING=PRECISE", "FS=MRC", "CURRENCY=USD", "XLFILL=b")</f>
        <v>759</v>
      </c>
      <c r="K267" s="9">
        <f>_xll.BQL("DAL US Equity", "BS_ST_OPERATING_LEASE_LIABS/1M", "FPT=A", "FPO=-1A", "ACT_EST_MAPPING=PRECISE", "FS=MRC", "CURRENCY=USD", "XLFILL=b")</f>
        <v>714</v>
      </c>
      <c r="L267" s="9">
        <f>_xll.BQL("DAL US Equity", "BS_ST_OPERATING_LEASE_LIABS/1M", "FPT=A", "FPO=-2A", "ACT_EST_MAPPING=PRECISE", "FS=MRC", "CURRENCY=USD", "XLFILL=b")</f>
        <v>703</v>
      </c>
      <c r="M267" s="9">
        <f>_xll.BQL("DAL US Equity", "BS_ST_OPERATING_LEASE_LIABS/1M", "FPT=A", "FPO=-3A", "ACT_EST_MAPPING=PRECISE", "FS=MRC", "CURRENCY=USD", "XLFILL=b")</f>
        <v>678</v>
      </c>
      <c r="N267" s="9">
        <f>_xll.BQL("DAL US Equity", "BS_ST_OPERATING_LEASE_LIABS/1M", "FPT=A", "FPO=-4A", "ACT_EST_MAPPING=PRECISE", "FS=MRC", "CURRENCY=USD", "XLFILL=b")</f>
        <v>801</v>
      </c>
    </row>
    <row r="268" spans="1:14" x14ac:dyDescent="0.2">
      <c r="A268" s="8" t="s">
        <v>94</v>
      </c>
      <c r="B268" s="4" t="s">
        <v>297</v>
      </c>
      <c r="C268" s="4" t="s">
        <v>298</v>
      </c>
      <c r="D268" s="4"/>
      <c r="E268" s="9">
        <f>_xll.BQL("DAL US Equity", "FA_GROWTH(BS_ST_OPERATING_LEASE_LIABS, YOY)", "FPT=A", "FPO=5A", "ACT_EST_MAPPING=PRECISE", "FS=MRC", "CURRENCY=USD", "XLFILL=b")</f>
        <v>-5.4686543126888232</v>
      </c>
      <c r="F268" s="9">
        <f>_xll.BQL("DAL US Equity", "FA_GROWTH(BS_ST_OPERATING_LEASE_LIABS, YOY)", "FPT=A", "FPO=4A", "ACT_EST_MAPPING=PRECISE", "FS=MRC", "CURRENCY=USD", "XLFILL=b")</f>
        <v>-7.1825198332330258</v>
      </c>
      <c r="G268" s="9">
        <f>_xll.BQL("DAL US Equity", "FA_GROWTH(BS_ST_OPERATING_LEASE_LIABS, YOY)", "FPT=A", "FPO=3A", "ACT_EST_MAPPING=PRECISE", "FS=MRC", "CURRENCY=USD", "XLFILL=b")</f>
        <v>-2.7485357229811291</v>
      </c>
      <c r="H268" s="9">
        <f>_xll.BQL("DAL US Equity", "FA_GROWTH(BS_ST_OPERATING_LEASE_LIABS, YOY)", "FPT=A", "FPO=2A", "ACT_EST_MAPPING=PRECISE", "FS=MRC", "CURRENCY=USD", "XLFILL=b")</f>
        <v>-2.5868378952749902</v>
      </c>
      <c r="I268" s="9">
        <f>_xll.BQL("DAL US Equity", "FA_GROWTH(BS_ST_OPERATING_LEASE_LIABS, YOY)", "FPT=A", "FPO=1A", "ACT_EST_MAPPING=PRECISE", "FS=MRC", "CURRENCY=USD", "XLFILL=b")</f>
        <v>4.1629059962325101</v>
      </c>
      <c r="J268" s="9">
        <f>_xll.BQL("DAL US Equity", "FA_GROWTH(BS_ST_OPERATING_LEASE_LIABS, YOY)", "FPT=A", "FPO=0A", "ACT_EST_MAPPING=PRECISE", "FS=MRC", "CURRENCY=USD", "XLFILL=b")</f>
        <v>6.3025210084033612</v>
      </c>
      <c r="K268" s="9">
        <f>_xll.BQL("DAL US Equity", "FA_GROWTH(BS_ST_OPERATING_LEASE_LIABS, YOY)", "FPT=A", "FPO=-1A", "ACT_EST_MAPPING=PRECISE", "FS=MRC", "CURRENCY=USD", "XLFILL=b")</f>
        <v>1.5647226173541964</v>
      </c>
      <c r="L268" s="9">
        <f>_xll.BQL("DAL US Equity", "FA_GROWTH(BS_ST_OPERATING_LEASE_LIABS, YOY)", "FPT=A", "FPO=-2A", "ACT_EST_MAPPING=PRECISE", "FS=MRC", "CURRENCY=USD", "XLFILL=b")</f>
        <v>3.6873156342182889</v>
      </c>
      <c r="M268" s="9">
        <f>_xll.BQL("DAL US Equity", "FA_GROWTH(BS_ST_OPERATING_LEASE_LIABS, YOY)", "FPT=A", "FPO=-3A", "ACT_EST_MAPPING=PRECISE", "FS=MRC", "CURRENCY=USD", "XLFILL=b")</f>
        <v>-15.355805243445692</v>
      </c>
      <c r="N268" s="9">
        <f>_xll.BQL("DAL US Equity", "FA_GROWTH(BS_ST_OPERATING_LEASE_LIABS, YOY)", "FPT=A", "FPO=-4A", "ACT_EST_MAPPING=PRECISE", "FS=MRC", "CURRENCY=USD", "XLFILL=b")</f>
        <v>-16.125654450261781</v>
      </c>
    </row>
    <row r="269" spans="1:14" x14ac:dyDescent="0.2">
      <c r="A269" s="8" t="s">
        <v>299</v>
      </c>
      <c r="B269" s="4" t="s">
        <v>300</v>
      </c>
      <c r="C269" s="4" t="s">
        <v>301</v>
      </c>
      <c r="D269" s="4"/>
      <c r="E269" s="9">
        <f>_xll.BQL("DAL US Equity", "BS_ST_AIR_TRAFFC_LIBLTS/1M", "FPT=A", "FPO=5A", "ACT_EST_MAPPING=PRECISE", "FS=MRC", "CURRENCY=USD", "XLFILL=b")</f>
        <v>7735.800000000002</v>
      </c>
      <c r="F269" s="9">
        <f>_xll.BQL("DAL US Equity", "BS_ST_AIR_TRAFFC_LIBLTS/1M", "FPT=A", "FPO=4A", "ACT_EST_MAPPING=PRECISE", "FS=MRC", "CURRENCY=USD", "XLFILL=b")</f>
        <v>9269.5685633512403</v>
      </c>
      <c r="G269" s="9">
        <f>_xll.BQL("DAL US Equity", "BS_ST_AIR_TRAFFC_LIBLTS/1M", "FPT=A", "FPO=3A", "ACT_EST_MAPPING=PRECISE", "FS=MRC", "CURRENCY=USD", "XLFILL=b")</f>
        <v>8881.1565546368092</v>
      </c>
      <c r="H269" s="9">
        <f>_xll.BQL("DAL US Equity", "BS_ST_AIR_TRAFFC_LIBLTS/1M", "FPT=A", "FPO=2A", "ACT_EST_MAPPING=PRECISE", "FS=MRC", "CURRENCY=USD", "XLFILL=b")</f>
        <v>8491.1194719837513</v>
      </c>
      <c r="I269" s="9">
        <f>_xll.BQL("DAL US Equity", "BS_ST_AIR_TRAFFC_LIBLTS/1M", "FPT=A", "FPO=1A", "ACT_EST_MAPPING=PRECISE", "FS=MRC", "CURRENCY=USD", "XLFILL=b")</f>
        <v>8184.9666977703619</v>
      </c>
      <c r="J269" s="9">
        <f>_xll.BQL("DAL US Equity", "BS_ST_AIR_TRAFFC_LIBLTS/1M", "FPT=A", "FPO=0A", "ACT_EST_MAPPING=PRECISE", "FS=MRC", "CURRENCY=USD", "XLFILL=b")</f>
        <v>7044</v>
      </c>
      <c r="K269" s="9">
        <f>_xll.BQL("DAL US Equity", "BS_ST_AIR_TRAFFC_LIBLTS/1M", "FPT=A", "FPO=-1A", "ACT_EST_MAPPING=PRECISE", "FS=MRC", "CURRENCY=USD", "XLFILL=b")</f>
        <v>8160</v>
      </c>
      <c r="L269" s="9">
        <f>_xll.BQL("DAL US Equity", "BS_ST_AIR_TRAFFC_LIBLTS/1M", "FPT=A", "FPO=-2A", "ACT_EST_MAPPING=PRECISE", "FS=MRC", "CURRENCY=USD", "XLFILL=b")</f>
        <v>6228</v>
      </c>
      <c r="M269" s="9">
        <f>_xll.BQL("DAL US Equity", "BS_ST_AIR_TRAFFC_LIBLTS/1M", "FPT=A", "FPO=-3A", "ACT_EST_MAPPING=PRECISE", "FS=MRC", "CURRENCY=USD", "XLFILL=b")</f>
        <v>4044</v>
      </c>
      <c r="N269" s="9">
        <f>_xll.BQL("DAL US Equity", "BS_ST_AIR_TRAFFC_LIBLTS/1M", "FPT=A", "FPO=-4A", "ACT_EST_MAPPING=PRECISE", "FS=MRC", "CURRENCY=USD", "XLFILL=b")</f>
        <v>5116</v>
      </c>
    </row>
    <row r="270" spans="1:14" x14ac:dyDescent="0.2">
      <c r="A270" s="8" t="s">
        <v>94</v>
      </c>
      <c r="B270" s="4" t="s">
        <v>300</v>
      </c>
      <c r="C270" s="4" t="s">
        <v>301</v>
      </c>
      <c r="D270" s="4"/>
      <c r="E270" s="9">
        <f>_xll.BQL("DAL US Equity", "FA_GROWTH(BS_ST_AIR_TRAFFC_LIBLTS, YOY)", "FPT=A", "FPO=5A", "ACT_EST_MAPPING=PRECISE", "FS=MRC", "CURRENCY=USD", "XLFILL=b")</f>
        <v>-16.54627777839892</v>
      </c>
      <c r="F270" s="9">
        <f>_xll.BQL("DAL US Equity", "FA_GROWTH(BS_ST_AIR_TRAFFC_LIBLTS, YOY)", "FPT=A", "FPO=4A", "ACT_EST_MAPPING=PRECISE", "FS=MRC", "CURRENCY=USD", "XLFILL=b")</f>
        <v>4.3734394988414405</v>
      </c>
      <c r="G270" s="9">
        <f>_xll.BQL("DAL US Equity", "FA_GROWTH(BS_ST_AIR_TRAFFC_LIBLTS, YOY)", "FPT=A", "FPO=3A", "ACT_EST_MAPPING=PRECISE", "FS=MRC", "CURRENCY=USD", "XLFILL=b")</f>
        <v>4.5934706717998166</v>
      </c>
      <c r="H270" s="9">
        <f>_xll.BQL("DAL US Equity", "FA_GROWTH(BS_ST_AIR_TRAFFC_LIBLTS, YOY)", "FPT=A", "FPO=2A", "ACT_EST_MAPPING=PRECISE", "FS=MRC", "CURRENCY=USD", "XLFILL=b")</f>
        <v>3.7404278541143898</v>
      </c>
      <c r="I270" s="9">
        <f>_xll.BQL("DAL US Equity", "FA_GROWTH(BS_ST_AIR_TRAFFC_LIBLTS, YOY)", "FPT=A", "FPO=1A", "ACT_EST_MAPPING=PRECISE", "FS=MRC", "CURRENCY=USD", "XLFILL=b")</f>
        <v>16.197710076240231</v>
      </c>
      <c r="J270" s="9">
        <f>_xll.BQL("DAL US Equity", "FA_GROWTH(BS_ST_AIR_TRAFFC_LIBLTS, YOY)", "FPT=A", "FPO=0A", "ACT_EST_MAPPING=PRECISE", "FS=MRC", "CURRENCY=USD", "XLFILL=b")</f>
        <v>-13.676470588235293</v>
      </c>
      <c r="K270" s="9">
        <f>_xll.BQL("DAL US Equity", "FA_GROWTH(BS_ST_AIR_TRAFFC_LIBLTS, YOY)", "FPT=A", "FPO=-1A", "ACT_EST_MAPPING=PRECISE", "FS=MRC", "CURRENCY=USD", "XLFILL=b")</f>
        <v>31.021194605009633</v>
      </c>
      <c r="L270" s="9">
        <f>_xll.BQL("DAL US Equity", "FA_GROWTH(BS_ST_AIR_TRAFFC_LIBLTS, YOY)", "FPT=A", "FPO=-2A", "ACT_EST_MAPPING=PRECISE", "FS=MRC", "CURRENCY=USD", "XLFILL=b")</f>
        <v>54.005934718100889</v>
      </c>
      <c r="M270" s="9">
        <f>_xll.BQL("DAL US Equity", "FA_GROWTH(BS_ST_AIR_TRAFFC_LIBLTS, YOY)", "FPT=A", "FPO=-3A", "ACT_EST_MAPPING=PRECISE", "FS=MRC", "CURRENCY=USD", "XLFILL=b")</f>
        <v>-20.953870211102423</v>
      </c>
      <c r="N270" s="9">
        <f>_xll.BQL("DAL US Equity", "FA_GROWTH(BS_ST_AIR_TRAFFC_LIBLTS, YOY)", "FPT=A", "FPO=-4A", "ACT_EST_MAPPING=PRECISE", "FS=MRC", "CURRENCY=USD", "XLFILL=b")</f>
        <v>9.7618536794679258</v>
      </c>
    </row>
    <row r="271" spans="1:14" x14ac:dyDescent="0.2">
      <c r="A271" s="8" t="s">
        <v>302</v>
      </c>
      <c r="B271" s="4" t="s">
        <v>303</v>
      </c>
      <c r="C271" s="4" t="s">
        <v>304</v>
      </c>
      <c r="D271" s="4"/>
      <c r="E271" s="9" t="str">
        <f>_xll.BQL("DAL US Equity", "CB_BS_ST_DEFER_REVENUE/1M", "FPT=A", "FPO=5A", "ACT_EST_MAPPING=PRECISE", "FS=MRC", "CURRENCY=USD", "XLFILL=b")</f>
        <v/>
      </c>
      <c r="F271" s="9">
        <f>_xll.BQL("DAL US Equity", "CB_BS_ST_DEFER_REVENUE/1M", "FPT=A", "FPO=4A", "ACT_EST_MAPPING=PRECISE", "FS=MRC", "CURRENCY=USD", "XLFILL=b")</f>
        <v>4038</v>
      </c>
      <c r="G271" s="9">
        <f>_xll.BQL("DAL US Equity", "CB_BS_ST_DEFER_REVENUE/1M", "FPT=A", "FPO=3A", "ACT_EST_MAPPING=PRECISE", "FS=MRC", "CURRENCY=USD", "XLFILL=b")</f>
        <v>4171.2662879797917</v>
      </c>
      <c r="H271" s="9">
        <f>_xll.BQL("DAL US Equity", "CB_BS_ST_DEFER_REVENUE/1M", "FPT=A", "FPO=2A", "ACT_EST_MAPPING=PRECISE", "FS=MRC", "CURRENCY=USD", "XLFILL=b")</f>
        <v>4014.5140303419053</v>
      </c>
      <c r="I271" s="9">
        <f>_xll.BQL("DAL US Equity", "CB_BS_ST_DEFER_REVENUE/1M", "FPT=A", "FPO=1A", "ACT_EST_MAPPING=PRECISE", "FS=MRC", "CURRENCY=USD", "XLFILL=b")</f>
        <v>4019.2927625794882</v>
      </c>
      <c r="J271" s="9">
        <f>_xll.BQL("DAL US Equity", "CB_BS_ST_DEFER_REVENUE/1M", "FPT=A", "FPO=0A", "ACT_EST_MAPPING=PRECISE", "FS=MRC", "CURRENCY=USD", "XLFILL=b")</f>
        <v>3908</v>
      </c>
      <c r="K271" s="9">
        <f>_xll.BQL("DAL US Equity", "CB_BS_ST_DEFER_REVENUE/1M", "FPT=A", "FPO=-1A", "ACT_EST_MAPPING=PRECISE", "FS=MRC", "CURRENCY=USD", "XLFILL=b")</f>
        <v>3434</v>
      </c>
      <c r="L271" s="9">
        <f>_xll.BQL("DAL US Equity", "CB_BS_ST_DEFER_REVENUE/1M", "FPT=A", "FPO=-2A", "ACT_EST_MAPPING=PRECISE", "FS=MRC", "CURRENCY=USD", "XLFILL=b")</f>
        <v>2710</v>
      </c>
      <c r="M271" s="9">
        <f>_xll.BQL("DAL US Equity", "CB_BS_ST_DEFER_REVENUE/1M", "FPT=A", "FPO=-3A", "ACT_EST_MAPPING=PRECISE", "FS=MRC", "CURRENCY=USD", "XLFILL=b")</f>
        <v>1777</v>
      </c>
      <c r="N271" s="9">
        <f>_xll.BQL("DAL US Equity", "CB_BS_ST_DEFER_REVENUE/1M", "FPT=A", "FPO=-4A", "ACT_EST_MAPPING=PRECISE", "FS=MRC", "CURRENCY=USD", "XLFILL=b")</f>
        <v>3219</v>
      </c>
    </row>
    <row r="272" spans="1:14" x14ac:dyDescent="0.2">
      <c r="A272" s="8" t="s">
        <v>94</v>
      </c>
      <c r="B272" s="4" t="s">
        <v>303</v>
      </c>
      <c r="C272" s="4" t="s">
        <v>304</v>
      </c>
      <c r="D272" s="4"/>
      <c r="E272" s="9" t="str">
        <f>_xll.BQL("DAL US Equity", "FA_GROWTH(CB_BS_ST_DEFER_REVENUE, YOY)", "FPT=A", "FPO=5A", "ACT_EST_MAPPING=PRECISE", "FS=MRC", "CURRENCY=USD", "XLFILL=b")</f>
        <v/>
      </c>
      <c r="F272" s="9">
        <f>_xll.BQL("DAL US Equity", "FA_GROWTH(CB_BS_ST_DEFER_REVENUE, YOY)", "FPT=A", "FPO=4A", "ACT_EST_MAPPING=PRECISE", "FS=MRC", "CURRENCY=USD", "XLFILL=b")</f>
        <v>-3.194864071944326</v>
      </c>
      <c r="G272" s="9">
        <f>_xll.BQL("DAL US Equity", "FA_GROWTH(CB_BS_ST_DEFER_REVENUE, YOY)", "FPT=A", "FPO=3A", "ACT_EST_MAPPING=PRECISE", "FS=MRC", "CURRENCY=USD", "XLFILL=b")</f>
        <v>3.9046384307825384</v>
      </c>
      <c r="H272" s="9">
        <f>_xll.BQL("DAL US Equity", "FA_GROWTH(CB_BS_ST_DEFER_REVENUE, YOY)", "FPT=A", "FPO=2A", "ACT_EST_MAPPING=PRECISE", "FS=MRC", "CURRENCY=USD", "XLFILL=b")</f>
        <v>-0.118894853394961</v>
      </c>
      <c r="I272" s="9">
        <f>_xll.BQL("DAL US Equity", "FA_GROWTH(CB_BS_ST_DEFER_REVENUE, YOY)", "FPT=A", "FPO=1A", "ACT_EST_MAPPING=PRECISE", "FS=MRC", "CURRENCY=USD", "XLFILL=b")</f>
        <v>2.8478188991680726</v>
      </c>
      <c r="J272" s="9">
        <f>_xll.BQL("DAL US Equity", "FA_GROWTH(CB_BS_ST_DEFER_REVENUE, YOY)", "FPT=A", "FPO=0A", "ACT_EST_MAPPING=PRECISE", "FS=MRC", "CURRENCY=USD", "XLFILL=b")</f>
        <v>13.803145020384392</v>
      </c>
      <c r="K272" s="9">
        <f>_xll.BQL("DAL US Equity", "FA_GROWTH(CB_BS_ST_DEFER_REVENUE, YOY)", "FPT=A", "FPO=-1A", "ACT_EST_MAPPING=PRECISE", "FS=MRC", "CURRENCY=USD", "XLFILL=b")</f>
        <v>26.715867158671585</v>
      </c>
      <c r="L272" s="9">
        <f>_xll.BQL("DAL US Equity", "FA_GROWTH(CB_BS_ST_DEFER_REVENUE, YOY)", "FPT=A", "FPO=-2A", "ACT_EST_MAPPING=PRECISE", "FS=MRC", "CURRENCY=USD", "XLFILL=b")</f>
        <v>52.504220596510976</v>
      </c>
      <c r="M272" s="9">
        <f>_xll.BQL("DAL US Equity", "FA_GROWTH(CB_BS_ST_DEFER_REVENUE, YOY)", "FPT=A", "FPO=-3A", "ACT_EST_MAPPING=PRECISE", "FS=MRC", "CURRENCY=USD", "XLFILL=b")</f>
        <v>-44.796520658589621</v>
      </c>
      <c r="N272" s="9">
        <f>_xll.BQL("DAL US Equity", "FA_GROWTH(CB_BS_ST_DEFER_REVENUE, YOY)", "FPT=A", "FPO=-4A", "ACT_EST_MAPPING=PRECISE", "FS=MRC", "CURRENCY=USD", "XLFILL=b")</f>
        <v>7.6948812311809967</v>
      </c>
    </row>
    <row r="273" spans="1:14" x14ac:dyDescent="0.2">
      <c r="A273" s="8" t="s">
        <v>305</v>
      </c>
      <c r="B273" s="4" t="s">
        <v>306</v>
      </c>
      <c r="C273" s="4" t="s">
        <v>248</v>
      </c>
      <c r="D273" s="4"/>
      <c r="E273" s="9" t="str">
        <f>_xll.BQL("DAL US Equity", "CB_BS_OTHER_CURRENT_LIABS/1M", "FPT=A", "FPO=5A", "ACT_EST_MAPPING=PRECISE", "FS=MRC", "CURRENCY=USD", "XLFILL=b")</f>
        <v/>
      </c>
      <c r="F273" s="9">
        <f>_xll.BQL("DAL US Equity", "CB_BS_OTHER_CURRENT_LIABS/1M", "FPT=A", "FPO=4A", "ACT_EST_MAPPING=PRECISE", "FS=MRC", "CURRENCY=USD", "XLFILL=b")</f>
        <v>1107</v>
      </c>
      <c r="G273" s="9">
        <f>_xll.BQL("DAL US Equity", "CB_BS_OTHER_CURRENT_LIABS/1M", "FPT=A", "FPO=3A", "ACT_EST_MAPPING=PRECISE", "FS=MRC", "CURRENCY=USD", "XLFILL=b")</f>
        <v>1137.8915194356834</v>
      </c>
      <c r="H273" s="9">
        <f>_xll.BQL("DAL US Equity", "CB_BS_OTHER_CURRENT_LIABS/1M", "FPT=A", "FPO=2A", "ACT_EST_MAPPING=PRECISE", "FS=MRC", "CURRENCY=USD", "XLFILL=b")</f>
        <v>1113.4723442381787</v>
      </c>
      <c r="I273" s="9">
        <f>_xll.BQL("DAL US Equity", "CB_BS_OTHER_CURRENT_LIABS/1M", "FPT=A", "FPO=1A", "ACT_EST_MAPPING=PRECISE", "FS=MRC", "CURRENCY=USD", "XLFILL=b")</f>
        <v>1119.6143290672992</v>
      </c>
      <c r="J273" s="9">
        <f>_xll.BQL("DAL US Equity", "CB_BS_OTHER_CURRENT_LIABS/1M", "FPT=A", "FPO=0A", "ACT_EST_MAPPING=PRECISE", "FS=MRC", "CURRENCY=USD", "XLFILL=b")</f>
        <v>1100</v>
      </c>
      <c r="K273" s="9">
        <f>_xll.BQL("DAL US Equity", "CB_BS_OTHER_CURRENT_LIABS/1M", "FPT=A", "FPO=-1A", "ACT_EST_MAPPING=PRECISE", "FS=MRC", "CURRENCY=USD", "XLFILL=b")</f>
        <v>1100</v>
      </c>
      <c r="L273" s="9">
        <f>_xll.BQL("DAL US Equity", "CB_BS_OTHER_CURRENT_LIABS/1M", "FPT=A", "FPO=-2A", "ACT_EST_MAPPING=PRECISE", "FS=MRC", "CURRENCY=USD", "XLFILL=b")</f>
        <v>1100</v>
      </c>
      <c r="M273" s="9">
        <f>_xll.BQL("DAL US Equity", "CB_BS_OTHER_CURRENT_LIABS/1M", "FPT=A", "FPO=-3A", "ACT_EST_MAPPING=PRECISE", "FS=MRC", "CURRENCY=USD", "XLFILL=b")</f>
        <v>1100</v>
      </c>
      <c r="N273" s="9">
        <f>_xll.BQL("DAL US Equity", "CB_BS_OTHER_CURRENT_LIABS/1M", "FPT=A", "FPO=-4A", "ACT_EST_MAPPING=PRECISE", "FS=MRC", "CURRENCY=USD", "XLFILL=b")</f>
        <v>736</v>
      </c>
    </row>
    <row r="274" spans="1:14" x14ac:dyDescent="0.2">
      <c r="A274" s="8" t="s">
        <v>94</v>
      </c>
      <c r="B274" s="4" t="s">
        <v>306</v>
      </c>
      <c r="C274" s="4" t="s">
        <v>248</v>
      </c>
      <c r="D274" s="4"/>
      <c r="E274" s="9" t="str">
        <f>_xll.BQL("DAL US Equity", "FA_GROWTH(CB_BS_OTHER_CURRENT_LIABS, YOY)", "FPT=A", "FPO=5A", "ACT_EST_MAPPING=PRECISE", "FS=MRC", "CURRENCY=USD", "XLFILL=b")</f>
        <v/>
      </c>
      <c r="F274" s="9">
        <f>_xll.BQL("DAL US Equity", "FA_GROWTH(CB_BS_OTHER_CURRENT_LIABS, YOY)", "FPT=A", "FPO=4A", "ACT_EST_MAPPING=PRECISE", "FS=MRC", "CURRENCY=USD", "XLFILL=b")</f>
        <v>-2.7148035562303492</v>
      </c>
      <c r="G274" s="9">
        <f>_xll.BQL("DAL US Equity", "FA_GROWTH(CB_BS_OTHER_CURRENT_LIABS, YOY)", "FPT=A", "FPO=3A", "ACT_EST_MAPPING=PRECISE", "FS=MRC", "CURRENCY=USD", "XLFILL=b")</f>
        <v>2.1930652632609386</v>
      </c>
      <c r="H274" s="9">
        <f>_xll.BQL("DAL US Equity", "FA_GROWTH(CB_BS_OTHER_CURRENT_LIABS, YOY)", "FPT=A", "FPO=2A", "ACT_EST_MAPPING=PRECISE", "FS=MRC", "CURRENCY=USD", "XLFILL=b")</f>
        <v>-0.54858040573998479</v>
      </c>
      <c r="I274" s="9">
        <f>_xll.BQL("DAL US Equity", "FA_GROWTH(CB_BS_OTHER_CURRENT_LIABS, YOY)", "FPT=A", "FPO=1A", "ACT_EST_MAPPING=PRECISE", "FS=MRC", "CURRENCY=USD", "XLFILL=b")</f>
        <v>1.7831208242999206</v>
      </c>
      <c r="J274" s="9">
        <f>_xll.BQL("DAL US Equity", "FA_GROWTH(CB_BS_OTHER_CURRENT_LIABS, YOY)", "FPT=A", "FPO=0A", "ACT_EST_MAPPING=PRECISE", "FS=MRC", "CURRENCY=USD", "XLFILL=b")</f>
        <v>0</v>
      </c>
      <c r="K274" s="9">
        <f>_xll.BQL("DAL US Equity", "FA_GROWTH(CB_BS_OTHER_CURRENT_LIABS, YOY)", "FPT=A", "FPO=-1A", "ACT_EST_MAPPING=PRECISE", "FS=MRC", "CURRENCY=USD", "XLFILL=b")</f>
        <v>0</v>
      </c>
      <c r="L274" s="9">
        <f>_xll.BQL("DAL US Equity", "FA_GROWTH(CB_BS_OTHER_CURRENT_LIABS, YOY)", "FPT=A", "FPO=-2A", "ACT_EST_MAPPING=PRECISE", "FS=MRC", "CURRENCY=USD", "XLFILL=b")</f>
        <v>0</v>
      </c>
      <c r="M274" s="9">
        <f>_xll.BQL("DAL US Equity", "FA_GROWTH(CB_BS_OTHER_CURRENT_LIABS, YOY)", "FPT=A", "FPO=-3A", "ACT_EST_MAPPING=PRECISE", "FS=MRC", "CURRENCY=USD", "XLFILL=b")</f>
        <v>49.456521739130437</v>
      </c>
      <c r="N274" s="9">
        <f>_xll.BQL("DAL US Equity", "FA_GROWTH(CB_BS_OTHER_CURRENT_LIABS, YOY)", "FPT=A", "FPO=-4A", "ACT_EST_MAPPING=PRECISE", "FS=MRC", "CURRENCY=USD", "XLFILL=b")</f>
        <v>-31.534883720930232</v>
      </c>
    </row>
    <row r="275" spans="1:14" x14ac:dyDescent="0.2">
      <c r="A275" s="8" t="s">
        <v>307</v>
      </c>
      <c r="B275" s="4" t="s">
        <v>308</v>
      </c>
      <c r="C275" s="4" t="s">
        <v>309</v>
      </c>
      <c r="D275" s="4"/>
      <c r="E275" s="9">
        <f>_xll.BQL("DAL US Equity", "BS_ADJ_TOTAL_LT_LIABILITIES/1M", "FPT=A", "FPO=5A", "ACT_EST_MAPPING=PRECISE", "FS=MRC", "CURRENCY=USD", "XLFILL=b")</f>
        <v>20931.727049855395</v>
      </c>
      <c r="F275" s="9">
        <f>_xll.BQL("DAL US Equity", "BS_ADJ_TOTAL_LT_LIABILITIES/1M", "FPT=A", "FPO=4A", "ACT_EST_MAPPING=PRECISE", "FS=MRC", "CURRENCY=USD", "XLFILL=b")</f>
        <v>25630.217541388054</v>
      </c>
      <c r="G275" s="9">
        <f>_xll.BQL("DAL US Equity", "BS_ADJ_TOTAL_LT_LIABILITIES/1M", "FPT=A", "FPO=3A", "ACT_EST_MAPPING=PRECISE", "FS=MRC", "CURRENCY=USD", "XLFILL=b")</f>
        <v>27041.174515656396</v>
      </c>
      <c r="H275" s="9">
        <f>_xll.BQL("DAL US Equity", "BS_ADJ_TOTAL_LT_LIABILITIES/1M", "FPT=A", "FPO=2A", "ACT_EST_MAPPING=PRECISE", "FS=MRC", "CURRENCY=USD", "XLFILL=b")</f>
        <v>31261.800452527637</v>
      </c>
      <c r="I275" s="9">
        <f>_xll.BQL("DAL US Equity", "BS_ADJ_TOTAL_LT_LIABILITIES/1M", "FPT=A", "FPO=1A", "ACT_EST_MAPPING=PRECISE", "FS=MRC", "CURRENCY=USD", "XLFILL=b")</f>
        <v>33359.665990821872</v>
      </c>
      <c r="J275" s="9">
        <f>_xll.BQL("DAL US Equity", "BS_ADJ_TOTAL_LT_LIABILITIES/1M", "FPT=A", "FPO=0A", "ACT_EST_MAPPING=PRECISE", "FS=MRC", "CURRENCY=USD", "XLFILL=b")</f>
        <v>36121</v>
      </c>
      <c r="K275" s="9">
        <f>_xll.BQL("DAL US Equity", "BS_ADJ_TOTAL_LT_LIABILITIES/1M", "FPT=A", "FPO=-1A", "ACT_EST_MAPPING=PRECISE", "FS=MRC", "CURRENCY=USD", "XLFILL=b")</f>
        <v>39766</v>
      </c>
      <c r="L275" s="9">
        <f>_xll.BQL("DAL US Equity", "BS_ADJ_TOTAL_LT_LIABILITIES/1M", "FPT=A", "FPO=-2A", "ACT_EST_MAPPING=PRECISE", "FS=MRC", "CURRENCY=USD", "XLFILL=b")</f>
        <v>47606</v>
      </c>
      <c r="M275" s="9">
        <f>_xll.BQL("DAL US Equity", "BS_ADJ_TOTAL_LT_LIABILITIES/1M", "FPT=A", "FPO=-3A", "ACT_EST_MAPPING=PRECISE", "FS=MRC", "CURRENCY=USD", "XLFILL=b")</f>
        <v>54535</v>
      </c>
      <c r="N275" s="9">
        <f>_xll.BQL("DAL US Equity", "BS_ADJ_TOTAL_LT_LIABILITIES/1M", "FPT=A", "FPO=-4A", "ACT_EST_MAPPING=PRECISE", "FS=MRC", "CURRENCY=USD", "XLFILL=b")</f>
        <v>28970</v>
      </c>
    </row>
    <row r="276" spans="1:14" x14ac:dyDescent="0.2">
      <c r="A276" s="8" t="s">
        <v>86</v>
      </c>
      <c r="B276" s="4" t="s">
        <v>308</v>
      </c>
      <c r="C276" s="4" t="s">
        <v>309</v>
      </c>
      <c r="D276" s="4"/>
      <c r="E276" s="9">
        <f>_xll.BQL("DAL US Equity", "FA_GROWTH(BS_ADJ_TOTAL_LT_LIABILITIES, YOY)", "FPT=A", "FPO=5A", "ACT_EST_MAPPING=PRECISE", "FS=MRC", "CURRENCY=USD", "XLFILL=b")</f>
        <v>-18.331840078787728</v>
      </c>
      <c r="F276" s="9">
        <f>_xll.BQL("DAL US Equity", "FA_GROWTH(BS_ADJ_TOTAL_LT_LIABILITIES, YOY)", "FPT=A", "FPO=4A", "ACT_EST_MAPPING=PRECISE", "FS=MRC", "CURRENCY=USD", "XLFILL=b")</f>
        <v>-5.2178095054688551</v>
      </c>
      <c r="G276" s="9">
        <f>_xll.BQL("DAL US Equity", "FA_GROWTH(BS_ADJ_TOTAL_LT_LIABILITIES, YOY)", "FPT=A", "FPO=3A", "ACT_EST_MAPPING=PRECISE", "FS=MRC", "CURRENCY=USD", "XLFILL=b")</f>
        <v>-13.500904860807493</v>
      </c>
      <c r="H276" s="9">
        <f>_xll.BQL("DAL US Equity", "FA_GROWTH(BS_ADJ_TOTAL_LT_LIABILITIES, YOY)", "FPT=A", "FPO=2A", "ACT_EST_MAPPING=PRECISE", "FS=MRC", "CURRENCY=USD", "XLFILL=b")</f>
        <v>-6.2886287256935072</v>
      </c>
      <c r="I276" s="9">
        <f>_xll.BQL("DAL US Equity", "FA_GROWTH(BS_ADJ_TOTAL_LT_LIABILITIES, YOY)", "FPT=A", "FPO=1A", "ACT_EST_MAPPING=PRECISE", "FS=MRC", "CURRENCY=USD", "XLFILL=b")</f>
        <v>-7.6446776367712168</v>
      </c>
      <c r="J276" s="9">
        <f>_xll.BQL("DAL US Equity", "FA_GROWTH(BS_ADJ_TOTAL_LT_LIABILITIES, YOY)", "FPT=A", "FPO=0A", "ACT_EST_MAPPING=PRECISE", "FS=MRC", "CURRENCY=USD", "XLFILL=b")</f>
        <v>-9.1661218126037323</v>
      </c>
      <c r="K276" s="9">
        <f>_xll.BQL("DAL US Equity", "FA_GROWTH(BS_ADJ_TOTAL_LT_LIABILITIES, YOY)", "FPT=A", "FPO=-1A", "ACT_EST_MAPPING=PRECISE", "FS=MRC", "CURRENCY=USD", "XLFILL=b")</f>
        <v>-16.468512372390034</v>
      </c>
      <c r="L276" s="9">
        <f>_xll.BQL("DAL US Equity", "FA_GROWTH(BS_ADJ_TOTAL_LT_LIABILITIES, YOY)", "FPT=A", "FPO=-2A", "ACT_EST_MAPPING=PRECISE", "FS=MRC", "CURRENCY=USD", "XLFILL=b")</f>
        <v>-12.705601907032181</v>
      </c>
      <c r="M276" s="9">
        <f>_xll.BQL("DAL US Equity", "FA_GROWTH(BS_ADJ_TOTAL_LT_LIABILITIES, YOY)", "FPT=A", "FPO=-3A", "ACT_EST_MAPPING=PRECISE", "FS=MRC", "CURRENCY=USD", "XLFILL=b")</f>
        <v>88.24646185709355</v>
      </c>
      <c r="N276" s="9">
        <f>_xll.BQL("DAL US Equity", "FA_GROWTH(BS_ADJ_TOTAL_LT_LIABILITIES, YOY)", "FPT=A", "FPO=-4A", "ACT_EST_MAPPING=PRECISE", "FS=MRC", "CURRENCY=USD", "XLFILL=b")</f>
        <v>3.4605906931895292</v>
      </c>
    </row>
    <row r="277" spans="1:14" x14ac:dyDescent="0.2">
      <c r="A277" s="8" t="s">
        <v>310</v>
      </c>
      <c r="B277" s="4" t="s">
        <v>311</v>
      </c>
      <c r="C277" s="4" t="s">
        <v>312</v>
      </c>
      <c r="D277" s="4"/>
      <c r="E277" s="9">
        <f>_xll.BQL("DAL US Equity", "CB_BS_LT_BORROWING/1M", "FPT=A", "FPO=5A", "ACT_EST_MAPPING=PRECISE", "FS=MRC", "CURRENCY=USD", "XLFILL=b")</f>
        <v>9199.5</v>
      </c>
      <c r="F277" s="9">
        <f>_xll.BQL("DAL US Equity", "CB_BS_LT_BORROWING/1M", "FPT=A", "FPO=4A", "ACT_EST_MAPPING=PRECISE", "FS=MRC", "CURRENCY=USD", "XLFILL=b")</f>
        <v>9733.6648292832106</v>
      </c>
      <c r="G277" s="9">
        <f>_xll.BQL("DAL US Equity", "CB_BS_LT_BORROWING/1M", "FPT=A", "FPO=3A", "ACT_EST_MAPPING=PRECISE", "FS=MRC", "CURRENCY=USD", "XLFILL=b")</f>
        <v>9961.1363073061057</v>
      </c>
      <c r="H277" s="9">
        <f>_xll.BQL("DAL US Equity", "CB_BS_LT_BORROWING/1M", "FPT=A", "FPO=2A", "ACT_EST_MAPPING=PRECISE", "FS=MRC", "CURRENCY=USD", "XLFILL=b")</f>
        <v>12861.694331683628</v>
      </c>
      <c r="I277" s="9">
        <f>_xll.BQL("DAL US Equity", "CB_BS_LT_BORROWING/1M", "FPT=A", "FPO=1A", "ACT_EST_MAPPING=PRECISE", "FS=MRC", "CURRENCY=USD", "XLFILL=b")</f>
        <v>14573.004868795837</v>
      </c>
      <c r="J277" s="9">
        <f>_xll.BQL("DAL US Equity", "CB_BS_LT_BORROWING/1M", "FPT=A", "FPO=0A", "ACT_EST_MAPPING=PRECISE", "FS=MRC", "CURRENCY=USD", "XLFILL=b")</f>
        <v>17071</v>
      </c>
      <c r="K277" s="9">
        <f>_xll.BQL("DAL US Equity", "CB_BS_LT_BORROWING/1M", "FPT=A", "FPO=-1A", "ACT_EST_MAPPING=PRECISE", "FS=MRC", "CURRENCY=USD", "XLFILL=b")</f>
        <v>20671</v>
      </c>
      <c r="L277" s="9">
        <f>_xll.BQL("DAL US Equity", "CB_BS_LT_BORROWING/1M", "FPT=A", "FPO=-2A", "ACT_EST_MAPPING=PRECISE", "FS=MRC", "CURRENCY=USD", "XLFILL=b")</f>
        <v>25138</v>
      </c>
      <c r="M277" s="9">
        <f>_xll.BQL("DAL US Equity", "CB_BS_LT_BORROWING/1M", "FPT=A", "FPO=-3A", "ACT_EST_MAPPING=PRECISE", "FS=MRC", "CURRENCY=USD", "XLFILL=b")</f>
        <v>27425</v>
      </c>
      <c r="N277" s="9">
        <f>_xll.BQL("DAL US Equity", "CB_BS_LT_BORROWING/1M", "FPT=A", "FPO=-4A", "ACT_EST_MAPPING=PRECISE", "FS=MRC", "CURRENCY=USD", "XLFILL=b")</f>
        <v>8873</v>
      </c>
    </row>
    <row r="278" spans="1:14" x14ac:dyDescent="0.2">
      <c r="A278" s="8" t="s">
        <v>94</v>
      </c>
      <c r="B278" s="4" t="s">
        <v>311</v>
      </c>
      <c r="C278" s="4" t="s">
        <v>312</v>
      </c>
      <c r="D278" s="4"/>
      <c r="E278" s="9">
        <f>_xll.BQL("DAL US Equity", "FA_GROWTH(CB_BS_LT_BORROWING, YOY)", "FPT=A", "FPO=5A", "ACT_EST_MAPPING=PRECISE", "FS=MRC", "CURRENCY=USD", "XLFILL=b")</f>
        <v>-5.4878079187214706</v>
      </c>
      <c r="F278" s="9">
        <f>_xll.BQL("DAL US Equity", "FA_GROWTH(CB_BS_LT_BORROWING, YOY)", "FPT=A", "FPO=4A", "ACT_EST_MAPPING=PRECISE", "FS=MRC", "CURRENCY=USD", "XLFILL=b")</f>
        <v>-2.2835896528798059</v>
      </c>
      <c r="G278" s="9">
        <f>_xll.BQL("DAL US Equity", "FA_GROWTH(CB_BS_LT_BORROWING, YOY)", "FPT=A", "FPO=3A", "ACT_EST_MAPPING=PRECISE", "FS=MRC", "CURRENCY=USD", "XLFILL=b")</f>
        <v>-22.551912287576741</v>
      </c>
      <c r="H278" s="9">
        <f>_xll.BQL("DAL US Equity", "FA_GROWTH(CB_BS_LT_BORROWING, YOY)", "FPT=A", "FPO=2A", "ACT_EST_MAPPING=PRECISE", "FS=MRC", "CURRENCY=USD", "XLFILL=b")</f>
        <v>-11.74301767219278</v>
      </c>
      <c r="I278" s="9">
        <f>_xll.BQL("DAL US Equity", "FA_GROWTH(CB_BS_LT_BORROWING, YOY)", "FPT=A", "FPO=1A", "ACT_EST_MAPPING=PRECISE", "FS=MRC", "CURRENCY=USD", "XLFILL=b")</f>
        <v>-14.632974818136972</v>
      </c>
      <c r="J278" s="9">
        <f>_xll.BQL("DAL US Equity", "FA_GROWTH(CB_BS_LT_BORROWING, YOY)", "FPT=A", "FPO=0A", "ACT_EST_MAPPING=PRECISE", "FS=MRC", "CURRENCY=USD", "XLFILL=b")</f>
        <v>-17.415703159015045</v>
      </c>
      <c r="K278" s="9">
        <f>_xll.BQL("DAL US Equity", "FA_GROWTH(CB_BS_LT_BORROWING, YOY)", "FPT=A", "FPO=-1A", "ACT_EST_MAPPING=PRECISE", "FS=MRC", "CURRENCY=USD", "XLFILL=b")</f>
        <v>-17.769910096268596</v>
      </c>
      <c r="L278" s="9">
        <f>_xll.BQL("DAL US Equity", "FA_GROWTH(CB_BS_LT_BORROWING, YOY)", "FPT=A", "FPO=-2A", "ACT_EST_MAPPING=PRECISE", "FS=MRC", "CURRENCY=USD", "XLFILL=b")</f>
        <v>-8.3391066545123067</v>
      </c>
      <c r="M278" s="9">
        <f>_xll.BQL("DAL US Equity", "FA_GROWTH(CB_BS_LT_BORROWING, YOY)", "FPT=A", "FPO=-3A", "ACT_EST_MAPPING=PRECISE", "FS=MRC", "CURRENCY=USD", "XLFILL=b")</f>
        <v>209.08373718020962</v>
      </c>
      <c r="N278" s="9">
        <f>_xll.BQL("DAL US Equity", "FA_GROWTH(CB_BS_LT_BORROWING, YOY)", "FPT=A", "FPO=-4A", "ACT_EST_MAPPING=PRECISE", "FS=MRC", "CURRENCY=USD", "XLFILL=b")</f>
        <v>7.5124197261601839</v>
      </c>
    </row>
    <row r="279" spans="1:14" x14ac:dyDescent="0.2">
      <c r="A279" s="8" t="s">
        <v>313</v>
      </c>
      <c r="B279" s="4"/>
      <c r="C279" s="4"/>
      <c r="D279" s="4"/>
      <c r="E279" s="9"/>
      <c r="F279" s="9"/>
      <c r="G279" s="9"/>
      <c r="H279" s="9"/>
      <c r="I279" s="9"/>
      <c r="J279" s="9"/>
      <c r="K279" s="9"/>
      <c r="L279" s="9"/>
      <c r="M279" s="9"/>
      <c r="N279" s="9"/>
    </row>
    <row r="280" spans="1:14" x14ac:dyDescent="0.2">
      <c r="A280" s="8" t="s">
        <v>314</v>
      </c>
      <c r="B280" s="4" t="s">
        <v>315</v>
      </c>
      <c r="C280" s="4" t="s">
        <v>316</v>
      </c>
      <c r="D280" s="4"/>
      <c r="E280" s="9">
        <f>_xll.BQL("DAL US Equity", "BS_TOTAL_OPERATING_LEASE_LIABS/1M", "FPT=A", "FPO=5A", "ACT_EST_MAPPING=PRECISE", "FS=MRC", "CURRENCY=USD", "XLFILL=b")</f>
        <v>7023.5319185612225</v>
      </c>
      <c r="F280" s="9">
        <f>_xll.BQL("DAL US Equity", "BS_TOTAL_OPERATING_LEASE_LIABS/1M", "FPT=A", "FPO=4A", "ACT_EST_MAPPING=PRECISE", "FS=MRC", "CURRENCY=USD", "XLFILL=b")</f>
        <v>7170.4047039895813</v>
      </c>
      <c r="G280" s="9">
        <f>_xll.BQL("DAL US Equity", "BS_TOTAL_OPERATING_LEASE_LIABS/1M", "FPT=A", "FPO=3A", "ACT_EST_MAPPING=PRECISE", "FS=MRC", "CURRENCY=USD", "XLFILL=b")</f>
        <v>7215.799440477329</v>
      </c>
      <c r="H280" s="9">
        <f>_xll.BQL("DAL US Equity", "BS_TOTAL_OPERATING_LEASE_LIABS/1M", "FPT=A", "FPO=2A", "ACT_EST_MAPPING=PRECISE", "FS=MRC", "CURRENCY=USD", "XLFILL=b")</f>
        <v>7017.4924549613861</v>
      </c>
      <c r="I280" s="9">
        <f>_xll.BQL("DAL US Equity", "BS_TOTAL_OPERATING_LEASE_LIABS/1M", "FPT=A", "FPO=1A", "ACT_EST_MAPPING=PRECISE", "FS=MRC", "CURRENCY=USD", "XLFILL=b")</f>
        <v>6986.9958997079257</v>
      </c>
      <c r="J280" s="9">
        <f>_xll.BQL("DAL US Equity", "BS_TOTAL_OPERATING_LEASE_LIABS/1M", "FPT=A", "FPO=0A", "ACT_EST_MAPPING=PRECISE", "FS=MRC", "CURRENCY=USD", "XLFILL=b")</f>
        <v>7227</v>
      </c>
      <c r="K280" s="9">
        <f>_xll.BQL("DAL US Equity", "BS_TOTAL_OPERATING_LEASE_LIABS/1M", "FPT=A", "FPO=-1A", "ACT_EST_MAPPING=PRECISE", "FS=MRC", "CURRENCY=USD", "XLFILL=b")</f>
        <v>7580</v>
      </c>
      <c r="L280" s="9">
        <f>_xll.BQL("DAL US Equity", "BS_TOTAL_OPERATING_LEASE_LIABS/1M", "FPT=A", "FPO=-2A", "ACT_EST_MAPPING=PRECISE", "FS=MRC", "CURRENCY=USD", "XLFILL=b")</f>
        <v>7759</v>
      </c>
      <c r="M280" s="9">
        <f>_xll.BQL("DAL US Equity", "BS_TOTAL_OPERATING_LEASE_LIABS/1M", "FPT=A", "FPO=-3A", "ACT_EST_MAPPING=PRECISE", "FS=MRC", "CURRENCY=USD", "XLFILL=b")</f>
        <v>6391</v>
      </c>
      <c r="N280" s="9">
        <f>_xll.BQL("DAL US Equity", "BS_TOTAL_OPERATING_LEASE_LIABS/1M", "FPT=A", "FPO=-4A", "ACT_EST_MAPPING=PRECISE", "FS=MRC", "CURRENCY=USD", "XLFILL=b")</f>
        <v>6095</v>
      </c>
    </row>
    <row r="281" spans="1:14" x14ac:dyDescent="0.2">
      <c r="A281" s="8" t="s">
        <v>99</v>
      </c>
      <c r="B281" s="4" t="s">
        <v>315</v>
      </c>
      <c r="C281" s="4" t="s">
        <v>316</v>
      </c>
      <c r="D281" s="4"/>
      <c r="E281" s="9">
        <f>_xll.BQL("DAL US Equity", "FA_GROWTH(BS_TOTAL_OPERATING_LEASE_LIABS, YOY)", "FPT=A", "FPO=5A", "ACT_EST_MAPPING=PRECISE", "FS=MRC", "CURRENCY=USD", "XLFILL=b")</f>
        <v>-2.0483193277311065</v>
      </c>
      <c r="F281" s="9">
        <f>_xll.BQL("DAL US Equity", "FA_GROWTH(BS_TOTAL_OPERATING_LEASE_LIABS, YOY)", "FPT=A", "FPO=4A", "ACT_EST_MAPPING=PRECISE", "FS=MRC", "CURRENCY=USD", "XLFILL=b")</f>
        <v>-0.62910197078239827</v>
      </c>
      <c r="G281" s="9">
        <f>_xll.BQL("DAL US Equity", "FA_GROWTH(BS_TOTAL_OPERATING_LEASE_LIABS, YOY)", "FPT=A", "FPO=3A", "ACT_EST_MAPPING=PRECISE", "FS=MRC", "CURRENCY=USD", "XLFILL=b")</f>
        <v>2.8258952437596134</v>
      </c>
      <c r="H281" s="9">
        <f>_xll.BQL("DAL US Equity", "FA_GROWTH(BS_TOTAL_OPERATING_LEASE_LIABS, YOY)", "FPT=A", "FPO=2A", "ACT_EST_MAPPING=PRECISE", "FS=MRC", "CURRENCY=USD", "XLFILL=b")</f>
        <v>0.43647592887144482</v>
      </c>
      <c r="I281" s="9">
        <f>_xll.BQL("DAL US Equity", "FA_GROWTH(BS_TOTAL_OPERATING_LEASE_LIABS, YOY)", "FPT=A", "FPO=1A", "ACT_EST_MAPPING=PRECISE", "FS=MRC", "CURRENCY=USD", "XLFILL=b")</f>
        <v>-3.3209367689507983</v>
      </c>
      <c r="J281" s="9">
        <f>_xll.BQL("DAL US Equity", "FA_GROWTH(BS_TOTAL_OPERATING_LEASE_LIABS, YOY)", "FPT=A", "FPO=0A", "ACT_EST_MAPPING=PRECISE", "FS=MRC", "CURRENCY=USD", "XLFILL=b")</f>
        <v>-4.6569920844327175</v>
      </c>
      <c r="K281" s="9">
        <f>_xll.BQL("DAL US Equity", "FA_GROWTH(BS_TOTAL_OPERATING_LEASE_LIABS, YOY)", "FPT=A", "FPO=-1A", "ACT_EST_MAPPING=PRECISE", "FS=MRC", "CURRENCY=USD", "XLFILL=b")</f>
        <v>-2.3069983245263566</v>
      </c>
      <c r="L281" s="9">
        <f>_xll.BQL("DAL US Equity", "FA_GROWTH(BS_TOTAL_OPERATING_LEASE_LIABS, YOY)", "FPT=A", "FPO=-2A", "ACT_EST_MAPPING=PRECISE", "FS=MRC", "CURRENCY=USD", "XLFILL=b")</f>
        <v>21.405100923173212</v>
      </c>
      <c r="M281" s="9">
        <f>_xll.BQL("DAL US Equity", "FA_GROWTH(BS_TOTAL_OPERATING_LEASE_LIABS, YOY)", "FPT=A", "FPO=-3A", "ACT_EST_MAPPING=PRECISE", "FS=MRC", "CURRENCY=USD", "XLFILL=b")</f>
        <v>4.8564397046759638</v>
      </c>
      <c r="N281" s="9">
        <f>_xll.BQL("DAL US Equity", "FA_GROWTH(BS_TOTAL_OPERATING_LEASE_LIABS, YOY)", "FPT=A", "FPO=-4A", "ACT_EST_MAPPING=PRECISE", "FS=MRC", "CURRENCY=USD", "XLFILL=b")</f>
        <v>-9.7838957963291886</v>
      </c>
    </row>
    <row r="282" spans="1:14" x14ac:dyDescent="0.2">
      <c r="A282" s="8" t="s">
        <v>317</v>
      </c>
      <c r="B282" s="4" t="s">
        <v>318</v>
      </c>
      <c r="C282" s="4" t="s">
        <v>316</v>
      </c>
      <c r="D282" s="4"/>
      <c r="E282" s="9">
        <f>_xll.BQL("DAL US Equity", "BS_PENSION_RSRV/1M", "FPT=A", "FPO=5A", "ACT_EST_MAPPING=PRECISE", "FS=MRC", "CURRENCY=USD", "XLFILL=b")</f>
        <v>3598.5</v>
      </c>
      <c r="F282" s="9">
        <f>_xll.BQL("DAL US Equity", "BS_PENSION_RSRV/1M", "FPT=A", "FPO=4A", "ACT_EST_MAPPING=PRECISE", "FS=MRC", "CURRENCY=USD", "XLFILL=b")</f>
        <v>3550</v>
      </c>
      <c r="G282" s="9">
        <f>_xll.BQL("DAL US Equity", "BS_PENSION_RSRV/1M", "FPT=A", "FPO=3A", "ACT_EST_MAPPING=PRECISE", "FS=MRC", "CURRENCY=USD", "XLFILL=b")</f>
        <v>3371.6709689317336</v>
      </c>
      <c r="H282" s="9">
        <f>_xll.BQL("DAL US Equity", "BS_PENSION_RSRV/1M", "FPT=A", "FPO=2A", "ACT_EST_MAPPING=PRECISE", "FS=MRC", "CURRENCY=USD", "XLFILL=b")</f>
        <v>3479.2250903989334</v>
      </c>
      <c r="I282" s="9">
        <f>_xll.BQL("DAL US Equity", "BS_PENSION_RSRV/1M", "FPT=A", "FPO=1A", "ACT_EST_MAPPING=PRECISE", "FS=MRC", "CURRENCY=USD", "XLFILL=b")</f>
        <v>3530.3362015100447</v>
      </c>
      <c r="J282" s="9">
        <f>_xll.BQL("DAL US Equity", "BS_PENSION_RSRV/1M", "FPT=A", "FPO=0A", "ACT_EST_MAPPING=PRECISE", "FS=MRC", "CURRENCY=USD", "XLFILL=b")</f>
        <v>3601</v>
      </c>
      <c r="K282" s="9">
        <f>_xll.BQL("DAL US Equity", "BS_PENSION_RSRV/1M", "FPT=A", "FPO=-1A", "ACT_EST_MAPPING=PRECISE", "FS=MRC", "CURRENCY=USD", "XLFILL=b")</f>
        <v>3707</v>
      </c>
      <c r="L282" s="9">
        <f>_xll.BQL("DAL US Equity", "BS_PENSION_RSRV/1M", "FPT=A", "FPO=-2A", "ACT_EST_MAPPING=PRECISE", "FS=MRC", "CURRENCY=USD", "XLFILL=b")</f>
        <v>6035</v>
      </c>
      <c r="M282" s="9">
        <f>_xll.BQL("DAL US Equity", "BS_PENSION_RSRV/1M", "FPT=A", "FPO=-3A", "ACT_EST_MAPPING=PRECISE", "FS=MRC", "CURRENCY=USD", "XLFILL=b")</f>
        <v>10630</v>
      </c>
      <c r="N282" s="9">
        <f>_xll.BQL("DAL US Equity", "BS_PENSION_RSRV/1M", "FPT=A", "FPO=-4A", "ACT_EST_MAPPING=PRECISE", "FS=MRC", "CURRENCY=USD", "XLFILL=b")</f>
        <v>8452</v>
      </c>
    </row>
    <row r="283" spans="1:14" x14ac:dyDescent="0.2">
      <c r="A283" s="8" t="s">
        <v>94</v>
      </c>
      <c r="B283" s="4" t="s">
        <v>318</v>
      </c>
      <c r="C283" s="4" t="s">
        <v>316</v>
      </c>
      <c r="D283" s="4"/>
      <c r="E283" s="9">
        <f>_xll.BQL("DAL US Equity", "FA_GROWTH(BS_PENSION_RSRV, YOY)", "FPT=A", "FPO=5A", "ACT_EST_MAPPING=PRECISE", "FS=MRC", "CURRENCY=USD", "XLFILL=b")</f>
        <v>1.3661971830985915</v>
      </c>
      <c r="F283" s="9">
        <f>_xll.BQL("DAL US Equity", "FA_GROWTH(BS_PENSION_RSRV, YOY)", "FPT=A", "FPO=4A", "ACT_EST_MAPPING=PRECISE", "FS=MRC", "CURRENCY=USD", "XLFILL=b")</f>
        <v>5.2890401439369219</v>
      </c>
      <c r="G283" s="9">
        <f>_xll.BQL("DAL US Equity", "FA_GROWTH(BS_PENSION_RSRV, YOY)", "FPT=A", "FPO=3A", "ACT_EST_MAPPING=PRECISE", "FS=MRC", "CURRENCY=USD", "XLFILL=b")</f>
        <v>-3.091324035458352</v>
      </c>
      <c r="H283" s="9">
        <f>_xll.BQL("DAL US Equity", "FA_GROWTH(BS_PENSION_RSRV, YOY)", "FPT=A", "FPO=2A", "ACT_EST_MAPPING=PRECISE", "FS=MRC", "CURRENCY=USD", "XLFILL=b")</f>
        <v>-1.4477689430612646</v>
      </c>
      <c r="I283" s="9">
        <f>_xll.BQL("DAL US Equity", "FA_GROWTH(BS_PENSION_RSRV, YOY)", "FPT=A", "FPO=1A", "ACT_EST_MAPPING=PRECISE", "FS=MRC", "CURRENCY=USD", "XLFILL=b")</f>
        <v>-1.9623381974439162</v>
      </c>
      <c r="J283" s="9">
        <f>_xll.BQL("DAL US Equity", "FA_GROWTH(BS_PENSION_RSRV, YOY)", "FPT=A", "FPO=0A", "ACT_EST_MAPPING=PRECISE", "FS=MRC", "CURRENCY=USD", "XLFILL=b")</f>
        <v>-2.859455084974373</v>
      </c>
      <c r="K283" s="9">
        <f>_xll.BQL("DAL US Equity", "FA_GROWTH(BS_PENSION_RSRV, YOY)", "FPT=A", "FPO=-1A", "ACT_EST_MAPPING=PRECISE", "FS=MRC", "CURRENCY=USD", "XLFILL=b")</f>
        <v>-38.574979287489647</v>
      </c>
      <c r="L283" s="9">
        <f>_xll.BQL("DAL US Equity", "FA_GROWTH(BS_PENSION_RSRV, YOY)", "FPT=A", "FPO=-2A", "ACT_EST_MAPPING=PRECISE", "FS=MRC", "CURRENCY=USD", "XLFILL=b")</f>
        <v>-43.226716839134525</v>
      </c>
      <c r="M283" s="9">
        <f>_xll.BQL("DAL US Equity", "FA_GROWTH(BS_PENSION_RSRV, YOY)", "FPT=A", "FPO=-3A", "ACT_EST_MAPPING=PRECISE", "FS=MRC", "CURRENCY=USD", "XLFILL=b")</f>
        <v>25.769048745858967</v>
      </c>
      <c r="N283" s="9">
        <f>_xll.BQL("DAL US Equity", "FA_GROWTH(BS_PENSION_RSRV, YOY)", "FPT=A", "FPO=-4A", "ACT_EST_MAPPING=PRECISE", "FS=MRC", "CURRENCY=USD", "XLFILL=b")</f>
        <v>-7.7594674233329695</v>
      </c>
    </row>
    <row r="284" spans="1:14" x14ac:dyDescent="0.2">
      <c r="A284" s="8" t="s">
        <v>319</v>
      </c>
      <c r="B284" s="4" t="s">
        <v>320</v>
      </c>
      <c r="C284" s="4" t="s">
        <v>321</v>
      </c>
      <c r="D284" s="4"/>
      <c r="E284" s="9">
        <f>_xll.BQL("DAL US Equity", "LT_DEFERRED_REVENUE/1M", "FPT=A", "FPO=5A", "ACT_EST_MAPPING=PRECISE", "FS=MRC", "CURRENCY=USD", "XLFILL=b")</f>
        <v>4512</v>
      </c>
      <c r="F284" s="9">
        <f>_xll.BQL("DAL US Equity", "LT_DEFERRED_REVENUE/1M", "FPT=A", "FPO=4A", "ACT_EST_MAPPING=PRECISE", "FS=MRC", "CURRENCY=USD", "XLFILL=b")</f>
        <v>4554</v>
      </c>
      <c r="G284" s="9">
        <f>_xll.BQL("DAL US Equity", "LT_DEFERRED_REVENUE/1M", "FPT=A", "FPO=3A", "ACT_EST_MAPPING=PRECISE", "FS=MRC", "CURRENCY=USD", "XLFILL=b")</f>
        <v>4735.830674127672</v>
      </c>
      <c r="H284" s="9">
        <f>_xll.BQL("DAL US Equity", "LT_DEFERRED_REVENUE/1M", "FPT=A", "FPO=2A", "ACT_EST_MAPPING=PRECISE", "FS=MRC", "CURRENCY=USD", "XLFILL=b")</f>
        <v>4631.5369241108883</v>
      </c>
      <c r="I284" s="9">
        <f>_xll.BQL("DAL US Equity", "LT_DEFERRED_REVENUE/1M", "FPT=A", "FPO=1A", "ACT_EST_MAPPING=PRECISE", "FS=MRC", "CURRENCY=USD", "XLFILL=b")</f>
        <v>4562.2309836874028</v>
      </c>
      <c r="J284" s="9">
        <f>_xll.BQL("DAL US Equity", "LT_DEFERRED_REVENUE/1M", "FPT=A", "FPO=0A", "ACT_EST_MAPPING=PRECISE", "FS=MRC", "CURRENCY=USD", "XLFILL=b")</f>
        <v>5420</v>
      </c>
      <c r="K284" s="9">
        <f>_xll.BQL("DAL US Equity", "LT_DEFERRED_REVENUE/1M", "FPT=A", "FPO=-1A", "ACT_EST_MAPPING=PRECISE", "FS=MRC", "CURRENCY=USD", "XLFILL=b")</f>
        <v>4548</v>
      </c>
      <c r="L284" s="9">
        <f>_xll.BQL("DAL US Equity", "LT_DEFERRED_REVENUE/1M", "FPT=A", "FPO=-2A", "ACT_EST_MAPPING=PRECISE", "FS=MRC", "CURRENCY=USD", "XLFILL=b")</f>
        <v>4849</v>
      </c>
      <c r="M284" s="9">
        <f>_xll.BQL("DAL US Equity", "LT_DEFERRED_REVENUE/1M", "FPT=A", "FPO=-3A", "ACT_EST_MAPPING=PRECISE", "FS=MRC", "CURRENCY=USD", "XLFILL=b")</f>
        <v>5405</v>
      </c>
      <c r="N284" s="9">
        <f>_xll.BQL("DAL US Equity", "LT_DEFERRED_REVENUE/1M", "FPT=A", "FPO=-4A", "ACT_EST_MAPPING=PRECISE", "FS=MRC", "CURRENCY=USD", "XLFILL=b")</f>
        <v>3509</v>
      </c>
    </row>
    <row r="285" spans="1:14" x14ac:dyDescent="0.2">
      <c r="A285" s="8" t="s">
        <v>94</v>
      </c>
      <c r="B285" s="4" t="s">
        <v>320</v>
      </c>
      <c r="C285" s="4" t="s">
        <v>321</v>
      </c>
      <c r="D285" s="4"/>
      <c r="E285" s="9">
        <f>_xll.BQL("DAL US Equity", "FA_GROWTH(LT_DEFERRED_REVENUE, YOY)", "FPT=A", "FPO=5A", "ACT_EST_MAPPING=PRECISE", "FS=MRC", "CURRENCY=USD", "XLFILL=b")</f>
        <v>-0.92226613965744397</v>
      </c>
      <c r="F285" s="9">
        <f>_xll.BQL("DAL US Equity", "FA_GROWTH(LT_DEFERRED_REVENUE, YOY)", "FPT=A", "FPO=4A", "ACT_EST_MAPPING=PRECISE", "FS=MRC", "CURRENCY=USD", "XLFILL=b")</f>
        <v>-3.8394673846983545</v>
      </c>
      <c r="G285" s="9">
        <f>_xll.BQL("DAL US Equity", "FA_GROWTH(LT_DEFERRED_REVENUE, YOY)", "FPT=A", "FPO=3A", "ACT_EST_MAPPING=PRECISE", "FS=MRC", "CURRENCY=USD", "XLFILL=b")</f>
        <v>2.251817306558662</v>
      </c>
      <c r="H285" s="9">
        <f>_xll.BQL("DAL US Equity", "FA_GROWTH(LT_DEFERRED_REVENUE, YOY)", "FPT=A", "FPO=2A", "ACT_EST_MAPPING=PRECISE", "FS=MRC", "CURRENCY=USD", "XLFILL=b")</f>
        <v>1.5191238819624504</v>
      </c>
      <c r="I285" s="9">
        <f>_xll.BQL("DAL US Equity", "FA_GROWTH(LT_DEFERRED_REVENUE, YOY)", "FPT=A", "FPO=1A", "ACT_EST_MAPPING=PRECISE", "FS=MRC", "CURRENCY=USD", "XLFILL=b")</f>
        <v>-15.825996610933531</v>
      </c>
      <c r="J285" s="9">
        <f>_xll.BQL("DAL US Equity", "FA_GROWTH(LT_DEFERRED_REVENUE, YOY)", "FPT=A", "FPO=0A", "ACT_EST_MAPPING=PRECISE", "FS=MRC", "CURRENCY=USD", "XLFILL=b")</f>
        <v>19.173262972735269</v>
      </c>
      <c r="K285" s="9">
        <f>_xll.BQL("DAL US Equity", "FA_GROWTH(LT_DEFERRED_REVENUE, YOY)", "FPT=A", "FPO=-1A", "ACT_EST_MAPPING=PRECISE", "FS=MRC", "CURRENCY=USD", "XLFILL=b")</f>
        <v>-6.2074654567952159</v>
      </c>
      <c r="L285" s="9">
        <f>_xll.BQL("DAL US Equity", "FA_GROWTH(LT_DEFERRED_REVENUE, YOY)", "FPT=A", "FPO=-2A", "ACT_EST_MAPPING=PRECISE", "FS=MRC", "CURRENCY=USD", "XLFILL=b")</f>
        <v>-10.28677150786309</v>
      </c>
      <c r="M285" s="9">
        <f>_xll.BQL("DAL US Equity", "FA_GROWTH(LT_DEFERRED_REVENUE, YOY)", "FPT=A", "FPO=-3A", "ACT_EST_MAPPING=PRECISE", "FS=MRC", "CURRENCY=USD", "XLFILL=b")</f>
        <v>54.032487888287264</v>
      </c>
      <c r="N285" s="9">
        <f>_xll.BQL("DAL US Equity", "FA_GROWTH(LT_DEFERRED_REVENUE, YOY)", "FPT=A", "FPO=-4A", "ACT_EST_MAPPING=PRECISE", "FS=MRC", "CURRENCY=USD", "XLFILL=b")</f>
        <v>-3.9156626506024095</v>
      </c>
    </row>
    <row r="286" spans="1:14" x14ac:dyDescent="0.2">
      <c r="A286" s="8" t="s">
        <v>322</v>
      </c>
      <c r="B286" s="4" t="s">
        <v>323</v>
      </c>
      <c r="C286" s="4" t="s">
        <v>324</v>
      </c>
      <c r="D286" s="4"/>
      <c r="E286" s="9">
        <f>_xll.BQL("DAL US Equity", "BS_LT_OPERATING_LEASE_LIABS/1M", "FPT=A", "FPO=5A", "ACT_EST_MAPPING=PRECISE", "FS=MRC", "CURRENCY=USD", "XLFILL=b")</f>
        <v>6171.8635249276967</v>
      </c>
      <c r="F286" s="9">
        <f>_xll.BQL("DAL US Equity", "BS_LT_OPERATING_LEASE_LIABS/1M", "FPT=A", "FPO=4A", "ACT_EST_MAPPING=PRECISE", "FS=MRC", "CURRENCY=USD", "XLFILL=b")</f>
        <v>6176.091921881085</v>
      </c>
      <c r="G286" s="9">
        <f>_xll.BQL("DAL US Equity", "BS_LT_OPERATING_LEASE_LIABS/1M", "FPT=A", "FPO=3A", "ACT_EST_MAPPING=PRECISE", "FS=MRC", "CURRENCY=USD", "XLFILL=b")</f>
        <v>6092.0590009768057</v>
      </c>
      <c r="H286" s="9">
        <f>_xll.BQL("DAL US Equity", "BS_LT_OPERATING_LEASE_LIABS/1M", "FPT=A", "FPO=2A", "ACT_EST_MAPPING=PRECISE", "FS=MRC", "CURRENCY=USD", "XLFILL=b")</f>
        <v>6095.5523740208009</v>
      </c>
      <c r="I286" s="9">
        <f>_xll.BQL("DAL US Equity", "BS_LT_OPERATING_LEASE_LIABS/1M", "FPT=A", "FPO=1A", "ACT_EST_MAPPING=PRECISE", "FS=MRC", "CURRENCY=USD", "XLFILL=b")</f>
        <v>6112.792376659665</v>
      </c>
      <c r="J286" s="9">
        <f>_xll.BQL("DAL US Equity", "BS_LT_OPERATING_LEASE_LIABS/1M", "FPT=A", "FPO=0A", "ACT_EST_MAPPING=PRECISE", "FS=MRC", "CURRENCY=USD", "XLFILL=b")</f>
        <v>6468</v>
      </c>
      <c r="K286" s="9">
        <f>_xll.BQL("DAL US Equity", "BS_LT_OPERATING_LEASE_LIABS/1M", "FPT=A", "FPO=-1A", "ACT_EST_MAPPING=PRECISE", "FS=MRC", "CURRENCY=USD", "XLFILL=b")</f>
        <v>6866</v>
      </c>
      <c r="L286" s="9">
        <f>_xll.BQL("DAL US Equity", "BS_LT_OPERATING_LEASE_LIABS/1M", "FPT=A", "FPO=-2A", "ACT_EST_MAPPING=PRECISE", "FS=MRC", "CURRENCY=USD", "XLFILL=b")</f>
        <v>7056</v>
      </c>
      <c r="M286" s="9">
        <f>_xll.BQL("DAL US Equity", "BS_LT_OPERATING_LEASE_LIABS/1M", "FPT=A", "FPO=-3A", "ACT_EST_MAPPING=PRECISE", "FS=MRC", "CURRENCY=USD", "XLFILL=b")</f>
        <v>5713</v>
      </c>
      <c r="N286" s="9">
        <f>_xll.BQL("DAL US Equity", "BS_LT_OPERATING_LEASE_LIABS/1M", "FPT=A", "FPO=-4A", "ACT_EST_MAPPING=PRECISE", "FS=MRC", "CURRENCY=USD", "XLFILL=b")</f>
        <v>5294</v>
      </c>
    </row>
    <row r="287" spans="1:14" x14ac:dyDescent="0.2">
      <c r="A287" s="8" t="s">
        <v>94</v>
      </c>
      <c r="B287" s="4" t="s">
        <v>323</v>
      </c>
      <c r="C287" s="4" t="s">
        <v>324</v>
      </c>
      <c r="D287" s="4"/>
      <c r="E287" s="9">
        <f>_xll.BQL("DAL US Equity", "FA_GROWTH(BS_LT_OPERATING_LEASE_LIABS, YOY)", "FPT=A", "FPO=5A", "ACT_EST_MAPPING=PRECISE", "FS=MRC", "CURRENCY=USD", "XLFILL=b")</f>
        <v>-6.8463957578214746E-2</v>
      </c>
      <c r="F287" s="9">
        <f>_xll.BQL("DAL US Equity", "FA_GROWTH(BS_LT_OPERATING_LEASE_LIABS, YOY)", "FPT=A", "FPO=4A", "ACT_EST_MAPPING=PRECISE", "FS=MRC", "CURRENCY=USD", "XLFILL=b")</f>
        <v>1.3793845543978778</v>
      </c>
      <c r="G287" s="9">
        <f>_xll.BQL("DAL US Equity", "FA_GROWTH(BS_LT_OPERATING_LEASE_LIABS, YOY)", "FPT=A", "FPO=3A", "ACT_EST_MAPPING=PRECISE", "FS=MRC", "CURRENCY=USD", "XLFILL=b")</f>
        <v>-5.7310196511207646E-2</v>
      </c>
      <c r="H287" s="9">
        <f>_xll.BQL("DAL US Equity", "FA_GROWTH(BS_LT_OPERATING_LEASE_LIABS, YOY)", "FPT=A", "FPO=2A", "ACT_EST_MAPPING=PRECISE", "FS=MRC", "CURRENCY=USD", "XLFILL=b")</f>
        <v>-0.28203154264966734</v>
      </c>
      <c r="I287" s="9">
        <f>_xll.BQL("DAL US Equity", "FA_GROWTH(BS_LT_OPERATING_LEASE_LIABS, YOY)", "FPT=A", "FPO=1A", "ACT_EST_MAPPING=PRECISE", "FS=MRC", "CURRENCY=USD", "XLFILL=b")</f>
        <v>-5.4917690683416041</v>
      </c>
      <c r="J287" s="9">
        <f>_xll.BQL("DAL US Equity", "FA_GROWTH(BS_LT_OPERATING_LEASE_LIABS, YOY)", "FPT=A", "FPO=0A", "ACT_EST_MAPPING=PRECISE", "FS=MRC", "CURRENCY=USD", "XLFILL=b")</f>
        <v>-5.7966792892513839</v>
      </c>
      <c r="K287" s="9">
        <f>_xll.BQL("DAL US Equity", "FA_GROWTH(BS_LT_OPERATING_LEASE_LIABS, YOY)", "FPT=A", "FPO=-1A", "ACT_EST_MAPPING=PRECISE", "FS=MRC", "CURRENCY=USD", "XLFILL=b")</f>
        <v>-2.6927437641723357</v>
      </c>
      <c r="L287" s="9">
        <f>_xll.BQL("DAL US Equity", "FA_GROWTH(BS_LT_OPERATING_LEASE_LIABS, YOY)", "FPT=A", "FPO=-2A", "ACT_EST_MAPPING=PRECISE", "FS=MRC", "CURRENCY=USD", "XLFILL=b")</f>
        <v>23.50778925258183</v>
      </c>
      <c r="M287" s="9">
        <f>_xll.BQL("DAL US Equity", "FA_GROWTH(BS_LT_OPERATING_LEASE_LIABS, YOY)", "FPT=A", "FPO=-3A", "ACT_EST_MAPPING=PRECISE", "FS=MRC", "CURRENCY=USD", "XLFILL=b")</f>
        <v>7.9146203248961084</v>
      </c>
      <c r="N287" s="9">
        <f>_xll.BQL("DAL US Equity", "FA_GROWTH(BS_LT_OPERATING_LEASE_LIABS, YOY)", "FPT=A", "FPO=-4A", "ACT_EST_MAPPING=PRECISE", "FS=MRC", "CURRENCY=USD", "XLFILL=b")</f>
        <v>-8.7398724357869337</v>
      </c>
    </row>
    <row r="288" spans="1:14" x14ac:dyDescent="0.2">
      <c r="A288" s="8" t="s">
        <v>325</v>
      </c>
      <c r="B288" s="4" t="s">
        <v>326</v>
      </c>
      <c r="C288" s="4" t="s">
        <v>327</v>
      </c>
      <c r="D288" s="4"/>
      <c r="E288" s="9">
        <f>_xll.BQL("DAL US Equity", "CB_BS_OTHER_NONCURRENT_LIABS/1M", "FPT=A", "FPO=5A", "ACT_EST_MAPPING=PRECISE", "FS=MRC", "CURRENCY=USD", "XLFILL=b")</f>
        <v>4314</v>
      </c>
      <c r="F288" s="9">
        <f>_xll.BQL("DAL US Equity", "CB_BS_OTHER_NONCURRENT_LIABS/1M", "FPT=A", "FPO=4A", "ACT_EST_MAPPING=PRECISE", "FS=MRC", "CURRENCY=USD", "XLFILL=b")</f>
        <v>4615.5</v>
      </c>
      <c r="G288" s="9">
        <f>_xll.BQL("DAL US Equity", "CB_BS_OTHER_NONCURRENT_LIABS/1M", "FPT=A", "FPO=3A", "ACT_EST_MAPPING=PRECISE", "FS=MRC", "CURRENCY=USD", "XLFILL=b")</f>
        <v>4488.2667624040623</v>
      </c>
      <c r="H288" s="9">
        <f>_xll.BQL("DAL US Equity", "CB_BS_OTHER_NONCURRENT_LIABS/1M", "FPT=A", "FPO=2A", "ACT_EST_MAPPING=PRECISE", "FS=MRC", "CURRENCY=USD", "XLFILL=b")</f>
        <v>4716.3811806371632</v>
      </c>
      <c r="I288" s="9">
        <f>_xll.BQL("DAL US Equity", "CB_BS_OTHER_NONCURRENT_LIABS/1M", "FPT=A", "FPO=1A", "ACT_EST_MAPPING=PRECISE", "FS=MRC", "CURRENCY=USD", "XLFILL=b")</f>
        <v>4479.9894468539878</v>
      </c>
      <c r="J288" s="9">
        <f>_xll.BQL("DAL US Equity", "CB_BS_OTHER_NONCURRENT_LIABS/1M", "FPT=A", "FPO=0A", "ACT_EST_MAPPING=PRECISE", "FS=MRC", "CURRENCY=USD", "XLFILL=b")</f>
        <v>3561</v>
      </c>
      <c r="K288" s="9">
        <f>_xll.BQL("DAL US Equity", "CB_BS_OTHER_NONCURRENT_LIABS/1M", "FPT=A", "FPO=-1A", "ACT_EST_MAPPING=PRECISE", "FS=MRC", "CURRENCY=USD", "XLFILL=b")</f>
        <v>3974</v>
      </c>
      <c r="L288" s="9">
        <f>_xll.BQL("DAL US Equity", "CB_BS_OTHER_NONCURRENT_LIABS/1M", "FPT=A", "FPO=-2A", "ACT_EST_MAPPING=PRECISE", "FS=MRC", "CURRENCY=USD", "XLFILL=b")</f>
        <v>4528</v>
      </c>
      <c r="M288" s="9">
        <f>_xll.BQL("DAL US Equity", "CB_BS_OTHER_NONCURRENT_LIABS/1M", "FPT=A", "FPO=-3A", "ACT_EST_MAPPING=PRECISE", "FS=MRC", "CURRENCY=USD", "XLFILL=b")</f>
        <v>5362</v>
      </c>
      <c r="N288" s="9">
        <f>_xll.BQL("DAL US Equity", "CB_BS_OTHER_NONCURRENT_LIABS/1M", "FPT=A", "FPO=-4A", "ACT_EST_MAPPING=PRECISE", "FS=MRC", "CURRENCY=USD", "XLFILL=b")</f>
        <v>1386</v>
      </c>
    </row>
    <row r="289" spans="1:14" x14ac:dyDescent="0.2">
      <c r="A289" s="8" t="s">
        <v>94</v>
      </c>
      <c r="B289" s="4" t="s">
        <v>326</v>
      </c>
      <c r="C289" s="4" t="s">
        <v>327</v>
      </c>
      <c r="D289" s="4"/>
      <c r="E289" s="9">
        <f>_xll.BQL("DAL US Equity", "FA_GROWTH(CB_BS_OTHER_NONCURRENT_LIABS, YOY)", "FPT=A", "FPO=5A", "ACT_EST_MAPPING=PRECISE", "FS=MRC", "CURRENCY=USD", "XLFILL=b")</f>
        <v>-6.5323366915827101</v>
      </c>
      <c r="F289" s="9">
        <f>_xll.BQL("DAL US Equity", "FA_GROWTH(CB_BS_OTHER_NONCURRENT_LIABS, YOY)", "FPT=A", "FPO=4A", "ACT_EST_MAPPING=PRECISE", "FS=MRC", "CURRENCY=USD", "XLFILL=b")</f>
        <v>2.8347966894861538</v>
      </c>
      <c r="G289" s="9">
        <f>_xll.BQL("DAL US Equity", "FA_GROWTH(CB_BS_OTHER_NONCURRENT_LIABS, YOY)", "FPT=A", "FPO=3A", "ACT_EST_MAPPING=PRECISE", "FS=MRC", "CURRENCY=USD", "XLFILL=b")</f>
        <v>-4.8366408374626664</v>
      </c>
      <c r="H289" s="9">
        <f>_xll.BQL("DAL US Equity", "FA_GROWTH(CB_BS_OTHER_NONCURRENT_LIABS, YOY)", "FPT=A", "FPO=2A", "ACT_EST_MAPPING=PRECISE", "FS=MRC", "CURRENCY=USD", "XLFILL=b")</f>
        <v>5.2766136301767048</v>
      </c>
      <c r="I289" s="9">
        <f>_xll.BQL("DAL US Equity", "FA_GROWTH(CB_BS_OTHER_NONCURRENT_LIABS, YOY)", "FPT=A", "FPO=1A", "ACT_EST_MAPPING=PRECISE", "FS=MRC", "CURRENCY=USD", "XLFILL=b")</f>
        <v>25.80706113041246</v>
      </c>
      <c r="J289" s="9">
        <f>_xll.BQL("DAL US Equity", "FA_GROWTH(CB_BS_OTHER_NONCURRENT_LIABS, YOY)", "FPT=A", "FPO=0A", "ACT_EST_MAPPING=PRECISE", "FS=MRC", "CURRENCY=USD", "XLFILL=b")</f>
        <v>-10.39255158530448</v>
      </c>
      <c r="K289" s="9">
        <f>_xll.BQL("DAL US Equity", "FA_GROWTH(CB_BS_OTHER_NONCURRENT_LIABS, YOY)", "FPT=A", "FPO=-1A", "ACT_EST_MAPPING=PRECISE", "FS=MRC", "CURRENCY=USD", "XLFILL=b")</f>
        <v>-12.234982332155477</v>
      </c>
      <c r="L289" s="9">
        <f>_xll.BQL("DAL US Equity", "FA_GROWTH(CB_BS_OTHER_NONCURRENT_LIABS, YOY)", "FPT=A", "FPO=-2A", "ACT_EST_MAPPING=PRECISE", "FS=MRC", "CURRENCY=USD", "XLFILL=b")</f>
        <v>-15.55389779932861</v>
      </c>
      <c r="M289" s="9">
        <f>_xll.BQL("DAL US Equity", "FA_GROWTH(CB_BS_OTHER_NONCURRENT_LIABS, YOY)", "FPT=A", "FPO=-3A", "ACT_EST_MAPPING=PRECISE", "FS=MRC", "CURRENCY=USD", "XLFILL=b")</f>
        <v>286.86868686868689</v>
      </c>
      <c r="N289" s="9">
        <f>_xll.BQL("DAL US Equity", "FA_GROWTH(CB_BS_OTHER_NONCURRENT_LIABS, YOY)", "FPT=A", "FPO=-4A", "ACT_EST_MAPPING=PRECISE", "FS=MRC", "CURRENCY=USD", "XLFILL=b")</f>
        <v>22.438162544169611</v>
      </c>
    </row>
    <row r="290" spans="1:14" x14ac:dyDescent="0.2">
      <c r="A290" s="8" t="s">
        <v>328</v>
      </c>
      <c r="B290" s="4" t="s">
        <v>329</v>
      </c>
      <c r="C290" s="4" t="s">
        <v>330</v>
      </c>
      <c r="D290" s="4"/>
      <c r="E290" s="9">
        <f>_xll.BQL("DAL US Equity", "BS_TOTAL_LIABILITIES/1M", "FPT=A", "FPO=5A", "ACT_EST_MAPPING=PRECISE", "FS=MRC", "CURRENCY=USD", "XLFILL=b")</f>
        <v>57840.944108319643</v>
      </c>
      <c r="F290" s="9">
        <f>_xll.BQL("DAL US Equity", "BS_TOTAL_LIABILITIES/1M", "FPT=A", "FPO=4A", "ACT_EST_MAPPING=PRECISE", "FS=MRC", "CURRENCY=USD", "XLFILL=b")</f>
        <v>58397.227360277102</v>
      </c>
      <c r="G290" s="9">
        <f>_xll.BQL("DAL US Equity", "BS_TOTAL_LIABILITIES/1M", "FPT=A", "FPO=3A", "ACT_EST_MAPPING=PRECISE", "FS=MRC", "CURRENCY=USD", "XLFILL=b")</f>
        <v>58531.303741804251</v>
      </c>
      <c r="H290" s="9">
        <f>_xll.BQL("DAL US Equity", "BS_TOTAL_LIABILITIES/1M", "FPT=A", "FPO=2A", "ACT_EST_MAPPING=PRECISE", "FS=MRC", "CURRENCY=USD", "XLFILL=b")</f>
        <v>60087.687259563842</v>
      </c>
      <c r="I290" s="9">
        <f>_xll.BQL("DAL US Equity", "BS_TOTAL_LIABILITIES/1M", "FPT=A", "FPO=1A", "ACT_EST_MAPPING=PRECISE", "FS=MRC", "CURRENCY=USD", "XLFILL=b")</f>
        <v>61616.195322209525</v>
      </c>
      <c r="J290" s="9">
        <f>_xll.BQL("DAL US Equity", "BS_TOTAL_LIABILITIES/1M", "FPT=A", "FPO=0A", "ACT_EST_MAPPING=PRECISE", "FS=MRC", "CURRENCY=USD", "XLFILL=b")</f>
        <v>62539</v>
      </c>
      <c r="K290" s="9">
        <f>_xll.BQL("DAL US Equity", "BS_TOTAL_LIABILITIES/1M", "FPT=A", "FPO=-1A", "ACT_EST_MAPPING=PRECISE", "FS=MRC", "CURRENCY=USD", "XLFILL=b")</f>
        <v>65706</v>
      </c>
      <c r="L290" s="9">
        <f>_xll.BQL("DAL US Equity", "BS_TOTAL_LIABILITIES/1M", "FPT=A", "FPO=-2A", "ACT_EST_MAPPING=PRECISE", "FS=MRC", "CURRENCY=USD", "XLFILL=b")</f>
        <v>68572</v>
      </c>
      <c r="M290" s="9">
        <f>_xll.BQL("DAL US Equity", "BS_TOTAL_LIABILITIES/1M", "FPT=A", "FPO=-3A", "ACT_EST_MAPPING=PRECISE", "FS=MRC", "CURRENCY=USD", "XLFILL=b")</f>
        <v>70462</v>
      </c>
      <c r="N290" s="9">
        <f>_xll.BQL("DAL US Equity", "BS_TOTAL_LIABILITIES/1M", "FPT=A", "FPO=-4A", "ACT_EST_MAPPING=PRECISE", "FS=MRC", "CURRENCY=USD", "XLFILL=b")</f>
        <v>49174</v>
      </c>
    </row>
    <row r="291" spans="1:14" x14ac:dyDescent="0.2">
      <c r="A291" s="8" t="s">
        <v>86</v>
      </c>
      <c r="B291" s="4" t="s">
        <v>329</v>
      </c>
      <c r="C291" s="4" t="s">
        <v>330</v>
      </c>
      <c r="D291" s="4"/>
      <c r="E291" s="9">
        <f>_xll.BQL("DAL US Equity", "FA_GROWTH(BS_TOTAL_LIABILITIES, YOY)", "FPT=A", "FPO=5A", "ACT_EST_MAPPING=PRECISE", "FS=MRC", "CURRENCY=USD", "XLFILL=b")</f>
        <v>-0.95258504059706939</v>
      </c>
      <c r="F291" s="9">
        <f>_xll.BQL("DAL US Equity", "FA_GROWTH(BS_TOTAL_LIABILITIES, YOY)", "FPT=A", "FPO=4A", "ACT_EST_MAPPING=PRECISE", "FS=MRC", "CURRENCY=USD", "XLFILL=b")</f>
        <v>-0.22906782004821963</v>
      </c>
      <c r="G291" s="9">
        <f>_xll.BQL("DAL US Equity", "FA_GROWTH(BS_TOTAL_LIABILITIES, YOY)", "FPT=A", "FPO=3A", "ACT_EST_MAPPING=PRECISE", "FS=MRC", "CURRENCY=USD", "XLFILL=b")</f>
        <v>-2.5901870894720926</v>
      </c>
      <c r="H291" s="9">
        <f>_xll.BQL("DAL US Equity", "FA_GROWTH(BS_TOTAL_LIABILITIES, YOY)", "FPT=A", "FPO=2A", "ACT_EST_MAPPING=PRECISE", "FS=MRC", "CURRENCY=USD", "XLFILL=b")</f>
        <v>-2.480692056126895</v>
      </c>
      <c r="I291" s="9">
        <f>_xll.BQL("DAL US Equity", "FA_GROWTH(BS_TOTAL_LIABILITIES, YOY)", "FPT=A", "FPO=1A", "ACT_EST_MAPPING=PRECISE", "FS=MRC", "CURRENCY=USD", "XLFILL=b")</f>
        <v>-1.4755667308247238</v>
      </c>
      <c r="J291" s="9">
        <f>_xll.BQL("DAL US Equity", "FA_GROWTH(BS_TOTAL_LIABILITIES, YOY)", "FPT=A", "FPO=0A", "ACT_EST_MAPPING=PRECISE", "FS=MRC", "CURRENCY=USD", "XLFILL=b")</f>
        <v>-4.819955559614038</v>
      </c>
      <c r="K291" s="9">
        <f>_xll.BQL("DAL US Equity", "FA_GROWTH(BS_TOTAL_LIABILITIES, YOY)", "FPT=A", "FPO=-1A", "ACT_EST_MAPPING=PRECISE", "FS=MRC", "CURRENCY=USD", "XLFILL=b")</f>
        <v>-4.1795485037624687</v>
      </c>
      <c r="L291" s="9">
        <f>_xll.BQL("DAL US Equity", "FA_GROWTH(BS_TOTAL_LIABILITIES, YOY)", "FPT=A", "FPO=-2A", "ACT_EST_MAPPING=PRECISE", "FS=MRC", "CURRENCY=USD", "XLFILL=b")</f>
        <v>-2.6822968408503876</v>
      </c>
      <c r="M291" s="9">
        <f>_xll.BQL("DAL US Equity", "FA_GROWTH(BS_TOTAL_LIABILITIES, YOY)", "FPT=A", "FPO=-3A", "ACT_EST_MAPPING=PRECISE", "FS=MRC", "CURRENCY=USD", "XLFILL=b")</f>
        <v>43.2911701305568</v>
      </c>
      <c r="N291" s="9">
        <f>_xll.BQL("DAL US Equity", "FA_GROWTH(BS_TOTAL_LIABILITIES, YOY)", "FPT=A", "FPO=-4A", "ACT_EST_MAPPING=PRECISE", "FS=MRC", "CURRENCY=USD", "XLFILL=b")</f>
        <v>5.5711801455591576</v>
      </c>
    </row>
    <row r="292" spans="1:14" x14ac:dyDescent="0.2">
      <c r="A292" s="8" t="s">
        <v>331</v>
      </c>
      <c r="B292" s="4" t="s">
        <v>332</v>
      </c>
      <c r="C292" s="4" t="s">
        <v>333</v>
      </c>
      <c r="D292" s="4"/>
      <c r="E292" s="9">
        <f>_xll.BQL("DAL US Equity", "HEADLINE_NAV/1M", "FPT=A", "FPO=5A", "ACT_EST_MAPPING=PRECISE", "FS=MRC", "CURRENCY=USD", "XLFILL=b")</f>
        <v>29513</v>
      </c>
      <c r="F292" s="9">
        <f>_xll.BQL("DAL US Equity", "HEADLINE_NAV/1M", "FPT=A", "FPO=4A", "ACT_EST_MAPPING=PRECISE", "FS=MRC", "CURRENCY=USD", "XLFILL=b")</f>
        <v>27787</v>
      </c>
      <c r="G292" s="9">
        <f>_xll.BQL("DAL US Equity", "HEADLINE_NAV/1M", "FPT=A", "FPO=3A", "ACT_EST_MAPPING=PRECISE", "FS=MRC", "CURRENCY=USD", "XLFILL=b")</f>
        <v>23264.666666666668</v>
      </c>
      <c r="H292" s="9">
        <f>_xll.BQL("DAL US Equity", "HEADLINE_NAV/1M", "FPT=A", "FPO=2A", "ACT_EST_MAPPING=PRECISE", "FS=MRC", "CURRENCY=USD", "XLFILL=b")</f>
        <v>18812.400000000001</v>
      </c>
      <c r="I292" s="9">
        <f>_xll.BQL("DAL US Equity", "HEADLINE_NAV/1M", "FPT=A", "FPO=1A", "ACT_EST_MAPPING=PRECISE", "FS=MRC", "CURRENCY=USD", "XLFILL=b")</f>
        <v>14444.6</v>
      </c>
      <c r="J292" s="9">
        <f>_xll.BQL("DAL US Equity", "HEADLINE_NAV/1M", "FPT=A", "FPO=0A", "ACT_EST_MAPPING=PRECISE", "FS=MRC", "CURRENCY=USD", "XLFILL=b")</f>
        <v>11105</v>
      </c>
      <c r="K292" s="9">
        <f>_xll.BQL("DAL US Equity", "HEADLINE_NAV/1M", "FPT=A", "FPO=-1A", "ACT_EST_MAPPING=PRECISE", "FS=MRC", "CURRENCY=USD", "XLFILL=b")</f>
        <v>6582</v>
      </c>
      <c r="L292" s="9">
        <f>_xll.BQL("DAL US Equity", "HEADLINE_NAV/1M", "FPT=A", "FPO=-2A", "ACT_EST_MAPPING=PRECISE", "FS=MRC", "CURRENCY=USD", "XLFILL=b")</f>
        <v>3887</v>
      </c>
      <c r="M292" s="9">
        <f>_xll.BQL("DAL US Equity", "HEADLINE_NAV/1M", "FPT=A", "FPO=-3A", "ACT_EST_MAPPING=PRECISE", "FS=MRC", "CURRENCY=USD", "XLFILL=b")</f>
        <v>1534</v>
      </c>
      <c r="N292" s="9">
        <f>_xll.BQL("DAL US Equity", "HEADLINE_NAV/1M", "FPT=A", "FPO=-4A", "ACT_EST_MAPPING=PRECISE", "FS=MRC", "CURRENCY=USD", "XLFILL=b")</f>
        <v>15358</v>
      </c>
    </row>
    <row r="293" spans="1:14" x14ac:dyDescent="0.2">
      <c r="A293" s="8" t="s">
        <v>86</v>
      </c>
      <c r="B293" s="4" t="s">
        <v>332</v>
      </c>
      <c r="C293" s="4" t="s">
        <v>333</v>
      </c>
      <c r="D293" s="4"/>
      <c r="E293" s="9">
        <f>_xll.BQL("DAL US Equity", "FA_GROWTH(HEADLINE_NAV, YOY)", "FPT=A", "FPO=5A", "ACT_EST_MAPPING=PRECISE", "FS=MRC", "CURRENCY=USD", "XLFILL=b")</f>
        <v>6.2115377694605387</v>
      </c>
      <c r="F293" s="9">
        <f>_xll.BQL("DAL US Equity", "FA_GROWTH(HEADLINE_NAV, YOY)", "FPT=A", "FPO=4A", "ACT_EST_MAPPING=PRECISE", "FS=MRC", "CURRENCY=USD", "XLFILL=b")</f>
        <v>19.438633693440689</v>
      </c>
      <c r="G293" s="9">
        <f>_xll.BQL("DAL US Equity", "FA_GROWTH(HEADLINE_NAV, YOY)", "FPT=A", "FPO=3A", "ACT_EST_MAPPING=PRECISE", "FS=MRC", "CURRENCY=USD", "XLFILL=b")</f>
        <v>23.666659579142841</v>
      </c>
      <c r="H293" s="9">
        <f>_xll.BQL("DAL US Equity", "FA_GROWTH(HEADLINE_NAV, YOY)", "FPT=A", "FPO=2A", "ACT_EST_MAPPING=PRECISE", "FS=MRC", "CURRENCY=USD", "XLFILL=b")</f>
        <v>30.238289741495091</v>
      </c>
      <c r="I293" s="9">
        <f>_xll.BQL("DAL US Equity", "FA_GROWTH(HEADLINE_NAV, YOY)", "FPT=A", "FPO=1A", "ACT_EST_MAPPING=PRECISE", "FS=MRC", "CURRENCY=USD", "XLFILL=b")</f>
        <v>30.072940117064384</v>
      </c>
      <c r="J293" s="9">
        <f>_xll.BQL("DAL US Equity", "FA_GROWTH(HEADLINE_NAV, YOY)", "FPT=A", "FPO=0A", "ACT_EST_MAPPING=PRECISE", "FS=MRC", "CURRENCY=USD", "XLFILL=b")</f>
        <v>68.71771498024917</v>
      </c>
      <c r="K293" s="9">
        <f>_xll.BQL("DAL US Equity", "FA_GROWTH(HEADLINE_NAV, YOY)", "FPT=A", "FPO=-1A", "ACT_EST_MAPPING=PRECISE", "FS=MRC", "CURRENCY=USD", "XLFILL=b")</f>
        <v>69.333676357087725</v>
      </c>
      <c r="L293" s="9">
        <f>_xll.BQL("DAL US Equity", "FA_GROWTH(HEADLINE_NAV, YOY)", "FPT=A", "FPO=-2A", "ACT_EST_MAPPING=PRECISE", "FS=MRC", "CURRENCY=USD", "XLFILL=b")</f>
        <v>153.38983050847457</v>
      </c>
      <c r="M293" s="9">
        <f>_xll.BQL("DAL US Equity", "FA_GROWTH(HEADLINE_NAV, YOY)", "FPT=A", "FPO=-3A", "ACT_EST_MAPPING=PRECISE", "FS=MRC", "CURRENCY=USD", "XLFILL=b")</f>
        <v>-90.011720276077611</v>
      </c>
      <c r="N293" s="9">
        <f>_xll.BQL("DAL US Equity", "FA_GROWTH(HEADLINE_NAV, YOY)", "FPT=A", "FPO=-4A", "ACT_EST_MAPPING=PRECISE", "FS=MRC", "CURRENCY=USD", "XLFILL=b")</f>
        <v>12.208665156718054</v>
      </c>
    </row>
    <row r="294" spans="1:14" x14ac:dyDescent="0.2">
      <c r="A294" s="8" t="s">
        <v>334</v>
      </c>
      <c r="B294" s="4" t="s">
        <v>335</v>
      </c>
      <c r="C294" s="4" t="s">
        <v>336</v>
      </c>
      <c r="D294" s="4"/>
      <c r="E294" s="9">
        <f>_xll.BQL("DAL US Equity", "BS_SH_CAP_AND_APIC/1M", "FPT=A", "FPO=5A", "ACT_EST_MAPPING=PRECISE", "FS=MRC", "CURRENCY=USD", "XLFILL=b")</f>
        <v>11447</v>
      </c>
      <c r="F294" s="9">
        <f>_xll.BQL("DAL US Equity", "BS_SH_CAP_AND_APIC/1M", "FPT=A", "FPO=4A", "ACT_EST_MAPPING=PRECISE", "FS=MRC", "CURRENCY=USD", "XLFILL=b")</f>
        <v>11721.5</v>
      </c>
      <c r="G294" s="9">
        <f>_xll.BQL("DAL US Equity", "BS_SH_CAP_AND_APIC/1M", "FPT=A", "FPO=3A", "ACT_EST_MAPPING=PRECISE", "FS=MRC", "CURRENCY=USD", "XLFILL=b")</f>
        <v>12323.188995142667</v>
      </c>
      <c r="H294" s="9">
        <f>_xll.BQL("DAL US Equity", "BS_SH_CAP_AND_APIC/1M", "FPT=A", "FPO=2A", "ACT_EST_MAPPING=PRECISE", "FS=MRC", "CURRENCY=USD", "XLFILL=b")</f>
        <v>12047.189964449408</v>
      </c>
      <c r="I294" s="9">
        <f>_xll.BQL("DAL US Equity", "BS_SH_CAP_AND_APIC/1M", "FPT=A", "FPO=1A", "ACT_EST_MAPPING=PRECISE", "FS=MRC", "CURRENCY=USD", "XLFILL=b")</f>
        <v>11724.004735670909</v>
      </c>
      <c r="J294" s="9">
        <f>_xll.BQL("DAL US Equity", "BS_SH_CAP_AND_APIC/1M", "FPT=A", "FPO=0A", "ACT_EST_MAPPING=PRECISE", "FS=MRC", "CURRENCY=USD", "XLFILL=b")</f>
        <v>11641</v>
      </c>
      <c r="K294" s="9">
        <f>_xll.BQL("DAL US Equity", "BS_SH_CAP_AND_APIC/1M", "FPT=A", "FPO=-1A", "ACT_EST_MAPPING=PRECISE", "FS=MRC", "CURRENCY=USD", "XLFILL=b")</f>
        <v>11526</v>
      </c>
      <c r="L294" s="9">
        <f>_xll.BQL("DAL US Equity", "BS_SH_CAP_AND_APIC/1M", "FPT=A", "FPO=-2A", "ACT_EST_MAPPING=PRECISE", "FS=MRC", "CURRENCY=USD", "XLFILL=b")</f>
        <v>11447</v>
      </c>
      <c r="M294" s="9">
        <f>_xll.BQL("DAL US Equity", "BS_SH_CAP_AND_APIC/1M", "FPT=A", "FPO=-3A", "ACT_EST_MAPPING=PRECISE", "FS=MRC", "CURRENCY=USD", "XLFILL=b")</f>
        <v>11259</v>
      </c>
      <c r="N294" s="9">
        <f>_xll.BQL("DAL US Equity", "BS_SH_CAP_AND_APIC/1M", "FPT=A", "FPO=-4A", "ACT_EST_MAPPING=PRECISE", "FS=MRC", "CURRENCY=USD", "XLFILL=b")</f>
        <v>11129</v>
      </c>
    </row>
    <row r="295" spans="1:14" x14ac:dyDescent="0.2">
      <c r="A295" s="8" t="s">
        <v>94</v>
      </c>
      <c r="B295" s="4" t="s">
        <v>335</v>
      </c>
      <c r="C295" s="4" t="s">
        <v>336</v>
      </c>
      <c r="D295" s="4"/>
      <c r="E295" s="9">
        <f>_xll.BQL("DAL US Equity", "FA_GROWTH(BS_SH_CAP_AND_APIC, YOY)", "FPT=A", "FPO=5A", "ACT_EST_MAPPING=PRECISE", "FS=MRC", "CURRENCY=USD", "XLFILL=b")</f>
        <v>-2.341850445762061</v>
      </c>
      <c r="F295" s="9">
        <f>_xll.BQL("DAL US Equity", "FA_GROWTH(BS_SH_CAP_AND_APIC, YOY)", "FPT=A", "FPO=4A", "ACT_EST_MAPPING=PRECISE", "FS=MRC", "CURRENCY=USD", "XLFILL=b")</f>
        <v>-4.8825754062510169</v>
      </c>
      <c r="G295" s="9">
        <f>_xll.BQL("DAL US Equity", "FA_GROWTH(BS_SH_CAP_AND_APIC, YOY)", "FPT=A", "FPO=3A", "ACT_EST_MAPPING=PRECISE", "FS=MRC", "CURRENCY=USD", "XLFILL=b")</f>
        <v>2.2909826399991875</v>
      </c>
      <c r="H295" s="9">
        <f>_xll.BQL("DAL US Equity", "FA_GROWTH(BS_SH_CAP_AND_APIC, YOY)", "FPT=A", "FPO=2A", "ACT_EST_MAPPING=PRECISE", "FS=MRC", "CURRENCY=USD", "XLFILL=b")</f>
        <v>2.7566112097787663</v>
      </c>
      <c r="I295" s="9">
        <f>_xll.BQL("DAL US Equity", "FA_GROWTH(BS_SH_CAP_AND_APIC, YOY)", "FPT=A", "FPO=1A", "ACT_EST_MAPPING=PRECISE", "FS=MRC", "CURRENCY=USD", "XLFILL=b")</f>
        <v>0.71303784615505439</v>
      </c>
      <c r="J295" s="9">
        <f>_xll.BQL("DAL US Equity", "FA_GROWTH(BS_SH_CAP_AND_APIC, YOY)", "FPT=A", "FPO=0A", "ACT_EST_MAPPING=PRECISE", "FS=MRC", "CURRENCY=USD", "XLFILL=b")</f>
        <v>0.99774423043553706</v>
      </c>
      <c r="K295" s="9">
        <f>_xll.BQL("DAL US Equity", "FA_GROWTH(BS_SH_CAP_AND_APIC, YOY)", "FPT=A", "FPO=-1A", "ACT_EST_MAPPING=PRECISE", "FS=MRC", "CURRENCY=USD", "XLFILL=b")</f>
        <v>0.69013715383943386</v>
      </c>
      <c r="L295" s="9">
        <f>_xll.BQL("DAL US Equity", "FA_GROWTH(BS_SH_CAP_AND_APIC, YOY)", "FPT=A", "FPO=-2A", "ACT_EST_MAPPING=PRECISE", "FS=MRC", "CURRENCY=USD", "XLFILL=b")</f>
        <v>1.6697752908784085</v>
      </c>
      <c r="M295" s="9">
        <f>_xll.BQL("DAL US Equity", "FA_GROWTH(BS_SH_CAP_AND_APIC, YOY)", "FPT=A", "FPO=-3A", "ACT_EST_MAPPING=PRECISE", "FS=MRC", "CURRENCY=USD", "XLFILL=b")</f>
        <v>1.1681193278821098</v>
      </c>
      <c r="N295" s="9">
        <f>_xll.BQL("DAL US Equity", "FA_GROWTH(BS_SH_CAP_AND_APIC, YOY)", "FPT=A", "FPO=-4A", "ACT_EST_MAPPING=PRECISE", "FS=MRC", "CURRENCY=USD", "XLFILL=b")</f>
        <v>-4.6439893753748605</v>
      </c>
    </row>
    <row r="296" spans="1:14" x14ac:dyDescent="0.2">
      <c r="A296" s="8" t="s">
        <v>337</v>
      </c>
      <c r="B296" s="4" t="s">
        <v>338</v>
      </c>
      <c r="C296" s="4" t="s">
        <v>339</v>
      </c>
      <c r="D296" s="4"/>
      <c r="E296" s="9" t="str">
        <f>_xll.BQL("DAL US Equity", "BS_PURE_RETAINED_EARNINGS/1M", "FPT=A", "FPO=5A", "ACT_EST_MAPPING=PRECISE", "FS=MRC", "CURRENCY=USD", "XLFILL=b")</f>
        <v/>
      </c>
      <c r="F296" s="9">
        <f>_xll.BQL("DAL US Equity", "BS_PURE_RETAINED_EARNINGS/1M", "FPT=A", "FPO=4A", "ACT_EST_MAPPING=PRECISE", "FS=MRC", "CURRENCY=USD", "XLFILL=b")</f>
        <v>23367.815522635494</v>
      </c>
      <c r="G296" s="9">
        <f>_xll.BQL("DAL US Equity", "BS_PURE_RETAINED_EARNINGS/1M", "FPT=A", "FPO=3A", "ACT_EST_MAPPING=PRECISE", "FS=MRC", "CURRENCY=USD", "XLFILL=b")</f>
        <v>17156.663458703497</v>
      </c>
      <c r="H296" s="9">
        <f>_xll.BQL("DAL US Equity", "BS_PURE_RETAINED_EARNINGS/1M", "FPT=A", "FPO=2A", "ACT_EST_MAPPING=PRECISE", "FS=MRC", "CURRENCY=USD", "XLFILL=b")</f>
        <v>12026.298097714523</v>
      </c>
      <c r="I296" s="9">
        <f>_xll.BQL("DAL US Equity", "BS_PURE_RETAINED_EARNINGS/1M", "FPT=A", "FPO=1A", "ACT_EST_MAPPING=PRECISE", "FS=MRC", "CURRENCY=USD", "XLFILL=b")</f>
        <v>7352.7307735272525</v>
      </c>
      <c r="J296" s="9">
        <f>_xll.BQL("DAL US Equity", "BS_PURE_RETAINED_EARNINGS/1M", "FPT=A", "FPO=0A", "ACT_EST_MAPPING=PRECISE", "FS=MRC", "CURRENCY=USD", "XLFILL=b")</f>
        <v>5650</v>
      </c>
      <c r="K296" s="9">
        <f>_xll.BQL("DAL US Equity", "BS_PURE_RETAINED_EARNINGS/1M", "FPT=A", "FPO=-1A", "ACT_EST_MAPPING=PRECISE", "FS=MRC", "CURRENCY=USD", "XLFILL=b")</f>
        <v>1170</v>
      </c>
      <c r="L296" s="9">
        <f>_xll.BQL("DAL US Equity", "BS_PURE_RETAINED_EARNINGS/1M", "FPT=A", "FPO=-2A", "ACT_EST_MAPPING=PRECISE", "FS=MRC", "CURRENCY=USD", "XLFILL=b")</f>
        <v>-148</v>
      </c>
      <c r="M296" s="9">
        <f>_xll.BQL("DAL US Equity", "BS_PURE_RETAINED_EARNINGS/1M", "FPT=A", "FPO=-3A", "ACT_EST_MAPPING=PRECISE", "FS=MRC", "CURRENCY=USD", "XLFILL=b")</f>
        <v>-428</v>
      </c>
      <c r="N296" s="9">
        <f>_xll.BQL("DAL US Equity", "BS_PURE_RETAINED_EARNINGS/1M", "FPT=A", "FPO=-4A", "ACT_EST_MAPPING=PRECISE", "FS=MRC", "CURRENCY=USD", "XLFILL=b")</f>
        <v>12454</v>
      </c>
    </row>
    <row r="297" spans="1:14" x14ac:dyDescent="0.2">
      <c r="A297" s="8" t="s">
        <v>94</v>
      </c>
      <c r="B297" s="4" t="s">
        <v>338</v>
      </c>
      <c r="C297" s="4" t="s">
        <v>339</v>
      </c>
      <c r="D297" s="4"/>
      <c r="E297" s="9" t="str">
        <f>_xll.BQL("DAL US Equity", "FA_GROWTH(BS_PURE_RETAINED_EARNINGS, YOY)", "FPT=A", "FPO=5A", "ACT_EST_MAPPING=PRECISE", "FS=MRC", "CURRENCY=USD", "XLFILL=b")</f>
        <v/>
      </c>
      <c r="F297" s="9">
        <f>_xll.BQL("DAL US Equity", "FA_GROWTH(BS_PURE_RETAINED_EARNINGS, YOY)", "FPT=A", "FPO=4A", "ACT_EST_MAPPING=PRECISE", "FS=MRC", "CURRENCY=USD", "XLFILL=b")</f>
        <v>36.202563971033122</v>
      </c>
      <c r="G297" s="9">
        <f>_xll.BQL("DAL US Equity", "FA_GROWTH(BS_PURE_RETAINED_EARNINGS, YOY)", "FPT=A", "FPO=3A", "ACT_EST_MAPPING=PRECISE", "FS=MRC", "CURRENCY=USD", "XLFILL=b")</f>
        <v>42.659555910758172</v>
      </c>
      <c r="H297" s="9">
        <f>_xll.BQL("DAL US Equity", "FA_GROWTH(BS_PURE_RETAINED_EARNINGS, YOY)", "FPT=A", "FPO=2A", "ACT_EST_MAPPING=PRECISE", "FS=MRC", "CURRENCY=USD", "XLFILL=b")</f>
        <v>63.562334432452872</v>
      </c>
      <c r="I297" s="9">
        <f>_xll.BQL("DAL US Equity", "FA_GROWTH(BS_PURE_RETAINED_EARNINGS, YOY)", "FPT=A", "FPO=1A", "ACT_EST_MAPPING=PRECISE", "FS=MRC", "CURRENCY=USD", "XLFILL=b")</f>
        <v>30.136827850039861</v>
      </c>
      <c r="J297" s="9">
        <f>_xll.BQL("DAL US Equity", "FA_GROWTH(BS_PURE_RETAINED_EARNINGS, YOY)", "FPT=A", "FPO=0A", "ACT_EST_MAPPING=PRECISE", "FS=MRC", "CURRENCY=USD", "XLFILL=b")</f>
        <v>382.90598290598291</v>
      </c>
      <c r="K297" s="9">
        <f>_xll.BQL("DAL US Equity", "FA_GROWTH(BS_PURE_RETAINED_EARNINGS, YOY)", "FPT=A", "FPO=-1A", "ACT_EST_MAPPING=PRECISE", "FS=MRC", "CURRENCY=USD", "XLFILL=b")</f>
        <v>890.54054054054052</v>
      </c>
      <c r="L297" s="9">
        <f>_xll.BQL("DAL US Equity", "FA_GROWTH(BS_PURE_RETAINED_EARNINGS, YOY)", "FPT=A", "FPO=-2A", "ACT_EST_MAPPING=PRECISE", "FS=MRC", "CURRENCY=USD", "XLFILL=b")</f>
        <v>65.420560747663558</v>
      </c>
      <c r="M297" s="9">
        <f>_xll.BQL("DAL US Equity", "FA_GROWTH(BS_PURE_RETAINED_EARNINGS, YOY)", "FPT=A", "FPO=-3A", "ACT_EST_MAPPING=PRECISE", "FS=MRC", "CURRENCY=USD", "XLFILL=b")</f>
        <v>-103.43664686044644</v>
      </c>
      <c r="N297" s="9">
        <f>_xll.BQL("DAL US Equity", "FA_GROWTH(BS_PURE_RETAINED_EARNINGS, YOY)", "FPT=A", "FPO=-4A", "ACT_EST_MAPPING=PRECISE", "FS=MRC", "CURRENCY=USD", "XLFILL=b")</f>
        <v>24.056180894511407</v>
      </c>
    </row>
    <row r="298" spans="1:14" x14ac:dyDescent="0.2">
      <c r="A298" s="8" t="s">
        <v>340</v>
      </c>
      <c r="B298" s="4" t="s">
        <v>341</v>
      </c>
      <c r="C298" s="4"/>
      <c r="D298" s="4"/>
      <c r="E298" s="9" t="str">
        <f>_xll.BQL("DAL US Equity", "BS_AMT_OF_TSY_STOCK/1M", "FPT=A", "FPO=5A", "ACT_EST_MAPPING=PRECISE", "FS=MRC", "CURRENCY=USD", "XLFILL=b")</f>
        <v/>
      </c>
      <c r="F298" s="9">
        <f>_xll.BQL("DAL US Equity", "BS_AMT_OF_TSY_STOCK/1M", "FPT=A", "FPO=4A", "ACT_EST_MAPPING=PRECISE", "FS=MRC", "CURRENCY=USD", "XLFILL=b")</f>
        <v>2310</v>
      </c>
      <c r="G298" s="9">
        <f>_xll.BQL("DAL US Equity", "BS_AMT_OF_TSY_STOCK/1M", "FPT=A", "FPO=3A", "ACT_EST_MAPPING=PRECISE", "FS=MRC", "CURRENCY=USD", "XLFILL=b")</f>
        <v>294</v>
      </c>
      <c r="H298" s="9">
        <f>_xll.BQL("DAL US Equity", "BS_AMT_OF_TSY_STOCK/1M", "FPT=A", "FPO=2A", "ACT_EST_MAPPING=PRECISE", "FS=MRC", "CURRENCY=USD", "XLFILL=b")</f>
        <v>294</v>
      </c>
      <c r="I298" s="9">
        <f>_xll.BQL("DAL US Equity", "BS_AMT_OF_TSY_STOCK/1M", "FPT=A", "FPO=1A", "ACT_EST_MAPPING=PRECISE", "FS=MRC", "CURRENCY=USD", "XLFILL=b")</f>
        <v>294</v>
      </c>
      <c r="J298" s="9">
        <f>_xll.BQL("DAL US Equity", "BS_AMT_OF_TSY_STOCK/1M", "FPT=A", "FPO=0A", "ACT_EST_MAPPING=PRECISE", "FS=MRC", "CURRENCY=USD", "XLFILL=b")</f>
        <v>341</v>
      </c>
      <c r="K298" s="9">
        <f>_xll.BQL("DAL US Equity", "BS_AMT_OF_TSY_STOCK/1M", "FPT=A", "FPO=-1A", "ACT_EST_MAPPING=PRECISE", "FS=MRC", "CURRENCY=USD", "XLFILL=b")</f>
        <v>313</v>
      </c>
      <c r="L298" s="9">
        <f>_xll.BQL("DAL US Equity", "BS_AMT_OF_TSY_STOCK/1M", "FPT=A", "FPO=-2A", "ACT_EST_MAPPING=PRECISE", "FS=MRC", "CURRENCY=USD", "XLFILL=b")</f>
        <v>282</v>
      </c>
      <c r="M298" s="9">
        <f>_xll.BQL("DAL US Equity", "BS_AMT_OF_TSY_STOCK/1M", "FPT=A", "FPO=-3A", "ACT_EST_MAPPING=PRECISE", "FS=MRC", "CURRENCY=USD", "XLFILL=b")</f>
        <v>259</v>
      </c>
      <c r="N298" s="9">
        <f>_xll.BQL("DAL US Equity", "BS_AMT_OF_TSY_STOCK/1M", "FPT=A", "FPO=-4A", "ACT_EST_MAPPING=PRECISE", "FS=MRC", "CURRENCY=USD", "XLFILL=b")</f>
        <v>236</v>
      </c>
    </row>
    <row r="299" spans="1:14" x14ac:dyDescent="0.2">
      <c r="A299" s="8" t="s">
        <v>94</v>
      </c>
      <c r="B299" s="4" t="s">
        <v>341</v>
      </c>
      <c r="C299" s="4"/>
      <c r="D299" s="4"/>
      <c r="E299" s="9" t="str">
        <f>_xll.BQL("DAL US Equity", "FA_GROWTH(BS_AMT_OF_TSY_STOCK, YOY)", "FPT=A", "FPO=5A", "ACT_EST_MAPPING=PRECISE", "FS=MRC", "CURRENCY=USD", "XLFILL=b")</f>
        <v/>
      </c>
      <c r="F299" s="9">
        <f>_xll.BQL("DAL US Equity", "FA_GROWTH(BS_AMT_OF_TSY_STOCK, YOY)", "FPT=A", "FPO=4A", "ACT_EST_MAPPING=PRECISE", "FS=MRC", "CURRENCY=USD", "XLFILL=b")</f>
        <v>685.71428571428567</v>
      </c>
      <c r="G299" s="9">
        <f>_xll.BQL("DAL US Equity", "FA_GROWTH(BS_AMT_OF_TSY_STOCK, YOY)", "FPT=A", "FPO=3A", "ACT_EST_MAPPING=PRECISE", "FS=MRC", "CURRENCY=USD", "XLFILL=b")</f>
        <v>0</v>
      </c>
      <c r="H299" s="9">
        <f>_xll.BQL("DAL US Equity", "FA_GROWTH(BS_AMT_OF_TSY_STOCK, YOY)", "FPT=A", "FPO=2A", "ACT_EST_MAPPING=PRECISE", "FS=MRC", "CURRENCY=USD", "XLFILL=b")</f>
        <v>0</v>
      </c>
      <c r="I299" s="9">
        <f>_xll.BQL("DAL US Equity", "FA_GROWTH(BS_AMT_OF_TSY_STOCK, YOY)", "FPT=A", "FPO=1A", "ACT_EST_MAPPING=PRECISE", "FS=MRC", "CURRENCY=USD", "XLFILL=b")</f>
        <v>-13.782991202346041</v>
      </c>
      <c r="J299" s="9">
        <f>_xll.BQL("DAL US Equity", "FA_GROWTH(BS_AMT_OF_TSY_STOCK, YOY)", "FPT=A", "FPO=0A", "ACT_EST_MAPPING=PRECISE", "FS=MRC", "CURRENCY=USD", "XLFILL=b")</f>
        <v>8.9456869009584672</v>
      </c>
      <c r="K299" s="9">
        <f>_xll.BQL("DAL US Equity", "FA_GROWTH(BS_AMT_OF_TSY_STOCK, YOY)", "FPT=A", "FPO=-1A", "ACT_EST_MAPPING=PRECISE", "FS=MRC", "CURRENCY=USD", "XLFILL=b")</f>
        <v>10.99290780141844</v>
      </c>
      <c r="L299" s="9">
        <f>_xll.BQL("DAL US Equity", "FA_GROWTH(BS_AMT_OF_TSY_STOCK, YOY)", "FPT=A", "FPO=-2A", "ACT_EST_MAPPING=PRECISE", "FS=MRC", "CURRENCY=USD", "XLFILL=b")</f>
        <v>8.8803088803088794</v>
      </c>
      <c r="M299" s="9">
        <f>_xll.BQL("DAL US Equity", "FA_GROWTH(BS_AMT_OF_TSY_STOCK, YOY)", "FPT=A", "FPO=-3A", "ACT_EST_MAPPING=PRECISE", "FS=MRC", "CURRENCY=USD", "XLFILL=b")</f>
        <v>9.7457627118644066</v>
      </c>
      <c r="N299" s="9">
        <f>_xll.BQL("DAL US Equity", "FA_GROWTH(BS_AMT_OF_TSY_STOCK, YOY)", "FPT=A", "FPO=-4A", "ACT_EST_MAPPING=PRECISE", "FS=MRC", "CURRENCY=USD", "XLFILL=b")</f>
        <v>19.19191919191919</v>
      </c>
    </row>
    <row r="300" spans="1:14" x14ac:dyDescent="0.2">
      <c r="A300" s="8" t="s">
        <v>342</v>
      </c>
      <c r="B300" s="4" t="s">
        <v>343</v>
      </c>
      <c r="C300" s="4" t="s">
        <v>344</v>
      </c>
      <c r="D300" s="4"/>
      <c r="E300" s="9" t="str">
        <f>_xll.BQL("DAL US Equity", "BS_CAPITAL_RESERVE/1M", "FPT=A", "FPO=5A", "ACT_EST_MAPPING=PRECISE", "FS=MRC", "CURRENCY=USD", "XLFILL=b")</f>
        <v/>
      </c>
      <c r="F300" s="9">
        <f>_xll.BQL("DAL US Equity", "BS_CAPITAL_RESERVE/1M", "FPT=A", "FPO=4A", "ACT_EST_MAPPING=PRECISE", "FS=MRC", "CURRENCY=USD", "XLFILL=b")</f>
        <v>-5312</v>
      </c>
      <c r="G300" s="9">
        <f>_xll.BQL("DAL US Equity", "BS_CAPITAL_RESERVE/1M", "FPT=A", "FPO=3A", "ACT_EST_MAPPING=PRECISE", "FS=MRC", "CURRENCY=USD", "XLFILL=b")</f>
        <v>-5880.0400158018292</v>
      </c>
      <c r="H300" s="9">
        <f>_xll.BQL("DAL US Equity", "BS_CAPITAL_RESERVE/1M", "FPT=A", "FPO=2A", "ACT_EST_MAPPING=PRECISE", "FS=MRC", "CURRENCY=USD", "XLFILL=b")</f>
        <v>-5827.6504303508809</v>
      </c>
      <c r="I300" s="9">
        <f>_xll.BQL("DAL US Equity", "BS_CAPITAL_RESERVE/1M", "FPT=A", "FPO=1A", "ACT_EST_MAPPING=PRECISE", "FS=MRC", "CURRENCY=USD", "XLFILL=b")</f>
        <v>-5566.8424533333327</v>
      </c>
      <c r="J300" s="9">
        <f>_xll.BQL("DAL US Equity", "BS_CAPITAL_RESERVE/1M", "FPT=A", "FPO=0A", "ACT_EST_MAPPING=PRECISE", "FS=MRC", "CURRENCY=USD", "XLFILL=b")</f>
        <v>-5845</v>
      </c>
      <c r="K300" s="9">
        <f>_xll.BQL("DAL US Equity", "BS_CAPITAL_RESERVE/1M", "FPT=A", "FPO=-1A", "ACT_EST_MAPPING=PRECISE", "FS=MRC", "CURRENCY=USD", "XLFILL=b")</f>
        <v>-5801</v>
      </c>
      <c r="L300" s="9">
        <f>_xll.BQL("DAL US Equity", "BS_CAPITAL_RESERVE/1M", "FPT=A", "FPO=-2A", "ACT_EST_MAPPING=PRECISE", "FS=MRC", "CURRENCY=USD", "XLFILL=b")</f>
        <v>-7130</v>
      </c>
      <c r="M300" s="9">
        <f>_xll.BQL("DAL US Equity", "BS_CAPITAL_RESERVE/1M", "FPT=A", "FPO=-3A", "ACT_EST_MAPPING=PRECISE", "FS=MRC", "CURRENCY=USD", "XLFILL=b")</f>
        <v>-9038</v>
      </c>
      <c r="N300" s="9">
        <f>_xll.BQL("DAL US Equity", "BS_CAPITAL_RESERVE/1M", "FPT=A", "FPO=-4A", "ACT_EST_MAPPING=PRECISE", "FS=MRC", "CURRENCY=USD", "XLFILL=b")</f>
        <v>-7989</v>
      </c>
    </row>
    <row r="301" spans="1:14" x14ac:dyDescent="0.2">
      <c r="A301" s="8" t="s">
        <v>94</v>
      </c>
      <c r="B301" s="4" t="s">
        <v>343</v>
      </c>
      <c r="C301" s="4" t="s">
        <v>344</v>
      </c>
      <c r="D301" s="4"/>
      <c r="E301" s="9" t="str">
        <f>_xll.BQL("DAL US Equity", "FA_GROWTH(BS_CAPITAL_RESERVE, YOY)", "FPT=A", "FPO=5A", "ACT_EST_MAPPING=PRECISE", "FS=MRC", "CURRENCY=USD", "XLFILL=b")</f>
        <v/>
      </c>
      <c r="F301" s="9">
        <f>_xll.BQL("DAL US Equity", "FA_GROWTH(BS_CAPITAL_RESERVE, YOY)", "FPT=A", "FPO=4A", "ACT_EST_MAPPING=PRECISE", "FS=MRC", "CURRENCY=USD", "XLFILL=b")</f>
        <v>9.6604787429217662</v>
      </c>
      <c r="G301" s="9">
        <f>_xll.BQL("DAL US Equity", "FA_GROWTH(BS_CAPITAL_RESERVE, YOY)", "FPT=A", "FPO=3A", "ACT_EST_MAPPING=PRECISE", "FS=MRC", "CURRENCY=USD", "XLFILL=b")</f>
        <v>-0.89898297911109193</v>
      </c>
      <c r="H301" s="9">
        <f>_xll.BQL("DAL US Equity", "FA_GROWTH(BS_CAPITAL_RESERVE, YOY)", "FPT=A", "FPO=2A", "ACT_EST_MAPPING=PRECISE", "FS=MRC", "CURRENCY=USD", "XLFILL=b")</f>
        <v>-4.6850252940314503</v>
      </c>
      <c r="I301" s="9">
        <f>_xll.BQL("DAL US Equity", "FA_GROWTH(BS_CAPITAL_RESERVE, YOY)", "FPT=A", "FPO=1A", "ACT_EST_MAPPING=PRECISE", "FS=MRC", "CURRENCY=USD", "XLFILL=b")</f>
        <v>4.7588972911320271</v>
      </c>
      <c r="J301" s="9">
        <f>_xll.BQL("DAL US Equity", "FA_GROWTH(BS_CAPITAL_RESERVE, YOY)", "FPT=A", "FPO=0A", "ACT_EST_MAPPING=PRECISE", "FS=MRC", "CURRENCY=USD", "XLFILL=b")</f>
        <v>-0.75848991553180489</v>
      </c>
      <c r="K301" s="9">
        <f>_xll.BQL("DAL US Equity", "FA_GROWTH(BS_CAPITAL_RESERVE, YOY)", "FPT=A", "FPO=-1A", "ACT_EST_MAPPING=PRECISE", "FS=MRC", "CURRENCY=USD", "XLFILL=b")</f>
        <v>18.639551192145863</v>
      </c>
      <c r="L301" s="9">
        <f>_xll.BQL("DAL US Equity", "FA_GROWTH(BS_CAPITAL_RESERVE, YOY)", "FPT=A", "FPO=-2A", "ACT_EST_MAPPING=PRECISE", "FS=MRC", "CURRENCY=USD", "XLFILL=b")</f>
        <v>21.110865235671607</v>
      </c>
      <c r="M301" s="9">
        <f>_xll.BQL("DAL US Equity", "FA_GROWTH(BS_CAPITAL_RESERVE, YOY)", "FPT=A", "FPO=-3A", "ACT_EST_MAPPING=PRECISE", "FS=MRC", "CURRENCY=USD", "XLFILL=b")</f>
        <v>-13.130554512454625</v>
      </c>
      <c r="N301" s="9">
        <f>_xll.BQL("DAL US Equity", "FA_GROWTH(BS_CAPITAL_RESERVE, YOY)", "FPT=A", "FPO=-4A", "ACT_EST_MAPPING=PRECISE", "FS=MRC", "CURRENCY=USD", "XLFILL=b")</f>
        <v>-2.0958466453674123</v>
      </c>
    </row>
    <row r="302" spans="1:14" x14ac:dyDescent="0.2">
      <c r="A302" s="8" t="s">
        <v>345</v>
      </c>
      <c r="B302" s="4" t="s">
        <v>277</v>
      </c>
      <c r="C302" s="4" t="s">
        <v>346</v>
      </c>
      <c r="D302" s="4"/>
      <c r="E302" s="9">
        <f>_xll.BQL("DAL US Equity", "BS_TOT_ASSET/1M", "FPT=A", "FPO=5A", "ACT_EST_MAPPING=PRECISE", "FS=MRC", "CURRENCY=USD", "XLFILL=b")</f>
        <v>81992.337747442114</v>
      </c>
      <c r="F302" s="9">
        <f>_xll.BQL("DAL US Equity", "BS_TOT_ASSET/1M", "FPT=A", "FPO=4A", "ACT_EST_MAPPING=PRECISE", "FS=MRC", "CURRENCY=USD", "XLFILL=b")</f>
        <v>80960.711309749822</v>
      </c>
      <c r="G302" s="9">
        <f>_xll.BQL("DAL US Equity", "BS_TOT_ASSET/1M", "FPT=A", "FPO=3A", "ACT_EST_MAPPING=PRECISE", "FS=MRC", "CURRENCY=USD", "XLFILL=b")</f>
        <v>79582.579533361451</v>
      </c>
      <c r="H302" s="9">
        <f>_xll.BQL("DAL US Equity", "BS_TOT_ASSET/1M", "FPT=A", "FPO=2A", "ACT_EST_MAPPING=PRECISE", "FS=MRC", "CURRENCY=USD", "XLFILL=b")</f>
        <v>77870.939076802824</v>
      </c>
      <c r="I302" s="9">
        <f>_xll.BQL("DAL US Equity", "BS_TOT_ASSET/1M", "FPT=A", "FPO=1A", "ACT_EST_MAPPING=PRECISE", "FS=MRC", "CURRENCY=USD", "XLFILL=b")</f>
        <v>75210.007862097453</v>
      </c>
      <c r="J302" s="9">
        <f>_xll.BQL("DAL US Equity", "BS_TOT_ASSET/1M", "FPT=A", "FPO=0A", "ACT_EST_MAPPING=PRECISE", "FS=MRC", "CURRENCY=USD", "XLFILL=b")</f>
        <v>73644</v>
      </c>
      <c r="K302" s="9">
        <f>_xll.BQL("DAL US Equity", "BS_TOT_ASSET/1M", "FPT=A", "FPO=-1A", "ACT_EST_MAPPING=PRECISE", "FS=MRC", "CURRENCY=USD", "XLFILL=b")</f>
        <v>72288</v>
      </c>
      <c r="L302" s="9">
        <f>_xll.BQL("DAL US Equity", "BS_TOT_ASSET/1M", "FPT=A", "FPO=-2A", "ACT_EST_MAPPING=PRECISE", "FS=MRC", "CURRENCY=USD", "XLFILL=b")</f>
        <v>72459</v>
      </c>
      <c r="M302" s="9">
        <f>_xll.BQL("DAL US Equity", "BS_TOT_ASSET/1M", "FPT=A", "FPO=-3A", "ACT_EST_MAPPING=PRECISE", "FS=MRC", "CURRENCY=USD", "XLFILL=b")</f>
        <v>71996</v>
      </c>
      <c r="N302" s="9">
        <f>_xll.BQL("DAL US Equity", "BS_TOT_ASSET/1M", "FPT=A", "FPO=-4A", "ACT_EST_MAPPING=PRECISE", "FS=MRC", "CURRENCY=USD", "XLFILL=b")</f>
        <v>64532</v>
      </c>
    </row>
    <row r="303" spans="1:14" x14ac:dyDescent="0.2">
      <c r="A303" s="8" t="s">
        <v>86</v>
      </c>
      <c r="B303" s="4" t="s">
        <v>277</v>
      </c>
      <c r="C303" s="4" t="s">
        <v>346</v>
      </c>
      <c r="D303" s="4"/>
      <c r="E303" s="9">
        <f>_xll.BQL("DAL US Equity", "FA_GROWTH(BS_TOT_ASSET, YOY)", "FPT=A", "FPO=5A", "ACT_EST_MAPPING=PRECISE", "FS=MRC", "CURRENCY=USD", "XLFILL=b")</f>
        <v>1.2742309461009591</v>
      </c>
      <c r="F303" s="9">
        <f>_xll.BQL("DAL US Equity", "FA_GROWTH(BS_TOT_ASSET, YOY)", "FPT=A", "FPO=4A", "ACT_EST_MAPPING=PRECISE", "FS=MRC", "CURRENCY=USD", "XLFILL=b")</f>
        <v>1.7317003098783024</v>
      </c>
      <c r="G303" s="9">
        <f>_xll.BQL("DAL US Equity", "FA_GROWTH(BS_TOT_ASSET, YOY)", "FPT=A", "FPO=3A", "ACT_EST_MAPPING=PRECISE", "FS=MRC", "CURRENCY=USD", "XLFILL=b")</f>
        <v>2.1980477914494667</v>
      </c>
      <c r="H303" s="9">
        <f>_xll.BQL("DAL US Equity", "FA_GROWTH(BS_TOT_ASSET, YOY)", "FPT=A", "FPO=2A", "ACT_EST_MAPPING=PRECISE", "FS=MRC", "CURRENCY=USD", "XLFILL=b")</f>
        <v>3.5380015111610708</v>
      </c>
      <c r="I303" s="9">
        <f>_xll.BQL("DAL US Equity", "FA_GROWTH(BS_TOT_ASSET, YOY)", "FPT=A", "FPO=1A", "ACT_EST_MAPPING=PRECISE", "FS=MRC", "CURRENCY=USD", "XLFILL=b")</f>
        <v>2.1264568221409181</v>
      </c>
      <c r="J303" s="9">
        <f>_xll.BQL("DAL US Equity", "FA_GROWTH(BS_TOT_ASSET, YOY)", "FPT=A", "FPO=0A", "ACT_EST_MAPPING=PRECISE", "FS=MRC", "CURRENCY=USD", "XLFILL=b")</f>
        <v>1.8758300132802126</v>
      </c>
      <c r="K303" s="9">
        <f>_xll.BQL("DAL US Equity", "FA_GROWTH(BS_TOT_ASSET, YOY)", "FPT=A", "FPO=-1A", "ACT_EST_MAPPING=PRECISE", "FS=MRC", "CURRENCY=USD", "XLFILL=b")</f>
        <v>-0.23599552850577568</v>
      </c>
      <c r="L303" s="9">
        <f>_xll.BQL("DAL US Equity", "FA_GROWTH(BS_TOT_ASSET, YOY)", "FPT=A", "FPO=-2A", "ACT_EST_MAPPING=PRECISE", "FS=MRC", "CURRENCY=USD", "XLFILL=b")</f>
        <v>0.64309128284904715</v>
      </c>
      <c r="M303" s="9">
        <f>_xll.BQL("DAL US Equity", "FA_GROWTH(BS_TOT_ASSET, YOY)", "FPT=A", "FPO=-3A", "ACT_EST_MAPPING=PRECISE", "FS=MRC", "CURRENCY=USD", "XLFILL=b")</f>
        <v>11.566354676749519</v>
      </c>
      <c r="N303" s="9">
        <f>_xll.BQL("DAL US Equity", "FA_GROWTH(BS_TOT_ASSET, YOY)", "FPT=A", "FPO=-4A", "ACT_EST_MAPPING=PRECISE", "FS=MRC", "CURRENCY=USD", "XLFILL=b")</f>
        <v>7.0786181263067069</v>
      </c>
    </row>
    <row r="304" spans="1:14" x14ac:dyDescent="0.2">
      <c r="A304" s="8" t="s">
        <v>16</v>
      </c>
      <c r="B304" s="4"/>
      <c r="C304" s="4"/>
      <c r="D304" s="4"/>
      <c r="E304" s="9"/>
      <c r="F304" s="9"/>
      <c r="G304" s="9"/>
      <c r="H304" s="9"/>
      <c r="I304" s="9"/>
      <c r="J304" s="9"/>
      <c r="K304" s="9"/>
      <c r="L304" s="9"/>
      <c r="M304" s="9"/>
      <c r="N304" s="9"/>
    </row>
    <row r="305" spans="1:14" x14ac:dyDescent="0.2">
      <c r="A305" s="8" t="s">
        <v>347</v>
      </c>
      <c r="B305" s="4"/>
      <c r="C305" s="4" t="s">
        <v>348</v>
      </c>
      <c r="D305" s="4"/>
      <c r="E305" s="9"/>
      <c r="F305" s="9"/>
      <c r="G305" s="9"/>
      <c r="H305" s="9"/>
      <c r="I305" s="9"/>
      <c r="J305" s="9"/>
      <c r="K305" s="9"/>
      <c r="L305" s="9"/>
      <c r="M305" s="9"/>
      <c r="N305" s="9"/>
    </row>
    <row r="306" spans="1:14" x14ac:dyDescent="0.2">
      <c r="A306" s="8" t="s">
        <v>349</v>
      </c>
      <c r="B306" s="4" t="s">
        <v>350</v>
      </c>
      <c r="C306" s="4" t="s">
        <v>351</v>
      </c>
      <c r="D306" s="4"/>
      <c r="E306" s="9">
        <f>_xll.BQL("DAL US Equity", "NET_DEBT/1M", "FPT=A", "FPO=5A", "ACT_EST_MAPPING=PRECISE", "FS=MRC", "CURRENCY=USD", "XLFILL=b")</f>
        <v>10036.918465420225</v>
      </c>
      <c r="F306" s="9">
        <f>_xll.BQL("DAL US Equity", "NET_DEBT/1M", "FPT=A", "FPO=4A", "ACT_EST_MAPPING=PRECISE", "FS=MRC", "CURRENCY=USD", "XLFILL=b")</f>
        <v>13083.668262216972</v>
      </c>
      <c r="G306" s="9">
        <f>_xll.BQL("DAL US Equity", "NET_DEBT/1M", "FPT=A", "FPO=3A", "ACT_EST_MAPPING=PRECISE", "FS=MRC", "CURRENCY=USD", "XLFILL=b")</f>
        <v>15773.739021423462</v>
      </c>
      <c r="H306" s="9">
        <f>_xll.BQL("DAL US Equity", "NET_DEBT/1M", "FPT=A", "FPO=2A", "ACT_EST_MAPPING=PRECISE", "FS=MRC", "CURRENCY=USD", "XLFILL=b")</f>
        <v>17141.25532139658</v>
      </c>
      <c r="I306" s="9">
        <f>_xll.BQL("DAL US Equity", "NET_DEBT/1M", "FPT=A", "FPO=1A", "ACT_EST_MAPPING=PRECISE", "FS=MRC", "CURRENCY=USD", "XLFILL=b")</f>
        <v>20308.202563370694</v>
      </c>
      <c r="J306" s="9">
        <f>_xll.BQL("DAL US Equity", "NET_DEBT/1M", "FPT=A", "FPO=0A", "ACT_EST_MAPPING=PRECISE", "FS=MRC", "CURRENCY=USD", "XLFILL=b")</f>
        <v>23413</v>
      </c>
      <c r="K306" s="9">
        <f>_xll.BQL("DAL US Equity", "NET_DEBT/1M", "FPT=A", "FPO=-1A", "ACT_EST_MAPPING=PRECISE", "FS=MRC", "CURRENCY=USD", "XLFILL=b")</f>
        <v>24076</v>
      </c>
      <c r="L306" s="9">
        <f>_xll.BQL("DAL US Equity", "NET_DEBT/1M", "FPT=A", "FPO=-2A", "ACT_EST_MAPPING=PRECISE", "FS=MRC", "CURRENCY=USD", "XLFILL=b")</f>
        <v>23360</v>
      </c>
      <c r="M306" s="9">
        <f>_xll.BQL("DAL US Equity", "NET_DEBT/1M", "FPT=A", "FPO=-3A", "ACT_EST_MAPPING=PRECISE", "FS=MRC", "CURRENCY=USD", "XLFILL=b")</f>
        <v>21452</v>
      </c>
      <c r="N306" s="9">
        <f>_xll.BQL("DAL US Equity", "NET_DEBT/1M", "FPT=A", "FPO=-4A", "ACT_EST_MAPPING=PRECISE", "FS=MRC", "CURRENCY=USD", "XLFILL=b")</f>
        <v>14373</v>
      </c>
    </row>
    <row r="307" spans="1:14" x14ac:dyDescent="0.2">
      <c r="A307" s="8" t="s">
        <v>86</v>
      </c>
      <c r="B307" s="4" t="s">
        <v>350</v>
      </c>
      <c r="C307" s="4" t="s">
        <v>351</v>
      </c>
      <c r="D307" s="4"/>
      <c r="E307" s="9">
        <f>_xll.BQL("DAL US Equity", "FA_GROWTH(NET_DEBT, YOY)", "FPT=A", "FPO=5A", "ACT_EST_MAPPING=PRECISE", "FS=MRC", "CURRENCY=USD", "XLFILL=b")</f>
        <v>-23.286663462686178</v>
      </c>
      <c r="F307" s="9">
        <f>_xll.BQL("DAL US Equity", "FA_GROWTH(NET_DEBT, YOY)", "FPT=A", "FPO=4A", "ACT_EST_MAPPING=PRECISE", "FS=MRC", "CURRENCY=USD", "XLFILL=b")</f>
        <v>-17.054109717124827</v>
      </c>
      <c r="G307" s="9">
        <f>_xll.BQL("DAL US Equity", "FA_GROWTH(NET_DEBT, YOY)", "FPT=A", "FPO=3A", "ACT_EST_MAPPING=PRECISE", "FS=MRC", "CURRENCY=USD", "XLFILL=b")</f>
        <v>-7.9779238704070687</v>
      </c>
      <c r="H307" s="9">
        <f>_xll.BQL("DAL US Equity", "FA_GROWTH(NET_DEBT, YOY)", "FPT=A", "FPO=2A", "ACT_EST_MAPPING=PRECISE", "FS=MRC", "CURRENCY=USD", "XLFILL=b")</f>
        <v>-15.594424135232138</v>
      </c>
      <c r="I307" s="9">
        <f>_xll.BQL("DAL US Equity", "FA_GROWTH(NET_DEBT, YOY)", "FPT=A", "FPO=1A", "ACT_EST_MAPPING=PRECISE", "FS=MRC", "CURRENCY=USD", "XLFILL=b")</f>
        <v>-13.260997892748929</v>
      </c>
      <c r="J307" s="9">
        <f>_xll.BQL("DAL US Equity", "FA_GROWTH(NET_DEBT, YOY)", "FPT=A", "FPO=0A", "ACT_EST_MAPPING=PRECISE", "FS=MRC", "CURRENCY=USD", "XLFILL=b")</f>
        <v>-2.7537796976241902</v>
      </c>
      <c r="K307" s="9">
        <f>_xll.BQL("DAL US Equity", "FA_GROWTH(NET_DEBT, YOY)", "FPT=A", "FPO=-1A", "ACT_EST_MAPPING=PRECISE", "FS=MRC", "CURRENCY=USD", "XLFILL=b")</f>
        <v>3.0650684931506849</v>
      </c>
      <c r="L307" s="9">
        <f>_xll.BQL("DAL US Equity", "FA_GROWTH(NET_DEBT, YOY)", "FPT=A", "FPO=-2A", "ACT_EST_MAPPING=PRECISE", "FS=MRC", "CURRENCY=USD", "XLFILL=b")</f>
        <v>8.8942755920193921</v>
      </c>
      <c r="M307" s="9">
        <f>_xll.BQL("DAL US Equity", "FA_GROWTH(NET_DEBT, YOY)", "FPT=A", "FPO=-3A", "ACT_EST_MAPPING=PRECISE", "FS=MRC", "CURRENCY=USD", "XLFILL=b")</f>
        <v>49.252069853196964</v>
      </c>
      <c r="N307" s="9">
        <f>_xll.BQL("DAL US Equity", "FA_GROWTH(NET_DEBT, YOY)", "FPT=A", "FPO=-4A", "ACT_EST_MAPPING=PRECISE", "FS=MRC", "CURRENCY=USD", "XLFILL=b")</f>
        <v>-2.6153533437224743</v>
      </c>
    </row>
    <row r="308" spans="1:14" x14ac:dyDescent="0.2">
      <c r="A308" s="8" t="s">
        <v>352</v>
      </c>
      <c r="B308" s="4" t="s">
        <v>353</v>
      </c>
      <c r="C308" s="4"/>
      <c r="D308" s="4"/>
      <c r="E308" s="9">
        <f>_xll.BQL("DAL US Equity", "CB_BS_TOTAL_DEBT/1M", "FPT=A", "FPO=5A", "ACT_EST_MAPPING=PRECISE", "FS=MRC", "CURRENCY=USD", "XLFILL=b")</f>
        <v>14992.75</v>
      </c>
      <c r="F308" s="9">
        <f>_xll.BQL("DAL US Equity", "CB_BS_TOTAL_DEBT/1M", "FPT=A", "FPO=4A", "ACT_EST_MAPPING=PRECISE", "FS=MRC", "CURRENCY=USD", "XLFILL=b")</f>
        <v>13308.833333333334</v>
      </c>
      <c r="G308" s="9">
        <f>_xll.BQL("DAL US Equity", "CB_BS_TOTAL_DEBT/1M", "FPT=A", "FPO=3A", "ACT_EST_MAPPING=PRECISE", "FS=MRC", "CURRENCY=USD", "XLFILL=b")</f>
        <v>12545.403945965336</v>
      </c>
      <c r="H308" s="9">
        <f>_xll.BQL("DAL US Equity", "CB_BS_TOTAL_DEBT/1M", "FPT=A", "FPO=2A", "ACT_EST_MAPPING=PRECISE", "FS=MRC", "CURRENCY=USD", "XLFILL=b")</f>
        <v>14537.075577765407</v>
      </c>
      <c r="I308" s="9">
        <f>_xll.BQL("DAL US Equity", "CB_BS_TOTAL_DEBT/1M", "FPT=A", "FPO=1A", "ACT_EST_MAPPING=PRECISE", "FS=MRC", "CURRENCY=USD", "XLFILL=b")</f>
        <v>16738.620316678196</v>
      </c>
      <c r="J308" s="9">
        <f>_xll.BQL("DAL US Equity", "CB_BS_TOTAL_DEBT/1M", "FPT=A", "FPO=0A", "ACT_EST_MAPPING=PRECISE", "FS=MRC", "CURRENCY=USD", "XLFILL=b")</f>
        <v>20054</v>
      </c>
      <c r="K308" s="9">
        <f>_xll.BQL("DAL US Equity", "CB_BS_TOTAL_DEBT/1M", "FPT=A", "FPO=-1A", "ACT_EST_MAPPING=PRECISE", "FS=MRC", "CURRENCY=USD", "XLFILL=b")</f>
        <v>23030</v>
      </c>
      <c r="L308" s="9">
        <f>_xll.BQL("DAL US Equity", "CB_BS_TOTAL_DEBT/1M", "FPT=A", "FPO=-2A", "ACT_EST_MAPPING=PRECISE", "FS=MRC", "CURRENCY=USD", "XLFILL=b")</f>
        <v>26920</v>
      </c>
      <c r="M308" s="9">
        <f>_xll.BQL("DAL US Equity", "CB_BS_TOTAL_DEBT/1M", "FPT=A", "FPO=-3A", "ACT_EST_MAPPING=PRECISE", "FS=MRC", "CURRENCY=USD", "XLFILL=b")</f>
        <v>29157</v>
      </c>
      <c r="N308" s="9">
        <f>_xll.BQL("DAL US Equity", "CB_BS_TOTAL_DEBT/1M", "FPT=A", "FPO=-4A", "ACT_EST_MAPPING=PRECISE", "FS=MRC", "CURRENCY=USD", "XLFILL=b")</f>
        <v>11160</v>
      </c>
    </row>
    <row r="309" spans="1:14" x14ac:dyDescent="0.2">
      <c r="A309" s="8" t="s">
        <v>86</v>
      </c>
      <c r="B309" s="4" t="s">
        <v>353</v>
      </c>
      <c r="C309" s="4"/>
      <c r="D309" s="4"/>
      <c r="E309" s="9">
        <f>_xll.BQL("DAL US Equity", "FA_GROWTH(CB_BS_TOTAL_DEBT, YOY)", "FPT=A", "FPO=5A", "ACT_EST_MAPPING=PRECISE", "FS=MRC", "CURRENCY=USD", "XLFILL=b")</f>
        <v>12.652624196961911</v>
      </c>
      <c r="F309" s="9">
        <f>_xll.BQL("DAL US Equity", "FA_GROWTH(CB_BS_TOTAL_DEBT, YOY)", "FPT=A", "FPO=4A", "ACT_EST_MAPPING=PRECISE", "FS=MRC", "CURRENCY=USD", "XLFILL=b")</f>
        <v>6.0853312548259613</v>
      </c>
      <c r="G309" s="9">
        <f>_xll.BQL("DAL US Equity", "FA_GROWTH(CB_BS_TOTAL_DEBT, YOY)", "FPT=A", "FPO=3A", "ACT_EST_MAPPING=PRECISE", "FS=MRC", "CURRENCY=USD", "XLFILL=b")</f>
        <v>-13.700634774482097</v>
      </c>
      <c r="H309" s="9">
        <f>_xll.BQL("DAL US Equity", "FA_GROWTH(CB_BS_TOTAL_DEBT, YOY)", "FPT=A", "FPO=2A", "ACT_EST_MAPPING=PRECISE", "FS=MRC", "CURRENCY=USD", "XLFILL=b")</f>
        <v>-13.152486269846221</v>
      </c>
      <c r="I309" s="9">
        <f>_xll.BQL("DAL US Equity", "FA_GROWTH(CB_BS_TOTAL_DEBT, YOY)", "FPT=A", "FPO=1A", "ACT_EST_MAPPING=PRECISE", "FS=MRC", "CURRENCY=USD", "XLFILL=b")</f>
        <v>-16.532261311069124</v>
      </c>
      <c r="J309" s="9">
        <f>_xll.BQL("DAL US Equity", "FA_GROWTH(CB_BS_TOTAL_DEBT, YOY)", "FPT=A", "FPO=0A", "ACT_EST_MAPPING=PRECISE", "FS=MRC", "CURRENCY=USD", "XLFILL=b")</f>
        <v>-12.922275293095963</v>
      </c>
      <c r="K309" s="9">
        <f>_xll.BQL("DAL US Equity", "FA_GROWTH(CB_BS_TOTAL_DEBT, YOY)", "FPT=A", "FPO=-1A", "ACT_EST_MAPPING=PRECISE", "FS=MRC", "CURRENCY=USD", "XLFILL=b")</f>
        <v>-14.450222882615156</v>
      </c>
      <c r="L309" s="9">
        <f>_xll.BQL("DAL US Equity", "FA_GROWTH(CB_BS_TOTAL_DEBT, YOY)", "FPT=A", "FPO=-2A", "ACT_EST_MAPPING=PRECISE", "FS=MRC", "CURRENCY=USD", "XLFILL=b")</f>
        <v>-7.6722570909215628</v>
      </c>
      <c r="M309" s="9">
        <f>_xll.BQL("DAL US Equity", "FA_GROWTH(CB_BS_TOTAL_DEBT, YOY)", "FPT=A", "FPO=-3A", "ACT_EST_MAPPING=PRECISE", "FS=MRC", "CURRENCY=USD", "XLFILL=b")</f>
        <v>161.26344086021504</v>
      </c>
      <c r="N309" s="9">
        <f>_xll.BQL("DAL US Equity", "FA_GROWTH(CB_BS_TOTAL_DEBT, YOY)", "FPT=A", "FPO=-4A", "ACT_EST_MAPPING=PRECISE", "FS=MRC", "CURRENCY=USD", "XLFILL=b")</f>
        <v>14.21553576911268</v>
      </c>
    </row>
    <row r="310" spans="1:14" x14ac:dyDescent="0.2">
      <c r="A310" s="8" t="s">
        <v>354</v>
      </c>
      <c r="B310" s="4" t="s">
        <v>355</v>
      </c>
      <c r="C310" s="4" t="s">
        <v>356</v>
      </c>
      <c r="D310" s="4"/>
      <c r="E310" s="9">
        <f>_xll.BQL("DAL US Equity", "TOTAL_DEBT_AND_PREFERRED_EQUITY/1M", "FPT=A", "FPO=5A", "ACT_EST_MAPPING=PRECISE", "FS=MRC", "CURRENCY=USD", "XLFILL=b")</f>
        <v>13373.113524927698</v>
      </c>
      <c r="F310" s="9">
        <f>_xll.BQL("DAL US Equity", "TOTAL_DEBT_AND_PREFERRED_EQUITY/1M", "FPT=A", "FPO=4A", "ACT_EST_MAPPING=PRECISE", "FS=MRC", "CURRENCY=USD", "XLFILL=b")</f>
        <v>14763.887882821629</v>
      </c>
      <c r="G310" s="9">
        <f>_xll.BQL("DAL US Equity", "TOTAL_DEBT_AND_PREFERRED_EQUITY/1M", "FPT=A", "FPO=3A", "ACT_EST_MAPPING=PRECISE", "FS=MRC", "CURRENCY=USD", "XLFILL=b")</f>
        <v>17273.047167955858</v>
      </c>
      <c r="H310" s="9">
        <f>_xll.BQL("DAL US Equity", "TOTAL_DEBT_AND_PREFERRED_EQUITY/1M", "FPT=A", "FPO=2A", "ACT_EST_MAPPING=PRECISE", "FS=MRC", "CURRENCY=USD", "XLFILL=b")</f>
        <v>20547.015207473592</v>
      </c>
      <c r="I310" s="9">
        <f>_xll.BQL("DAL US Equity", "TOTAL_DEBT_AND_PREFERRED_EQUITY/1M", "FPT=A", "FPO=1A", "ACT_EST_MAPPING=PRECISE", "FS=MRC", "CURRENCY=USD", "XLFILL=b")</f>
        <v>22541.925172699674</v>
      </c>
      <c r="J310" s="9">
        <f>_xll.BQL("DAL US Equity", "TOTAL_DEBT_AND_PREFERRED_EQUITY/1M", "FPT=A", "FPO=0A", "ACT_EST_MAPPING=PRECISE", "FS=MRC", "CURRENCY=USD", "XLFILL=b")</f>
        <v>27281</v>
      </c>
      <c r="K310" s="9">
        <f>_xll.BQL("DAL US Equity", "TOTAL_DEBT_AND_PREFERRED_EQUITY/1M", "FPT=A", "FPO=-1A", "ACT_EST_MAPPING=PRECISE", "FS=MRC", "CURRENCY=USD", "XLFILL=b")</f>
        <v>30610</v>
      </c>
      <c r="L310" s="9">
        <f>_xll.BQL("DAL US Equity", "TOTAL_DEBT_AND_PREFERRED_EQUITY/1M", "FPT=A", "FPO=-2A", "ACT_EST_MAPPING=PRECISE", "FS=MRC", "CURRENCY=USD", "XLFILL=b")</f>
        <v>34679</v>
      </c>
      <c r="M310" s="9">
        <f>_xll.BQL("DAL US Equity", "TOTAL_DEBT_AND_PREFERRED_EQUITY/1M", "FPT=A", "FPO=-3A", "ACT_EST_MAPPING=PRECISE", "FS=MRC", "CURRENCY=USD", "XLFILL=b")</f>
        <v>35548</v>
      </c>
      <c r="N310" s="9">
        <f>_xll.BQL("DAL US Equity", "TOTAL_DEBT_AND_PREFERRED_EQUITY/1M", "FPT=A", "FPO=-4A", "ACT_EST_MAPPING=PRECISE", "FS=MRC", "CURRENCY=USD", "XLFILL=b")</f>
        <v>17255</v>
      </c>
    </row>
    <row r="311" spans="1:14" x14ac:dyDescent="0.2">
      <c r="A311" s="8" t="s">
        <v>86</v>
      </c>
      <c r="B311" s="4" t="s">
        <v>355</v>
      </c>
      <c r="C311" s="4" t="s">
        <v>356</v>
      </c>
      <c r="D311" s="4"/>
      <c r="E311" s="9">
        <f>_xll.BQL("DAL US Equity", "FA_GROWTH(TOTAL_DEBT_AND_PREFERRED_EQUITY, YOY)", "FPT=A", "FPO=5A", "ACT_EST_MAPPING=PRECISE", "FS=MRC", "CURRENCY=USD", "XLFILL=b")</f>
        <v>-9.4201091808083408</v>
      </c>
      <c r="F311" s="9">
        <f>_xll.BQL("DAL US Equity", "FA_GROWTH(TOTAL_DEBT_AND_PREFERRED_EQUITY, YOY)", "FPT=A", "FPO=4A", "ACT_EST_MAPPING=PRECISE", "FS=MRC", "CURRENCY=USD", "XLFILL=b")</f>
        <v>-14.52644261742712</v>
      </c>
      <c r="G311" s="9">
        <f>_xll.BQL("DAL US Equity", "FA_GROWTH(TOTAL_DEBT_AND_PREFERRED_EQUITY, YOY)", "FPT=A", "FPO=3A", "ACT_EST_MAPPING=PRECISE", "FS=MRC", "CURRENCY=USD", "XLFILL=b")</f>
        <v>-15.934032298408432</v>
      </c>
      <c r="H311" s="9">
        <f>_xll.BQL("DAL US Equity", "FA_GROWTH(TOTAL_DEBT_AND_PREFERRED_EQUITY, YOY)", "FPT=A", "FPO=2A", "ACT_EST_MAPPING=PRECISE", "FS=MRC", "CURRENCY=USD", "XLFILL=b")</f>
        <v>-8.8497763609032809</v>
      </c>
      <c r="I311" s="9">
        <f>_xll.BQL("DAL US Equity", "FA_GROWTH(TOTAL_DEBT_AND_PREFERRED_EQUITY, YOY)", "FPT=A", "FPO=1A", "ACT_EST_MAPPING=PRECISE", "FS=MRC", "CURRENCY=USD", "XLFILL=b")</f>
        <v>-17.371338394121651</v>
      </c>
      <c r="J311" s="9">
        <f>_xll.BQL("DAL US Equity", "FA_GROWTH(TOTAL_DEBT_AND_PREFERRED_EQUITY, YOY)", "FPT=A", "FPO=0A", "ACT_EST_MAPPING=PRECISE", "FS=MRC", "CURRENCY=USD", "XLFILL=b")</f>
        <v>-10.875530872263965</v>
      </c>
      <c r="K311" s="9">
        <f>_xll.BQL("DAL US Equity", "FA_GROWTH(TOTAL_DEBT_AND_PREFERRED_EQUITY, YOY)", "FPT=A", "FPO=-1A", "ACT_EST_MAPPING=PRECISE", "FS=MRC", "CURRENCY=USD", "XLFILL=b")</f>
        <v>-11.733325643761354</v>
      </c>
      <c r="L311" s="9">
        <f>_xll.BQL("DAL US Equity", "FA_GROWTH(TOTAL_DEBT_AND_PREFERRED_EQUITY, YOY)", "FPT=A", "FPO=-2A", "ACT_EST_MAPPING=PRECISE", "FS=MRC", "CURRENCY=USD", "XLFILL=b")</f>
        <v>-2.4445819736694046</v>
      </c>
      <c r="M311" s="9">
        <f>_xll.BQL("DAL US Equity", "FA_GROWTH(TOTAL_DEBT_AND_PREFERRED_EQUITY, YOY)", "FPT=A", "FPO=-3A", "ACT_EST_MAPPING=PRECISE", "FS=MRC", "CURRENCY=USD", "XLFILL=b")</f>
        <v>106.01564763836569</v>
      </c>
      <c r="N311" s="9">
        <f>_xll.BQL("DAL US Equity", "FA_GROWTH(TOTAL_DEBT_AND_PREFERRED_EQUITY, YOY)", "FPT=A", "FPO=-4A", "ACT_EST_MAPPING=PRECISE", "FS=MRC", "CURRENCY=USD", "XLFILL=b")</f>
        <v>4.4049131723845827</v>
      </c>
    </row>
    <row r="312" spans="1:14" x14ac:dyDescent="0.2">
      <c r="A312" s="8" t="s">
        <v>357</v>
      </c>
      <c r="B312" s="4"/>
      <c r="C312" s="4"/>
      <c r="D312" s="4"/>
      <c r="E312" s="9"/>
      <c r="F312" s="9"/>
      <c r="G312" s="9"/>
      <c r="H312" s="9"/>
      <c r="I312" s="9"/>
      <c r="J312" s="9"/>
      <c r="K312" s="9"/>
      <c r="L312" s="9"/>
      <c r="M312" s="9"/>
      <c r="N312" s="9"/>
    </row>
    <row r="313" spans="1:14" x14ac:dyDescent="0.2">
      <c r="A313" s="8" t="s">
        <v>358</v>
      </c>
      <c r="B313" s="4" t="s">
        <v>23</v>
      </c>
      <c r="C313" s="4" t="s">
        <v>24</v>
      </c>
      <c r="D313" s="4"/>
      <c r="E313" s="9">
        <f>_xll.BQL("DAL US Equity", "LOAD_FACTOR", "FPT=A", "FPO=5A", "ACT_EST_MAPPING=PRECISE", "FS=MRC", "CURRENCY=USD", "XLFILL=b")</f>
        <v>85.853164023528493</v>
      </c>
      <c r="F313" s="9">
        <f>_xll.BQL("DAL US Equity", "LOAD_FACTOR", "FPT=A", "FPO=4A", "ACT_EST_MAPPING=PRECISE", "FS=MRC", "CURRENCY=USD", "XLFILL=b")</f>
        <v>85.853164023528464</v>
      </c>
      <c r="G313" s="9">
        <f>_xll.BQL("DAL US Equity", "LOAD_FACTOR", "FPT=A", "FPO=3A", "ACT_EST_MAPPING=PRECISE", "FS=MRC", "CURRENCY=USD", "XLFILL=b")</f>
        <v>85.566741803545085</v>
      </c>
      <c r="H313" s="9">
        <f>_xll.BQL("DAL US Equity", "LOAD_FACTOR", "FPT=A", "FPO=2A", "ACT_EST_MAPPING=PRECISE", "FS=MRC", "CURRENCY=USD", "XLFILL=b")</f>
        <v>85.498284242456066</v>
      </c>
      <c r="I313" s="9">
        <f>_xll.BQL("DAL US Equity", "LOAD_FACTOR", "FPT=A", "FPO=1A", "ACT_EST_MAPPING=PRECISE", "FS=MRC", "CURRENCY=USD", "XLFILL=b")</f>
        <v>85.324023381790752</v>
      </c>
      <c r="J313" s="9">
        <f>_xll.BQL("DAL US Equity", "LOAD_FACTOR", "FPT=A", "FPO=0A", "ACT_EST_MAPPING=PRECISE", "FS=MRC", "CURRENCY=USD", "XLFILL=b")</f>
        <v>85</v>
      </c>
      <c r="K313" s="9">
        <f>_xll.BQL("DAL US Equity", "LOAD_FACTOR", "FPT=A", "FPO=-1A", "ACT_EST_MAPPING=PRECISE", "FS=MRC", "CURRENCY=USD", "XLFILL=b")</f>
        <v>84</v>
      </c>
      <c r="L313" s="9">
        <f>_xll.BQL("DAL US Equity", "LOAD_FACTOR", "FPT=A", "FPO=-2A", "ACT_EST_MAPPING=PRECISE", "FS=MRC", "CURRENCY=USD", "XLFILL=b")</f>
        <v>69</v>
      </c>
      <c r="M313" s="9">
        <f>_xll.BQL("DAL US Equity", "LOAD_FACTOR", "FPT=A", "FPO=-3A", "ACT_EST_MAPPING=PRECISE", "FS=MRC", "CURRENCY=USD", "XLFILL=b")</f>
        <v>55</v>
      </c>
      <c r="N313" s="9">
        <f>_xll.BQL("DAL US Equity", "LOAD_FACTOR", "FPT=A", "FPO=-4A", "ACT_EST_MAPPING=PRECISE", "FS=MRC", "CURRENCY=USD", "XLFILL=b")</f>
        <v>86.3</v>
      </c>
    </row>
    <row r="314" spans="1:14" x14ac:dyDescent="0.2">
      <c r="A314" s="8" t="s">
        <v>86</v>
      </c>
      <c r="B314" s="4" t="s">
        <v>23</v>
      </c>
      <c r="C314" s="4" t="s">
        <v>24</v>
      </c>
      <c r="D314" s="4"/>
      <c r="E314" s="9">
        <f>_xll.BQL("DAL US Equity", "FA_GROWTH(LOAD_FACTOR, YOY)", "FPT=A", "FPO=5A", "ACT_EST_MAPPING=PRECISE", "FS=MRC", "CURRENCY=USD", "XLFILL=b")</f>
        <v>3.3105022690386695E-14</v>
      </c>
      <c r="F314" s="9">
        <f>_xll.BQL("DAL US Equity", "FA_GROWTH(LOAD_FACTOR, YOY)", "FPT=A", "FPO=4A", "ACT_EST_MAPPING=PRECISE", "FS=MRC", "CURRENCY=USD", "XLFILL=b")</f>
        <v>0.33473545205330274</v>
      </c>
      <c r="G314" s="9">
        <f>_xll.BQL("DAL US Equity", "FA_GROWTH(LOAD_FACTOR, YOY)", "FPT=A", "FPO=3A", "ACT_EST_MAPPING=PRECISE", "FS=MRC", "CURRENCY=USD", "XLFILL=b")</f>
        <v>8.0068929681544554E-2</v>
      </c>
      <c r="H314" s="9">
        <f>_xll.BQL("DAL US Equity", "FA_GROWTH(LOAD_FACTOR, YOY)", "FPT=A", "FPO=2A", "ACT_EST_MAPPING=PRECISE", "FS=MRC", "CURRENCY=USD", "XLFILL=b")</f>
        <v>0.2042342282496058</v>
      </c>
      <c r="I314" s="9">
        <f>_xll.BQL("DAL US Equity", "FA_GROWTH(LOAD_FACTOR, YOY)", "FPT=A", "FPO=1A", "ACT_EST_MAPPING=PRECISE", "FS=MRC", "CURRENCY=USD", "XLFILL=b")</f>
        <v>0.38120397857735566</v>
      </c>
      <c r="J314" s="9">
        <f>_xll.BQL("DAL US Equity", "FA_GROWTH(LOAD_FACTOR, YOY)", "FPT=A", "FPO=0A", "ACT_EST_MAPPING=PRECISE", "FS=MRC", "CURRENCY=USD", "XLFILL=b")</f>
        <v>1.1904761904761905</v>
      </c>
      <c r="K314" s="9">
        <f>_xll.BQL("DAL US Equity", "FA_GROWTH(LOAD_FACTOR, YOY)", "FPT=A", "FPO=-1A", "ACT_EST_MAPPING=PRECISE", "FS=MRC", "CURRENCY=USD", "XLFILL=b")</f>
        <v>21.739130434782609</v>
      </c>
      <c r="L314" s="9">
        <f>_xll.BQL("DAL US Equity", "FA_GROWTH(LOAD_FACTOR, YOY)", "FPT=A", "FPO=-2A", "ACT_EST_MAPPING=PRECISE", "FS=MRC", "CURRENCY=USD", "XLFILL=b")</f>
        <v>25.454545454545453</v>
      </c>
      <c r="M314" s="9">
        <f>_xll.BQL("DAL US Equity", "FA_GROWTH(LOAD_FACTOR, YOY)", "FPT=A", "FPO=-3A", "ACT_EST_MAPPING=PRECISE", "FS=MRC", "CURRENCY=USD", "XLFILL=b")</f>
        <v>-36.268829663962919</v>
      </c>
      <c r="N314" s="9">
        <f>_xll.BQL("DAL US Equity", "FA_GROWTH(LOAD_FACTOR, YOY)", "FPT=A", "FPO=-4A", "ACT_EST_MAPPING=PRECISE", "FS=MRC", "CURRENCY=USD", "XLFILL=b")</f>
        <v>0.93567251461987977</v>
      </c>
    </row>
    <row r="315" spans="1:14" x14ac:dyDescent="0.2">
      <c r="A315" s="8" t="s">
        <v>359</v>
      </c>
      <c r="B315" s="4" t="s">
        <v>360</v>
      </c>
      <c r="C315" s="4"/>
      <c r="D315" s="4"/>
      <c r="E315" s="9">
        <f>_xll.BQL("DAL US Equity", "RETURN_ON_ASSET", "FPT=A", "FPO=5A", "ACT_EST_MAPPING=PRECISE", "FS=MRC", "CURRENCY=USD", "XLFILL=b")</f>
        <v>4.4000000000000004</v>
      </c>
      <c r="F315" s="9">
        <f>_xll.BQL("DAL US Equity", "RETURN_ON_ASSET", "FPT=A", "FPO=4A", "ACT_EST_MAPPING=PRECISE", "FS=MRC", "CURRENCY=USD", "XLFILL=b")</f>
        <v>3.3000000000000003</v>
      </c>
      <c r="G315" s="9">
        <f>_xll.BQL("DAL US Equity", "RETURN_ON_ASSET", "FPT=A", "FPO=3A", "ACT_EST_MAPPING=PRECISE", "FS=MRC", "CURRENCY=USD", "XLFILL=b")</f>
        <v>2.7</v>
      </c>
      <c r="H315" s="9">
        <f>_xll.BQL("DAL US Equity", "RETURN_ON_ASSET", "FPT=A", "FPO=2A", "ACT_EST_MAPPING=PRECISE", "FS=MRC", "CURRENCY=USD", "XLFILL=b")</f>
        <v>2.1</v>
      </c>
      <c r="I315" s="9">
        <f>_xll.BQL("DAL US Equity", "RETURN_ON_ASSET", "FPT=A", "FPO=1A", "ACT_EST_MAPPING=PRECISE", "FS=MRC", "CURRENCY=USD", "XLFILL=b")</f>
        <v>5.4</v>
      </c>
      <c r="J315" s="9">
        <f>_xll.BQL("DAL US Equity", "RETURN_ON_ASSET", "FPT=A", "FPO=0A", "ACT_EST_MAPPING=PRECISE", "FS=MRC", "CURRENCY=USD", "XLFILL=b")</f>
        <v>6.3166406271414077</v>
      </c>
      <c r="K315" s="9">
        <f>_xll.BQL("DAL US Equity", "RETURN_ON_ASSET", "FPT=A", "FPO=-1A", "ACT_EST_MAPPING=PRECISE", "FS=MRC", "CURRENCY=USD", "XLFILL=b")</f>
        <v>1.8211085549268722</v>
      </c>
      <c r="L315" s="9">
        <f>_xll.BQL("DAL US Equity", "RETURN_ON_ASSET", "FPT=A", "FPO=-2A", "ACT_EST_MAPPING=PRECISE", "FS=MRC", "CURRENCY=USD", "XLFILL=b")</f>
        <v>0.38766397840157835</v>
      </c>
      <c r="M315" s="9">
        <f>_xll.BQL("DAL US Equity", "RETURN_ON_ASSET", "FPT=A", "FPO=-3A", "ACT_EST_MAPPING=PRECISE", "FS=MRC", "CURRENCY=USD", "XLFILL=b")</f>
        <v>-18.142798546818234</v>
      </c>
      <c r="N315" s="9">
        <f>_xll.BQL("DAL US Equity", "RETURN_ON_ASSET", "FPT=A", "FPO=-4A", "ACT_EST_MAPPING=PRECISE", "FS=MRC", "CURRENCY=USD", "XLFILL=b")</f>
        <v>7.6395455055369474</v>
      </c>
    </row>
    <row r="316" spans="1:14" x14ac:dyDescent="0.2">
      <c r="A316" s="8" t="s">
        <v>86</v>
      </c>
      <c r="B316" s="4" t="s">
        <v>360</v>
      </c>
      <c r="C316" s="4"/>
      <c r="D316" s="4"/>
      <c r="E316" s="9">
        <f>_xll.BQL("DAL US Equity", "FA_GROWTH(RETURN_ON_ASSET, YOY)", "FPT=A", "FPO=5A", "ACT_EST_MAPPING=PRECISE", "FS=MRC", "CURRENCY=USD", "XLFILL=b")</f>
        <v>33.333333333333336</v>
      </c>
      <c r="F316" s="9">
        <f>_xll.BQL("DAL US Equity", "FA_GROWTH(RETURN_ON_ASSET, YOY)", "FPT=A", "FPO=4A", "ACT_EST_MAPPING=PRECISE", "FS=MRC", "CURRENCY=USD", "XLFILL=b")</f>
        <v>22.222222222222225</v>
      </c>
      <c r="G316" s="9">
        <f>_xll.BQL("DAL US Equity", "FA_GROWTH(RETURN_ON_ASSET, YOY)", "FPT=A", "FPO=3A", "ACT_EST_MAPPING=PRECISE", "FS=MRC", "CURRENCY=USD", "XLFILL=b")</f>
        <v>28.571428571428573</v>
      </c>
      <c r="H316" s="9">
        <f>_xll.BQL("DAL US Equity", "FA_GROWTH(RETURN_ON_ASSET, YOY)", "FPT=A", "FPO=2A", "ACT_EST_MAPPING=PRECISE", "FS=MRC", "CURRENCY=USD", "XLFILL=b")</f>
        <v>-61.111111111111107</v>
      </c>
      <c r="I316" s="9" t="str">
        <f>_xll.BQL("DAL US Equity", "FA_GROWTH(RETURN_ON_ASSET, YOY)", "FPT=A", "FPO=1A", "ACT_EST_MAPPING=PRECISE", "FS=MRC", "CURRENCY=USD", "XLFILL=b")</f>
        <v/>
      </c>
      <c r="J316" s="9">
        <f>_xll.BQL("DAL US Equity", "FA_GROWTH(RETURN_ON_ASSET, YOY)", "FPT=A", "FPO=0A", "ACT_EST_MAPPING=PRECISE", "FS=MRC", "CURRENCY=USD", "XLFILL=b")</f>
        <v>246.85689713840571</v>
      </c>
      <c r="K316" s="9">
        <f>_xll.BQL("DAL US Equity", "FA_GROWTH(RETURN_ON_ASSET, YOY)", "FPT=A", "FPO=-1A", "ACT_EST_MAPPING=PRECISE", "FS=MRC", "CURRENCY=USD", "XLFILL=b")</f>
        <v>369.76470768207383</v>
      </c>
      <c r="L316" s="9">
        <f>_xll.BQL("DAL US Equity", "FA_GROWTH(RETURN_ON_ASSET, YOY)", "FPT=A", "FPO=-2A", "ACT_EST_MAPPING=PRECISE", "FS=MRC", "CURRENCY=USD", "XLFILL=b")</f>
        <v>102.13673749064235</v>
      </c>
      <c r="M316" s="9">
        <f>_xll.BQL("DAL US Equity", "FA_GROWTH(RETURN_ON_ASSET, YOY)", "FPT=A", "FPO=-3A", "ACT_EST_MAPPING=PRECISE", "FS=MRC", "CURRENCY=USD", "XLFILL=b")</f>
        <v>-337.48531288502437</v>
      </c>
      <c r="N316" s="9">
        <f>_xll.BQL("DAL US Equity", "FA_GROWTH(RETURN_ON_ASSET, YOY)", "FPT=A", "FPO=-4A", "ACT_EST_MAPPING=PRECISE", "FS=MRC", "CURRENCY=USD", "XLFILL=b")</f>
        <v>10.600622142866991</v>
      </c>
    </row>
    <row r="317" spans="1:14" x14ac:dyDescent="0.2">
      <c r="A317" s="8" t="s">
        <v>361</v>
      </c>
      <c r="B317" s="4" t="s">
        <v>362</v>
      </c>
      <c r="C317" s="4"/>
      <c r="D317" s="4"/>
      <c r="E317" s="9">
        <f>_xll.BQL("DAL US Equity", "RETURN_TOT_EQY", "FPT=A", "FPO=5A", "ACT_EST_MAPPING=PRECISE", "FS=MRC", "CURRENCY=USD", "XLFILL=b")</f>
        <v>25.8</v>
      </c>
      <c r="F317" s="9">
        <f>_xll.BQL("DAL US Equity", "RETURN_TOT_EQY", "FPT=A", "FPO=4A", "ACT_EST_MAPPING=PRECISE", "FS=MRC", "CURRENCY=USD", "XLFILL=b")</f>
        <v>21.9</v>
      </c>
      <c r="G317" s="9">
        <f>_xll.BQL("DAL US Equity", "RETURN_TOT_EQY", "FPT=A", "FPO=3A", "ACT_EST_MAPPING=PRECISE", "FS=MRC", "CURRENCY=USD", "XLFILL=b")</f>
        <v>18.5</v>
      </c>
      <c r="H317" s="9">
        <f>_xll.BQL("DAL US Equity", "RETURN_TOT_EQY", "FPT=A", "FPO=2A", "ACT_EST_MAPPING=PRECISE", "FS=MRC", "CURRENCY=USD", "XLFILL=b")</f>
        <v>15.4</v>
      </c>
      <c r="I317" s="9">
        <f>_xll.BQL("DAL US Equity", "RETURN_TOT_EQY", "FPT=A", "FPO=1A", "ACT_EST_MAPPING=PRECISE", "FS=MRC", "CURRENCY=USD", "XLFILL=b")</f>
        <v>39.4</v>
      </c>
      <c r="J317" s="9">
        <f>_xll.BQL("DAL US Equity", "RETURN_TOT_EQY", "FPT=A", "FPO=0A", "ACT_EST_MAPPING=PRECISE", "FS=MRC", "CURRENCY=USD", "XLFILL=b")</f>
        <v>52.117374342737598</v>
      </c>
      <c r="K317" s="9">
        <f>_xll.BQL("DAL US Equity", "RETURN_TOT_EQY", "FPT=A", "FPO=-1A", "ACT_EST_MAPPING=PRECISE", "FS=MRC", "CURRENCY=USD", "XLFILL=b")</f>
        <v>25.179100200592224</v>
      </c>
      <c r="L317" s="9">
        <f>_xll.BQL("DAL US Equity", "RETURN_TOT_EQY", "FPT=A", "FPO=-2A", "ACT_EST_MAPPING=PRECISE", "FS=MRC", "CURRENCY=USD", "XLFILL=b")</f>
        <v>10.330197380557093</v>
      </c>
      <c r="M317" s="9">
        <f>_xll.BQL("DAL US Equity", "RETURN_TOT_EQY", "FPT=A", "FPO=-3A", "ACT_EST_MAPPING=PRECISE", "FS=MRC", "CURRENCY=USD", "XLFILL=b")</f>
        <v>-146.63746152024626</v>
      </c>
      <c r="N317" s="9">
        <f>_xll.BQL("DAL US Equity", "RETURN_TOT_EQY", "FPT=A", "FPO=-4A", "ACT_EST_MAPPING=PRECISE", "FS=MRC", "CURRENCY=USD", "XLFILL=b")</f>
        <v>32.824926837665693</v>
      </c>
    </row>
    <row r="318" spans="1:14" x14ac:dyDescent="0.2">
      <c r="A318" s="8" t="s">
        <v>86</v>
      </c>
      <c r="B318" s="4" t="s">
        <v>362</v>
      </c>
      <c r="C318" s="4"/>
      <c r="D318" s="4"/>
      <c r="E318" s="9">
        <f>_xll.BQL("DAL US Equity", "FA_GROWTH(RETURN_TOT_EQY, YOY)", "FPT=A", "FPO=5A", "ACT_EST_MAPPING=PRECISE", "FS=MRC", "CURRENCY=USD", "XLFILL=b")</f>
        <v>17.808219178082204</v>
      </c>
      <c r="F318" s="9">
        <f>_xll.BQL("DAL US Equity", "FA_GROWTH(RETURN_TOT_EQY, YOY)", "FPT=A", "FPO=4A", "ACT_EST_MAPPING=PRECISE", "FS=MRC", "CURRENCY=USD", "XLFILL=b")</f>
        <v>18.378378378378372</v>
      </c>
      <c r="G318" s="9">
        <f>_xll.BQL("DAL US Equity", "FA_GROWTH(RETURN_TOT_EQY, YOY)", "FPT=A", "FPO=3A", "ACT_EST_MAPPING=PRECISE", "FS=MRC", "CURRENCY=USD", "XLFILL=b")</f>
        <v>20.129870129870127</v>
      </c>
      <c r="H318" s="9">
        <f>_xll.BQL("DAL US Equity", "FA_GROWTH(RETURN_TOT_EQY, YOY)", "FPT=A", "FPO=2A", "ACT_EST_MAPPING=PRECISE", "FS=MRC", "CURRENCY=USD", "XLFILL=b")</f>
        <v>-60.913705583756347</v>
      </c>
      <c r="I318" s="9">
        <f>_xll.BQL("DAL US Equity", "FA_GROWTH(RETURN_TOT_EQY, YOY)", "FPT=A", "FPO=1A", "ACT_EST_MAPPING=PRECISE", "FS=MRC", "CURRENCY=USD", "XLFILL=b")</f>
        <v>-24.401410284226504</v>
      </c>
      <c r="J318" s="9">
        <f>_xll.BQL("DAL US Equity", "FA_GROWTH(RETURN_TOT_EQY, YOY)", "FPT=A", "FPO=0A", "ACT_EST_MAPPING=PRECISE", "FS=MRC", "CURRENCY=USD", "XLFILL=b")</f>
        <v>106.98664339685885</v>
      </c>
      <c r="K318" s="9">
        <f>_xll.BQL("DAL US Equity", "FA_GROWTH(RETURN_TOT_EQY, YOY)", "FPT=A", "FPO=-1A", "ACT_EST_MAPPING=PRECISE", "FS=MRC", "CURRENCY=USD", "XLFILL=b")</f>
        <v>143.74268247751863</v>
      </c>
      <c r="L318" s="9">
        <f>_xll.BQL("DAL US Equity", "FA_GROWTH(RETURN_TOT_EQY, YOY)", "FPT=A", "FPO=-2A", "ACT_EST_MAPPING=PRECISE", "FS=MRC", "CURRENCY=USD", "XLFILL=b")</f>
        <v>107.0447191825745</v>
      </c>
      <c r="M318" s="9">
        <f>_xll.BQL("DAL US Equity", "FA_GROWTH(RETURN_TOT_EQY, YOY)", "FPT=A", "FPO=-3A", "ACT_EST_MAPPING=PRECISE", "FS=MRC", "CURRENCY=USD", "XLFILL=b")</f>
        <v>-546.72593558375843</v>
      </c>
      <c r="N318" s="9">
        <f>_xll.BQL("DAL US Equity", "FA_GROWTH(RETURN_TOT_EQY, YOY)", "FPT=A", "FPO=-4A", "ACT_EST_MAPPING=PRECISE", "FS=MRC", "CURRENCY=USD", "XLFILL=b")</f>
        <v>9.348298208777825</v>
      </c>
    </row>
    <row r="319" spans="1:14" x14ac:dyDescent="0.2">
      <c r="A319" s="8" t="s">
        <v>363</v>
      </c>
      <c r="B319" s="4" t="s">
        <v>364</v>
      </c>
      <c r="C319" s="4"/>
      <c r="D319" s="4"/>
      <c r="E319" s="9">
        <f>_xll.BQL("DAL US Equity", "ANNUALIZED_DAYS_SALES_OUTSTDG", "FPT=A", "FPO=5A", "ACT_EST_MAPPING=PRECISE", "FS=MRC", "CURRENCY=USD", "XLFILL=b")</f>
        <v>22.708978163992569</v>
      </c>
      <c r="F319" s="9">
        <f>_xll.BQL("DAL US Equity", "ANNUALIZED_DAYS_SALES_OUTSTDG", "FPT=A", "FPO=4A", "ACT_EST_MAPPING=PRECISE", "FS=MRC", "CURRENCY=USD", "XLFILL=b")</f>
        <v>22.257732399920041</v>
      </c>
      <c r="G319" s="9">
        <f>_xll.BQL("DAL US Equity", "ANNUALIZED_DAYS_SALES_OUTSTDG", "FPT=A", "FPO=3A", "ACT_EST_MAPPING=PRECISE", "FS=MRC", "CURRENCY=USD", "XLFILL=b")</f>
        <v>21.78476528854257</v>
      </c>
      <c r="H319" s="9">
        <f>_xll.BQL("DAL US Equity", "ANNUALIZED_DAYS_SALES_OUTSTDG", "FPT=A", "FPO=2A", "ACT_EST_MAPPING=PRECISE", "FS=MRC", "CURRENCY=USD", "XLFILL=b")</f>
        <v>21.310802934823226</v>
      </c>
      <c r="I319" s="9">
        <f>_xll.BQL("DAL US Equity", "ANNUALIZED_DAYS_SALES_OUTSTDG", "FPT=A", "FPO=1A", "ACT_EST_MAPPING=PRECISE", "FS=MRC", "CURRENCY=USD", "XLFILL=b")</f>
        <v>20.665777351088359</v>
      </c>
      <c r="J319" s="9">
        <f>_xll.BQL("DAL US Equity", "ANNUALIZED_DAYS_SALES_OUTSTDG", "FPT=A", "FPO=0A", "ACT_EST_MAPPING=PRECISE", "FS=MRC", "CURRENCY=USD", "XLFILL=b")</f>
        <v>19.681125964718852</v>
      </c>
      <c r="K319" s="9">
        <f>_xll.BQL("DAL US Equity", "ANNUALIZED_DAYS_SALES_OUTSTDG", "FPT=A", "FPO=-1A", "ACT_EST_MAPPING=PRECISE", "FS=MRC", "CURRENCY=USD", "XLFILL=b")</f>
        <v>22.918034083270726</v>
      </c>
      <c r="L319" s="9">
        <f>_xll.BQL("DAL US Equity", "ANNUALIZED_DAYS_SALES_OUTSTDG", "FPT=A", "FPO=-2A", "ACT_EST_MAPPING=PRECISE", "FS=MRC", "CURRENCY=USD", "XLFILL=b")</f>
        <v>29.347469815043983</v>
      </c>
      <c r="M319" s="9">
        <f>_xll.BQL("DAL US Equity", "ANNUALIZED_DAYS_SALES_OUTSTDG", "FPT=A", "FPO=-3A", "ACT_EST_MAPPING=PRECISE", "FS=MRC", "CURRENCY=USD", "XLFILL=b")</f>
        <v>29.888037437847323</v>
      </c>
      <c r="N319" s="9">
        <f>_xll.BQL("DAL US Equity", "ANNUALIZED_DAYS_SALES_OUTSTDG", "FPT=A", "FPO=-4A", "ACT_EST_MAPPING=PRECISE", "FS=MRC", "CURRENCY=USD", "XLFILL=b")</f>
        <v>22.160742017146383</v>
      </c>
    </row>
    <row r="320" spans="1:14" x14ac:dyDescent="0.2">
      <c r="A320" s="8" t="s">
        <v>86</v>
      </c>
      <c r="B320" s="4" t="s">
        <v>364</v>
      </c>
      <c r="C320" s="4"/>
      <c r="D320" s="4"/>
      <c r="E320" s="9">
        <f>_xll.BQL("DAL US Equity", "FA_GROWTH(ANNUALIZED_DAYS_SALES_OUTSTDG, YOY)", "FPT=A", "FPO=5A", "ACT_EST_MAPPING=PRECISE", "FS=MRC", "CURRENCY=USD", "XLFILL=b")</f>
        <v>2.0273662921482023</v>
      </c>
      <c r="F320" s="9">
        <f>_xll.BQL("DAL US Equity", "FA_GROWTH(ANNUALIZED_DAYS_SALES_OUTSTDG, YOY)", "FPT=A", "FPO=4A", "ACT_EST_MAPPING=PRECISE", "FS=MRC", "CURRENCY=USD", "XLFILL=b")</f>
        <v>2.1710911506869559</v>
      </c>
      <c r="G320" s="9">
        <f>_xll.BQL("DAL US Equity", "FA_GROWTH(ANNUALIZED_DAYS_SALES_OUTSTDG, YOY)", "FPT=A", "FPO=3A", "ACT_EST_MAPPING=PRECISE", "FS=MRC", "CURRENCY=USD", "XLFILL=b")</f>
        <v>2.2240473771396889</v>
      </c>
      <c r="H320" s="9">
        <f>_xll.BQL("DAL US Equity", "FA_GROWTH(ANNUALIZED_DAYS_SALES_OUTSTDG, YOY)", "FPT=A", "FPO=2A", "ACT_EST_MAPPING=PRECISE", "FS=MRC", "CURRENCY=USD", "XLFILL=b")</f>
        <v>3.1212258449155166</v>
      </c>
      <c r="I320" s="9">
        <f>_xll.BQL("DAL US Equity", "FA_GROWTH(ANNUALIZED_DAYS_SALES_OUTSTDG, YOY)", "FPT=A", "FPO=1A", "ACT_EST_MAPPING=PRECISE", "FS=MRC", "CURRENCY=USD", "XLFILL=b")</f>
        <v>5.0030236488228912</v>
      </c>
      <c r="J320" s="9">
        <f>_xll.BQL("DAL US Equity", "FA_GROWTH(ANNUALIZED_DAYS_SALES_OUTSTDG, YOY)", "FPT=A", "FPO=0A", "ACT_EST_MAPPING=PRECISE", "FS=MRC", "CURRENCY=USD", "XLFILL=b")</f>
        <v>-14.123847214777863</v>
      </c>
      <c r="K320" s="9">
        <f>_xll.BQL("DAL US Equity", "FA_GROWTH(ANNUALIZED_DAYS_SALES_OUTSTDG, YOY)", "FPT=A", "FPO=-1A", "ACT_EST_MAPPING=PRECISE", "FS=MRC", "CURRENCY=USD", "XLFILL=b")</f>
        <v>-21.907972892700361</v>
      </c>
      <c r="L320" s="9">
        <f>_xll.BQL("DAL US Equity", "FA_GROWTH(ANNUALIZED_DAYS_SALES_OUTSTDG, YOY)", "FPT=A", "FPO=-2A", "ACT_EST_MAPPING=PRECISE", "FS=MRC", "CURRENCY=USD", "XLFILL=b")</f>
        <v>-1.8086420827311267</v>
      </c>
      <c r="M320" s="9">
        <f>_xll.BQL("DAL US Equity", "FA_GROWTH(ANNUALIZED_DAYS_SALES_OUTSTDG, YOY)", "FPT=A", "FPO=-3A", "ACT_EST_MAPPING=PRECISE", "FS=MRC", "CURRENCY=USD", "XLFILL=b")</f>
        <v>34.869299117882051</v>
      </c>
      <c r="N320" s="9">
        <f>_xll.BQL("DAL US Equity", "FA_GROWTH(ANNUALIZED_DAYS_SALES_OUTSTDG, YOY)", "FPT=A", "FPO=-4A", "ACT_EST_MAPPING=PRECISE", "FS=MRC", "CURRENCY=USD", "XLFILL=b")</f>
        <v>16.595713259131557</v>
      </c>
    </row>
    <row r="321" spans="1:14" x14ac:dyDescent="0.2">
      <c r="A321" s="8" t="s">
        <v>365</v>
      </c>
      <c r="B321" s="4" t="s">
        <v>366</v>
      </c>
      <c r="C321" s="4"/>
      <c r="D321" s="4"/>
      <c r="E321" s="9">
        <f>_xll.BQL("DAL US Equity", "BV_PER_WEIGHTED_DILUTED_SHARE", "FPT=A", "FPO=5A", "ACT_EST_MAPPING=PRECISE", "FS=MRC", "CURRENCY=USD", "XLFILL=b")</f>
        <v>39.025820985394589</v>
      </c>
      <c r="F321" s="9">
        <f>_xll.BQL("DAL US Equity", "BV_PER_WEIGHTED_DILUTED_SHARE", "FPT=A", "FPO=4A", "ACT_EST_MAPPING=PRECISE", "FS=MRC", "CURRENCY=USD", "XLFILL=b")</f>
        <v>35.806862772713551</v>
      </c>
      <c r="G321" s="9">
        <f>_xll.BQL("DAL US Equity", "BV_PER_WEIGHTED_DILUTED_SHARE", "FPT=A", "FPO=3A", "ACT_EST_MAPPING=PRECISE", "FS=MRC", "CURRENCY=USD", "XLFILL=b")</f>
        <v>33.353566970703511</v>
      </c>
      <c r="H321" s="9">
        <f>_xll.BQL("DAL US Equity", "BV_PER_WEIGHTED_DILUTED_SHARE", "FPT=A", "FPO=2A", "ACT_EST_MAPPING=PRECISE", "FS=MRC", "CURRENCY=USD", "XLFILL=b")</f>
        <v>27.180178925445322</v>
      </c>
      <c r="I321" s="9">
        <f>_xll.BQL("DAL US Equity", "BV_PER_WEIGHTED_DILUTED_SHARE", "FPT=A", "FPO=1A", "ACT_EST_MAPPING=PRECISE", "FS=MRC", "CURRENCY=USD", "XLFILL=b")</f>
        <v>20.801370901305312</v>
      </c>
      <c r="J321" s="9">
        <f>_xll.BQL("DAL US Equity", "BV_PER_WEIGHTED_DILUTED_SHARE", "FPT=A", "FPO=0A", "ACT_EST_MAPPING=PRECISE", "FS=MRC", "CURRENCY=USD", "XLFILL=b")</f>
        <v>17.270606531881803</v>
      </c>
      <c r="K321" s="9">
        <f>_xll.BQL("DAL US Equity", "BV_PER_WEIGHTED_DILUTED_SHARE", "FPT=A", "FPO=-1A", "ACT_EST_MAPPING=PRECISE", "FS=MRC", "CURRENCY=USD", "XLFILL=b")</f>
        <v>10.268330733229329</v>
      </c>
      <c r="L321" s="9">
        <f>_xll.BQL("DAL US Equity", "BV_PER_WEIGHTED_DILUTED_SHARE", "FPT=A", "FPO=-2A", "ACT_EST_MAPPING=PRECISE", "FS=MRC", "CURRENCY=USD", "XLFILL=b")</f>
        <v>6.0639625585023396</v>
      </c>
      <c r="M321" s="9">
        <f>_xll.BQL("DAL US Equity", "BV_PER_WEIGHTED_DILUTED_SHARE", "FPT=A", "FPO=-3A", "ACT_EST_MAPPING=PRECISE", "FS=MRC", "CURRENCY=USD", "XLFILL=b")</f>
        <v>2.4119496855345917</v>
      </c>
      <c r="N321" s="9">
        <f>_xll.BQL("DAL US Equity", "BV_PER_WEIGHTED_DILUTED_SHARE", "FPT=A", "FPO=-4A", "ACT_EST_MAPPING=PRECISE", "FS=MRC", "CURRENCY=USD", "XLFILL=b")</f>
        <v>23.519142419601838</v>
      </c>
    </row>
    <row r="322" spans="1:14" x14ac:dyDescent="0.2">
      <c r="A322" s="8" t="s">
        <v>86</v>
      </c>
      <c r="B322" s="4" t="s">
        <v>366</v>
      </c>
      <c r="C322" s="4"/>
      <c r="D322" s="4"/>
      <c r="E322" s="9">
        <f>_xll.BQL("DAL US Equity", "FA_GROWTH(BV_PER_WEIGHTED_DILUTED_SHARE, YOY)", "FPT=A", "FPO=5A", "ACT_EST_MAPPING=PRECISE", "FS=MRC", "CURRENCY=USD", "XLFILL=b")</f>
        <v>8.98978006845668</v>
      </c>
      <c r="F322" s="9">
        <f>_xll.BQL("DAL US Equity", "FA_GROWTH(BV_PER_WEIGHTED_DILUTED_SHARE, YOY)", "FPT=A", "FPO=4A", "ACT_EST_MAPPING=PRECISE", "FS=MRC", "CURRENCY=USD", "XLFILL=b")</f>
        <v>7.3554225974238978</v>
      </c>
      <c r="G322" s="9">
        <f>_xll.BQL("DAL US Equity", "FA_GROWTH(BV_PER_WEIGHTED_DILUTED_SHARE, YOY)", "FPT=A", "FPO=3A", "ACT_EST_MAPPING=PRECISE", "FS=MRC", "CURRENCY=USD", "XLFILL=b")</f>
        <v>22.712830780811512</v>
      </c>
      <c r="H322" s="9">
        <f>_xll.BQL("DAL US Equity", "FA_GROWTH(BV_PER_WEIGHTED_DILUTED_SHARE, YOY)", "FPT=A", "FPO=2A", "ACT_EST_MAPPING=PRECISE", "FS=MRC", "CURRENCY=USD", "XLFILL=b")</f>
        <v>30.665325157678584</v>
      </c>
      <c r="I322" s="9">
        <f>_xll.BQL("DAL US Equity", "FA_GROWTH(BV_PER_WEIGHTED_DILUTED_SHARE, YOY)", "FPT=A", "FPO=1A", "ACT_EST_MAPPING=PRECISE", "FS=MRC", "CURRENCY=USD", "XLFILL=b")</f>
        <v>20.443777483469752</v>
      </c>
      <c r="J322" s="9">
        <f>_xll.BQL("DAL US Equity", "FA_GROWTH(BV_PER_WEIGHTED_DILUTED_SHARE, YOY)", "FPT=A", "FPO=0A", "ACT_EST_MAPPING=PRECISE", "FS=MRC", "CURRENCY=USD", "XLFILL=b")</f>
        <v>68.192932040963782</v>
      </c>
      <c r="K322" s="9">
        <f>_xll.BQL("DAL US Equity", "FA_GROWTH(BV_PER_WEIGHTED_DILUTED_SHARE, YOY)", "FPT=A", "FPO=-1A", "ACT_EST_MAPPING=PRECISE", "FS=MRC", "CURRENCY=USD", "XLFILL=b")</f>
        <v>69.333676357087739</v>
      </c>
      <c r="L322" s="9">
        <f>_xll.BQL("DAL US Equity", "FA_GROWTH(BV_PER_WEIGHTED_DILUTED_SHARE, YOY)", "FPT=A", "FPO=-2A", "ACT_EST_MAPPING=PRECISE", "FS=MRC", "CURRENCY=USD", "XLFILL=b")</f>
        <v>151.41331076971886</v>
      </c>
      <c r="M322" s="9">
        <f>_xll.BQL("DAL US Equity", "FA_GROWTH(BV_PER_WEIGHTED_DILUTED_SHARE, YOY)", "FPT=A", "FPO=-3A", "ACT_EST_MAPPING=PRECISE", "FS=MRC", "CURRENCY=USD", "XLFILL=b")</f>
        <v>-89.744737956413033</v>
      </c>
      <c r="N322" s="9">
        <f>_xll.BQL("DAL US Equity", "FA_GROWTH(BV_PER_WEIGHTED_DILUTED_SHARE, YOY)", "FPT=A", "FPO=-4A", "ACT_EST_MAPPING=PRECISE", "FS=MRC", "CURRENCY=USD", "XLFILL=b")</f>
        <v>19.253925909283826</v>
      </c>
    </row>
    <row r="323" spans="1:14" x14ac:dyDescent="0.2">
      <c r="A323" s="8" t="s">
        <v>16</v>
      </c>
      <c r="B323" s="4"/>
      <c r="C323" s="4"/>
      <c r="D323" s="4"/>
      <c r="E323" s="9"/>
      <c r="F323" s="9"/>
      <c r="G323" s="9"/>
      <c r="H323" s="9"/>
      <c r="I323" s="9"/>
      <c r="J323" s="9"/>
      <c r="K323" s="9"/>
      <c r="L323" s="9"/>
      <c r="M323" s="9"/>
      <c r="N323" s="9"/>
    </row>
    <row r="324" spans="1:14" x14ac:dyDescent="0.2">
      <c r="A324" s="8" t="s">
        <v>367</v>
      </c>
      <c r="B324" s="4"/>
      <c r="C324" s="4" t="s">
        <v>368</v>
      </c>
      <c r="D324" s="4"/>
      <c r="E324" s="9"/>
      <c r="F324" s="9"/>
      <c r="G324" s="9"/>
      <c r="H324" s="9"/>
      <c r="I324" s="9"/>
      <c r="J324" s="9"/>
      <c r="K324" s="9"/>
      <c r="L324" s="9"/>
      <c r="M324" s="9"/>
      <c r="N324" s="9"/>
    </row>
    <row r="325" spans="1:14" x14ac:dyDescent="0.2">
      <c r="A325" s="8" t="s">
        <v>369</v>
      </c>
      <c r="B325" s="4"/>
      <c r="C325" s="4" t="s">
        <v>370</v>
      </c>
      <c r="D325" s="4"/>
      <c r="E325" s="9"/>
      <c r="F325" s="9"/>
      <c r="G325" s="9"/>
      <c r="H325" s="9"/>
      <c r="I325" s="9"/>
      <c r="J325" s="9"/>
      <c r="K325" s="9"/>
      <c r="L325" s="9"/>
      <c r="M325" s="9"/>
      <c r="N325" s="9"/>
    </row>
    <row r="326" spans="1:14" x14ac:dyDescent="0.2">
      <c r="A326" s="8" t="s">
        <v>215</v>
      </c>
      <c r="B326" s="4" t="s">
        <v>185</v>
      </c>
      <c r="C326" s="4" t="s">
        <v>186</v>
      </c>
      <c r="D326" s="4"/>
      <c r="E326" s="9">
        <f>_xll.BQL("DAL US Equity", "IS_COMP_NET_INCOME_GAAP/1M", "FPT=A", "FPO=5A", "ACT_EST_MAPPING=PRECISE", "FS=MRC", "CURRENCY=USD", "XLFILL=b")</f>
        <v>6308</v>
      </c>
      <c r="F326" s="9">
        <f>_xll.BQL("DAL US Equity", "IS_COMP_NET_INCOME_GAAP/1M", "FPT=A", "FPO=4A", "ACT_EST_MAPPING=PRECISE", "FS=MRC", "CURRENCY=USD", "XLFILL=b")</f>
        <v>5081.25</v>
      </c>
      <c r="G326" s="9">
        <f>_xll.BQL("DAL US Equity", "IS_COMP_NET_INCOME_GAAP/1M", "FPT=A", "FPO=3A", "ACT_EST_MAPPING=PRECISE", "FS=MRC", "CURRENCY=USD", "XLFILL=b")</f>
        <v>4903</v>
      </c>
      <c r="H326" s="9">
        <f>_xll.BQL("DAL US Equity", "IS_COMP_NET_INCOME_GAAP/1M", "FPT=A", "FPO=2A", "ACT_EST_MAPPING=PRECISE", "FS=MRC", "CURRENCY=USD", "XLFILL=b")</f>
        <v>4687.454545454545</v>
      </c>
      <c r="I326" s="9">
        <f>_xll.BQL("DAL US Equity", "IS_COMP_NET_INCOME_GAAP/1M", "FPT=A", "FPO=1A", "ACT_EST_MAPPING=PRECISE", "FS=MRC", "CURRENCY=USD", "XLFILL=b")</f>
        <v>3521.3846153846152</v>
      </c>
      <c r="J326" s="9">
        <f>_xll.BQL("DAL US Equity", "IS_COMP_NET_INCOME_GAAP/1M", "FPT=A", "FPO=0A", "ACT_EST_MAPPING=PRECISE", "FS=MRC", "CURRENCY=USD", "XLFILL=b")</f>
        <v>4609</v>
      </c>
      <c r="K326" s="9">
        <f>_xll.BQL("DAL US Equity", "IS_COMP_NET_INCOME_GAAP/1M", "FPT=A", "FPO=-1A", "ACT_EST_MAPPING=PRECISE", "FS=MRC", "CURRENCY=USD", "XLFILL=b")</f>
        <v>1318</v>
      </c>
      <c r="L326" s="9">
        <f>_xll.BQL("DAL US Equity", "IS_COMP_NET_INCOME_GAAP/1M", "FPT=A", "FPO=-2A", "ACT_EST_MAPPING=PRECISE", "FS=MRC", "CURRENCY=USD", "XLFILL=b")</f>
        <v>280</v>
      </c>
      <c r="M326" s="9">
        <f>_xll.BQL("DAL US Equity", "IS_COMP_NET_INCOME_GAAP/1M", "FPT=A", "FPO=-3A", "ACT_EST_MAPPING=PRECISE", "FS=MRC", "CURRENCY=USD", "XLFILL=b")</f>
        <v>-12385</v>
      </c>
      <c r="N326" s="9">
        <f>_xll.BQL("DAL US Equity", "IS_COMP_NET_INCOME_GAAP/1M", "FPT=A", "FPO=-4A", "ACT_EST_MAPPING=PRECISE", "FS=MRC", "CURRENCY=USD", "XLFILL=b")</f>
        <v>4767</v>
      </c>
    </row>
    <row r="327" spans="1:14" x14ac:dyDescent="0.2">
      <c r="A327" s="8" t="s">
        <v>86</v>
      </c>
      <c r="B327" s="4" t="s">
        <v>185</v>
      </c>
      <c r="C327" s="4" t="s">
        <v>186</v>
      </c>
      <c r="D327" s="4"/>
      <c r="E327" s="9">
        <f>_xll.BQL("DAL US Equity", "FA_GROWTH(IS_COMP_NET_INCOME_GAAP, YOY)", "FPT=A", "FPO=5A", "ACT_EST_MAPPING=PRECISE", "FS=MRC", "CURRENCY=USD", "XLFILL=b")</f>
        <v>24.142681426814267</v>
      </c>
      <c r="F327" s="9">
        <f>_xll.BQL("DAL US Equity", "FA_GROWTH(IS_COMP_NET_INCOME_GAAP, YOY)", "FPT=A", "FPO=4A", "ACT_EST_MAPPING=PRECISE", "FS=MRC", "CURRENCY=USD", "XLFILL=b")</f>
        <v>3.6355292677952273</v>
      </c>
      <c r="G327" s="9">
        <f>_xll.BQL("DAL US Equity", "FA_GROWTH(IS_COMP_NET_INCOME_GAAP, YOY)", "FPT=A", "FPO=3A", "ACT_EST_MAPPING=PRECISE", "FS=MRC", "CURRENCY=USD", "XLFILL=b")</f>
        <v>4.5983476203405704</v>
      </c>
      <c r="H327" s="9">
        <f>_xll.BQL("DAL US Equity", "FA_GROWTH(IS_COMP_NET_INCOME_GAAP, YOY)", "FPT=A", "FPO=2A", "ACT_EST_MAPPING=PRECISE", "FS=MRC", "CURRENCY=USD", "XLFILL=b")</f>
        <v>33.1139610531458</v>
      </c>
      <c r="I327" s="9">
        <f>_xll.BQL("DAL US Equity", "FA_GROWTH(IS_COMP_NET_INCOME_GAAP, YOY)", "FPT=A", "FPO=1A", "ACT_EST_MAPPING=PRECISE", "FS=MRC", "CURRENCY=USD", "XLFILL=b")</f>
        <v>-23.597643406712617</v>
      </c>
      <c r="J327" s="9">
        <f>_xll.BQL("DAL US Equity", "FA_GROWTH(IS_COMP_NET_INCOME_GAAP, YOY)", "FPT=A", "FPO=0A", "ACT_EST_MAPPING=PRECISE", "FS=MRC", "CURRENCY=USD", "XLFILL=b")</f>
        <v>249.69650986342944</v>
      </c>
      <c r="K327" s="9">
        <f>_xll.BQL("DAL US Equity", "FA_GROWTH(IS_COMP_NET_INCOME_GAAP, YOY)", "FPT=A", "FPO=-1A", "ACT_EST_MAPPING=PRECISE", "FS=MRC", "CURRENCY=USD", "XLFILL=b")</f>
        <v>370.71428571428572</v>
      </c>
      <c r="L327" s="9">
        <f>_xll.BQL("DAL US Equity", "FA_GROWTH(IS_COMP_NET_INCOME_GAAP, YOY)", "FPT=A", "FPO=-2A", "ACT_EST_MAPPING=PRECISE", "FS=MRC", "CURRENCY=USD", "XLFILL=b")</f>
        <v>102.26079935405733</v>
      </c>
      <c r="M327" s="9">
        <f>_xll.BQL("DAL US Equity", "FA_GROWTH(IS_COMP_NET_INCOME_GAAP, YOY)", "FPT=A", "FPO=-3A", "ACT_EST_MAPPING=PRECISE", "FS=MRC", "CURRENCY=USD", "XLFILL=b")</f>
        <v>-359.80700650304175</v>
      </c>
      <c r="N327" s="9">
        <f>_xll.BQL("DAL US Equity", "FA_GROWTH(IS_COMP_NET_INCOME_GAAP, YOY)", "FPT=A", "FPO=-4A", "ACT_EST_MAPPING=PRECISE", "FS=MRC", "CURRENCY=USD", "XLFILL=b")</f>
        <v>21.143583227445998</v>
      </c>
    </row>
    <row r="328" spans="1:14" x14ac:dyDescent="0.2">
      <c r="A328" s="8" t="s">
        <v>139</v>
      </c>
      <c r="B328" s="4" t="s">
        <v>371</v>
      </c>
      <c r="C328" s="4" t="s">
        <v>141</v>
      </c>
      <c r="D328" s="4"/>
      <c r="E328" s="9">
        <f>_xll.BQL("DAL US Equity", "CF_DEPR_AMORT/1M", "FPT=A", "FPO=5A", "ACT_EST_MAPPING=PRECISE", "FS=MRC", "CURRENCY=USD", "XLFILL=b")</f>
        <v>3025.4763002785849</v>
      </c>
      <c r="F328" s="9">
        <f>_xll.BQL("DAL US Equity", "CF_DEPR_AMORT/1M", "FPT=A", "FPO=4A", "ACT_EST_MAPPING=PRECISE", "FS=MRC", "CURRENCY=USD", "XLFILL=b")</f>
        <v>2987.3958614531898</v>
      </c>
      <c r="G328" s="9">
        <f>_xll.BQL("DAL US Equity", "CF_DEPR_AMORT/1M", "FPT=A", "FPO=3A", "ACT_EST_MAPPING=PRECISE", "FS=MRC", "CURRENCY=USD", "XLFILL=b")</f>
        <v>2744.5508755027286</v>
      </c>
      <c r="H328" s="9">
        <f>_xll.BQL("DAL US Equity", "CF_DEPR_AMORT/1M", "FPT=A", "FPO=2A", "ACT_EST_MAPPING=PRECISE", "FS=MRC", "CURRENCY=USD", "XLFILL=b")</f>
        <v>2571.3264753312637</v>
      </c>
      <c r="I328" s="9">
        <f>_xll.BQL("DAL US Equity", "CF_DEPR_AMORT/1M", "FPT=A", "FPO=1A", "ACT_EST_MAPPING=PRECISE", "FS=MRC", "CURRENCY=USD", "XLFILL=b")</f>
        <v>2456.0068289911655</v>
      </c>
      <c r="J328" s="9">
        <f>_xll.BQL("DAL US Equity", "CF_DEPR_AMORT/1M", "FPT=A", "FPO=0A", "ACT_EST_MAPPING=PRECISE", "FS=MRC", "CURRENCY=USD", "XLFILL=b")</f>
        <v>2341</v>
      </c>
      <c r="K328" s="9">
        <f>_xll.BQL("DAL US Equity", "CF_DEPR_AMORT/1M", "FPT=A", "FPO=-1A", "ACT_EST_MAPPING=PRECISE", "FS=MRC", "CURRENCY=USD", "XLFILL=b")</f>
        <v>2107</v>
      </c>
      <c r="L328" s="9">
        <f>_xll.BQL("DAL US Equity", "CF_DEPR_AMORT/1M", "FPT=A", "FPO=-2A", "ACT_EST_MAPPING=PRECISE", "FS=MRC", "CURRENCY=USD", "XLFILL=b")</f>
        <v>1998</v>
      </c>
      <c r="M328" s="9">
        <f>_xll.BQL("DAL US Equity", "CF_DEPR_AMORT/1M", "FPT=A", "FPO=-3A", "ACT_EST_MAPPING=PRECISE", "FS=MRC", "CURRENCY=USD", "XLFILL=b")</f>
        <v>2312</v>
      </c>
      <c r="N328" s="9">
        <f>_xll.BQL("DAL US Equity", "CF_DEPR_AMORT/1M", "FPT=A", "FPO=-4A", "ACT_EST_MAPPING=PRECISE", "FS=MRC", "CURRENCY=USD", "XLFILL=b")</f>
        <v>2581</v>
      </c>
    </row>
    <row r="329" spans="1:14" x14ac:dyDescent="0.2">
      <c r="A329" s="8" t="s">
        <v>86</v>
      </c>
      <c r="B329" s="4" t="s">
        <v>371</v>
      </c>
      <c r="C329" s="4" t="s">
        <v>141</v>
      </c>
      <c r="D329" s="4"/>
      <c r="E329" s="9">
        <f>_xll.BQL("DAL US Equity", "FA_GROWTH(CF_DEPR_AMORT, YOY)", "FPT=A", "FPO=5A", "ACT_EST_MAPPING=PRECISE", "FS=MRC", "CURRENCY=USD", "XLFILL=b")</f>
        <v>1.2747034739102585</v>
      </c>
      <c r="F329" s="9">
        <f>_xll.BQL("DAL US Equity", "FA_GROWTH(CF_DEPR_AMORT, YOY)", "FPT=A", "FPO=4A", "ACT_EST_MAPPING=PRECISE", "FS=MRC", "CURRENCY=USD", "XLFILL=b")</f>
        <v>8.848259586588231</v>
      </c>
      <c r="G329" s="9">
        <f>_xll.BQL("DAL US Equity", "FA_GROWTH(CF_DEPR_AMORT, YOY)", "FPT=A", "FPO=3A", "ACT_EST_MAPPING=PRECISE", "FS=MRC", "CURRENCY=USD", "XLFILL=b")</f>
        <v>6.7367719281600928</v>
      </c>
      <c r="H329" s="9">
        <f>_xll.BQL("DAL US Equity", "FA_GROWTH(CF_DEPR_AMORT, YOY)", "FPT=A", "FPO=2A", "ACT_EST_MAPPING=PRECISE", "FS=MRC", "CURRENCY=USD", "XLFILL=b")</f>
        <v>4.6954122838276815</v>
      </c>
      <c r="I329" s="9">
        <f>_xll.BQL("DAL US Equity", "FA_GROWTH(CF_DEPR_AMORT, YOY)", "FPT=A", "FPO=1A", "ACT_EST_MAPPING=PRECISE", "FS=MRC", "CURRENCY=USD", "XLFILL=b")</f>
        <v>4.9127222977858027</v>
      </c>
      <c r="J329" s="9">
        <f>_xll.BQL("DAL US Equity", "FA_GROWTH(CF_DEPR_AMORT, YOY)", "FPT=A", "FPO=0A", "ACT_EST_MAPPING=PRECISE", "FS=MRC", "CURRENCY=USD", "XLFILL=b")</f>
        <v>11.105837683910774</v>
      </c>
      <c r="K329" s="9">
        <f>_xll.BQL("DAL US Equity", "FA_GROWTH(CF_DEPR_AMORT, YOY)", "FPT=A", "FPO=-1A", "ACT_EST_MAPPING=PRECISE", "FS=MRC", "CURRENCY=USD", "XLFILL=b")</f>
        <v>5.4554554554554553</v>
      </c>
      <c r="L329" s="9">
        <f>_xll.BQL("DAL US Equity", "FA_GROWTH(CF_DEPR_AMORT, YOY)", "FPT=A", "FPO=-2A", "ACT_EST_MAPPING=PRECISE", "FS=MRC", "CURRENCY=USD", "XLFILL=b")</f>
        <v>-13.581314878892734</v>
      </c>
      <c r="M329" s="9">
        <f>_xll.BQL("DAL US Equity", "FA_GROWTH(CF_DEPR_AMORT, YOY)", "FPT=A", "FPO=-3A", "ACT_EST_MAPPING=PRECISE", "FS=MRC", "CURRENCY=USD", "XLFILL=b")</f>
        <v>-10.42231693142193</v>
      </c>
      <c r="N329" s="9">
        <f>_xll.BQL("DAL US Equity", "FA_GROWTH(CF_DEPR_AMORT, YOY)", "FPT=A", "FPO=-4A", "ACT_EST_MAPPING=PRECISE", "FS=MRC", "CURRENCY=USD", "XLFILL=b")</f>
        <v>10.820094461142121</v>
      </c>
    </row>
    <row r="330" spans="1:14" x14ac:dyDescent="0.2">
      <c r="A330" s="8" t="s">
        <v>122</v>
      </c>
      <c r="B330" s="4" t="s">
        <v>372</v>
      </c>
      <c r="C330" s="4"/>
      <c r="D330" s="4"/>
      <c r="E330" s="9">
        <f>_xll.BQL("DAL US Equity", "DEPR_EXP_TO_NET_SALES", "FPT=A", "FPO=5A", "ACT_EST_MAPPING=PRECISE", "FS=MRC", "CURRENCY=USD", "XLFILL=b")</f>
        <v>4.8927595152149319</v>
      </c>
      <c r="F330" s="9">
        <f>_xll.BQL("DAL US Equity", "DEPR_EXP_TO_NET_SALES", "FPT=A", "FPO=4A", "ACT_EST_MAPPING=PRECISE", "FS=MRC", "CURRENCY=USD", "XLFILL=b")</f>
        <v>4.7737951972524817</v>
      </c>
      <c r="G330" s="9">
        <f>_xll.BQL("DAL US Equity", "DEPR_EXP_TO_NET_SALES", "FPT=A", "FPO=3A", "ACT_EST_MAPPING=PRECISE", "FS=MRC", "CURRENCY=USD", "XLFILL=b")</f>
        <v>4.5061920709878374</v>
      </c>
      <c r="H330" s="9">
        <f>_xll.BQL("DAL US Equity", "DEPR_EXP_TO_NET_SALES", "FPT=A", "FPO=2A", "ACT_EST_MAPPING=PRECISE", "FS=MRC", "CURRENCY=USD", "XLFILL=b")</f>
        <v>4.3571083180126946</v>
      </c>
      <c r="I330" s="9">
        <f>_xll.BQL("DAL US Equity", "DEPR_EXP_TO_NET_SALES", "FPT=A", "FPO=1A", "ACT_EST_MAPPING=PRECISE", "FS=MRC", "CURRENCY=USD", "XLFILL=b")</f>
        <v>4.1446767249385283</v>
      </c>
      <c r="J330" s="9">
        <f>_xll.BQL("DAL US Equity", "DEPR_EXP_TO_NET_SALES", "FPT=A", "FPO=0A", "ACT_EST_MAPPING=PRECISE", "FS=MRC", "CURRENCY=USD", "XLFILL=b")</f>
        <v>4.0173649393605295</v>
      </c>
      <c r="K330" s="9">
        <f>_xll.BQL("DAL US Equity", "DEPR_EXP_TO_NET_SALES", "FPT=A", "FPO=-1A", "ACT_EST_MAPPING=PRECISE", "FS=MRC", "CURRENCY=USD", "XLFILL=b")</f>
        <v>4.147720532995927</v>
      </c>
      <c r="L330" s="9">
        <f>_xll.BQL("DAL US Equity", "DEPR_EXP_TO_NET_SALES", "FPT=A", "FPO=-2A", "ACT_EST_MAPPING=PRECISE", "FS=MRC", "CURRENCY=USD", "XLFILL=b")</f>
        <v>6.6490518077527678</v>
      </c>
      <c r="M330" s="9">
        <f>_xll.BQL("DAL US Equity", "DEPR_EXP_TO_NET_SALES", "FPT=A", "FPO=-3A", "ACT_EST_MAPPING=PRECISE", "FS=MRC", "CURRENCY=USD", "XLFILL=b")</f>
        <v>13.465925709271717</v>
      </c>
      <c r="N330" s="9">
        <f>_xll.BQL("DAL US Equity", "DEPR_EXP_TO_NET_SALES", "FPT=A", "FPO=-4A", "ACT_EST_MAPPING=PRECISE", "FS=MRC", "CURRENCY=USD", "XLFILL=b")</f>
        <v>5.4672708320037442</v>
      </c>
    </row>
    <row r="331" spans="1:14" x14ac:dyDescent="0.2">
      <c r="A331" s="8" t="s">
        <v>94</v>
      </c>
      <c r="B331" s="4" t="s">
        <v>372</v>
      </c>
      <c r="C331" s="4"/>
      <c r="D331" s="4"/>
      <c r="E331" s="9">
        <f>_xll.BQL("DAL US Equity", "FA_GROWTH(DEPR_EXP_TO_NET_SALES, YOY)", "FPT=A", "FPO=5A", "ACT_EST_MAPPING=PRECISE", "FS=MRC", "CURRENCY=USD", "XLFILL=b")</f>
        <v>2.4920281044088179</v>
      </c>
      <c r="F331" s="9">
        <f>_xll.BQL("DAL US Equity", "FA_GROWTH(DEPR_EXP_TO_NET_SALES, YOY)", "FPT=A", "FPO=4A", "ACT_EST_MAPPING=PRECISE", "FS=MRC", "CURRENCY=USD", "XLFILL=b")</f>
        <v>5.9385645806700147</v>
      </c>
      <c r="G331" s="9">
        <f>_xll.BQL("DAL US Equity", "FA_GROWTH(DEPR_EXP_TO_NET_SALES, YOY)", "FPT=A", "FPO=3A", "ACT_EST_MAPPING=PRECISE", "FS=MRC", "CURRENCY=USD", "XLFILL=b")</f>
        <v>3.4216214538164347</v>
      </c>
      <c r="H331" s="9">
        <f>_xll.BQL("DAL US Equity", "FA_GROWTH(DEPR_EXP_TO_NET_SALES, YOY)", "FPT=A", "FPO=2A", "ACT_EST_MAPPING=PRECISE", "FS=MRC", "CURRENCY=USD", "XLFILL=b")</f>
        <v>5.1254080154421917</v>
      </c>
      <c r="I331" s="9">
        <f>_xll.BQL("DAL US Equity", "FA_GROWTH(DEPR_EXP_TO_NET_SALES, YOY)", "FPT=A", "FPO=1A", "ACT_EST_MAPPING=PRECISE", "FS=MRC", "CURRENCY=USD", "XLFILL=b")</f>
        <v>3.1690371051593806</v>
      </c>
      <c r="J331" s="9">
        <f>_xll.BQL("DAL US Equity", "FA_GROWTH(DEPR_EXP_TO_NET_SALES, YOY)", "FPT=A", "FPO=0A", "ACT_EST_MAPPING=PRECISE", "FS=MRC", "CURRENCY=USD", "XLFILL=b")</f>
        <v>-3.1428248986013716</v>
      </c>
      <c r="K331" s="9">
        <f>_xll.BQL("DAL US Equity", "FA_GROWTH(DEPR_EXP_TO_NET_SALES, YOY)", "FPT=A", "FPO=-1A", "ACT_EST_MAPPING=PRECISE", "FS=MRC", "CURRENCY=USD", "XLFILL=b")</f>
        <v>-37.619368100580878</v>
      </c>
      <c r="L331" s="9">
        <f>_xll.BQL("DAL US Equity", "FA_GROWTH(DEPR_EXP_TO_NET_SALES, YOY)", "FPT=A", "FPO=-2A", "ACT_EST_MAPPING=PRECISE", "FS=MRC", "CURRENCY=USD", "XLFILL=b")</f>
        <v>-50.623136119229557</v>
      </c>
      <c r="M331" s="9">
        <f>_xll.BQL("DAL US Equity", "FA_GROWTH(DEPR_EXP_TO_NET_SALES, YOY)", "FPT=A", "FPO=-3A", "ACT_EST_MAPPING=PRECISE", "FS=MRC", "CURRENCY=USD", "XLFILL=b")</f>
        <v>146.3006886442551</v>
      </c>
      <c r="N331" s="9">
        <f>_xll.BQL("DAL US Equity", "FA_GROWTH(DEPR_EXP_TO_NET_SALES, YOY)", "FPT=A", "FPO=-4A", "ACT_EST_MAPPING=PRECISE", "FS=MRC", "CURRENCY=USD", "XLFILL=b")</f>
        <v>5.0841614327778384</v>
      </c>
    </row>
    <row r="332" spans="1:14" x14ac:dyDescent="0.2">
      <c r="A332" s="8" t="s">
        <v>373</v>
      </c>
      <c r="B332" s="4" t="s">
        <v>374</v>
      </c>
      <c r="C332" s="4" t="s">
        <v>375</v>
      </c>
      <c r="D332" s="4"/>
      <c r="E332" s="9" t="str">
        <f>_xll.BQL("DAL US Equity", "CF_DEF_INC_TAX/1M", "FPT=A", "FPO=5A", "ACT_EST_MAPPING=PRECISE", "FS=MRC", "CURRENCY=USD", "XLFILL=b")</f>
        <v/>
      </c>
      <c r="F332" s="9" t="str">
        <f>_xll.BQL("DAL US Equity", "CF_DEF_INC_TAX/1M", "FPT=A", "FPO=4A", "ACT_EST_MAPPING=PRECISE", "FS=MRC", "CURRENCY=USD", "XLFILL=b")</f>
        <v/>
      </c>
      <c r="G332" s="9">
        <f>_xll.BQL("DAL US Equity", "CF_DEF_INC_TAX/1M", "FPT=A", "FPO=3A", "ACT_EST_MAPPING=PRECISE", "FS=MRC", "CURRENCY=USD", "XLFILL=b")</f>
        <v>1252.5119390430434</v>
      </c>
      <c r="H332" s="9">
        <f>_xll.BQL("DAL US Equity", "CF_DEF_INC_TAX/1M", "FPT=A", "FPO=2A", "ACT_EST_MAPPING=PRECISE", "FS=MRC", "CURRENCY=USD", "XLFILL=b")</f>
        <v>1194.7956981799102</v>
      </c>
      <c r="I332" s="9">
        <f>_xll.BQL("DAL US Equity", "CF_DEF_INC_TAX/1M", "FPT=A", "FPO=1A", "ACT_EST_MAPPING=PRECISE", "FS=MRC", "CURRENCY=USD", "XLFILL=b")</f>
        <v>608.84748242106355</v>
      </c>
      <c r="J332" s="9">
        <f>_xll.BQL("DAL US Equity", "CF_DEF_INC_TAX/1M", "FPT=A", "FPO=0A", "ACT_EST_MAPPING=PRECISE", "FS=MRC", "CURRENCY=USD", "XLFILL=b")</f>
        <v>980</v>
      </c>
      <c r="K332" s="9">
        <f>_xll.BQL("DAL US Equity", "CF_DEF_INC_TAX/1M", "FPT=A", "FPO=-1A", "ACT_EST_MAPPING=PRECISE", "FS=MRC", "CURRENCY=USD", "XLFILL=b")</f>
        <v>591</v>
      </c>
      <c r="L332" s="9">
        <f>_xll.BQL("DAL US Equity", "CF_DEF_INC_TAX/1M", "FPT=A", "FPO=-2A", "ACT_EST_MAPPING=PRECISE", "FS=MRC", "CURRENCY=USD", "XLFILL=b")</f>
        <v>115</v>
      </c>
      <c r="M332" s="9">
        <f>_xll.BQL("DAL US Equity", "CF_DEF_INC_TAX/1M", "FPT=A", "FPO=-3A", "ACT_EST_MAPPING=PRECISE", "FS=MRC", "CURRENCY=USD", "XLFILL=b")</f>
        <v>-3110</v>
      </c>
      <c r="N332" s="9">
        <f>_xll.BQL("DAL US Equity", "CF_DEF_INC_TAX/1M", "FPT=A", "FPO=-4A", "ACT_EST_MAPPING=PRECISE", "FS=MRC", "CURRENCY=USD", "XLFILL=b")</f>
        <v>1473</v>
      </c>
    </row>
    <row r="333" spans="1:14" x14ac:dyDescent="0.2">
      <c r="A333" s="8" t="s">
        <v>86</v>
      </c>
      <c r="B333" s="4" t="s">
        <v>374</v>
      </c>
      <c r="C333" s="4" t="s">
        <v>375</v>
      </c>
      <c r="D333" s="4"/>
      <c r="E333" s="9" t="str">
        <f>_xll.BQL("DAL US Equity", "FA_GROWTH(CF_DEF_INC_TAX, YOY)", "FPT=A", "FPO=5A", "ACT_EST_MAPPING=PRECISE", "FS=MRC", "CURRENCY=USD", "XLFILL=b")</f>
        <v/>
      </c>
      <c r="F333" s="9" t="str">
        <f>_xll.BQL("DAL US Equity", "FA_GROWTH(CF_DEF_INC_TAX, YOY)", "FPT=A", "FPO=4A", "ACT_EST_MAPPING=PRECISE", "FS=MRC", "CURRENCY=USD", "XLFILL=b")</f>
        <v/>
      </c>
      <c r="G333" s="9">
        <f>_xll.BQL("DAL US Equity", "FA_GROWTH(CF_DEF_INC_TAX, YOY)", "FPT=A", "FPO=3A", "ACT_EST_MAPPING=PRECISE", "FS=MRC", "CURRENCY=USD", "XLFILL=b")</f>
        <v>4.8306368152358701</v>
      </c>
      <c r="H333" s="9">
        <f>_xll.BQL("DAL US Equity", "FA_GROWTH(CF_DEF_INC_TAX, YOY)", "FPT=A", "FPO=2A", "ACT_EST_MAPPING=PRECISE", "FS=MRC", "CURRENCY=USD", "XLFILL=b")</f>
        <v>96.238915767351344</v>
      </c>
      <c r="I333" s="9">
        <f>_xll.BQL("DAL US Equity", "FA_GROWTH(CF_DEF_INC_TAX, YOY)", "FPT=A", "FPO=1A", "ACT_EST_MAPPING=PRECISE", "FS=MRC", "CURRENCY=USD", "XLFILL=b")</f>
        <v>-37.872705875401678</v>
      </c>
      <c r="J333" s="9">
        <f>_xll.BQL("DAL US Equity", "FA_GROWTH(CF_DEF_INC_TAX, YOY)", "FPT=A", "FPO=0A", "ACT_EST_MAPPING=PRECISE", "FS=MRC", "CURRENCY=USD", "XLFILL=b")</f>
        <v>65.820642978003377</v>
      </c>
      <c r="K333" s="9">
        <f>_xll.BQL("DAL US Equity", "FA_GROWTH(CF_DEF_INC_TAX, YOY)", "FPT=A", "FPO=-1A", "ACT_EST_MAPPING=PRECISE", "FS=MRC", "CURRENCY=USD", "XLFILL=b")</f>
        <v>413.91304347826087</v>
      </c>
      <c r="L333" s="9">
        <f>_xll.BQL("DAL US Equity", "FA_GROWTH(CF_DEF_INC_TAX, YOY)", "FPT=A", "FPO=-2A", "ACT_EST_MAPPING=PRECISE", "FS=MRC", "CURRENCY=USD", "XLFILL=b")</f>
        <v>103.69774919614147</v>
      </c>
      <c r="M333" s="9">
        <f>_xll.BQL("DAL US Equity", "FA_GROWTH(CF_DEF_INC_TAX, YOY)", "FPT=A", "FPO=-3A", "ACT_EST_MAPPING=PRECISE", "FS=MRC", "CURRENCY=USD", "XLFILL=b")</f>
        <v>-311.13374066530889</v>
      </c>
      <c r="N333" s="9">
        <f>_xll.BQL("DAL US Equity", "FA_GROWTH(CF_DEF_INC_TAX, YOY)", "FPT=A", "FPO=-4A", "ACT_EST_MAPPING=PRECISE", "FS=MRC", "CURRENCY=USD", "XLFILL=b")</f>
        <v>7.9912023460410557</v>
      </c>
    </row>
    <row r="334" spans="1:14" x14ac:dyDescent="0.2">
      <c r="A334" s="8" t="s">
        <v>376</v>
      </c>
      <c r="B334" s="4" t="s">
        <v>377</v>
      </c>
      <c r="C334" s="4"/>
      <c r="D334" s="4"/>
      <c r="E334" s="9" t="str">
        <f>_xll.BQL("DAL US Equity", "CB_CF_CHG_IN_AIR_TRAFFIC_LIAB/1M", "FPT=A", "FPO=5A", "ACT_EST_MAPPING=PRECISE", "FS=MRC", "CURRENCY=USD", "XLFILL=b")</f>
        <v/>
      </c>
      <c r="F334" s="9" t="str">
        <f>_xll.BQL("DAL US Equity", "CB_CF_CHG_IN_AIR_TRAFFIC_LIAB/1M", "FPT=A", "FPO=4A", "ACT_EST_MAPPING=PRECISE", "FS=MRC", "CURRENCY=USD", "XLFILL=b")</f>
        <v/>
      </c>
      <c r="G334" s="9">
        <f>_xll.BQL("DAL US Equity", "CB_CF_CHG_IN_AIR_TRAFFIC_LIAB/1M", "FPT=A", "FPO=3A", "ACT_EST_MAPPING=PRECISE", "FS=MRC", "CURRENCY=USD", "XLFILL=b")</f>
        <v>358.66767064466876</v>
      </c>
      <c r="H334" s="9">
        <f>_xll.BQL("DAL US Equity", "CB_CF_CHG_IN_AIR_TRAFFIC_LIAB/1M", "FPT=A", "FPO=2A", "ACT_EST_MAPPING=PRECISE", "FS=MRC", "CURRENCY=USD", "XLFILL=b")</f>
        <v>700</v>
      </c>
      <c r="I334" s="9">
        <f>_xll.BQL("DAL US Equity", "CB_CF_CHG_IN_AIR_TRAFFIC_LIAB/1M", "FPT=A", "FPO=1A", "ACT_EST_MAPPING=PRECISE", "FS=MRC", "CURRENCY=USD", "XLFILL=b")</f>
        <v>1423.9419599596508</v>
      </c>
      <c r="J334" s="9">
        <f>_xll.BQL("DAL US Equity", "CB_CF_CHG_IN_AIR_TRAFFIC_LIAB/1M", "FPT=A", "FPO=0A", "ACT_EST_MAPPING=PRECISE", "FS=MRC", "CURRENCY=USD", "XLFILL=b")</f>
        <v>-1216</v>
      </c>
      <c r="K334" s="9">
        <f>_xll.BQL("DAL US Equity", "CB_CF_CHG_IN_AIR_TRAFFIC_LIAB/1M", "FPT=A", "FPO=-1A", "ACT_EST_MAPPING=PRECISE", "FS=MRC", "CURRENCY=USD", "XLFILL=b")</f>
        <v>1902</v>
      </c>
      <c r="L334" s="9">
        <f>_xll.BQL("DAL US Equity", "CB_CF_CHG_IN_AIR_TRAFFIC_LIAB/1M", "FPT=A", "FPO=-2A", "ACT_EST_MAPPING=PRECISE", "FS=MRC", "CURRENCY=USD", "XLFILL=b")</f>
        <v>1814</v>
      </c>
      <c r="M334" s="9">
        <f>_xll.BQL("DAL US Equity", "CB_CF_CHG_IN_AIR_TRAFFIC_LIAB/1M", "FPT=A", "FPO=-3A", "ACT_EST_MAPPING=PRECISE", "FS=MRC", "CURRENCY=USD", "XLFILL=b")</f>
        <v>-572</v>
      </c>
      <c r="N334" s="9">
        <f>_xll.BQL("DAL US Equity", "CB_CF_CHG_IN_AIR_TRAFFIC_LIAB/1M", "FPT=A", "FPO=-4A", "ACT_EST_MAPPING=PRECISE", "FS=MRC", "CURRENCY=USD", "XLFILL=b")</f>
        <v>454</v>
      </c>
    </row>
    <row r="335" spans="1:14" x14ac:dyDescent="0.2">
      <c r="A335" s="8" t="s">
        <v>86</v>
      </c>
      <c r="B335" s="4" t="s">
        <v>377</v>
      </c>
      <c r="C335" s="4"/>
      <c r="D335" s="4"/>
      <c r="E335" s="9" t="str">
        <f>_xll.BQL("DAL US Equity", "FA_GROWTH(CB_CF_CHG_IN_AIR_TRAFFIC_LIAB, YOY)", "FPT=A", "FPO=5A", "ACT_EST_MAPPING=PRECISE", "FS=MRC", "CURRENCY=USD", "XLFILL=b")</f>
        <v/>
      </c>
      <c r="F335" s="9" t="str">
        <f>_xll.BQL("DAL US Equity", "FA_GROWTH(CB_CF_CHG_IN_AIR_TRAFFIC_LIAB, YOY)", "FPT=A", "FPO=4A", "ACT_EST_MAPPING=PRECISE", "FS=MRC", "CURRENCY=USD", "XLFILL=b")</f>
        <v/>
      </c>
      <c r="G335" s="9">
        <f>_xll.BQL("DAL US Equity", "FA_GROWTH(CB_CF_CHG_IN_AIR_TRAFFIC_LIAB, YOY)", "FPT=A", "FPO=3A", "ACT_EST_MAPPING=PRECISE", "FS=MRC", "CURRENCY=USD", "XLFILL=b")</f>
        <v>-48.761761336475892</v>
      </c>
      <c r="H335" s="9">
        <f>_xll.BQL("DAL US Equity", "FA_GROWTH(CB_CF_CHG_IN_AIR_TRAFFIC_LIAB, YOY)", "FPT=A", "FPO=2A", "ACT_EST_MAPPING=PRECISE", "FS=MRC", "CURRENCY=USD", "XLFILL=b")</f>
        <v>-50.84069297179532</v>
      </c>
      <c r="I335" s="9">
        <f>_xll.BQL("DAL US Equity", "FA_GROWTH(CB_CF_CHG_IN_AIR_TRAFFIC_LIAB, YOY)", "FPT=A", "FPO=1A", "ACT_EST_MAPPING=PRECISE", "FS=MRC", "CURRENCY=USD", "XLFILL=b")</f>
        <v>217.10049012826076</v>
      </c>
      <c r="J335" s="9">
        <f>_xll.BQL("DAL US Equity", "FA_GROWTH(CB_CF_CHG_IN_AIR_TRAFFIC_LIAB, YOY)", "FPT=A", "FPO=0A", "ACT_EST_MAPPING=PRECISE", "FS=MRC", "CURRENCY=USD", "XLFILL=b")</f>
        <v>-163.93270241850684</v>
      </c>
      <c r="K335" s="9">
        <f>_xll.BQL("DAL US Equity", "FA_GROWTH(CB_CF_CHG_IN_AIR_TRAFFIC_LIAB, YOY)", "FPT=A", "FPO=-1A", "ACT_EST_MAPPING=PRECISE", "FS=MRC", "CURRENCY=USD", "XLFILL=b")</f>
        <v>4.8511576626240354</v>
      </c>
      <c r="L335" s="9">
        <f>_xll.BQL("DAL US Equity", "FA_GROWTH(CB_CF_CHG_IN_AIR_TRAFFIC_LIAB, YOY)", "FPT=A", "FPO=-2A", "ACT_EST_MAPPING=PRECISE", "FS=MRC", "CURRENCY=USD", "XLFILL=b")</f>
        <v>417.13286713286715</v>
      </c>
      <c r="M335" s="9">
        <f>_xll.BQL("DAL US Equity", "FA_GROWTH(CB_CF_CHG_IN_AIR_TRAFFIC_LIAB, YOY)", "FPT=A", "FPO=-3A", "ACT_EST_MAPPING=PRECISE", "FS=MRC", "CURRENCY=USD", "XLFILL=b")</f>
        <v>-225.99118942731278</v>
      </c>
      <c r="N335" s="9">
        <f>_xll.BQL("DAL US Equity", "FA_GROWTH(CB_CF_CHG_IN_AIR_TRAFFIC_LIAB, YOY)", "FPT=A", "FPO=-4A", "ACT_EST_MAPPING=PRECISE", "FS=MRC", "CURRENCY=USD", "XLFILL=b")</f>
        <v>52.861952861952865</v>
      </c>
    </row>
    <row r="336" spans="1:14" x14ac:dyDescent="0.2">
      <c r="A336" s="8" t="s">
        <v>378</v>
      </c>
      <c r="B336" s="4" t="s">
        <v>379</v>
      </c>
      <c r="C336" s="4" t="s">
        <v>380</v>
      </c>
      <c r="D336" s="4"/>
      <c r="E336" s="9" t="str">
        <f>_xll.BQL("DAL US Equity", "CF_CHANGE_IN_PENSION_PROVISIONS/1M", "FPT=A", "FPO=5A", "ACT_EST_MAPPING=PRECISE", "FS=MRC", "CURRENCY=USD", "XLFILL=b")</f>
        <v/>
      </c>
      <c r="F336" s="9" t="str">
        <f>_xll.BQL("DAL US Equity", "CF_CHANGE_IN_PENSION_PROVISIONS/1M", "FPT=A", "FPO=4A", "ACT_EST_MAPPING=PRECISE", "FS=MRC", "CURRENCY=USD", "XLFILL=b")</f>
        <v/>
      </c>
      <c r="G336" s="9">
        <f>_xll.BQL("DAL US Equity", "CF_CHANGE_IN_PENSION_PROVISIONS/1M", "FPT=A", "FPO=3A", "ACT_EST_MAPPING=PRECISE", "FS=MRC", "CURRENCY=USD", "XLFILL=b")</f>
        <v>-410</v>
      </c>
      <c r="H336" s="9">
        <f>_xll.BQL("DAL US Equity", "CF_CHANGE_IN_PENSION_PROVISIONS/1M", "FPT=A", "FPO=2A", "ACT_EST_MAPPING=PRECISE", "FS=MRC", "CURRENCY=USD", "XLFILL=b")</f>
        <v>-230</v>
      </c>
      <c r="I336" s="9">
        <f>_xll.BQL("DAL US Equity", "CF_CHANGE_IN_PENSION_PROVISIONS/1M", "FPT=A", "FPO=1A", "ACT_EST_MAPPING=PRECISE", "FS=MRC", "CURRENCY=USD", "XLFILL=b")</f>
        <v>-140.25</v>
      </c>
      <c r="J336" s="9">
        <f>_xll.BQL("DAL US Equity", "CF_CHANGE_IN_PENSION_PROVISIONS/1M", "FPT=A", "FPO=0A", "ACT_EST_MAPPING=PRECISE", "FS=MRC", "CURRENCY=USD", "XLFILL=b")</f>
        <v>-121</v>
      </c>
      <c r="K336" s="9">
        <f>_xll.BQL("DAL US Equity", "CF_CHANGE_IN_PENSION_PROVISIONS/1M", "FPT=A", "FPO=-1A", "ACT_EST_MAPPING=PRECISE", "FS=MRC", "CURRENCY=USD", "XLFILL=b")</f>
        <v>-453</v>
      </c>
      <c r="L336" s="9">
        <f>_xll.BQL("DAL US Equity", "CF_CHANGE_IN_PENSION_PROVISIONS/1M", "FPT=A", "FPO=-2A", "ACT_EST_MAPPING=PRECISE", "FS=MRC", "CURRENCY=USD", "XLFILL=b")</f>
        <v>-2038</v>
      </c>
      <c r="M336" s="9">
        <f>_xll.BQL("DAL US Equity", "CF_CHANGE_IN_PENSION_PROVISIONS/1M", "FPT=A", "FPO=-3A", "ACT_EST_MAPPING=PRECISE", "FS=MRC", "CURRENCY=USD", "XLFILL=b")</f>
        <v>898</v>
      </c>
      <c r="N336" s="9">
        <f>_xll.BQL("DAL US Equity", "CF_CHANGE_IN_PENSION_PROVISIONS/1M", "FPT=A", "FPO=-4A", "ACT_EST_MAPPING=PRECISE", "FS=MRC", "CURRENCY=USD", "XLFILL=b")</f>
        <v>-922</v>
      </c>
    </row>
    <row r="337" spans="1:14" x14ac:dyDescent="0.2">
      <c r="A337" s="8" t="s">
        <v>86</v>
      </c>
      <c r="B337" s="4" t="s">
        <v>379</v>
      </c>
      <c r="C337" s="4" t="s">
        <v>380</v>
      </c>
      <c r="D337" s="4"/>
      <c r="E337" s="9" t="str">
        <f>_xll.BQL("DAL US Equity", "FA_GROWTH(CF_CHANGE_IN_PENSION_PROVISIONS, YOY)", "FPT=A", "FPO=5A", "ACT_EST_MAPPING=PRECISE", "FS=MRC", "CURRENCY=USD", "XLFILL=b")</f>
        <v/>
      </c>
      <c r="F337" s="9" t="str">
        <f>_xll.BQL("DAL US Equity", "FA_GROWTH(CF_CHANGE_IN_PENSION_PROVISIONS, YOY)", "FPT=A", "FPO=4A", "ACT_EST_MAPPING=PRECISE", "FS=MRC", "CURRENCY=USD", "XLFILL=b")</f>
        <v/>
      </c>
      <c r="G337" s="9">
        <f>_xll.BQL("DAL US Equity", "FA_GROWTH(CF_CHANGE_IN_PENSION_PROVISIONS, YOY)", "FPT=A", "FPO=3A", "ACT_EST_MAPPING=PRECISE", "FS=MRC", "CURRENCY=USD", "XLFILL=b")</f>
        <v>-78.260869565217391</v>
      </c>
      <c r="H337" s="9">
        <f>_xll.BQL("DAL US Equity", "FA_GROWTH(CF_CHANGE_IN_PENSION_PROVISIONS, YOY)", "FPT=A", "FPO=2A", "ACT_EST_MAPPING=PRECISE", "FS=MRC", "CURRENCY=USD", "XLFILL=b")</f>
        <v>-63.992869875222816</v>
      </c>
      <c r="I337" s="9">
        <f>_xll.BQL("DAL US Equity", "FA_GROWTH(CF_CHANGE_IN_PENSION_PROVISIONS, YOY)", "FPT=A", "FPO=1A", "ACT_EST_MAPPING=PRECISE", "FS=MRC", "CURRENCY=USD", "XLFILL=b")</f>
        <v>-15.909090909090908</v>
      </c>
      <c r="J337" s="9">
        <f>_xll.BQL("DAL US Equity", "FA_GROWTH(CF_CHANGE_IN_PENSION_PROVISIONS, YOY)", "FPT=A", "FPO=0A", "ACT_EST_MAPPING=PRECISE", "FS=MRC", "CURRENCY=USD", "XLFILL=b")</f>
        <v>73.289183222958059</v>
      </c>
      <c r="K337" s="9">
        <f>_xll.BQL("DAL US Equity", "FA_GROWTH(CF_CHANGE_IN_PENSION_PROVISIONS, YOY)", "FPT=A", "FPO=-1A", "ACT_EST_MAPPING=PRECISE", "FS=MRC", "CURRENCY=USD", "XLFILL=b")</f>
        <v>77.772325809617271</v>
      </c>
      <c r="L337" s="9">
        <f>_xll.BQL("DAL US Equity", "FA_GROWTH(CF_CHANGE_IN_PENSION_PROVISIONS, YOY)", "FPT=A", "FPO=-2A", "ACT_EST_MAPPING=PRECISE", "FS=MRC", "CURRENCY=USD", "XLFILL=b")</f>
        <v>-326.94877505567928</v>
      </c>
      <c r="M337" s="9">
        <f>_xll.BQL("DAL US Equity", "FA_GROWTH(CF_CHANGE_IN_PENSION_PROVISIONS, YOY)", "FPT=A", "FPO=-3A", "ACT_EST_MAPPING=PRECISE", "FS=MRC", "CURRENCY=USD", "XLFILL=b")</f>
        <v>197.39696312364424</v>
      </c>
      <c r="N337" s="9">
        <f>_xll.BQL("DAL US Equity", "FA_GROWTH(CF_CHANGE_IN_PENSION_PROVISIONS, YOY)", "FPT=A", "FPO=-4A", "ACT_EST_MAPPING=PRECISE", "FS=MRC", "CURRENCY=USD", "XLFILL=b")</f>
        <v>-16.708860759493671</v>
      </c>
    </row>
    <row r="338" spans="1:14" x14ac:dyDescent="0.2">
      <c r="A338" s="8" t="s">
        <v>381</v>
      </c>
      <c r="B338" s="4"/>
      <c r="C338" s="4"/>
      <c r="D338" s="4"/>
      <c r="E338" s="9"/>
      <c r="F338" s="9"/>
      <c r="G338" s="9"/>
      <c r="H338" s="9"/>
      <c r="I338" s="9"/>
      <c r="J338" s="9"/>
      <c r="K338" s="9"/>
      <c r="L338" s="9"/>
      <c r="M338" s="9"/>
      <c r="N338" s="9"/>
    </row>
    <row r="339" spans="1:14" x14ac:dyDescent="0.2">
      <c r="A339" s="8" t="s">
        <v>382</v>
      </c>
      <c r="B339" s="4" t="s">
        <v>383</v>
      </c>
      <c r="C339" s="4" t="s">
        <v>380</v>
      </c>
      <c r="D339" s="4"/>
      <c r="E339" s="9" t="str">
        <f>_xll.BQL("DAL US Equity", "CF_CHG_IN_OTH_CURR_AST_LIBLTS/1M", "FPT=A", "FPO=5A", "ACT_EST_MAPPING=PRECISE", "FS=MRC", "CURRENCY=USD", "XLFILL=b")</f>
        <v/>
      </c>
      <c r="F339" s="9" t="str">
        <f>_xll.BQL("DAL US Equity", "CF_CHG_IN_OTH_CURR_AST_LIBLTS/1M", "FPT=A", "FPO=4A", "ACT_EST_MAPPING=PRECISE", "FS=MRC", "CURRENCY=USD", "XLFILL=b")</f>
        <v/>
      </c>
      <c r="G339" s="9" t="str">
        <f>_xll.BQL("DAL US Equity", "CF_CHG_IN_OTH_CURR_AST_LIBLTS/1M", "FPT=A", "FPO=3A", "ACT_EST_MAPPING=PRECISE", "FS=MRC", "CURRENCY=USD", "XLFILL=b")</f>
        <v/>
      </c>
      <c r="H339" s="9">
        <f>_xll.BQL("DAL US Equity", "CF_CHG_IN_OTH_CURR_AST_LIBLTS/1M", "FPT=A", "FPO=2A", "ACT_EST_MAPPING=PRECISE", "FS=MRC", "CURRENCY=USD", "XLFILL=b")</f>
        <v>631.14239999999995</v>
      </c>
      <c r="I339" s="9">
        <f>_xll.BQL("DAL US Equity", "CF_CHG_IN_OTH_CURR_AST_LIBLTS/1M", "FPT=A", "FPO=1A", "ACT_EST_MAPPING=PRECISE", "FS=MRC", "CURRENCY=USD", "XLFILL=b")</f>
        <v>745.09333333333336</v>
      </c>
      <c r="J339" s="9">
        <f>_xll.BQL("DAL US Equity", "CF_CHG_IN_OTH_CURR_AST_LIBLTS/1M", "FPT=A", "FPO=0A", "ACT_EST_MAPPING=PRECISE", "FS=MRC", "CURRENCY=USD", "XLFILL=b")</f>
        <v>821</v>
      </c>
      <c r="K339" s="9">
        <f>_xll.BQL("DAL US Equity", "CF_CHG_IN_OTH_CURR_AST_LIBLTS/1M", "FPT=A", "FPO=-1A", "ACT_EST_MAPPING=PRECISE", "FS=MRC", "CURRENCY=USD", "XLFILL=b")</f>
        <v>455</v>
      </c>
      <c r="L339" s="9">
        <f>_xll.BQL("DAL US Equity", "CF_CHG_IN_OTH_CURR_AST_LIBLTS/1M", "FPT=A", "FPO=-2A", "ACT_EST_MAPPING=PRECISE", "FS=MRC", "CURRENCY=USD", "XLFILL=b")</f>
        <v>108</v>
      </c>
      <c r="M339" s="9">
        <f>_xll.BQL("DAL US Equity", "CF_CHG_IN_OTH_CURR_AST_LIBLTS/1M", "FPT=A", "FPO=-3A", "ACT_EST_MAPPING=PRECISE", "FS=MRC", "CURRENCY=USD", "XLFILL=b")</f>
        <v>-1650</v>
      </c>
      <c r="N339" s="9">
        <f>_xll.BQL("DAL US Equity", "CF_CHG_IN_OTH_CURR_AST_LIBLTS/1M", "FPT=A", "FPO=-4A", "ACT_EST_MAPPING=PRECISE", "FS=MRC", "CURRENCY=USD", "XLFILL=b")</f>
        <v>354</v>
      </c>
    </row>
    <row r="340" spans="1:14" x14ac:dyDescent="0.2">
      <c r="A340" s="8" t="s">
        <v>94</v>
      </c>
      <c r="B340" s="4" t="s">
        <v>383</v>
      </c>
      <c r="C340" s="4" t="s">
        <v>380</v>
      </c>
      <c r="D340" s="4"/>
      <c r="E340" s="9" t="str">
        <f>_xll.BQL("DAL US Equity", "FA_GROWTH(CF_CHG_IN_OTH_CURR_AST_LIBLTS, YOY)", "FPT=A", "FPO=5A", "ACT_EST_MAPPING=PRECISE", "FS=MRC", "CURRENCY=USD", "XLFILL=b")</f>
        <v/>
      </c>
      <c r="F340" s="9" t="str">
        <f>_xll.BQL("DAL US Equity", "FA_GROWTH(CF_CHG_IN_OTH_CURR_AST_LIBLTS, YOY)", "FPT=A", "FPO=4A", "ACT_EST_MAPPING=PRECISE", "FS=MRC", "CURRENCY=USD", "XLFILL=b")</f>
        <v/>
      </c>
      <c r="G340" s="9" t="str">
        <f>_xll.BQL("DAL US Equity", "FA_GROWTH(CF_CHG_IN_OTH_CURR_AST_LIBLTS, YOY)", "FPT=A", "FPO=3A", "ACT_EST_MAPPING=PRECISE", "FS=MRC", "CURRENCY=USD", "XLFILL=b")</f>
        <v/>
      </c>
      <c r="H340" s="9">
        <f>_xll.BQL("DAL US Equity", "FA_GROWTH(CF_CHG_IN_OTH_CURR_AST_LIBLTS, YOY)", "FPT=A", "FPO=2A", "ACT_EST_MAPPING=PRECISE", "FS=MRC", "CURRENCY=USD", "XLFILL=b")</f>
        <v>-15.293511327439967</v>
      </c>
      <c r="I340" s="9">
        <f>_xll.BQL("DAL US Equity", "FA_GROWTH(CF_CHG_IN_OTH_CURR_AST_LIBLTS, YOY)", "FPT=A", "FPO=1A", "ACT_EST_MAPPING=PRECISE", "FS=MRC", "CURRENCY=USD", "XLFILL=b")</f>
        <v>-9.2456354039788824</v>
      </c>
      <c r="J340" s="9">
        <f>_xll.BQL("DAL US Equity", "FA_GROWTH(CF_CHG_IN_OTH_CURR_AST_LIBLTS, YOY)", "FPT=A", "FPO=0A", "ACT_EST_MAPPING=PRECISE", "FS=MRC", "CURRENCY=USD", "XLFILL=b")</f>
        <v>80.439560439560438</v>
      </c>
      <c r="K340" s="9">
        <f>_xll.BQL("DAL US Equity", "FA_GROWTH(CF_CHG_IN_OTH_CURR_AST_LIBLTS, YOY)", "FPT=A", "FPO=-1A", "ACT_EST_MAPPING=PRECISE", "FS=MRC", "CURRENCY=USD", "XLFILL=b")</f>
        <v>321.2962962962963</v>
      </c>
      <c r="L340" s="9">
        <f>_xll.BQL("DAL US Equity", "FA_GROWTH(CF_CHG_IN_OTH_CURR_AST_LIBLTS, YOY)", "FPT=A", "FPO=-2A", "ACT_EST_MAPPING=PRECISE", "FS=MRC", "CURRENCY=USD", "XLFILL=b")</f>
        <v>106.54545454545455</v>
      </c>
      <c r="M340" s="9">
        <f>_xll.BQL("DAL US Equity", "FA_GROWTH(CF_CHG_IN_OTH_CURR_AST_LIBLTS, YOY)", "FPT=A", "FPO=-3A", "ACT_EST_MAPPING=PRECISE", "FS=MRC", "CURRENCY=USD", "XLFILL=b")</f>
        <v>-566.10169491525426</v>
      </c>
      <c r="N340" s="9">
        <f>_xll.BQL("DAL US Equity", "FA_GROWTH(CF_CHG_IN_OTH_CURR_AST_LIBLTS, YOY)", "FPT=A", "FPO=-4A", "ACT_EST_MAPPING=PRECISE", "FS=MRC", "CURRENCY=USD", "XLFILL=b")</f>
        <v>51.931330472103006</v>
      </c>
    </row>
    <row r="341" spans="1:14" x14ac:dyDescent="0.2">
      <c r="A341" s="8" t="s">
        <v>384</v>
      </c>
      <c r="B341" s="4" t="s">
        <v>385</v>
      </c>
      <c r="C341" s="4" t="s">
        <v>386</v>
      </c>
      <c r="D341" s="4"/>
      <c r="E341" s="9">
        <f>_xll.BQL("DAL US Equity", "CB_CF_NET_CASH_OPERATING_ACT/1M", "FPT=A", "FPO=5A", "ACT_EST_MAPPING=PRECISE", "FS=MRC", "CURRENCY=USD", "XLFILL=b")</f>
        <v>10533.355571757053</v>
      </c>
      <c r="F341" s="9">
        <f>_xll.BQL("DAL US Equity", "CB_CF_NET_CASH_OPERATING_ACT/1M", "FPT=A", "FPO=4A", "ACT_EST_MAPPING=PRECISE", "FS=MRC", "CURRENCY=USD", "XLFILL=b")</f>
        <v>9885.1360166056693</v>
      </c>
      <c r="G341" s="9">
        <f>_xll.BQL("DAL US Equity", "CB_CF_NET_CASH_OPERATING_ACT/1M", "FPT=A", "FPO=3A", "ACT_EST_MAPPING=PRECISE", "FS=MRC", "CURRENCY=USD", "XLFILL=b")</f>
        <v>9028.581187964628</v>
      </c>
      <c r="H341" s="9">
        <f>_xll.BQL("DAL US Equity", "CB_CF_NET_CASH_OPERATING_ACT/1M", "FPT=A", "FPO=2A", "ACT_EST_MAPPING=PRECISE", "FS=MRC", "CURRENCY=USD", "XLFILL=b")</f>
        <v>8130.3624045999068</v>
      </c>
      <c r="I341" s="9">
        <f>_xll.BQL("DAL US Equity", "CB_CF_NET_CASH_OPERATING_ACT/1M", "FPT=A", "FPO=1A", "ACT_EST_MAPPING=PRECISE", "FS=MRC", "CURRENCY=USD", "XLFILL=b")</f>
        <v>7915.2255075859302</v>
      </c>
      <c r="J341" s="9">
        <f>_xll.BQL("DAL US Equity", "CB_CF_NET_CASH_OPERATING_ACT/1M", "FPT=A", "FPO=0A", "ACT_EST_MAPPING=PRECISE", "FS=MRC", "CURRENCY=USD", "XLFILL=b")</f>
        <v>6464</v>
      </c>
      <c r="K341" s="9">
        <f>_xll.BQL("DAL US Equity", "CB_CF_NET_CASH_OPERATING_ACT/1M", "FPT=A", "FPO=-1A", "ACT_EST_MAPPING=PRECISE", "FS=MRC", "CURRENCY=USD", "XLFILL=b")</f>
        <v>6363</v>
      </c>
      <c r="L341" s="9">
        <f>_xll.BQL("DAL US Equity", "CB_CF_NET_CASH_OPERATING_ACT/1M", "FPT=A", "FPO=-2A", "ACT_EST_MAPPING=PRECISE", "FS=MRC", "CURRENCY=USD", "XLFILL=b")</f>
        <v>3264</v>
      </c>
      <c r="M341" s="9">
        <f>_xll.BQL("DAL US Equity", "CB_CF_NET_CASH_OPERATING_ACT/1M", "FPT=A", "FPO=-3A", "ACT_EST_MAPPING=PRECISE", "FS=MRC", "CURRENCY=USD", "XLFILL=b")</f>
        <v>-3793</v>
      </c>
      <c r="N341" s="9">
        <f>_xll.BQL("DAL US Equity", "CB_CF_NET_CASH_OPERATING_ACT/1M", "FPT=A", "FPO=-4A", "ACT_EST_MAPPING=PRECISE", "FS=MRC", "CURRENCY=USD", "XLFILL=b")</f>
        <v>8425</v>
      </c>
    </row>
    <row r="342" spans="1:14" x14ac:dyDescent="0.2">
      <c r="A342" s="8" t="s">
        <v>12</v>
      </c>
      <c r="B342" s="4" t="s">
        <v>385</v>
      </c>
      <c r="C342" s="4" t="s">
        <v>386</v>
      </c>
      <c r="D342" s="4"/>
      <c r="E342" s="9">
        <f>_xll.BQL("DAL US Equity", "FA_GROWTH(CB_CF_NET_CASH_OPERATING_ACT, YOY)", "FPT=A", "FPO=5A", "ACT_EST_MAPPING=PRECISE", "FS=MRC", "CURRENCY=USD", "XLFILL=b")</f>
        <v>6.5575178132345844</v>
      </c>
      <c r="F342" s="9">
        <f>_xll.BQL("DAL US Equity", "FA_GROWTH(CB_CF_NET_CASH_OPERATING_ACT, YOY)", "FPT=A", "FPO=4A", "ACT_EST_MAPPING=PRECISE", "FS=MRC", "CURRENCY=USD", "XLFILL=b")</f>
        <v>9.48714765707434</v>
      </c>
      <c r="G342" s="9">
        <f>_xll.BQL("DAL US Equity", "FA_GROWTH(CB_CF_NET_CASH_OPERATING_ACT, YOY)", "FPT=A", "FPO=3A", "ACT_EST_MAPPING=PRECISE", "FS=MRC", "CURRENCY=USD", "XLFILL=b")</f>
        <v>11.047709052385377</v>
      </c>
      <c r="H342" s="9">
        <f>_xll.BQL("DAL US Equity", "FA_GROWTH(CB_CF_NET_CASH_OPERATING_ACT, YOY)", "FPT=A", "FPO=2A", "ACT_EST_MAPPING=PRECISE", "FS=MRC", "CURRENCY=USD", "XLFILL=b")</f>
        <v>2.7180134894172054</v>
      </c>
      <c r="I342" s="9">
        <f>_xll.BQL("DAL US Equity", "FA_GROWTH(CB_CF_NET_CASH_OPERATING_ACT, YOY)", "FPT=A", "FPO=1A", "ACT_EST_MAPPING=PRECISE", "FS=MRC", "CURRENCY=USD", "XLFILL=b")</f>
        <v>22.450889659435795</v>
      </c>
      <c r="J342" s="9">
        <f>_xll.BQL("DAL US Equity", "FA_GROWTH(CB_CF_NET_CASH_OPERATING_ACT, YOY)", "FPT=A", "FPO=0A", "ACT_EST_MAPPING=PRECISE", "FS=MRC", "CURRENCY=USD", "XLFILL=b")</f>
        <v>1.5873015873015872</v>
      </c>
      <c r="K342" s="9">
        <f>_xll.BQL("DAL US Equity", "FA_GROWTH(CB_CF_NET_CASH_OPERATING_ACT, YOY)", "FPT=A", "FPO=-1A", "ACT_EST_MAPPING=PRECISE", "FS=MRC", "CURRENCY=USD", "XLFILL=b")</f>
        <v>94.944852941176464</v>
      </c>
      <c r="L342" s="9">
        <f>_xll.BQL("DAL US Equity", "FA_GROWTH(CB_CF_NET_CASH_OPERATING_ACT, YOY)", "FPT=A", "FPO=-2A", "ACT_EST_MAPPING=PRECISE", "FS=MRC", "CURRENCY=USD", "XLFILL=b")</f>
        <v>186.05325599789086</v>
      </c>
      <c r="M342" s="9">
        <f>_xll.BQL("DAL US Equity", "FA_GROWTH(CB_CF_NET_CASH_OPERATING_ACT, YOY)", "FPT=A", "FPO=-3A", "ACT_EST_MAPPING=PRECISE", "FS=MRC", "CURRENCY=USD", "XLFILL=b")</f>
        <v>-145.02077151335311</v>
      </c>
      <c r="N342" s="9">
        <f>_xll.BQL("DAL US Equity", "FA_GROWTH(CB_CF_NET_CASH_OPERATING_ACT, YOY)", "FPT=A", "FPO=-4A", "ACT_EST_MAPPING=PRECISE", "FS=MRC", "CURRENCY=USD", "XLFILL=b")</f>
        <v>20.116909039064726</v>
      </c>
    </row>
    <row r="343" spans="1:14" x14ac:dyDescent="0.2">
      <c r="A343" s="8" t="s">
        <v>16</v>
      </c>
      <c r="B343" s="4"/>
      <c r="C343" s="4"/>
      <c r="D343" s="4"/>
      <c r="E343" s="9"/>
      <c r="F343" s="9"/>
      <c r="G343" s="9"/>
      <c r="H343" s="9"/>
      <c r="I343" s="9"/>
      <c r="J343" s="9"/>
      <c r="K343" s="9"/>
      <c r="L343" s="9"/>
      <c r="M343" s="9"/>
      <c r="N343" s="9"/>
    </row>
    <row r="344" spans="1:14" x14ac:dyDescent="0.2">
      <c r="A344" s="8" t="s">
        <v>387</v>
      </c>
      <c r="B344" s="4"/>
      <c r="C344" s="4" t="s">
        <v>388</v>
      </c>
      <c r="D344" s="4"/>
      <c r="E344" s="9"/>
      <c r="F344" s="9"/>
      <c r="G344" s="9"/>
      <c r="H344" s="9"/>
      <c r="I344" s="9"/>
      <c r="J344" s="9"/>
      <c r="K344" s="9"/>
      <c r="L344" s="9"/>
      <c r="M344" s="9"/>
      <c r="N344" s="9"/>
    </row>
    <row r="345" spans="1:14" x14ac:dyDescent="0.2">
      <c r="A345" s="8" t="s">
        <v>389</v>
      </c>
      <c r="B345" s="4" t="s">
        <v>390</v>
      </c>
      <c r="C345" s="4" t="s">
        <v>391</v>
      </c>
      <c r="D345" s="4"/>
      <c r="E345" s="9">
        <f>_xll.BQL("DAL US Equity", "HEADLINE_CAPEX/1M", "FPT=A", "FPO=5A", "ACT_EST_MAPPING=PRECISE", "FS=MRC", "CURRENCY=USD", "XLFILL=b")</f>
        <v>-5250</v>
      </c>
      <c r="F345" s="9">
        <f>_xll.BQL("DAL US Equity", "HEADLINE_CAPEX/1M", "FPT=A", "FPO=4A", "ACT_EST_MAPPING=PRECISE", "FS=MRC", "CURRENCY=USD", "XLFILL=b")</f>
        <v>-5244</v>
      </c>
      <c r="G345" s="9">
        <f>_xll.BQL("DAL US Equity", "HEADLINE_CAPEX/1M", "FPT=A", "FPO=3A", "ACT_EST_MAPPING=PRECISE", "FS=MRC", "CURRENCY=USD", "XLFILL=b")</f>
        <v>-5417.5714285714284</v>
      </c>
      <c r="H345" s="9">
        <f>_xll.BQL("DAL US Equity", "HEADLINE_CAPEX/1M", "FPT=A", "FPO=2A", "ACT_EST_MAPPING=PRECISE", "FS=MRC", "CURRENCY=USD", "XLFILL=b")</f>
        <v>-5307.545454545455</v>
      </c>
      <c r="I345" s="9">
        <f>_xll.BQL("DAL US Equity", "HEADLINE_CAPEX/1M", "FPT=A", "FPO=1A", "ACT_EST_MAPPING=PRECISE", "FS=MRC", "CURRENCY=USD", "XLFILL=b")</f>
        <v>-4947.416666666667</v>
      </c>
      <c r="J345" s="9">
        <f>_xll.BQL("DAL US Equity", "HEADLINE_CAPEX/1M", "FPT=A", "FPO=0A", "ACT_EST_MAPPING=PRECISE", "FS=MRC", "CURRENCY=USD", "XLFILL=b")</f>
        <v>-5323</v>
      </c>
      <c r="K345" s="9">
        <f>_xll.BQL("DAL US Equity", "HEADLINE_CAPEX/1M", "FPT=A", "FPO=-1A", "ACT_EST_MAPPING=PRECISE", "FS=MRC", "CURRENCY=USD", "XLFILL=b")</f>
        <v>-6366</v>
      </c>
      <c r="L345" s="9">
        <f>_xll.BQL("DAL US Equity", "HEADLINE_CAPEX/1M", "FPT=A", "FPO=-2A", "ACT_EST_MAPPING=PRECISE", "FS=MRC", "CURRENCY=USD", "XLFILL=b")</f>
        <v>-3247</v>
      </c>
      <c r="M345" s="9">
        <f>_xll.BQL("DAL US Equity", "HEADLINE_CAPEX/1M", "FPT=A", "FPO=-3A", "ACT_EST_MAPPING=PRECISE", "FS=MRC", "CURRENCY=USD", "XLFILL=b")</f>
        <v>-1899</v>
      </c>
      <c r="N345" s="9">
        <f>_xll.BQL("DAL US Equity", "HEADLINE_CAPEX/1M", "FPT=A", "FPO=-4A", "ACT_EST_MAPPING=PRECISE", "FS=MRC", "CURRENCY=USD", "XLFILL=b")</f>
        <v>-4936</v>
      </c>
    </row>
    <row r="346" spans="1:14" x14ac:dyDescent="0.2">
      <c r="A346" s="8" t="s">
        <v>86</v>
      </c>
      <c r="B346" s="4" t="s">
        <v>390</v>
      </c>
      <c r="C346" s="4" t="s">
        <v>391</v>
      </c>
      <c r="D346" s="4"/>
      <c r="E346" s="9">
        <f>_xll.BQL("DAL US Equity", "FA_GROWTH(HEADLINE_CAPEX, YOY)", "FPT=A", "FPO=5A", "ACT_EST_MAPPING=PRECISE", "FS=MRC", "CURRENCY=USD", "XLFILL=b")</f>
        <v>-0.11441647597254005</v>
      </c>
      <c r="F346" s="9">
        <f>_xll.BQL("DAL US Equity", "FA_GROWTH(HEADLINE_CAPEX, YOY)", "FPT=A", "FPO=4A", "ACT_EST_MAPPING=PRECISE", "FS=MRC", "CURRENCY=USD", "XLFILL=b")</f>
        <v>3.2038604540779954</v>
      </c>
      <c r="G346" s="9">
        <f>_xll.BQL("DAL US Equity", "FA_GROWTH(HEADLINE_CAPEX, YOY)", "FPT=A", "FPO=3A", "ACT_EST_MAPPING=PRECISE", "FS=MRC", "CURRENCY=USD", "XLFILL=b")</f>
        <v>-2.0730104898441435</v>
      </c>
      <c r="H346" s="9">
        <f>_xll.BQL("DAL US Equity", "FA_GROWTH(HEADLINE_CAPEX, YOY)", "FPT=A", "FPO=2A", "ACT_EST_MAPPING=PRECISE", "FS=MRC", "CURRENCY=USD", "XLFILL=b")</f>
        <v>-7.2791279195294774</v>
      </c>
      <c r="I346" s="9">
        <f>_xll.BQL("DAL US Equity", "FA_GROWTH(HEADLINE_CAPEX, YOY)", "FPT=A", "FPO=1A", "ACT_EST_MAPPING=PRECISE", "FS=MRC", "CURRENCY=USD", "XLFILL=b")</f>
        <v>7.0558582253115345</v>
      </c>
      <c r="J346" s="9">
        <f>_xll.BQL("DAL US Equity", "FA_GROWTH(HEADLINE_CAPEX, YOY)", "FPT=A", "FPO=0A", "ACT_EST_MAPPING=PRECISE", "FS=MRC", "CURRENCY=USD", "XLFILL=b")</f>
        <v>16.38391454602576</v>
      </c>
      <c r="K346" s="9">
        <f>_xll.BQL("DAL US Equity", "FA_GROWTH(HEADLINE_CAPEX, YOY)", "FPT=A", "FPO=-1A", "ACT_EST_MAPPING=PRECISE", "FS=MRC", "CURRENCY=USD", "XLFILL=b")</f>
        <v>-96.057899599630431</v>
      </c>
      <c r="L346" s="9">
        <f>_xll.BQL("DAL US Equity", "FA_GROWTH(HEADLINE_CAPEX, YOY)", "FPT=A", "FPO=-2A", "ACT_EST_MAPPING=PRECISE", "FS=MRC", "CURRENCY=USD", "XLFILL=b")</f>
        <v>-70.984728804634017</v>
      </c>
      <c r="M346" s="9">
        <f>_xll.BQL("DAL US Equity", "FA_GROWTH(HEADLINE_CAPEX, YOY)", "FPT=A", "FPO=-3A", "ACT_EST_MAPPING=PRECISE", "FS=MRC", "CURRENCY=USD", "XLFILL=b")</f>
        <v>61.527552674230144</v>
      </c>
      <c r="N346" s="9">
        <f>_xll.BQL("DAL US Equity", "FA_GROWTH(HEADLINE_CAPEX, YOY)", "FPT=A", "FPO=-4A", "ACT_EST_MAPPING=PRECISE", "FS=MRC", "CURRENCY=USD", "XLFILL=b")</f>
        <v>4.4891640866873068</v>
      </c>
    </row>
    <row r="347" spans="1:14" x14ac:dyDescent="0.2">
      <c r="A347" s="8" t="s">
        <v>392</v>
      </c>
      <c r="B347" s="4" t="s">
        <v>393</v>
      </c>
      <c r="C347" s="4" t="s">
        <v>391</v>
      </c>
      <c r="D347" s="4"/>
      <c r="E347" s="9" t="str">
        <f>_xll.BQL("DAL US Equity", "CB_CF_PROCEEDS_FROM_ST_INV/1M", "FPT=A", "FPO=5A", "ACT_EST_MAPPING=PRECISE", "FS=MRC", "CURRENCY=USD", "XLFILL=b")</f>
        <v/>
      </c>
      <c r="F347" s="9" t="str">
        <f>_xll.BQL("DAL US Equity", "CB_CF_PROCEEDS_FROM_ST_INV/1M", "FPT=A", "FPO=4A", "ACT_EST_MAPPING=PRECISE", "FS=MRC", "CURRENCY=USD", "XLFILL=b")</f>
        <v/>
      </c>
      <c r="G347" s="9" t="str">
        <f>_xll.BQL("DAL US Equity", "CB_CF_PROCEEDS_FROM_ST_INV/1M", "FPT=A", "FPO=3A", "ACT_EST_MAPPING=PRECISE", "FS=MRC", "CURRENCY=USD", "XLFILL=b")</f>
        <v/>
      </c>
      <c r="H347" s="9" t="str">
        <f>_xll.BQL("DAL US Equity", "CB_CF_PROCEEDS_FROM_ST_INV/1M", "FPT=A", "FPO=2A", "ACT_EST_MAPPING=PRECISE", "FS=MRC", "CURRENCY=USD", "XLFILL=b")</f>
        <v/>
      </c>
      <c r="I347" s="9">
        <f>_xll.BQL("DAL US Equity", "CB_CF_PROCEEDS_FROM_ST_INV/1M", "FPT=A", "FPO=1A", "ACT_EST_MAPPING=PRECISE", "FS=MRC", "CURRENCY=USD", "XLFILL=b")</f>
        <v>1046.3333333333335</v>
      </c>
      <c r="J347" s="9">
        <f>_xll.BQL("DAL US Equity", "CB_CF_PROCEEDS_FROM_ST_INV/1M", "FPT=A", "FPO=0A", "ACT_EST_MAPPING=PRECISE", "FS=MRC", "CURRENCY=USD", "XLFILL=b")</f>
        <v>4547</v>
      </c>
      <c r="K347" s="9">
        <f>_xll.BQL("DAL US Equity", "CB_CF_PROCEEDS_FROM_ST_INV/1M", "FPT=A", "FPO=-1A", "ACT_EST_MAPPING=PRECISE", "FS=MRC", "CURRENCY=USD", "XLFILL=b")</f>
        <v>2804</v>
      </c>
      <c r="L347" s="9">
        <f>_xll.BQL("DAL US Equity", "CB_CF_PROCEEDS_FROM_ST_INV/1M", "FPT=A", "FPO=-2A", "ACT_EST_MAPPING=PRECISE", "FS=MRC", "CURRENCY=USD", "XLFILL=b")</f>
        <v>15036</v>
      </c>
      <c r="M347" s="9">
        <f>_xll.BQL("DAL US Equity", "CB_CF_PROCEEDS_FROM_ST_INV/1M", "FPT=A", "FPO=-3A", "ACT_EST_MAPPING=PRECISE", "FS=MRC", "CURRENCY=USD", "XLFILL=b")</f>
        <v>7608</v>
      </c>
      <c r="N347" s="9">
        <f>_xll.BQL("DAL US Equity", "CB_CF_PROCEEDS_FROM_ST_INV/1M", "FPT=A", "FPO=-4A", "ACT_EST_MAPPING=PRECISE", "FS=MRC", "CURRENCY=USD", "XLFILL=b")</f>
        <v>485</v>
      </c>
    </row>
    <row r="348" spans="1:14" x14ac:dyDescent="0.2">
      <c r="A348" s="8" t="s">
        <v>86</v>
      </c>
      <c r="B348" s="4" t="s">
        <v>393</v>
      </c>
      <c r="C348" s="4" t="s">
        <v>391</v>
      </c>
      <c r="D348" s="4"/>
      <c r="E348" s="9" t="str">
        <f>_xll.BQL("DAL US Equity", "FA_GROWTH(CB_CF_PROCEEDS_FROM_ST_INV, YOY)", "FPT=A", "FPO=5A", "ACT_EST_MAPPING=PRECISE", "FS=MRC", "CURRENCY=USD", "XLFILL=b")</f>
        <v/>
      </c>
      <c r="F348" s="9" t="str">
        <f>_xll.BQL("DAL US Equity", "FA_GROWTH(CB_CF_PROCEEDS_FROM_ST_INV, YOY)", "FPT=A", "FPO=4A", "ACT_EST_MAPPING=PRECISE", "FS=MRC", "CURRENCY=USD", "XLFILL=b")</f>
        <v/>
      </c>
      <c r="G348" s="9" t="str">
        <f>_xll.BQL("DAL US Equity", "FA_GROWTH(CB_CF_PROCEEDS_FROM_ST_INV, YOY)", "FPT=A", "FPO=3A", "ACT_EST_MAPPING=PRECISE", "FS=MRC", "CURRENCY=USD", "XLFILL=b")</f>
        <v/>
      </c>
      <c r="H348" s="9" t="str">
        <f>_xll.BQL("DAL US Equity", "FA_GROWTH(CB_CF_PROCEEDS_FROM_ST_INV, YOY)", "FPT=A", "FPO=2A", "ACT_EST_MAPPING=PRECISE", "FS=MRC", "CURRENCY=USD", "XLFILL=b")</f>
        <v/>
      </c>
      <c r="I348" s="9">
        <f>_xll.BQL("DAL US Equity", "FA_GROWTH(CB_CF_PROCEEDS_FROM_ST_INV, YOY)", "FPT=A", "FPO=1A", "ACT_EST_MAPPING=PRECISE", "FS=MRC", "CURRENCY=USD", "XLFILL=b")</f>
        <v>-76.988490579869506</v>
      </c>
      <c r="J348" s="9">
        <f>_xll.BQL("DAL US Equity", "FA_GROWTH(CB_CF_PROCEEDS_FROM_ST_INV, YOY)", "FPT=A", "FPO=0A", "ACT_EST_MAPPING=PRECISE", "FS=MRC", "CURRENCY=USD", "XLFILL=b")</f>
        <v>62.161198288159774</v>
      </c>
      <c r="K348" s="9">
        <f>_xll.BQL("DAL US Equity", "FA_GROWTH(CB_CF_PROCEEDS_FROM_ST_INV, YOY)", "FPT=A", "FPO=-1A", "ACT_EST_MAPPING=PRECISE", "FS=MRC", "CURRENCY=USD", "XLFILL=b")</f>
        <v>-81.351423250864585</v>
      </c>
      <c r="L348" s="9">
        <f>_xll.BQL("DAL US Equity", "FA_GROWTH(CB_CF_PROCEEDS_FROM_ST_INV, YOY)", "FPT=A", "FPO=-2A", "ACT_EST_MAPPING=PRECISE", "FS=MRC", "CURRENCY=USD", "XLFILL=b")</f>
        <v>97.634069400630921</v>
      </c>
      <c r="M348" s="9">
        <f>_xll.BQL("DAL US Equity", "FA_GROWTH(CB_CF_PROCEEDS_FROM_ST_INV, YOY)", "FPT=A", "FPO=-3A", "ACT_EST_MAPPING=PRECISE", "FS=MRC", "CURRENCY=USD", "XLFILL=b")</f>
        <v>1468.659793814433</v>
      </c>
      <c r="N348" s="9">
        <f>_xll.BQL("DAL US Equity", "FA_GROWTH(CB_CF_PROCEEDS_FROM_ST_INV, YOY)", "FPT=A", "FPO=-4A", "ACT_EST_MAPPING=PRECISE", "FS=MRC", "CURRENCY=USD", "XLFILL=b")</f>
        <v>-36.684073107049606</v>
      </c>
    </row>
    <row r="349" spans="1:14" x14ac:dyDescent="0.2">
      <c r="A349" s="8" t="s">
        <v>394</v>
      </c>
      <c r="B349" s="4" t="s">
        <v>395</v>
      </c>
      <c r="C349" s="4"/>
      <c r="D349" s="4"/>
      <c r="E349" s="9" t="str">
        <f>_xll.BQL("DAL US Equity", "CB_CF_OTHER_INVESTING_ACTIVITIES/1M", "FPT=A", "FPO=5A", "ACT_EST_MAPPING=PRECISE", "FS=MRC", "CURRENCY=USD", "XLFILL=b")</f>
        <v/>
      </c>
      <c r="F349" s="9" t="str">
        <f>_xll.BQL("DAL US Equity", "CB_CF_OTHER_INVESTING_ACTIVITIES/1M", "FPT=A", "FPO=4A", "ACT_EST_MAPPING=PRECISE", "FS=MRC", "CURRENCY=USD", "XLFILL=b")</f>
        <v/>
      </c>
      <c r="G349" s="9" t="str">
        <f>_xll.BQL("DAL US Equity", "CB_CF_OTHER_INVESTING_ACTIVITIES/1M", "FPT=A", "FPO=3A", "ACT_EST_MAPPING=PRECISE", "FS=MRC", "CURRENCY=USD", "XLFILL=b")</f>
        <v/>
      </c>
      <c r="H349" s="9">
        <f>_xll.BQL("DAL US Equity", "CB_CF_OTHER_INVESTING_ACTIVITIES/1M", "FPT=A", "FPO=2A", "ACT_EST_MAPPING=PRECISE", "FS=MRC", "CURRENCY=USD", "XLFILL=b")</f>
        <v>50</v>
      </c>
      <c r="I349" s="9">
        <f>_xll.BQL("DAL US Equity", "CB_CF_OTHER_INVESTING_ACTIVITIES/1M", "FPT=A", "FPO=1A", "ACT_EST_MAPPING=PRECISE", "FS=MRC", "CURRENCY=USD", "XLFILL=b")</f>
        <v>50.5</v>
      </c>
      <c r="J349" s="9">
        <f>_xll.BQL("DAL US Equity", "CB_CF_OTHER_INVESTING_ACTIVITIES/1M", "FPT=A", "FPO=0A", "ACT_EST_MAPPING=PRECISE", "FS=MRC", "CURRENCY=USD", "XLFILL=b")</f>
        <v>92</v>
      </c>
      <c r="K349" s="9">
        <f>_xll.BQL("DAL US Equity", "CB_CF_OTHER_INVESTING_ACTIVITIES/1M", "FPT=A", "FPO=-1A", "ACT_EST_MAPPING=PRECISE", "FS=MRC", "CURRENCY=USD", "XLFILL=b")</f>
        <v>212</v>
      </c>
      <c r="L349" s="9">
        <f>_xll.BQL("DAL US Equity", "CB_CF_OTHER_INVESTING_ACTIVITIES/1M", "FPT=A", "FPO=-2A", "ACT_EST_MAPPING=PRECISE", "FS=MRC", "CURRENCY=USD", "XLFILL=b")</f>
        <v>-32</v>
      </c>
      <c r="M349" s="9">
        <f>_xll.BQL("DAL US Equity", "CB_CF_OTHER_INVESTING_ACTIVITIES/1M", "FPT=A", "FPO=-3A", "ACT_EST_MAPPING=PRECISE", "FS=MRC", "CURRENCY=USD", "XLFILL=b")</f>
        <v>552</v>
      </c>
      <c r="N349" s="9">
        <f>_xll.BQL("DAL US Equity", "CB_CF_OTHER_INVESTING_ACTIVITIES/1M", "FPT=A", "FPO=-4A", "ACT_EST_MAPPING=PRECISE", "FS=MRC", "CURRENCY=USD", "XLFILL=b")</f>
        <v>58</v>
      </c>
    </row>
    <row r="350" spans="1:14" x14ac:dyDescent="0.2">
      <c r="A350" s="8" t="s">
        <v>86</v>
      </c>
      <c r="B350" s="4" t="s">
        <v>395</v>
      </c>
      <c r="C350" s="4"/>
      <c r="D350" s="4"/>
      <c r="E350" s="9" t="str">
        <f>_xll.BQL("DAL US Equity", "FA_GROWTH(CB_CF_OTHER_INVESTING_ACTIVITIES, YOY)", "FPT=A", "FPO=5A", "ACT_EST_MAPPING=PRECISE", "FS=MRC", "CURRENCY=USD", "XLFILL=b")</f>
        <v/>
      </c>
      <c r="F350" s="9" t="str">
        <f>_xll.BQL("DAL US Equity", "FA_GROWTH(CB_CF_OTHER_INVESTING_ACTIVITIES, YOY)", "FPT=A", "FPO=4A", "ACT_EST_MAPPING=PRECISE", "FS=MRC", "CURRENCY=USD", "XLFILL=b")</f>
        <v/>
      </c>
      <c r="G350" s="9" t="str">
        <f>_xll.BQL("DAL US Equity", "FA_GROWTH(CB_CF_OTHER_INVESTING_ACTIVITIES, YOY)", "FPT=A", "FPO=3A", "ACT_EST_MAPPING=PRECISE", "FS=MRC", "CURRENCY=USD", "XLFILL=b")</f>
        <v/>
      </c>
      <c r="H350" s="9">
        <f>_xll.BQL("DAL US Equity", "FA_GROWTH(CB_CF_OTHER_INVESTING_ACTIVITIES, YOY)", "FPT=A", "FPO=2A", "ACT_EST_MAPPING=PRECISE", "FS=MRC", "CURRENCY=USD", "XLFILL=b")</f>
        <v>-0.99009900990099009</v>
      </c>
      <c r="I350" s="9">
        <f>_xll.BQL("DAL US Equity", "FA_GROWTH(CB_CF_OTHER_INVESTING_ACTIVITIES, YOY)", "FPT=A", "FPO=1A", "ACT_EST_MAPPING=PRECISE", "FS=MRC", "CURRENCY=USD", "XLFILL=b")</f>
        <v>-45.108695652173914</v>
      </c>
      <c r="J350" s="9">
        <f>_xll.BQL("DAL US Equity", "FA_GROWTH(CB_CF_OTHER_INVESTING_ACTIVITIES, YOY)", "FPT=A", "FPO=0A", "ACT_EST_MAPPING=PRECISE", "FS=MRC", "CURRENCY=USD", "XLFILL=b")</f>
        <v>-56.60377358490566</v>
      </c>
      <c r="K350" s="9">
        <f>_xll.BQL("DAL US Equity", "FA_GROWTH(CB_CF_OTHER_INVESTING_ACTIVITIES, YOY)", "FPT=A", "FPO=-1A", "ACT_EST_MAPPING=PRECISE", "FS=MRC", "CURRENCY=USD", "XLFILL=b")</f>
        <v>762.5</v>
      </c>
      <c r="L350" s="9">
        <f>_xll.BQL("DAL US Equity", "FA_GROWTH(CB_CF_OTHER_INVESTING_ACTIVITIES, YOY)", "FPT=A", "FPO=-2A", "ACT_EST_MAPPING=PRECISE", "FS=MRC", "CURRENCY=USD", "XLFILL=b")</f>
        <v>-105.79710144927536</v>
      </c>
      <c r="M350" s="9">
        <f>_xll.BQL("DAL US Equity", "FA_GROWTH(CB_CF_OTHER_INVESTING_ACTIVITIES, YOY)", "FPT=A", "FPO=-3A", "ACT_EST_MAPPING=PRECISE", "FS=MRC", "CURRENCY=USD", "XLFILL=b")</f>
        <v>851.72413793103453</v>
      </c>
      <c r="N350" s="9">
        <f>_xll.BQL("DAL US Equity", "FA_GROWTH(CB_CF_OTHER_INVESTING_ACTIVITIES, YOY)", "FPT=A", "FPO=-4A", "ACT_EST_MAPPING=PRECISE", "FS=MRC", "CURRENCY=USD", "XLFILL=b")</f>
        <v>-62.337662337662337</v>
      </c>
    </row>
    <row r="351" spans="1:14" x14ac:dyDescent="0.2">
      <c r="A351" s="8" t="s">
        <v>387</v>
      </c>
      <c r="B351" s="4" t="s">
        <v>396</v>
      </c>
      <c r="C351" s="4" t="s">
        <v>388</v>
      </c>
      <c r="D351" s="4"/>
      <c r="E351" s="9">
        <f>_xll.BQL("DAL US Equity", "CB_CF_NET_CASH_INVESTING_ACT/1M", "FPT=A", "FPO=5A", "ACT_EST_MAPPING=PRECISE", "FS=MRC", "CURRENCY=USD", "XLFILL=b")</f>
        <v>-5250</v>
      </c>
      <c r="F351" s="9">
        <f>_xll.BQL("DAL US Equity", "CB_CF_NET_CASH_INVESTING_ACT/1M", "FPT=A", "FPO=4A", "ACT_EST_MAPPING=PRECISE", "FS=MRC", "CURRENCY=USD", "XLFILL=b")</f>
        <v>-5244.1633916031878</v>
      </c>
      <c r="G351" s="9">
        <f>_xll.BQL("DAL US Equity", "CB_CF_NET_CASH_INVESTING_ACT/1M", "FPT=A", "FPO=3A", "ACT_EST_MAPPING=PRECISE", "FS=MRC", "CURRENCY=USD", "XLFILL=b")</f>
        <v>-5574.6284546791831</v>
      </c>
      <c r="H351" s="9">
        <f>_xll.BQL("DAL US Equity", "CB_CF_NET_CASH_INVESTING_ACT/1M", "FPT=A", "FPO=2A", "ACT_EST_MAPPING=PRECISE", "FS=MRC", "CURRENCY=USD", "XLFILL=b")</f>
        <v>-5283.9612688238512</v>
      </c>
      <c r="I351" s="9">
        <f>_xll.BQL("DAL US Equity", "CB_CF_NET_CASH_INVESTING_ACT/1M", "FPT=A", "FPO=1A", "ACT_EST_MAPPING=PRECISE", "FS=MRC", "CURRENCY=USD", "XLFILL=b")</f>
        <v>-4228.0412393030101</v>
      </c>
      <c r="J351" s="9">
        <f>_xll.BQL("DAL US Equity", "CB_CF_NET_CASH_INVESTING_ACT/1M", "FPT=A", "FPO=0A", "ACT_EST_MAPPING=PRECISE", "FS=MRC", "CURRENCY=USD", "XLFILL=b")</f>
        <v>-3148</v>
      </c>
      <c r="K351" s="9">
        <f>_xll.BQL("DAL US Equity", "CB_CF_NET_CASH_INVESTING_ACT/1M", "FPT=A", "FPO=-1A", "ACT_EST_MAPPING=PRECISE", "FS=MRC", "CURRENCY=USD", "XLFILL=b")</f>
        <v>-6924</v>
      </c>
      <c r="L351" s="9">
        <f>_xll.BQL("DAL US Equity", "CB_CF_NET_CASH_INVESTING_ACT/1M", "FPT=A", "FPO=-2A", "ACT_EST_MAPPING=PRECISE", "FS=MRC", "CURRENCY=USD", "XLFILL=b")</f>
        <v>-898</v>
      </c>
      <c r="M351" s="9">
        <f>_xll.BQL("DAL US Equity", "CB_CF_NET_CASH_INVESTING_ACT/1M", "FPT=A", "FPO=-3A", "ACT_EST_MAPPING=PRECISE", "FS=MRC", "CURRENCY=USD", "XLFILL=b")</f>
        <v>-9238</v>
      </c>
      <c r="N351" s="9">
        <f>_xll.BQL("DAL US Equity", "CB_CF_NET_CASH_INVESTING_ACT/1M", "FPT=A", "FPO=-4A", "ACT_EST_MAPPING=PRECISE", "FS=MRC", "CURRENCY=USD", "XLFILL=b")</f>
        <v>-4563</v>
      </c>
    </row>
    <row r="352" spans="1:14" x14ac:dyDescent="0.2">
      <c r="A352" s="8" t="s">
        <v>12</v>
      </c>
      <c r="B352" s="4" t="s">
        <v>396</v>
      </c>
      <c r="C352" s="4" t="s">
        <v>388</v>
      </c>
      <c r="D352" s="4"/>
      <c r="E352" s="9">
        <f>_xll.BQL("DAL US Equity", "FA_GROWTH(CB_CF_NET_CASH_INVESTING_ACT, YOY)", "FPT=A", "FPO=5A", "ACT_EST_MAPPING=PRECISE", "FS=MRC", "CURRENCY=USD", "XLFILL=b")</f>
        <v>-0.11129722628699668</v>
      </c>
      <c r="F352" s="9">
        <f>_xll.BQL("DAL US Equity", "FA_GROWTH(CB_CF_NET_CASH_INVESTING_ACT, YOY)", "FPT=A", "FPO=4A", "ACT_EST_MAPPING=PRECISE", "FS=MRC", "CURRENCY=USD", "XLFILL=b")</f>
        <v>5.928019522065413</v>
      </c>
      <c r="G352" s="9">
        <f>_xll.BQL("DAL US Equity", "FA_GROWTH(CB_CF_NET_CASH_INVESTING_ACT, YOY)", "FPT=A", "FPO=3A", "ACT_EST_MAPPING=PRECISE", "FS=MRC", "CURRENCY=USD", "XLFILL=b")</f>
        <v>-5.5009333162661607</v>
      </c>
      <c r="H352" s="9">
        <f>_xll.BQL("DAL US Equity", "FA_GROWTH(CB_CF_NET_CASH_INVESTING_ACT, YOY)", "FPT=A", "FPO=2A", "ACT_EST_MAPPING=PRECISE", "FS=MRC", "CURRENCY=USD", "XLFILL=b")</f>
        <v>-24.974213110913475</v>
      </c>
      <c r="I352" s="9">
        <f>_xll.BQL("DAL US Equity", "FA_GROWTH(CB_CF_NET_CASH_INVESTING_ACT, YOY)", "FPT=A", "FPO=1A", "ACT_EST_MAPPING=PRECISE", "FS=MRC", "CURRENCY=USD", "XLFILL=b")</f>
        <v>-34.308806839358652</v>
      </c>
      <c r="J352" s="9">
        <f>_xll.BQL("DAL US Equity", "FA_GROWTH(CB_CF_NET_CASH_INVESTING_ACT, YOY)", "FPT=A", "FPO=0A", "ACT_EST_MAPPING=PRECISE", "FS=MRC", "CURRENCY=USD", "XLFILL=b")</f>
        <v>54.534950895436161</v>
      </c>
      <c r="K352" s="9">
        <f>_xll.BQL("DAL US Equity", "FA_GROWTH(CB_CF_NET_CASH_INVESTING_ACT, YOY)", "FPT=A", "FPO=-1A", "ACT_EST_MAPPING=PRECISE", "FS=MRC", "CURRENCY=USD", "XLFILL=b")</f>
        <v>-671.04677060133633</v>
      </c>
      <c r="L352" s="9">
        <f>_xll.BQL("DAL US Equity", "FA_GROWTH(CB_CF_NET_CASH_INVESTING_ACT, YOY)", "FPT=A", "FPO=-2A", "ACT_EST_MAPPING=PRECISE", "FS=MRC", "CURRENCY=USD", "XLFILL=b")</f>
        <v>90.2792812297034</v>
      </c>
      <c r="M352" s="9">
        <f>_xll.BQL("DAL US Equity", "FA_GROWTH(CB_CF_NET_CASH_INVESTING_ACT, YOY)", "FPT=A", "FPO=-3A", "ACT_EST_MAPPING=PRECISE", "FS=MRC", "CURRENCY=USD", "XLFILL=b")</f>
        <v>-102.45452553144861</v>
      </c>
      <c r="N352" s="9">
        <f>_xll.BQL("DAL US Equity", "FA_GROWTH(CB_CF_NET_CASH_INVESTING_ACT, YOY)", "FPT=A", "FPO=-4A", "ACT_EST_MAPPING=PRECISE", "FS=MRC", "CURRENCY=USD", "XLFILL=b")</f>
        <v>-3.8697928522649669</v>
      </c>
    </row>
    <row r="353" spans="1:14" x14ac:dyDescent="0.2">
      <c r="A353" s="8" t="s">
        <v>16</v>
      </c>
      <c r="B353" s="4"/>
      <c r="C353" s="4"/>
      <c r="D353" s="4"/>
      <c r="E353" s="9"/>
      <c r="F353" s="9"/>
      <c r="G353" s="9"/>
      <c r="H353" s="9"/>
      <c r="I353" s="9"/>
      <c r="J353" s="9"/>
      <c r="K353" s="9"/>
      <c r="L353" s="9"/>
      <c r="M353" s="9"/>
      <c r="N353" s="9"/>
    </row>
    <row r="354" spans="1:14" x14ac:dyDescent="0.2">
      <c r="A354" s="8" t="s">
        <v>397</v>
      </c>
      <c r="B354" s="4"/>
      <c r="C354" s="4" t="s">
        <v>398</v>
      </c>
      <c r="D354" s="4"/>
      <c r="E354" s="9"/>
      <c r="F354" s="9"/>
      <c r="G354" s="9"/>
      <c r="H354" s="9"/>
      <c r="I354" s="9"/>
      <c r="J354" s="9"/>
      <c r="K354" s="9"/>
      <c r="L354" s="9"/>
      <c r="M354" s="9"/>
      <c r="N354" s="9"/>
    </row>
    <row r="355" spans="1:14" x14ac:dyDescent="0.2">
      <c r="A355" s="8" t="s">
        <v>399</v>
      </c>
      <c r="B355" s="4" t="s">
        <v>400</v>
      </c>
      <c r="C355" s="4"/>
      <c r="D355" s="4"/>
      <c r="E355" s="9">
        <f>_xll.BQL("DAL US Equity", "CF_DVD_PAID/1M", "FPT=A", "FPO=5A", "ACT_EST_MAPPING=PRECISE", "FS=MRC", "CURRENCY=USD", "XLFILL=b")</f>
        <v>-784.92647727956796</v>
      </c>
      <c r="F355" s="9">
        <f>_xll.BQL("DAL US Equity", "CF_DVD_PAID/1M", "FPT=A", "FPO=4A", "ACT_EST_MAPPING=PRECISE", "FS=MRC", "CURRENCY=USD", "XLFILL=b")</f>
        <v>-492.43984849996235</v>
      </c>
      <c r="G355" s="9">
        <f>_xll.BQL("DAL US Equity", "CF_DVD_PAID/1M", "FPT=A", "FPO=3A", "ACT_EST_MAPPING=PRECISE", "FS=MRC", "CURRENCY=USD", "XLFILL=b")</f>
        <v>-381.39753205809393</v>
      </c>
      <c r="H355" s="9">
        <f>_xll.BQL("DAL US Equity", "CF_DVD_PAID/1M", "FPT=A", "FPO=2A", "ACT_EST_MAPPING=PRECISE", "FS=MRC", "CURRENCY=USD", "XLFILL=b")</f>
        <v>-344.53653201055687</v>
      </c>
      <c r="I355" s="9">
        <f>_xll.BQL("DAL US Equity", "CF_DVD_PAID/1M", "FPT=A", "FPO=1A", "ACT_EST_MAPPING=PRECISE", "FS=MRC", "CURRENCY=USD", "XLFILL=b")</f>
        <v>-275.0584319098042</v>
      </c>
      <c r="J355" s="9">
        <f>_xll.BQL("DAL US Equity", "CF_DVD_PAID/1M", "FPT=A", "FPO=0A", "ACT_EST_MAPPING=PRECISE", "FS=MRC", "CURRENCY=USD", "XLFILL=b")</f>
        <v>-128</v>
      </c>
      <c r="K355" s="9">
        <f>_xll.BQL("DAL US Equity", "CF_DVD_PAID/1M", "FPT=A", "FPO=-1A", "ACT_EST_MAPPING=PRECISE", "FS=MRC", "CURRENCY=USD", "XLFILL=b")</f>
        <v>0</v>
      </c>
      <c r="L355" s="9">
        <f>_xll.BQL("DAL US Equity", "CF_DVD_PAID/1M", "FPT=A", "FPO=-2A", "ACT_EST_MAPPING=PRECISE", "FS=MRC", "CURRENCY=USD", "XLFILL=b")</f>
        <v>0</v>
      </c>
      <c r="M355" s="9">
        <f>_xll.BQL("DAL US Equity", "CF_DVD_PAID/1M", "FPT=A", "FPO=-3A", "ACT_EST_MAPPING=PRECISE", "FS=MRC", "CURRENCY=USD", "XLFILL=b")</f>
        <v>-260</v>
      </c>
      <c r="N355" s="9">
        <f>_xll.BQL("DAL US Equity", "CF_DVD_PAID/1M", "FPT=A", "FPO=-4A", "ACT_EST_MAPPING=PRECISE", "FS=MRC", "CURRENCY=USD", "XLFILL=b")</f>
        <v>-980</v>
      </c>
    </row>
    <row r="356" spans="1:14" x14ac:dyDescent="0.2">
      <c r="A356" s="8" t="s">
        <v>86</v>
      </c>
      <c r="B356" s="4" t="s">
        <v>400</v>
      </c>
      <c r="C356" s="4"/>
      <c r="D356" s="4"/>
      <c r="E356" s="9">
        <f>_xll.BQL("DAL US Equity", "FA_GROWTH(CF_DVD_PAID, YOY)", "FPT=A", "FPO=5A", "ACT_EST_MAPPING=PRECISE", "FS=MRC", "CURRENCY=USD", "XLFILL=b")</f>
        <v>-59.3954022345184</v>
      </c>
      <c r="F356" s="9">
        <f>_xll.BQL("DAL US Equity", "FA_GROWTH(CF_DVD_PAID, YOY)", "FPT=A", "FPO=4A", "ACT_EST_MAPPING=PRECISE", "FS=MRC", "CURRENCY=USD", "XLFILL=b")</f>
        <v>-29.114587040629988</v>
      </c>
      <c r="G356" s="9">
        <f>_xll.BQL("DAL US Equity", "FA_GROWTH(CF_DVD_PAID, YOY)", "FPT=A", "FPO=3A", "ACT_EST_MAPPING=PRECISE", "FS=MRC", "CURRENCY=USD", "XLFILL=b")</f>
        <v>-10.698720345396517</v>
      </c>
      <c r="H356" s="9">
        <f>_xll.BQL("DAL US Equity", "FA_GROWTH(CF_DVD_PAID, YOY)", "FPT=A", "FPO=2A", "ACT_EST_MAPPING=PRECISE", "FS=MRC", "CURRENCY=USD", "XLFILL=b")</f>
        <v>-25.259396564703589</v>
      </c>
      <c r="I356" s="9">
        <f>_xll.BQL("DAL US Equity", "FA_GROWTH(CF_DVD_PAID, YOY)", "FPT=A", "FPO=1A", "ACT_EST_MAPPING=PRECISE", "FS=MRC", "CURRENCY=USD", "XLFILL=b")</f>
        <v>-114.88939992953455</v>
      </c>
      <c r="J356" s="9" t="str">
        <f>_xll.BQL("DAL US Equity", "FA_GROWTH(CF_DVD_PAID, YOY)", "FPT=A", "FPO=0A", "ACT_EST_MAPPING=PRECISE", "FS=MRC", "CURRENCY=USD", "XLFILL=b")</f>
        <v/>
      </c>
      <c r="K356" s="9" t="str">
        <f>_xll.BQL("DAL US Equity", "FA_GROWTH(CF_DVD_PAID, YOY)", "FPT=A", "FPO=-1A", "ACT_EST_MAPPING=PRECISE", "FS=MRC", "CURRENCY=USD", "XLFILL=b")</f>
        <v/>
      </c>
      <c r="L356" s="9">
        <f>_xll.BQL("DAL US Equity", "FA_GROWTH(CF_DVD_PAID, YOY)", "FPT=A", "FPO=-2A", "ACT_EST_MAPPING=PRECISE", "FS=MRC", "CURRENCY=USD", "XLFILL=b")</f>
        <v>100</v>
      </c>
      <c r="M356" s="9">
        <f>_xll.BQL("DAL US Equity", "FA_GROWTH(CF_DVD_PAID, YOY)", "FPT=A", "FPO=-3A", "ACT_EST_MAPPING=PRECISE", "FS=MRC", "CURRENCY=USD", "XLFILL=b")</f>
        <v>73.469387755102048</v>
      </c>
      <c r="N356" s="9">
        <f>_xll.BQL("DAL US Equity", "FA_GROWTH(CF_DVD_PAID, YOY)", "FPT=A", "FPO=-4A", "ACT_EST_MAPPING=PRECISE", "FS=MRC", "CURRENCY=USD", "XLFILL=b")</f>
        <v>-7.8107810781078104</v>
      </c>
    </row>
    <row r="357" spans="1:14" x14ac:dyDescent="0.2">
      <c r="A357" s="8" t="s">
        <v>401</v>
      </c>
      <c r="B357" s="4" t="s">
        <v>402</v>
      </c>
      <c r="C357" s="4"/>
      <c r="D357" s="4"/>
      <c r="E357" s="9">
        <f>_xll.BQL("DAL US Equity", "CF_PROCEEDS_REPAYMNTS_BORROWINGS/1M", "FPT=A", "FPO=5A", "ACT_EST_MAPPING=PRECISE", "FS=MRC", "CURRENCY=USD", "XLFILL=b")</f>
        <v>-3000</v>
      </c>
      <c r="F357" s="9">
        <f>_xll.BQL("DAL US Equity", "CF_PROCEEDS_REPAYMNTS_BORROWINGS/1M", "FPT=A", "FPO=4A", "ACT_EST_MAPPING=PRECISE", "FS=MRC", "CURRENCY=USD", "XLFILL=b")</f>
        <v>-3000</v>
      </c>
      <c r="G357" s="9">
        <f>_xll.BQL("DAL US Equity", "CF_PROCEEDS_REPAYMNTS_BORROWINGS/1M", "FPT=A", "FPO=3A", "ACT_EST_MAPPING=PRECISE", "FS=MRC", "CURRENCY=USD", "XLFILL=b")</f>
        <v>-2901</v>
      </c>
      <c r="H357" s="9">
        <f>_xll.BQL("DAL US Equity", "CF_PROCEEDS_REPAYMNTS_BORROWINGS/1M", "FPT=A", "FPO=2A", "ACT_EST_MAPPING=PRECISE", "FS=MRC", "CURRENCY=USD", "XLFILL=b")</f>
        <v>-2421</v>
      </c>
      <c r="I357" s="9">
        <f>_xll.BQL("DAL US Equity", "CF_PROCEEDS_REPAYMNTS_BORROWINGS/1M", "FPT=A", "FPO=1A", "ACT_EST_MAPPING=PRECISE", "FS=MRC", "CURRENCY=USD", "XLFILL=b")</f>
        <v>-3294</v>
      </c>
      <c r="J357" s="9">
        <f>_xll.BQL("DAL US Equity", "CF_PROCEEDS_REPAYMNTS_BORROWINGS/1M", "FPT=A", "FPO=0A", "ACT_EST_MAPPING=PRECISE", "FS=MRC", "CURRENCY=USD", "XLFILL=b")</f>
        <v>-3193</v>
      </c>
      <c r="K357" s="9">
        <f>_xll.BQL("DAL US Equity", "CF_PROCEEDS_REPAYMNTS_BORROWINGS/1M", "FPT=A", "FPO=-1A", "ACT_EST_MAPPING=PRECISE", "FS=MRC", "CURRENCY=USD", "XLFILL=b")</f>
        <v>-4475</v>
      </c>
      <c r="L357" s="9">
        <f>_xll.BQL("DAL US Equity", "CF_PROCEEDS_REPAYMNTS_BORROWINGS/1M", "FPT=A", "FPO=-2A", "ACT_EST_MAPPING=PRECISE", "FS=MRC", "CURRENCY=USD", "XLFILL=b")</f>
        <v>-3932</v>
      </c>
      <c r="M357" s="9">
        <f>_xll.BQL("DAL US Equity", "CF_PROCEEDS_REPAYMNTS_BORROWINGS/1M", "FPT=A", "FPO=-3A", "ACT_EST_MAPPING=PRECISE", "FS=MRC", "CURRENCY=USD", "XLFILL=b")</f>
        <v>19798</v>
      </c>
      <c r="N357" s="9">
        <f>_xll.BQL("DAL US Equity", "CF_PROCEEDS_REPAYMNTS_BORROWINGS/1M", "FPT=A", "FPO=-4A", "ACT_EST_MAPPING=PRECISE", "FS=MRC", "CURRENCY=USD", "XLFILL=b")</f>
        <v>487</v>
      </c>
    </row>
    <row r="358" spans="1:14" x14ac:dyDescent="0.2">
      <c r="A358" s="8" t="s">
        <v>86</v>
      </c>
      <c r="B358" s="4" t="s">
        <v>402</v>
      </c>
      <c r="C358" s="4"/>
      <c r="D358" s="4"/>
      <c r="E358" s="9">
        <f>_xll.BQL("DAL US Equity", "FA_GROWTH(CF_PROCEEDS_REPAYMNTS_BORROWINGS, YOY)", "FPT=A", "FPO=5A", "ACT_EST_MAPPING=PRECISE", "FS=MRC", "CURRENCY=USD", "XLFILL=b")</f>
        <v>0</v>
      </c>
      <c r="F358" s="9">
        <f>_xll.BQL("DAL US Equity", "FA_GROWTH(CF_PROCEEDS_REPAYMNTS_BORROWINGS, YOY)", "FPT=A", "FPO=4A", "ACT_EST_MAPPING=PRECISE", "FS=MRC", "CURRENCY=USD", "XLFILL=b")</f>
        <v>-3.4126163391933817</v>
      </c>
      <c r="G358" s="9">
        <f>_xll.BQL("DAL US Equity", "FA_GROWTH(CF_PROCEEDS_REPAYMNTS_BORROWINGS, YOY)", "FPT=A", "FPO=3A", "ACT_EST_MAPPING=PRECISE", "FS=MRC", "CURRENCY=USD", "XLFILL=b")</f>
        <v>-19.826517967781907</v>
      </c>
      <c r="H358" s="9">
        <f>_xll.BQL("DAL US Equity", "FA_GROWTH(CF_PROCEEDS_REPAYMNTS_BORROWINGS, YOY)", "FPT=A", "FPO=2A", "ACT_EST_MAPPING=PRECISE", "FS=MRC", "CURRENCY=USD", "XLFILL=b")</f>
        <v>26.502732240437158</v>
      </c>
      <c r="I358" s="9">
        <f>_xll.BQL("DAL US Equity", "FA_GROWTH(CF_PROCEEDS_REPAYMNTS_BORROWINGS, YOY)", "FPT=A", "FPO=1A", "ACT_EST_MAPPING=PRECISE", "FS=MRC", "CURRENCY=USD", "XLFILL=b")</f>
        <v>-3.1631694331349829</v>
      </c>
      <c r="J358" s="9">
        <f>_xll.BQL("DAL US Equity", "FA_GROWTH(CF_PROCEEDS_REPAYMNTS_BORROWINGS, YOY)", "FPT=A", "FPO=0A", "ACT_EST_MAPPING=PRECISE", "FS=MRC", "CURRENCY=USD", "XLFILL=b")</f>
        <v>28.648044692737429</v>
      </c>
      <c r="K358" s="9">
        <f>_xll.BQL("DAL US Equity", "FA_GROWTH(CF_PROCEEDS_REPAYMNTS_BORROWINGS, YOY)", "FPT=A", "FPO=-1A", "ACT_EST_MAPPING=PRECISE", "FS=MRC", "CURRENCY=USD", "XLFILL=b")</f>
        <v>-13.809766022380469</v>
      </c>
      <c r="L358" s="9">
        <f>_xll.BQL("DAL US Equity", "FA_GROWTH(CF_PROCEEDS_REPAYMNTS_BORROWINGS, YOY)", "FPT=A", "FPO=-2A", "ACT_EST_MAPPING=PRECISE", "FS=MRC", "CURRENCY=USD", "XLFILL=b")</f>
        <v>-119.86059197898777</v>
      </c>
      <c r="M358" s="9">
        <f>_xll.BQL("DAL US Equity", "FA_GROWTH(CF_PROCEEDS_REPAYMNTS_BORROWINGS, YOY)", "FPT=A", "FPO=-3A", "ACT_EST_MAPPING=PRECISE", "FS=MRC", "CURRENCY=USD", "XLFILL=b")</f>
        <v>3965.2977412731007</v>
      </c>
      <c r="N358" s="9">
        <f>_xll.BQL("DAL US Equity", "FA_GROWTH(CF_PROCEEDS_REPAYMNTS_BORROWINGS, YOY)", "FPT=A", "FPO=-4A", "ACT_EST_MAPPING=PRECISE", "FS=MRC", "CURRENCY=USD", "XLFILL=b")</f>
        <v>-29.725829725829726</v>
      </c>
    </row>
    <row r="359" spans="1:14" x14ac:dyDescent="0.2">
      <c r="A359" s="8" t="s">
        <v>403</v>
      </c>
      <c r="B359" s="4" t="s">
        <v>404</v>
      </c>
      <c r="C359" s="4" t="s">
        <v>405</v>
      </c>
      <c r="D359" s="4"/>
      <c r="E359" s="9">
        <f>_xll.BQL("DAL US Equity", "CF_PROC_LT_DEBT_AND_CAPITAL_LEASE/1M", "FPT=A", "FPO=5A", "ACT_EST_MAPPING=PRECISE", "FS=MRC", "CURRENCY=USD", "XLFILL=b")</f>
        <v>1125</v>
      </c>
      <c r="F359" s="9">
        <f>_xll.BQL("DAL US Equity", "CF_PROC_LT_DEBT_AND_CAPITAL_LEASE/1M", "FPT=A", "FPO=4A", "ACT_EST_MAPPING=PRECISE", "FS=MRC", "CURRENCY=USD", "XLFILL=b")</f>
        <v>10</v>
      </c>
      <c r="G359" s="9">
        <f>_xll.BQL("DAL US Equity", "CF_PROC_LT_DEBT_AND_CAPITAL_LEASE/1M", "FPT=A", "FPO=3A", "ACT_EST_MAPPING=PRECISE", "FS=MRC", "CURRENCY=USD", "XLFILL=b")</f>
        <v>-10</v>
      </c>
      <c r="H359" s="9">
        <f>_xll.BQL("DAL US Equity", "CF_PROC_LT_DEBT_AND_CAPITAL_LEASE/1M", "FPT=A", "FPO=2A", "ACT_EST_MAPPING=PRECISE", "FS=MRC", "CURRENCY=USD", "XLFILL=b")</f>
        <v>2340.375</v>
      </c>
      <c r="I359" s="9">
        <f>_xll.BQL("DAL US Equity", "CF_PROC_LT_DEBT_AND_CAPITAL_LEASE/1M", "FPT=A", "FPO=1A", "ACT_EST_MAPPING=PRECISE", "FS=MRC", "CURRENCY=USD", "XLFILL=b")</f>
        <v>1740.5</v>
      </c>
      <c r="J359" s="9">
        <f>_xll.BQL("DAL US Equity", "CF_PROC_LT_DEBT_AND_CAPITAL_LEASE/1M", "FPT=A", "FPO=0A", "ACT_EST_MAPPING=PRECISE", "FS=MRC", "CURRENCY=USD", "XLFILL=b")</f>
        <v>878</v>
      </c>
      <c r="K359" s="9">
        <f>_xll.BQL("DAL US Equity", "CF_PROC_LT_DEBT_AND_CAPITAL_LEASE/1M", "FPT=A", "FPO=-1A", "ACT_EST_MAPPING=PRECISE", "FS=MRC", "CURRENCY=USD", "XLFILL=b")</f>
        <v>0</v>
      </c>
      <c r="L359" s="9">
        <f>_xll.BQL("DAL US Equity", "CF_PROC_LT_DEBT_AND_CAPITAL_LEASE/1M", "FPT=A", "FPO=-2A", "ACT_EST_MAPPING=PRECISE", "FS=MRC", "CURRENCY=USD", "XLFILL=b")</f>
        <v>1902</v>
      </c>
      <c r="M359" s="9">
        <f>_xll.BQL("DAL US Equity", "CF_PROC_LT_DEBT_AND_CAPITAL_LEASE/1M", "FPT=A", "FPO=-3A", "ACT_EST_MAPPING=PRECISE", "FS=MRC", "CURRENCY=USD", "XLFILL=b")</f>
        <v>25096</v>
      </c>
      <c r="N359" s="9">
        <f>_xll.BQL("DAL US Equity", "CF_PROC_LT_DEBT_AND_CAPITAL_LEASE/1M", "FPT=A", "FPO=-4A", "ACT_EST_MAPPING=PRECISE", "FS=MRC", "CURRENCY=USD", "XLFILL=b")</f>
        <v>2057</v>
      </c>
    </row>
    <row r="360" spans="1:14" x14ac:dyDescent="0.2">
      <c r="A360" s="8" t="s">
        <v>94</v>
      </c>
      <c r="B360" s="4" t="s">
        <v>404</v>
      </c>
      <c r="C360" s="4" t="s">
        <v>405</v>
      </c>
      <c r="D360" s="4"/>
      <c r="E360" s="9">
        <f>_xll.BQL("DAL US Equity", "FA_GROWTH(CF_PROC_LT_DEBT_AND_CAPITAL_LEASE, YOY)", "FPT=A", "FPO=5A", "ACT_EST_MAPPING=PRECISE", "FS=MRC", "CURRENCY=USD", "XLFILL=b")</f>
        <v>11150</v>
      </c>
      <c r="F360" s="9">
        <f>_xll.BQL("DAL US Equity", "FA_GROWTH(CF_PROC_LT_DEBT_AND_CAPITAL_LEASE, YOY)", "FPT=A", "FPO=4A", "ACT_EST_MAPPING=PRECISE", "FS=MRC", "CURRENCY=USD", "XLFILL=b")</f>
        <v>200</v>
      </c>
      <c r="G360" s="9">
        <f>_xll.BQL("DAL US Equity", "FA_GROWTH(CF_PROC_LT_DEBT_AND_CAPITAL_LEASE, YOY)", "FPT=A", "FPO=3A", "ACT_EST_MAPPING=PRECISE", "FS=MRC", "CURRENCY=USD", "XLFILL=b")</f>
        <v>-100.42728195267853</v>
      </c>
      <c r="H360" s="9">
        <f>_xll.BQL("DAL US Equity", "FA_GROWTH(CF_PROC_LT_DEBT_AND_CAPITAL_LEASE, YOY)", "FPT=A", "FPO=2A", "ACT_EST_MAPPING=PRECISE", "FS=MRC", "CURRENCY=USD", "XLFILL=b")</f>
        <v>34.465670784257398</v>
      </c>
      <c r="I360" s="9">
        <f>_xll.BQL("DAL US Equity", "FA_GROWTH(CF_PROC_LT_DEBT_AND_CAPITAL_LEASE, YOY)", "FPT=A", "FPO=1A", "ACT_EST_MAPPING=PRECISE", "FS=MRC", "CURRENCY=USD", "XLFILL=b")</f>
        <v>98.234624145785872</v>
      </c>
      <c r="J360" s="9" t="str">
        <f>_xll.BQL("DAL US Equity", "FA_GROWTH(CF_PROC_LT_DEBT_AND_CAPITAL_LEASE, YOY)", "FPT=A", "FPO=0A", "ACT_EST_MAPPING=PRECISE", "FS=MRC", "CURRENCY=USD", "XLFILL=b")</f>
        <v/>
      </c>
      <c r="K360" s="9">
        <f>_xll.BQL("DAL US Equity", "FA_GROWTH(CF_PROC_LT_DEBT_AND_CAPITAL_LEASE, YOY)", "FPT=A", "FPO=-1A", "ACT_EST_MAPPING=PRECISE", "FS=MRC", "CURRENCY=USD", "XLFILL=b")</f>
        <v>-100</v>
      </c>
      <c r="L360" s="9">
        <f>_xll.BQL("DAL US Equity", "FA_GROWTH(CF_PROC_LT_DEBT_AND_CAPITAL_LEASE, YOY)", "FPT=A", "FPO=-2A", "ACT_EST_MAPPING=PRECISE", "FS=MRC", "CURRENCY=USD", "XLFILL=b")</f>
        <v>-92.421102964615869</v>
      </c>
      <c r="M360" s="9">
        <f>_xll.BQL("DAL US Equity", "FA_GROWTH(CF_PROC_LT_DEBT_AND_CAPITAL_LEASE, YOY)", "FPT=A", "FPO=-3A", "ACT_EST_MAPPING=PRECISE", "FS=MRC", "CURRENCY=USD", "XLFILL=b")</f>
        <v>1120.0291686922703</v>
      </c>
      <c r="N360" s="9">
        <f>_xll.BQL("DAL US Equity", "FA_GROWTH(CF_PROC_LT_DEBT_AND_CAPITAL_LEASE, YOY)", "FPT=A", "FPO=-4A", "ACT_EST_MAPPING=PRECISE", "FS=MRC", "CURRENCY=USD", "XLFILL=b")</f>
        <v>-45.073431241655541</v>
      </c>
    </row>
    <row r="361" spans="1:14" x14ac:dyDescent="0.2">
      <c r="A361" s="8" t="s">
        <v>406</v>
      </c>
      <c r="B361" s="4" t="s">
        <v>407</v>
      </c>
      <c r="C361" s="4" t="s">
        <v>408</v>
      </c>
      <c r="D361" s="4"/>
      <c r="E361" s="9">
        <f>_xll.BQL("DAL US Equity", "CF_PYMT_LT_DEBT_AND_CAPITAL_LEASE/1M", "FPT=A", "FPO=5A", "ACT_EST_MAPPING=PRECISE", "FS=MRC", "CURRENCY=USD", "XLFILL=b")</f>
        <v>-1954</v>
      </c>
      <c r="F361" s="9">
        <f>_xll.BQL("DAL US Equity", "CF_PYMT_LT_DEBT_AND_CAPITAL_LEASE/1M", "FPT=A", "FPO=4A", "ACT_EST_MAPPING=PRECISE", "FS=MRC", "CURRENCY=USD", "XLFILL=b")</f>
        <v>-2135.9999999999995</v>
      </c>
      <c r="G361" s="9">
        <f>_xll.BQL("DAL US Equity", "CF_PYMT_LT_DEBT_AND_CAPITAL_LEASE/1M", "FPT=A", "FPO=3A", "ACT_EST_MAPPING=PRECISE", "FS=MRC", "CURRENCY=USD", "XLFILL=b")</f>
        <v>-2477.7142857142858</v>
      </c>
      <c r="H361" s="9">
        <f>_xll.BQL("DAL US Equity", "CF_PYMT_LT_DEBT_AND_CAPITAL_LEASE/1M", "FPT=A", "FPO=2A", "ACT_EST_MAPPING=PRECISE", "FS=MRC", "CURRENCY=USD", "XLFILL=b")</f>
        <v>-2992</v>
      </c>
      <c r="I361" s="9">
        <f>_xll.BQL("DAL US Equity", "CF_PYMT_LT_DEBT_AND_CAPITAL_LEASE/1M", "FPT=A", "FPO=1A", "ACT_EST_MAPPING=PRECISE", "FS=MRC", "CURRENCY=USD", "XLFILL=b")</f>
        <v>-3691.6</v>
      </c>
      <c r="J361" s="9">
        <f>_xll.BQL("DAL US Equity", "CF_PYMT_LT_DEBT_AND_CAPITAL_LEASE/1M", "FPT=A", "FPO=0A", "ACT_EST_MAPPING=PRECISE", "FS=MRC", "CURRENCY=USD", "XLFILL=b")</f>
        <v>-4071</v>
      </c>
      <c r="K361" s="9">
        <f>_xll.BQL("DAL US Equity", "CF_PYMT_LT_DEBT_AND_CAPITAL_LEASE/1M", "FPT=A", "FPO=-1A", "ACT_EST_MAPPING=PRECISE", "FS=MRC", "CURRENCY=USD", "XLFILL=b")</f>
        <v>-4475</v>
      </c>
      <c r="L361" s="9">
        <f>_xll.BQL("DAL US Equity", "CF_PYMT_LT_DEBT_AND_CAPITAL_LEASE/1M", "FPT=A", "FPO=-2A", "ACT_EST_MAPPING=PRECISE", "FS=MRC", "CURRENCY=USD", "XLFILL=b")</f>
        <v>-5834</v>
      </c>
      <c r="M361" s="9">
        <f>_xll.BQL("DAL US Equity", "CF_PYMT_LT_DEBT_AND_CAPITAL_LEASE/1M", "FPT=A", "FPO=-3A", "ACT_EST_MAPPING=PRECISE", "FS=MRC", "CURRENCY=USD", "XLFILL=b")</f>
        <v>-8559</v>
      </c>
      <c r="N361" s="9">
        <f>_xll.BQL("DAL US Equity", "CF_PYMT_LT_DEBT_AND_CAPITAL_LEASE/1M", "FPT=A", "FPO=-4A", "ACT_EST_MAPPING=PRECISE", "FS=MRC", "CURRENCY=USD", "XLFILL=b")</f>
        <v>-3320</v>
      </c>
    </row>
    <row r="362" spans="1:14" x14ac:dyDescent="0.2">
      <c r="A362" s="8" t="s">
        <v>94</v>
      </c>
      <c r="B362" s="4" t="s">
        <v>407</v>
      </c>
      <c r="C362" s="4" t="s">
        <v>408</v>
      </c>
      <c r="D362" s="4"/>
      <c r="E362" s="9">
        <f>_xll.BQL("DAL US Equity", "FA_GROWTH(CF_PYMT_LT_DEBT_AND_CAPITAL_LEASE, YOY)", "FPT=A", "FPO=5A", "ACT_EST_MAPPING=PRECISE", "FS=MRC", "CURRENCY=USD", "XLFILL=b")</f>
        <v>8.5205992509363195</v>
      </c>
      <c r="F362" s="9">
        <f>_xll.BQL("DAL US Equity", "FA_GROWTH(CF_PYMT_LT_DEBT_AND_CAPITAL_LEASE, YOY)", "FPT=A", "FPO=4A", "ACT_EST_MAPPING=PRECISE", "FS=MRC", "CURRENCY=USD", "XLFILL=b")</f>
        <v>13.791512915129164</v>
      </c>
      <c r="G362" s="9">
        <f>_xll.BQL("DAL US Equity", "FA_GROWTH(CF_PYMT_LT_DEBT_AND_CAPITAL_LEASE, YOY)", "FPT=A", "FPO=3A", "ACT_EST_MAPPING=PRECISE", "FS=MRC", "CURRENCY=USD", "XLFILL=b")</f>
        <v>17.188693659281888</v>
      </c>
      <c r="H362" s="9">
        <f>_xll.BQL("DAL US Equity", "FA_GROWTH(CF_PYMT_LT_DEBT_AND_CAPITAL_LEASE, YOY)", "FPT=A", "FPO=2A", "ACT_EST_MAPPING=PRECISE", "FS=MRC", "CURRENCY=USD", "XLFILL=b")</f>
        <v>18.951132300357568</v>
      </c>
      <c r="I362" s="9">
        <f>_xll.BQL("DAL US Equity", "FA_GROWTH(CF_PYMT_LT_DEBT_AND_CAPITAL_LEASE, YOY)", "FPT=A", "FPO=1A", "ACT_EST_MAPPING=PRECISE", "FS=MRC", "CURRENCY=USD", "XLFILL=b")</f>
        <v>9.3195774993859004</v>
      </c>
      <c r="J362" s="9">
        <f>_xll.BQL("DAL US Equity", "FA_GROWTH(CF_PYMT_LT_DEBT_AND_CAPITAL_LEASE, YOY)", "FPT=A", "FPO=0A", "ACT_EST_MAPPING=PRECISE", "FS=MRC", "CURRENCY=USD", "XLFILL=b")</f>
        <v>9.027932960893855</v>
      </c>
      <c r="K362" s="9">
        <f>_xll.BQL("DAL US Equity", "FA_GROWTH(CF_PYMT_LT_DEBT_AND_CAPITAL_LEASE, YOY)", "FPT=A", "FPO=-1A", "ACT_EST_MAPPING=PRECISE", "FS=MRC", "CURRENCY=USD", "XLFILL=b")</f>
        <v>23.294480630785053</v>
      </c>
      <c r="L362" s="9">
        <f>_xll.BQL("DAL US Equity", "FA_GROWTH(CF_PYMT_LT_DEBT_AND_CAPITAL_LEASE, YOY)", "FPT=A", "FPO=-2A", "ACT_EST_MAPPING=PRECISE", "FS=MRC", "CURRENCY=USD", "XLFILL=b")</f>
        <v>31.83783152237411</v>
      </c>
      <c r="M362" s="9">
        <f>_xll.BQL("DAL US Equity", "FA_GROWTH(CF_PYMT_LT_DEBT_AND_CAPITAL_LEASE, YOY)", "FPT=A", "FPO=-3A", "ACT_EST_MAPPING=PRECISE", "FS=MRC", "CURRENCY=USD", "XLFILL=b")</f>
        <v>-157.8012048192771</v>
      </c>
      <c r="N362" s="9">
        <f>_xll.BQL("DAL US Equity", "FA_GROWTH(CF_PYMT_LT_DEBT_AND_CAPITAL_LEASE, YOY)", "FPT=A", "FPO=-4A", "ACT_EST_MAPPING=PRECISE", "FS=MRC", "CURRENCY=USD", "XLFILL=b")</f>
        <v>-8.781127129750983</v>
      </c>
    </row>
    <row r="363" spans="1:14" x14ac:dyDescent="0.2">
      <c r="A363" s="8" t="s">
        <v>409</v>
      </c>
      <c r="B363" s="4" t="s">
        <v>410</v>
      </c>
      <c r="C363" s="4" t="s">
        <v>411</v>
      </c>
      <c r="D363" s="4"/>
      <c r="E363" s="9">
        <f>_xll.BQL("DAL US Equity", "CF_DECR_CAP_STOCK/1M", "FPT=A", "FPO=5A", "ACT_EST_MAPPING=PRECISE", "FS=MRC", "CURRENCY=USD", "XLFILL=b")</f>
        <v>-1400</v>
      </c>
      <c r="F363" s="9">
        <f>_xll.BQL("DAL US Equity", "CF_DECR_CAP_STOCK/1M", "FPT=A", "FPO=4A", "ACT_EST_MAPPING=PRECISE", "FS=MRC", "CURRENCY=USD", "XLFILL=b")</f>
        <v>-1566.6666666666667</v>
      </c>
      <c r="G363" s="9">
        <f>_xll.BQL("DAL US Equity", "CF_DECR_CAP_STOCK/1M", "FPT=A", "FPO=3A", "ACT_EST_MAPPING=PRECISE", "FS=MRC", "CURRENCY=USD", "XLFILL=b")</f>
        <v>-1090</v>
      </c>
      <c r="H363" s="9">
        <f>_xll.BQL("DAL US Equity", "CF_DECR_CAP_STOCK/1M", "FPT=A", "FPO=2A", "ACT_EST_MAPPING=PRECISE", "FS=MRC", "CURRENCY=USD", "XLFILL=b")</f>
        <v>-1500</v>
      </c>
      <c r="I363" s="9" t="str">
        <f>_xll.BQL("DAL US Equity", "CF_DECR_CAP_STOCK/1M", "FPT=A", "FPO=1A", "ACT_EST_MAPPING=PRECISE", "FS=MRC", "CURRENCY=USD", "XLFILL=b")</f>
        <v/>
      </c>
      <c r="J363" s="9">
        <f>_xll.BQL("DAL US Equity", "CF_DECR_CAP_STOCK/1M", "FPT=A", "FPO=0A", "ACT_EST_MAPPING=PRECISE", "FS=MRC", "CURRENCY=USD", "XLFILL=b")</f>
        <v>0</v>
      </c>
      <c r="K363" s="9">
        <f>_xll.BQL("DAL US Equity", "CF_DECR_CAP_STOCK/1M", "FPT=A", "FPO=-1A", "ACT_EST_MAPPING=PRECISE", "FS=MRC", "CURRENCY=USD", "XLFILL=b")</f>
        <v>0</v>
      </c>
      <c r="L363" s="9">
        <f>_xll.BQL("DAL US Equity", "CF_DECR_CAP_STOCK/1M", "FPT=A", "FPO=-2A", "ACT_EST_MAPPING=PRECISE", "FS=MRC", "CURRENCY=USD", "XLFILL=b")</f>
        <v>0</v>
      </c>
      <c r="M363" s="9">
        <f>_xll.BQL("DAL US Equity", "CF_DECR_CAP_STOCK/1M", "FPT=A", "FPO=-3A", "ACT_EST_MAPPING=PRECISE", "FS=MRC", "CURRENCY=USD", "XLFILL=b")</f>
        <v>-344</v>
      </c>
      <c r="N363" s="9">
        <f>_xll.BQL("DAL US Equity", "CF_DECR_CAP_STOCK/1M", "FPT=A", "FPO=-4A", "ACT_EST_MAPPING=PRECISE", "FS=MRC", "CURRENCY=USD", "XLFILL=b")</f>
        <v>-2027</v>
      </c>
    </row>
    <row r="364" spans="1:14" x14ac:dyDescent="0.2">
      <c r="A364" s="8" t="s">
        <v>86</v>
      </c>
      <c r="B364" s="4" t="s">
        <v>410</v>
      </c>
      <c r="C364" s="4" t="s">
        <v>411</v>
      </c>
      <c r="D364" s="4"/>
      <c r="E364" s="9">
        <f>_xll.BQL("DAL US Equity", "FA_GROWTH(CF_DECR_CAP_STOCK, YOY)", "FPT=A", "FPO=5A", "ACT_EST_MAPPING=PRECISE", "FS=MRC", "CURRENCY=USD", "XLFILL=b")</f>
        <v>10.638297872340431</v>
      </c>
      <c r="F364" s="9">
        <f>_xll.BQL("DAL US Equity", "FA_GROWTH(CF_DECR_CAP_STOCK, YOY)", "FPT=A", "FPO=4A", "ACT_EST_MAPPING=PRECISE", "FS=MRC", "CURRENCY=USD", "XLFILL=b")</f>
        <v>-43.730886850152913</v>
      </c>
      <c r="G364" s="9">
        <f>_xll.BQL("DAL US Equity", "FA_GROWTH(CF_DECR_CAP_STOCK, YOY)", "FPT=A", "FPO=3A", "ACT_EST_MAPPING=PRECISE", "FS=MRC", "CURRENCY=USD", "XLFILL=b")</f>
        <v>27.333333333333332</v>
      </c>
      <c r="H364" s="9" t="str">
        <f>_xll.BQL("DAL US Equity", "FA_GROWTH(CF_DECR_CAP_STOCK, YOY)", "FPT=A", "FPO=2A", "ACT_EST_MAPPING=PRECISE", "FS=MRC", "CURRENCY=USD", "XLFILL=b")</f>
        <v/>
      </c>
      <c r="I364" s="9" t="str">
        <f>_xll.BQL("DAL US Equity", "FA_GROWTH(CF_DECR_CAP_STOCK, YOY)", "FPT=A", "FPO=1A", "ACT_EST_MAPPING=PRECISE", "FS=MRC", "CURRENCY=USD", "XLFILL=b")</f>
        <v/>
      </c>
      <c r="J364" s="9" t="str">
        <f>_xll.BQL("DAL US Equity", "FA_GROWTH(CF_DECR_CAP_STOCK, YOY)", "FPT=A", "FPO=0A", "ACT_EST_MAPPING=PRECISE", "FS=MRC", "CURRENCY=USD", "XLFILL=b")</f>
        <v/>
      </c>
      <c r="K364" s="9" t="str">
        <f>_xll.BQL("DAL US Equity", "FA_GROWTH(CF_DECR_CAP_STOCK, YOY)", "FPT=A", "FPO=-1A", "ACT_EST_MAPPING=PRECISE", "FS=MRC", "CURRENCY=USD", "XLFILL=b")</f>
        <v/>
      </c>
      <c r="L364" s="9">
        <f>_xll.BQL("DAL US Equity", "FA_GROWTH(CF_DECR_CAP_STOCK, YOY)", "FPT=A", "FPO=-2A", "ACT_EST_MAPPING=PRECISE", "FS=MRC", "CURRENCY=USD", "XLFILL=b")</f>
        <v>100</v>
      </c>
      <c r="M364" s="9">
        <f>_xll.BQL("DAL US Equity", "FA_GROWTH(CF_DECR_CAP_STOCK, YOY)", "FPT=A", "FPO=-3A", "ACT_EST_MAPPING=PRECISE", "FS=MRC", "CURRENCY=USD", "XLFILL=b")</f>
        <v>83.029107054760729</v>
      </c>
      <c r="N364" s="9">
        <f>_xll.BQL("DAL US Equity", "FA_GROWTH(CF_DECR_CAP_STOCK, YOY)", "FPT=A", "FPO=-4A", "ACT_EST_MAPPING=PRECISE", "FS=MRC", "CURRENCY=USD", "XLFILL=b")</f>
        <v>-28.698412698412699</v>
      </c>
    </row>
    <row r="365" spans="1:14" x14ac:dyDescent="0.2">
      <c r="A365" s="8" t="s">
        <v>153</v>
      </c>
      <c r="B365" s="4" t="s">
        <v>412</v>
      </c>
      <c r="C365" s="4"/>
      <c r="D365" s="4"/>
      <c r="E365" s="9" t="str">
        <f>_xll.BQL("DAL US Equity", "CF_OTHER_FNC_ACT/1M", "FPT=A", "FPO=5A", "ACT_EST_MAPPING=PRECISE", "FS=MRC", "CURRENCY=USD", "XLFILL=b")</f>
        <v/>
      </c>
      <c r="F365" s="9" t="str">
        <f>_xll.BQL("DAL US Equity", "CF_OTHER_FNC_ACT/1M", "FPT=A", "FPO=4A", "ACT_EST_MAPPING=PRECISE", "FS=MRC", "CURRENCY=USD", "XLFILL=b")</f>
        <v/>
      </c>
      <c r="G365" s="9" t="str">
        <f>_xll.BQL("DAL US Equity", "CF_OTHER_FNC_ACT/1M", "FPT=A", "FPO=3A", "ACT_EST_MAPPING=PRECISE", "FS=MRC", "CURRENCY=USD", "XLFILL=b")</f>
        <v/>
      </c>
      <c r="H365" s="9">
        <f>_xll.BQL("DAL US Equity", "CF_OTHER_FNC_ACT/1M", "FPT=A", "FPO=2A", "ACT_EST_MAPPING=PRECISE", "FS=MRC", "CURRENCY=USD", "XLFILL=b")</f>
        <v>-50</v>
      </c>
      <c r="I365" s="9">
        <f>_xll.BQL("DAL US Equity", "CF_OTHER_FNC_ACT/1M", "FPT=A", "FPO=1A", "ACT_EST_MAPPING=PRECISE", "FS=MRC", "CURRENCY=USD", "XLFILL=b")</f>
        <v>-27.166666666666668</v>
      </c>
      <c r="J365" s="9">
        <f>_xll.BQL("DAL US Equity", "CF_OTHER_FNC_ACT/1M", "FPT=A", "FPO=0A", "ACT_EST_MAPPING=PRECISE", "FS=MRC", "CURRENCY=USD", "XLFILL=b")</f>
        <v>-73</v>
      </c>
      <c r="K365" s="9">
        <f>_xll.BQL("DAL US Equity", "CF_OTHER_FNC_ACT/1M", "FPT=A", "FPO=-1A", "ACT_EST_MAPPING=PRECISE", "FS=MRC", "CURRENCY=USD", "XLFILL=b")</f>
        <v>-60</v>
      </c>
      <c r="L365" s="9">
        <f>_xll.BQL("DAL US Equity", "CF_OTHER_FNC_ACT/1M", "FPT=A", "FPO=-2A", "ACT_EST_MAPPING=PRECISE", "FS=MRC", "CURRENCY=USD", "XLFILL=b")</f>
        <v>80</v>
      </c>
      <c r="M365" s="9">
        <f>_xll.BQL("DAL US Equity", "CF_OTHER_FNC_ACT/1M", "FPT=A", "FPO=-3A", "ACT_EST_MAPPING=PRECISE", "FS=MRC", "CURRENCY=USD", "XLFILL=b")</f>
        <v>162</v>
      </c>
      <c r="N365" s="9">
        <f>_xll.BQL("DAL US Equity", "CF_OTHER_FNC_ACT/1M", "FPT=A", "FPO=-4A", "ACT_EST_MAPPING=PRECISE", "FS=MRC", "CURRENCY=USD", "XLFILL=b")</f>
        <v>-360</v>
      </c>
    </row>
    <row r="366" spans="1:14" x14ac:dyDescent="0.2">
      <c r="A366" s="8" t="s">
        <v>86</v>
      </c>
      <c r="B366" s="4" t="s">
        <v>412</v>
      </c>
      <c r="C366" s="4"/>
      <c r="D366" s="4"/>
      <c r="E366" s="9" t="str">
        <f>_xll.BQL("DAL US Equity", "FA_GROWTH(CF_OTHER_FNC_ACT, YOY)", "FPT=A", "FPO=5A", "ACT_EST_MAPPING=PRECISE", "FS=MRC", "CURRENCY=USD", "XLFILL=b")</f>
        <v/>
      </c>
      <c r="F366" s="9" t="str">
        <f>_xll.BQL("DAL US Equity", "FA_GROWTH(CF_OTHER_FNC_ACT, YOY)", "FPT=A", "FPO=4A", "ACT_EST_MAPPING=PRECISE", "FS=MRC", "CURRENCY=USD", "XLFILL=b")</f>
        <v/>
      </c>
      <c r="G366" s="9" t="str">
        <f>_xll.BQL("DAL US Equity", "FA_GROWTH(CF_OTHER_FNC_ACT, YOY)", "FPT=A", "FPO=3A", "ACT_EST_MAPPING=PRECISE", "FS=MRC", "CURRENCY=USD", "XLFILL=b")</f>
        <v/>
      </c>
      <c r="H366" s="9">
        <f>_xll.BQL("DAL US Equity", "FA_GROWTH(CF_OTHER_FNC_ACT, YOY)", "FPT=A", "FPO=2A", "ACT_EST_MAPPING=PRECISE", "FS=MRC", "CURRENCY=USD", "XLFILL=b")</f>
        <v>-84.049079754601209</v>
      </c>
      <c r="I366" s="9">
        <f>_xll.BQL("DAL US Equity", "FA_GROWTH(CF_OTHER_FNC_ACT, YOY)", "FPT=A", "FPO=1A", "ACT_EST_MAPPING=PRECISE", "FS=MRC", "CURRENCY=USD", "XLFILL=b")</f>
        <v>62.785388127853878</v>
      </c>
      <c r="J366" s="9">
        <f>_xll.BQL("DAL US Equity", "FA_GROWTH(CF_OTHER_FNC_ACT, YOY)", "FPT=A", "FPO=0A", "ACT_EST_MAPPING=PRECISE", "FS=MRC", "CURRENCY=USD", "XLFILL=b")</f>
        <v>-21.666666666666668</v>
      </c>
      <c r="K366" s="9">
        <f>_xll.BQL("DAL US Equity", "FA_GROWTH(CF_OTHER_FNC_ACT, YOY)", "FPT=A", "FPO=-1A", "ACT_EST_MAPPING=PRECISE", "FS=MRC", "CURRENCY=USD", "XLFILL=b")</f>
        <v>-175</v>
      </c>
      <c r="L366" s="9">
        <f>_xll.BQL("DAL US Equity", "FA_GROWTH(CF_OTHER_FNC_ACT, YOY)", "FPT=A", "FPO=-2A", "ACT_EST_MAPPING=PRECISE", "FS=MRC", "CURRENCY=USD", "XLFILL=b")</f>
        <v>-50.617283950617285</v>
      </c>
      <c r="M366" s="9">
        <f>_xll.BQL("DAL US Equity", "FA_GROWTH(CF_OTHER_FNC_ACT, YOY)", "FPT=A", "FPO=-3A", "ACT_EST_MAPPING=PRECISE", "FS=MRC", "CURRENCY=USD", "XLFILL=b")</f>
        <v>145</v>
      </c>
      <c r="N366" s="9">
        <f>_xll.BQL("DAL US Equity", "FA_GROWTH(CF_OTHER_FNC_ACT, YOY)", "FPT=A", "FPO=-4A", "ACT_EST_MAPPING=PRECISE", "FS=MRC", "CURRENCY=USD", "XLFILL=b")</f>
        <v>-653.84615384615381</v>
      </c>
    </row>
    <row r="367" spans="1:14" x14ac:dyDescent="0.2">
      <c r="A367" s="8" t="s">
        <v>397</v>
      </c>
      <c r="B367" s="4" t="s">
        <v>413</v>
      </c>
      <c r="C367" s="4" t="s">
        <v>398</v>
      </c>
      <c r="D367" s="4"/>
      <c r="E367" s="9">
        <f>_xll.BQL("DAL US Equity", "CB_CF_NET_CASH_FINANCING_ACT/1M", "FPT=A", "FPO=5A", "ACT_EST_MAPPING=PRECISE", "FS=MRC", "CURRENCY=USD", "XLFILL=b")</f>
        <v>-3509.9264772795677</v>
      </c>
      <c r="F367" s="9">
        <f>_xll.BQL("DAL US Equity", "CB_CF_NET_CASH_FINANCING_ACT/1M", "FPT=A", "FPO=4A", "ACT_EST_MAPPING=PRECISE", "FS=MRC", "CURRENCY=USD", "XLFILL=b")</f>
        <v>-4519.1065151666289</v>
      </c>
      <c r="G367" s="9">
        <f>_xll.BQL("DAL US Equity", "CB_CF_NET_CASH_FINANCING_ACT/1M", "FPT=A", "FPO=3A", "ACT_EST_MAPPING=PRECISE", "FS=MRC", "CURRENCY=USD", "XLFILL=b")</f>
        <v>-3431.7804540677771</v>
      </c>
      <c r="H367" s="9">
        <f>_xll.BQL("DAL US Equity", "CB_CF_NET_CASH_FINANCING_ACT/1M", "FPT=A", "FPO=2A", "ACT_EST_MAPPING=PRECISE", "FS=MRC", "CURRENCY=USD", "XLFILL=b")</f>
        <v>-2854.8517022339524</v>
      </c>
      <c r="I367" s="9">
        <f>_xll.BQL("DAL US Equity", "CB_CF_NET_CASH_FINANCING_ACT/1M", "FPT=A", "FPO=1A", "ACT_EST_MAPPING=PRECISE", "FS=MRC", "CURRENCY=USD", "XLFILL=b")</f>
        <v>-3569.3530251007851</v>
      </c>
      <c r="J367" s="9">
        <f>_xll.BQL("DAL US Equity", "CB_CF_NET_CASH_FINANCING_ACT/1M", "FPT=A", "FPO=0A", "ACT_EST_MAPPING=PRECISE", "FS=MRC", "CURRENCY=USD", "XLFILL=b")</f>
        <v>-3394</v>
      </c>
      <c r="K367" s="9">
        <f>_xll.BQL("DAL US Equity", "CB_CF_NET_CASH_FINANCING_ACT/1M", "FPT=A", "FPO=-1A", "ACT_EST_MAPPING=PRECISE", "FS=MRC", "CURRENCY=USD", "XLFILL=b")</f>
        <v>-4535</v>
      </c>
      <c r="L367" s="9">
        <f>_xll.BQL("DAL US Equity", "CB_CF_NET_CASH_FINANCING_ACT/1M", "FPT=A", "FPO=-2A", "ACT_EST_MAPPING=PRECISE", "FS=MRC", "CURRENCY=USD", "XLFILL=b")</f>
        <v>-3852</v>
      </c>
      <c r="M367" s="9">
        <f>_xll.BQL("DAL US Equity", "CB_CF_NET_CASH_FINANCING_ACT/1M", "FPT=A", "FPO=-3A", "ACT_EST_MAPPING=PRECISE", "FS=MRC", "CURRENCY=USD", "XLFILL=b")</f>
        <v>19356</v>
      </c>
      <c r="N367" s="9">
        <f>_xll.BQL("DAL US Equity", "CB_CF_NET_CASH_FINANCING_ACT/1M", "FPT=A", "FPO=-4A", "ACT_EST_MAPPING=PRECISE", "FS=MRC", "CURRENCY=USD", "XLFILL=b")</f>
        <v>-2880</v>
      </c>
    </row>
    <row r="368" spans="1:14" x14ac:dyDescent="0.2">
      <c r="A368" s="8" t="s">
        <v>12</v>
      </c>
      <c r="B368" s="4" t="s">
        <v>413</v>
      </c>
      <c r="C368" s="4" t="s">
        <v>398</v>
      </c>
      <c r="D368" s="4"/>
      <c r="E368" s="9">
        <f>_xll.BQL("DAL US Equity", "FA_GROWTH(CB_CF_NET_CASH_FINANCING_ACT, YOY)", "FPT=A", "FPO=5A", "ACT_EST_MAPPING=PRECISE", "FS=MRC", "CURRENCY=USD", "XLFILL=b")</f>
        <v>22.331406318929186</v>
      </c>
      <c r="F368" s="9">
        <f>_xll.BQL("DAL US Equity", "FA_GROWTH(CB_CF_NET_CASH_FINANCING_ACT, YOY)", "FPT=A", "FPO=4A", "ACT_EST_MAPPING=PRECISE", "FS=MRC", "CURRENCY=USD", "XLFILL=b")</f>
        <v>-31.684021622362707</v>
      </c>
      <c r="G368" s="9">
        <f>_xll.BQL("DAL US Equity", "FA_GROWTH(CB_CF_NET_CASH_FINANCING_ACT, YOY)", "FPT=A", "FPO=3A", "ACT_EST_MAPPING=PRECISE", "FS=MRC", "CURRENCY=USD", "XLFILL=b")</f>
        <v>-20.208711765391232</v>
      </c>
      <c r="H368" s="9">
        <f>_xll.BQL("DAL US Equity", "FA_GROWTH(CB_CF_NET_CASH_FINANCING_ACT, YOY)", "FPT=A", "FPO=2A", "ACT_EST_MAPPING=PRECISE", "FS=MRC", "CURRENCY=USD", "XLFILL=b")</f>
        <v>20.017670368894315</v>
      </c>
      <c r="I368" s="9">
        <f>_xll.BQL("DAL US Equity", "FA_GROWTH(CB_CF_NET_CASH_FINANCING_ACT, YOY)", "FPT=A", "FPO=1A", "ACT_EST_MAPPING=PRECISE", "FS=MRC", "CURRENCY=USD", "XLFILL=b")</f>
        <v>-5.1665593724450574</v>
      </c>
      <c r="J368" s="9">
        <f>_xll.BQL("DAL US Equity", "FA_GROWTH(CB_CF_NET_CASH_FINANCING_ACT, YOY)", "FPT=A", "FPO=0A", "ACT_EST_MAPPING=PRECISE", "FS=MRC", "CURRENCY=USD", "XLFILL=b")</f>
        <v>25.159867695700111</v>
      </c>
      <c r="K368" s="9">
        <f>_xll.BQL("DAL US Equity", "FA_GROWTH(CB_CF_NET_CASH_FINANCING_ACT, YOY)", "FPT=A", "FPO=-1A", "ACT_EST_MAPPING=PRECISE", "FS=MRC", "CURRENCY=USD", "XLFILL=b")</f>
        <v>-17.73104880581516</v>
      </c>
      <c r="L368" s="9">
        <f>_xll.BQL("DAL US Equity", "FA_GROWTH(CB_CF_NET_CASH_FINANCING_ACT, YOY)", "FPT=A", "FPO=-2A", "ACT_EST_MAPPING=PRECISE", "FS=MRC", "CURRENCY=USD", "XLFILL=b")</f>
        <v>-119.90080595164289</v>
      </c>
      <c r="M368" s="9">
        <f>_xll.BQL("DAL US Equity", "FA_GROWTH(CB_CF_NET_CASH_FINANCING_ACT, YOY)", "FPT=A", "FPO=-3A", "ACT_EST_MAPPING=PRECISE", "FS=MRC", "CURRENCY=USD", "XLFILL=b")</f>
        <v>772.08333333333337</v>
      </c>
      <c r="N368" s="9">
        <f>_xll.BQL("DAL US Equity", "FA_GROWTH(CB_CF_NET_CASH_FINANCING_ACT, YOY)", "FPT=A", "FPO=-4A", "ACT_EST_MAPPING=PRECISE", "FS=MRC", "CURRENCY=USD", "XLFILL=b")</f>
        <v>-66.859791425260724</v>
      </c>
    </row>
    <row r="369" spans="1:14" x14ac:dyDescent="0.2">
      <c r="A369" s="8" t="s">
        <v>16</v>
      </c>
      <c r="B369" s="4"/>
      <c r="C369" s="4"/>
      <c r="D369" s="4"/>
      <c r="E369" s="9"/>
      <c r="F369" s="9"/>
      <c r="G369" s="9"/>
      <c r="H369" s="9"/>
      <c r="I369" s="9"/>
      <c r="J369" s="9"/>
      <c r="K369" s="9"/>
      <c r="L369" s="9"/>
      <c r="M369" s="9"/>
      <c r="N369" s="9"/>
    </row>
    <row r="370" spans="1:14" x14ac:dyDescent="0.2">
      <c r="A370" s="8" t="s">
        <v>347</v>
      </c>
      <c r="B370" s="4"/>
      <c r="C370" s="4" t="s">
        <v>348</v>
      </c>
      <c r="D370" s="4"/>
      <c r="E370" s="9"/>
      <c r="F370" s="9"/>
      <c r="G370" s="9"/>
      <c r="H370" s="9"/>
      <c r="I370" s="9"/>
      <c r="J370" s="9"/>
      <c r="K370" s="9"/>
      <c r="L370" s="9"/>
      <c r="M370" s="9"/>
      <c r="N370" s="9"/>
    </row>
    <row r="371" spans="1:14" x14ac:dyDescent="0.2">
      <c r="A371" s="8" t="s">
        <v>414</v>
      </c>
      <c r="B371" s="4" t="s">
        <v>415</v>
      </c>
      <c r="C371" s="4" t="s">
        <v>416</v>
      </c>
      <c r="D371" s="4"/>
      <c r="E371" s="9">
        <f>_xll.BQL("DAL US Equity", "CF_NET_CHNG_CASH/1M", "FPT=A", "FPO=5A", "ACT_EST_MAPPING=PRECISE", "FS=MRC", "CURRENCY=USD", "XLFILL=b")</f>
        <v>1773.429094477485</v>
      </c>
      <c r="F371" s="9">
        <f>_xll.BQL("DAL US Equity", "CF_NET_CHNG_CASH/1M", "FPT=A", "FPO=4A", "ACT_EST_MAPPING=PRECISE", "FS=MRC", "CURRENCY=USD", "XLFILL=b")</f>
        <v>121.86610983585464</v>
      </c>
      <c r="G371" s="9">
        <f>_xll.BQL("DAL US Equity", "CF_NET_CHNG_CASH/1M", "FPT=A", "FPO=3A", "ACT_EST_MAPPING=PRECISE", "FS=MRC", "CURRENCY=USD", "XLFILL=b")</f>
        <v>-14.877503226464867</v>
      </c>
      <c r="H371" s="9">
        <f>_xll.BQL("DAL US Equity", "CF_NET_CHNG_CASH/1M", "FPT=A", "FPO=2A", "ACT_EST_MAPPING=PRECISE", "FS=MRC", "CURRENCY=USD", "XLFILL=b")</f>
        <v>666.00654256175164</v>
      </c>
      <c r="I371" s="9">
        <f>_xll.BQL("DAL US Equity", "CF_NET_CHNG_CASH/1M", "FPT=A", "FPO=1A", "ACT_EST_MAPPING=PRECISE", "FS=MRC", "CURRENCY=USD", "XLFILL=b")</f>
        <v>-14.090660704119944</v>
      </c>
      <c r="J371" s="9">
        <f>_xll.BQL("DAL US Equity", "CF_NET_CHNG_CASH/1M", "FPT=A", "FPO=0A", "ACT_EST_MAPPING=PRECISE", "FS=MRC", "CURRENCY=USD", "XLFILL=b")</f>
        <v>-78</v>
      </c>
      <c r="K371" s="9">
        <f>_xll.BQL("DAL US Equity", "CF_NET_CHNG_CASH/1M", "FPT=A", "FPO=-1A", "ACT_EST_MAPPING=PRECISE", "FS=MRC", "CURRENCY=USD", "XLFILL=b")</f>
        <v>-5096</v>
      </c>
      <c r="L371" s="9">
        <f>_xll.BQL("DAL US Equity", "CF_NET_CHNG_CASH/1M", "FPT=A", "FPO=-2A", "ACT_EST_MAPPING=PRECISE", "FS=MRC", "CURRENCY=USD", "XLFILL=b")</f>
        <v>-1486</v>
      </c>
      <c r="M371" s="9">
        <f>_xll.BQL("DAL US Equity", "CF_NET_CHNG_CASH/1M", "FPT=A", "FPO=-3A", "ACT_EST_MAPPING=PRECISE", "FS=MRC", "CURRENCY=USD", "XLFILL=b")</f>
        <v>6325</v>
      </c>
      <c r="N371" s="9">
        <f>_xll.BQL("DAL US Equity", "CF_NET_CHNG_CASH/1M", "FPT=A", "FPO=-4A", "ACT_EST_MAPPING=PRECISE", "FS=MRC", "CURRENCY=USD", "XLFILL=b")</f>
        <v>982</v>
      </c>
    </row>
    <row r="372" spans="1:14" x14ac:dyDescent="0.2">
      <c r="A372" s="8" t="s">
        <v>86</v>
      </c>
      <c r="B372" s="4" t="s">
        <v>415</v>
      </c>
      <c r="C372" s="4" t="s">
        <v>416</v>
      </c>
      <c r="D372" s="4"/>
      <c r="E372" s="9">
        <f>_xll.BQL("DAL US Equity", "FA_GROWTH(CF_NET_CHNG_CASH, YOY)", "FPT=A", "FPO=5A", "ACT_EST_MAPPING=PRECISE", "FS=MRC", "CURRENCY=USD", "XLFILL=b")</f>
        <v>1355.2274597639764</v>
      </c>
      <c r="F372" s="9">
        <f>_xll.BQL("DAL US Equity", "FA_GROWTH(CF_NET_CHNG_CASH, YOY)", "FPT=A", "FPO=4A", "ACT_EST_MAPPING=PRECISE", "FS=MRC", "CURRENCY=USD", "XLFILL=b")</f>
        <v>919.13011868196372</v>
      </c>
      <c r="G372" s="9">
        <f>_xll.BQL("DAL US Equity", "FA_GROWTH(CF_NET_CHNG_CASH, YOY)", "FPT=A", "FPO=3A", "ACT_EST_MAPPING=PRECISE", "FS=MRC", "CURRENCY=USD", "XLFILL=b")</f>
        <v>-102.23383739883988</v>
      </c>
      <c r="H372" s="9">
        <f>_xll.BQL("DAL US Equity", "FA_GROWTH(CF_NET_CHNG_CASH, YOY)", "FPT=A", "FPO=2A", "ACT_EST_MAPPING=PRECISE", "FS=MRC", "CURRENCY=USD", "XLFILL=b")</f>
        <v>4826.5813615611296</v>
      </c>
      <c r="I372" s="9">
        <f>_xll.BQL("DAL US Equity", "FA_GROWTH(CF_NET_CHNG_CASH, YOY)", "FPT=A", "FPO=1A", "ACT_EST_MAPPING=PRECISE", "FS=MRC", "CURRENCY=USD", "XLFILL=b")</f>
        <v>81.935050379333404</v>
      </c>
      <c r="J372" s="9">
        <f>_xll.BQL("DAL US Equity", "FA_GROWTH(CF_NET_CHNG_CASH, YOY)", "FPT=A", "FPO=0A", "ACT_EST_MAPPING=PRECISE", "FS=MRC", "CURRENCY=USD", "XLFILL=b")</f>
        <v>98.469387755102048</v>
      </c>
      <c r="K372" s="9">
        <f>_xll.BQL("DAL US Equity", "FA_GROWTH(CF_NET_CHNG_CASH, YOY)", "FPT=A", "FPO=-1A", "ACT_EST_MAPPING=PRECISE", "FS=MRC", "CURRENCY=USD", "XLFILL=b")</f>
        <v>-242.93405114401077</v>
      </c>
      <c r="L372" s="9">
        <f>_xll.BQL("DAL US Equity", "FA_GROWTH(CF_NET_CHNG_CASH, YOY)", "FPT=A", "FPO=-2A", "ACT_EST_MAPPING=PRECISE", "FS=MRC", "CURRENCY=USD", "XLFILL=b")</f>
        <v>-123.49407114624506</v>
      </c>
      <c r="M372" s="9">
        <f>_xll.BQL("DAL US Equity", "FA_GROWTH(CF_NET_CHNG_CASH, YOY)", "FPT=A", "FPO=-3A", "ACT_EST_MAPPING=PRECISE", "FS=MRC", "CURRENCY=USD", "XLFILL=b")</f>
        <v>544.09368635437886</v>
      </c>
      <c r="N372" s="9">
        <f>_xll.BQL("DAL US Equity", "FA_GROWTH(CF_NET_CHNG_CASH, YOY)", "FPT=A", "FPO=-4A", "ACT_EST_MAPPING=PRECISE", "FS=MRC", "CURRENCY=USD", "XLFILL=b")</f>
        <v>9.7206703910614518</v>
      </c>
    </row>
    <row r="373" spans="1:14" x14ac:dyDescent="0.2">
      <c r="A373" s="8" t="s">
        <v>417</v>
      </c>
      <c r="B373" s="4" t="s">
        <v>418</v>
      </c>
      <c r="C373" s="4" t="s">
        <v>419</v>
      </c>
      <c r="D373" s="4"/>
      <c r="E373" s="9">
        <f>_xll.BQL("DAL US Equity", "CF_CASH_AND_CASH_EQUIV_BEG_BAL/1M", "FPT=A", "FPO=5A", "ACT_EST_MAPPING=PRECISE", "FS=MRC", "CURRENCY=USD", "XLFILL=b")</f>
        <v>2417.7037059274521</v>
      </c>
      <c r="F373" s="9">
        <f>_xll.BQL("DAL US Equity", "CF_CASH_AND_CASH_EQUIV_BEG_BAL/1M", "FPT=A", "FPO=4A", "ACT_EST_MAPPING=PRECISE", "FS=MRC", "CURRENCY=USD", "XLFILL=b")</f>
        <v>2009.7054134563512</v>
      </c>
      <c r="G373" s="9">
        <f>_xll.BQL("DAL US Equity", "CF_CASH_AND_CASH_EQUIV_BEG_BAL/1M", "FPT=A", "FPO=3A", "ACT_EST_MAPPING=PRECISE", "FS=MRC", "CURRENCY=USD", "XLFILL=b")</f>
        <v>2271.9969340559869</v>
      </c>
      <c r="H373" s="9">
        <f>_xll.BQL("DAL US Equity", "CF_CASH_AND_CASH_EQUIV_BEG_BAL/1M", "FPT=A", "FPO=2A", "ACT_EST_MAPPING=PRECISE", "FS=MRC", "CURRENCY=USD", "XLFILL=b")</f>
        <v>2883.6016533306688</v>
      </c>
      <c r="I373" s="9">
        <f>_xll.BQL("DAL US Equity", "CF_CASH_AND_CASH_EQUIV_BEG_BAL/1M", "FPT=A", "FPO=1A", "ACT_EST_MAPPING=PRECISE", "FS=MRC", "CURRENCY=USD", "XLFILL=b")</f>
        <v>3317.3142857142857</v>
      </c>
      <c r="J373" s="9">
        <f>_xll.BQL("DAL US Equity", "CF_CASH_AND_CASH_EQUIV_BEG_BAL/1M", "FPT=A", "FPO=0A", "ACT_EST_MAPPING=PRECISE", "FS=MRC", "CURRENCY=USD", "XLFILL=b")</f>
        <v>3473</v>
      </c>
      <c r="K373" s="9">
        <f>_xll.BQL("DAL US Equity", "CF_CASH_AND_CASH_EQUIV_BEG_BAL/1M", "FPT=A", "FPO=-1A", "ACT_EST_MAPPING=PRECISE", "FS=MRC", "CURRENCY=USD", "XLFILL=b")</f>
        <v>8569</v>
      </c>
      <c r="L373" s="9">
        <f>_xll.BQL("DAL US Equity", "CF_CASH_AND_CASH_EQUIV_BEG_BAL/1M", "FPT=A", "FPO=-2A", "ACT_EST_MAPPING=PRECISE", "FS=MRC", "CURRENCY=USD", "XLFILL=b")</f>
        <v>10055</v>
      </c>
      <c r="M373" s="9">
        <f>_xll.BQL("DAL US Equity", "CF_CASH_AND_CASH_EQUIV_BEG_BAL/1M", "FPT=A", "FPO=-3A", "ACT_EST_MAPPING=PRECISE", "FS=MRC", "CURRENCY=USD", "XLFILL=b")</f>
        <v>3730</v>
      </c>
      <c r="N373" s="9">
        <f>_xll.BQL("DAL US Equity", "CF_CASH_AND_CASH_EQUIV_BEG_BAL/1M", "FPT=A", "FPO=-4A", "ACT_EST_MAPPING=PRECISE", "FS=MRC", "CURRENCY=USD", "XLFILL=b")</f>
        <v>2748</v>
      </c>
    </row>
    <row r="374" spans="1:14" x14ac:dyDescent="0.2">
      <c r="A374" s="8" t="s">
        <v>94</v>
      </c>
      <c r="B374" s="4" t="s">
        <v>418</v>
      </c>
      <c r="C374" s="4" t="s">
        <v>419</v>
      </c>
      <c r="D374" s="4"/>
      <c r="E374" s="9">
        <f>_xll.BQL("DAL US Equity", "FA_GROWTH(CF_CASH_AND_CASH_EQUIV_BEG_BAL, YOY)", "FPT=A", "FPO=5A", "ACT_EST_MAPPING=PRECISE", "FS=MRC", "CURRENCY=USD", "XLFILL=b")</f>
        <v>20.301397893406353</v>
      </c>
      <c r="F374" s="9">
        <f>_xll.BQL("DAL US Equity", "FA_GROWTH(CF_CASH_AND_CASH_EQUIV_BEG_BAL, YOY)", "FPT=A", "FPO=4A", "ACT_EST_MAPPING=PRECISE", "FS=MRC", "CURRENCY=USD", "XLFILL=b")</f>
        <v>-11.544536731895626</v>
      </c>
      <c r="G374" s="9">
        <f>_xll.BQL("DAL US Equity", "FA_GROWTH(CF_CASH_AND_CASH_EQUIV_BEG_BAL, YOY)", "FPT=A", "FPO=3A", "ACT_EST_MAPPING=PRECISE", "FS=MRC", "CURRENCY=USD", "XLFILL=b")</f>
        <v>-21.20975061060377</v>
      </c>
      <c r="H374" s="9">
        <f>_xll.BQL("DAL US Equity", "FA_GROWTH(CF_CASH_AND_CASH_EQUIV_BEG_BAL, YOY)", "FPT=A", "FPO=2A", "ACT_EST_MAPPING=PRECISE", "FS=MRC", "CURRENCY=USD", "XLFILL=b")</f>
        <v>-13.074209888745278</v>
      </c>
      <c r="I374" s="9">
        <f>_xll.BQL("DAL US Equity", "FA_GROWTH(CF_CASH_AND_CASH_EQUIV_BEG_BAL, YOY)", "FPT=A", "FPO=1A", "ACT_EST_MAPPING=PRECISE", "FS=MRC", "CURRENCY=USD", "XLFILL=b")</f>
        <v>-4.4827444366747526</v>
      </c>
      <c r="J374" s="9">
        <f>_xll.BQL("DAL US Equity", "FA_GROWTH(CF_CASH_AND_CASH_EQUIV_BEG_BAL, YOY)", "FPT=A", "FPO=0A", "ACT_EST_MAPPING=PRECISE", "FS=MRC", "CURRENCY=USD", "XLFILL=b")</f>
        <v>-59.470183218578597</v>
      </c>
      <c r="K374" s="9">
        <f>_xll.BQL("DAL US Equity", "FA_GROWTH(CF_CASH_AND_CASH_EQUIV_BEG_BAL, YOY)", "FPT=A", "FPO=-1A", "ACT_EST_MAPPING=PRECISE", "FS=MRC", "CURRENCY=USD", "XLFILL=b")</f>
        <v>-14.778717056190949</v>
      </c>
      <c r="L374" s="9">
        <f>_xll.BQL("DAL US Equity", "FA_GROWTH(CF_CASH_AND_CASH_EQUIV_BEG_BAL, YOY)", "FPT=A", "FPO=-2A", "ACT_EST_MAPPING=PRECISE", "FS=MRC", "CURRENCY=USD", "XLFILL=b")</f>
        <v>169.5710455764075</v>
      </c>
      <c r="M374" s="9">
        <f>_xll.BQL("DAL US Equity", "FA_GROWTH(CF_CASH_AND_CASH_EQUIV_BEG_BAL, YOY)", "FPT=A", "FPO=-3A", "ACT_EST_MAPPING=PRECISE", "FS=MRC", "CURRENCY=USD", "XLFILL=b")</f>
        <v>35.735080058224163</v>
      </c>
      <c r="N374" s="9">
        <f>_xll.BQL("DAL US Equity", "FA_GROWTH(CF_CASH_AND_CASH_EQUIV_BEG_BAL, YOY)", "FPT=A", "FPO=-4A", "ACT_EST_MAPPING=PRECISE", "FS=MRC", "CURRENCY=USD", "XLFILL=b")</f>
        <v>48.300053966540744</v>
      </c>
    </row>
    <row r="375" spans="1:14" x14ac:dyDescent="0.2">
      <c r="A375" s="8" t="s">
        <v>420</v>
      </c>
      <c r="B375" s="4" t="s">
        <v>421</v>
      </c>
      <c r="C375" s="4" t="s">
        <v>422</v>
      </c>
      <c r="D375" s="4"/>
      <c r="E375" s="9" t="str">
        <f>_xll.BQL("DAL US Equity", "CF_CASH_AND_CASH_EQUIV_END_BAL/1M", "FPT=A", "FPO=5A", "ACT_EST_MAPPING=PRECISE", "FS=MRC", "CURRENCY=USD", "XLFILL=b")</f>
        <v/>
      </c>
      <c r="F375" s="9" t="str">
        <f>_xll.BQL("DAL US Equity", "CF_CASH_AND_CASH_EQUIV_END_BAL/1M", "FPT=A", "FPO=4A", "ACT_EST_MAPPING=PRECISE", "FS=MRC", "CURRENCY=USD", "XLFILL=b")</f>
        <v/>
      </c>
      <c r="G375" s="9">
        <f>_xll.BQL("DAL US Equity", "CF_CASH_AND_CASH_EQUIV_END_BAL/1M", "FPT=A", "FPO=3A", "ACT_EST_MAPPING=PRECISE", "FS=MRC", "CURRENCY=USD", "XLFILL=b")</f>
        <v>1928.0813026020248</v>
      </c>
      <c r="H375" s="9">
        <f>_xll.BQL("DAL US Equity", "CF_CASH_AND_CASH_EQUIV_END_BAL/1M", "FPT=A", "FPO=2A", "ACT_EST_MAPPING=PRECISE", "FS=MRC", "CURRENCY=USD", "XLFILL=b")</f>
        <v>2620.5785558343741</v>
      </c>
      <c r="I375" s="9">
        <f>_xll.BQL("DAL US Equity", "CF_CASH_AND_CASH_EQUIV_END_BAL/1M", "FPT=A", "FPO=1A", "ACT_EST_MAPPING=PRECISE", "FS=MRC", "CURRENCY=USD", "XLFILL=b")</f>
        <v>3041.471047407983</v>
      </c>
      <c r="J375" s="9">
        <f>_xll.BQL("DAL US Equity", "CF_CASH_AND_CASH_EQUIV_END_BAL/1M", "FPT=A", "FPO=0A", "ACT_EST_MAPPING=PRECISE", "FS=MRC", "CURRENCY=USD", "XLFILL=b")</f>
        <v>3395</v>
      </c>
      <c r="K375" s="9">
        <f>_xll.BQL("DAL US Equity", "CF_CASH_AND_CASH_EQUIV_END_BAL/1M", "FPT=A", "FPO=-1A", "ACT_EST_MAPPING=PRECISE", "FS=MRC", "CURRENCY=USD", "XLFILL=b")</f>
        <v>3473</v>
      </c>
      <c r="L375" s="9">
        <f>_xll.BQL("DAL US Equity", "CF_CASH_AND_CASH_EQUIV_END_BAL/1M", "FPT=A", "FPO=-2A", "ACT_EST_MAPPING=PRECISE", "FS=MRC", "CURRENCY=USD", "XLFILL=b")</f>
        <v>8569</v>
      </c>
      <c r="M375" s="9">
        <f>_xll.BQL("DAL US Equity", "CF_CASH_AND_CASH_EQUIV_END_BAL/1M", "FPT=A", "FPO=-3A", "ACT_EST_MAPPING=PRECISE", "FS=MRC", "CURRENCY=USD", "XLFILL=b")</f>
        <v>10055</v>
      </c>
      <c r="N375" s="9">
        <f>_xll.BQL("DAL US Equity", "CF_CASH_AND_CASH_EQUIV_END_BAL/1M", "FPT=A", "FPO=-4A", "ACT_EST_MAPPING=PRECISE", "FS=MRC", "CURRENCY=USD", "XLFILL=b")</f>
        <v>3730</v>
      </c>
    </row>
    <row r="376" spans="1:14" x14ac:dyDescent="0.2">
      <c r="A376" s="8" t="s">
        <v>94</v>
      </c>
      <c r="B376" s="4" t="s">
        <v>421</v>
      </c>
      <c r="C376" s="4" t="s">
        <v>422</v>
      </c>
      <c r="D376" s="4"/>
      <c r="E376" s="9" t="str">
        <f>_xll.BQL("DAL US Equity", "FA_GROWTH(CF_CASH_AND_CASH_EQUIV_END_BAL, YOY)", "FPT=A", "FPO=5A", "ACT_EST_MAPPING=PRECISE", "FS=MRC", "CURRENCY=USD", "XLFILL=b")</f>
        <v/>
      </c>
      <c r="F376" s="9" t="str">
        <f>_xll.BQL("DAL US Equity", "FA_GROWTH(CF_CASH_AND_CASH_EQUIV_END_BAL, YOY)", "FPT=A", "FPO=4A", "ACT_EST_MAPPING=PRECISE", "FS=MRC", "CURRENCY=USD", "XLFILL=b")</f>
        <v/>
      </c>
      <c r="G376" s="9">
        <f>_xll.BQL("DAL US Equity", "FA_GROWTH(CF_CASH_AND_CASH_EQUIV_END_BAL, YOY)", "FPT=A", "FPO=3A", "ACT_EST_MAPPING=PRECISE", "FS=MRC", "CURRENCY=USD", "XLFILL=b")</f>
        <v>-26.425357549026529</v>
      </c>
      <c r="H376" s="9">
        <f>_xll.BQL("DAL US Equity", "FA_GROWTH(CF_CASH_AND_CASH_EQUIV_END_BAL, YOY)", "FPT=A", "FPO=2A", "ACT_EST_MAPPING=PRECISE", "FS=MRC", "CURRENCY=USD", "XLFILL=b")</f>
        <v>-13.83845136162989</v>
      </c>
      <c r="I376" s="9">
        <f>_xll.BQL("DAL US Equity", "FA_GROWTH(CF_CASH_AND_CASH_EQUIV_END_BAL, YOY)", "FPT=A", "FPO=1A", "ACT_EST_MAPPING=PRECISE", "FS=MRC", "CURRENCY=USD", "XLFILL=b")</f>
        <v>-10.413223934963687</v>
      </c>
      <c r="J376" s="9">
        <f>_xll.BQL("DAL US Equity", "FA_GROWTH(CF_CASH_AND_CASH_EQUIV_END_BAL, YOY)", "FPT=A", "FPO=0A", "ACT_EST_MAPPING=PRECISE", "FS=MRC", "CURRENCY=USD", "XLFILL=b")</f>
        <v>-2.2458969190901237</v>
      </c>
      <c r="K376" s="9">
        <f>_xll.BQL("DAL US Equity", "FA_GROWTH(CF_CASH_AND_CASH_EQUIV_END_BAL, YOY)", "FPT=A", "FPO=-1A", "ACT_EST_MAPPING=PRECISE", "FS=MRC", "CURRENCY=USD", "XLFILL=b")</f>
        <v>-59.470183218578597</v>
      </c>
      <c r="L376" s="9">
        <f>_xll.BQL("DAL US Equity", "FA_GROWTH(CF_CASH_AND_CASH_EQUIV_END_BAL, YOY)", "FPT=A", "FPO=-2A", "ACT_EST_MAPPING=PRECISE", "FS=MRC", "CURRENCY=USD", "XLFILL=b")</f>
        <v>-14.778717056190949</v>
      </c>
      <c r="M376" s="9">
        <f>_xll.BQL("DAL US Equity", "FA_GROWTH(CF_CASH_AND_CASH_EQUIV_END_BAL, YOY)", "FPT=A", "FPO=-3A", "ACT_EST_MAPPING=PRECISE", "FS=MRC", "CURRENCY=USD", "XLFILL=b")</f>
        <v>169.5710455764075</v>
      </c>
      <c r="N376" s="9">
        <f>_xll.BQL("DAL US Equity", "FA_GROWTH(CF_CASH_AND_CASH_EQUIV_END_BAL, YOY)", "FPT=A", "FPO=-4A", "ACT_EST_MAPPING=PRECISE", "FS=MRC", "CURRENCY=USD", "XLFILL=b")</f>
        <v>35.735080058224163</v>
      </c>
    </row>
    <row r="377" spans="1:14" x14ac:dyDescent="0.2">
      <c r="A377" s="8" t="s">
        <v>357</v>
      </c>
      <c r="B377" s="4"/>
      <c r="C377" s="4"/>
      <c r="D377" s="4"/>
      <c r="E377" s="9"/>
      <c r="F377" s="9"/>
      <c r="G377" s="9"/>
      <c r="H377" s="9"/>
      <c r="I377" s="9"/>
      <c r="J377" s="9"/>
      <c r="K377" s="9"/>
      <c r="L377" s="9"/>
      <c r="M377" s="9"/>
      <c r="N377" s="9"/>
    </row>
    <row r="378" spans="1:14" x14ac:dyDescent="0.2">
      <c r="A378" s="8" t="s">
        <v>423</v>
      </c>
      <c r="B378" s="4" t="s">
        <v>424</v>
      </c>
      <c r="C378" s="4" t="s">
        <v>425</v>
      </c>
      <c r="D378" s="4"/>
      <c r="E378" s="9">
        <f>_xll.BQL("DAL US Equity", "CF_FREE_CASH_FLOW/1M", "FPT=A", "FPO=5A", "ACT_EST_MAPPING=PRECISE", "FS=MRC", "CURRENCY=USD", "XLFILL=b")</f>
        <v>5170.973496079112</v>
      </c>
      <c r="F378" s="9">
        <f>_xll.BQL("DAL US Equity", "CF_FREE_CASH_FLOW/1M", "FPT=A", "FPO=4A", "ACT_EST_MAPPING=PRECISE", "FS=MRC", "CURRENCY=USD", "XLFILL=b")</f>
        <v>4208.0188314928791</v>
      </c>
      <c r="G378" s="9">
        <f>_xll.BQL("DAL US Equity", "CF_FREE_CASH_FLOW/1M", "FPT=A", "FPO=3A", "ACT_EST_MAPPING=PRECISE", "FS=MRC", "CURRENCY=USD", "XLFILL=b")</f>
        <v>2977.000939800776</v>
      </c>
      <c r="H378" s="9">
        <f>_xll.BQL("DAL US Equity", "CF_FREE_CASH_FLOW/1M", "FPT=A", "FPO=2A", "ACT_EST_MAPPING=PRECISE", "FS=MRC", "CURRENCY=USD", "XLFILL=b")</f>
        <v>2694.8944410560043</v>
      </c>
      <c r="I378" s="9">
        <f>_xll.BQL("DAL US Equity", "CF_FREE_CASH_FLOW/1M", "FPT=A", "FPO=1A", "ACT_EST_MAPPING=PRECISE", "FS=MRC", "CURRENCY=USD", "XLFILL=b")</f>
        <v>2882.7735522145281</v>
      </c>
      <c r="J378" s="9">
        <f>_xll.BQL("DAL US Equity", "CF_FREE_CASH_FLOW/1M", "FPT=A", "FPO=0A", "ACT_EST_MAPPING=PRECISE", "FS=MRC", "CURRENCY=USD", "XLFILL=b")</f>
        <v>1141</v>
      </c>
      <c r="K378" s="9">
        <f>_xll.BQL("DAL US Equity", "CF_FREE_CASH_FLOW/1M", "FPT=A", "FPO=-1A", "ACT_EST_MAPPING=PRECISE", "FS=MRC", "CURRENCY=USD", "XLFILL=b")</f>
        <v>-3</v>
      </c>
      <c r="L378" s="9">
        <f>_xll.BQL("DAL US Equity", "CF_FREE_CASH_FLOW/1M", "FPT=A", "FPO=-2A", "ACT_EST_MAPPING=PRECISE", "FS=MRC", "CURRENCY=USD", "XLFILL=b")</f>
        <v>17</v>
      </c>
      <c r="M378" s="9">
        <f>_xll.BQL("DAL US Equity", "CF_FREE_CASH_FLOW/1M", "FPT=A", "FPO=-3A", "ACT_EST_MAPPING=PRECISE", "FS=MRC", "CURRENCY=USD", "XLFILL=b")</f>
        <v>-5692</v>
      </c>
      <c r="N378" s="9">
        <f>_xll.BQL("DAL US Equity", "CF_FREE_CASH_FLOW/1M", "FPT=A", "FPO=-4A", "ACT_EST_MAPPING=PRECISE", "FS=MRC", "CURRENCY=USD", "XLFILL=b")</f>
        <v>3489</v>
      </c>
    </row>
    <row r="379" spans="1:14" x14ac:dyDescent="0.2">
      <c r="A379" s="8" t="s">
        <v>86</v>
      </c>
      <c r="B379" s="4" t="s">
        <v>424</v>
      </c>
      <c r="C379" s="4" t="s">
        <v>425</v>
      </c>
      <c r="D379" s="4"/>
      <c r="E379" s="9">
        <f>_xll.BQL("DAL US Equity", "FA_GROWTH(CF_FREE_CASH_FLOW, YOY)", "FPT=A", "FPO=5A", "ACT_EST_MAPPING=PRECISE", "FS=MRC", "CURRENCY=USD", "XLFILL=b")</f>
        <v>22.883801217320261</v>
      </c>
      <c r="F379" s="9">
        <f>_xll.BQL("DAL US Equity", "FA_GROWTH(CF_FREE_CASH_FLOW, YOY)", "FPT=A", "FPO=4A", "ACT_EST_MAPPING=PRECISE", "FS=MRC", "CURRENCY=USD", "XLFILL=b")</f>
        <v>41.350940647485452</v>
      </c>
      <c r="G379" s="9">
        <f>_xll.BQL("DAL US Equity", "FA_GROWTH(CF_FREE_CASH_FLOW, YOY)", "FPT=A", "FPO=3A", "ACT_EST_MAPPING=PRECISE", "FS=MRC", "CURRENCY=USD", "XLFILL=b")</f>
        <v>10.468183630755757</v>
      </c>
      <c r="H379" s="9">
        <f>_xll.BQL("DAL US Equity", "FA_GROWTH(CF_FREE_CASH_FLOW, YOY)", "FPT=A", "FPO=2A", "ACT_EST_MAPPING=PRECISE", "FS=MRC", "CURRENCY=USD", "XLFILL=b")</f>
        <v>-6.517303831034388</v>
      </c>
      <c r="I379" s="9">
        <f>_xll.BQL("DAL US Equity", "FA_GROWTH(CF_FREE_CASH_FLOW, YOY)", "FPT=A", "FPO=1A", "ACT_EST_MAPPING=PRECISE", "FS=MRC", "CURRENCY=USD", "XLFILL=b")</f>
        <v>152.653247345708</v>
      </c>
      <c r="J379" s="9">
        <f>_xll.BQL("DAL US Equity", "FA_GROWTH(CF_FREE_CASH_FLOW, YOY)", "FPT=A", "FPO=0A", "ACT_EST_MAPPING=PRECISE", "FS=MRC", "CURRENCY=USD", "XLFILL=b")</f>
        <v>38133.333333333336</v>
      </c>
      <c r="K379" s="9">
        <f>_xll.BQL("DAL US Equity", "FA_GROWTH(CF_FREE_CASH_FLOW, YOY)", "FPT=A", "FPO=-1A", "ACT_EST_MAPPING=PRECISE", "FS=MRC", "CURRENCY=USD", "XLFILL=b")</f>
        <v>-117.64705882352941</v>
      </c>
      <c r="L379" s="9">
        <f>_xll.BQL("DAL US Equity", "FA_GROWTH(CF_FREE_CASH_FLOW, YOY)", "FPT=A", "FPO=-2A", "ACT_EST_MAPPING=PRECISE", "FS=MRC", "CURRENCY=USD", "XLFILL=b")</f>
        <v>100.2986647926915</v>
      </c>
      <c r="M379" s="9">
        <f>_xll.BQL("DAL US Equity", "FA_GROWTH(CF_FREE_CASH_FLOW, YOY)", "FPT=A", "FPO=-3A", "ACT_EST_MAPPING=PRECISE", "FS=MRC", "CURRENCY=USD", "XLFILL=b")</f>
        <v>-263.14130123244485</v>
      </c>
      <c r="N379" s="9">
        <f>_xll.BQL("DAL US Equity", "FA_GROWTH(CF_FREE_CASH_FLOW, YOY)", "FPT=A", "FPO=-4A", "ACT_EST_MAPPING=PRECISE", "FS=MRC", "CURRENCY=USD", "XLFILL=b")</f>
        <v>89.003250270855901</v>
      </c>
    </row>
    <row r="380" spans="1:14" x14ac:dyDescent="0.2">
      <c r="A380" s="8" t="s">
        <v>426</v>
      </c>
      <c r="B380" s="4" t="s">
        <v>427</v>
      </c>
      <c r="C380" s="4" t="s">
        <v>425</v>
      </c>
      <c r="D380" s="4"/>
      <c r="E380" s="9">
        <f>_xll.BQL("DAL US Equity", "FREE_CASH_FLOW_PER_SH", "FPT=A", "FPO=5A", "ACT_EST_MAPPING=PRECISE", "FS=MRC", "CURRENCY=USD", "XLFILL=b")</f>
        <v>8.3817329623424861</v>
      </c>
      <c r="F380" s="9">
        <f>_xll.BQL("DAL US Equity", "FREE_CASH_FLOW_PER_SH", "FPT=A", "FPO=4A", "ACT_EST_MAPPING=PRECISE", "FS=MRC", "CURRENCY=USD", "XLFILL=b")</f>
        <v>6.7176587317971181</v>
      </c>
      <c r="G380" s="9">
        <f>_xll.BQL("DAL US Equity", "FREE_CASH_FLOW_PER_SH", "FPT=A", "FPO=3A", "ACT_EST_MAPPING=PRECISE", "FS=MRC", "CURRENCY=USD", "XLFILL=b")</f>
        <v>4.3361258365547126</v>
      </c>
      <c r="H380" s="9">
        <f>_xll.BQL("DAL US Equity", "FREE_CASH_FLOW_PER_SH", "FPT=A", "FPO=2A", "ACT_EST_MAPPING=PRECISE", "FS=MRC", "CURRENCY=USD", "XLFILL=b")</f>
        <v>4.585183874928747</v>
      </c>
      <c r="I380" s="9">
        <f>_xll.BQL("DAL US Equity", "FREE_CASH_FLOW_PER_SH", "FPT=A", "FPO=1A", "ACT_EST_MAPPING=PRECISE", "FS=MRC", "CURRENCY=USD", "XLFILL=b")</f>
        <v>3.8991906123328683</v>
      </c>
      <c r="J380" s="9">
        <f>_xll.BQL("DAL US Equity", "FREE_CASH_FLOW_PER_SH", "FPT=A", "FPO=0A", "ACT_EST_MAPPING=PRECISE", "FS=MRC", "CURRENCY=USD", "XLFILL=b")</f>
        <v>1.7856025039123631</v>
      </c>
      <c r="K380" s="9">
        <f>_xll.BQL("DAL US Equity", "FREE_CASH_FLOW_PER_SH", "FPT=A", "FPO=-1A", "ACT_EST_MAPPING=PRECISE", "FS=MRC", "CURRENCY=USD", "XLFILL=b")</f>
        <v>-4.7021943573667714E-3</v>
      </c>
      <c r="L380" s="9">
        <f>_xll.BQL("DAL US Equity", "FREE_CASH_FLOW_PER_SH", "FPT=A", "FPO=-2A", "ACT_EST_MAPPING=PRECISE", "FS=MRC", "CURRENCY=USD", "XLFILL=b")</f>
        <v>2.6729559748427674E-2</v>
      </c>
      <c r="M380" s="9">
        <f>_xll.BQL("DAL US Equity", "FREE_CASH_FLOW_PER_SH", "FPT=A", "FPO=-3A", "ACT_EST_MAPPING=PRECISE", "FS=MRC", "CURRENCY=USD", "XLFILL=b")</f>
        <v>-8.949685534591195</v>
      </c>
      <c r="N380" s="9">
        <f>_xll.BQL("DAL US Equity", "FREE_CASH_FLOW_PER_SH", "FPT=A", "FPO=-4A", "ACT_EST_MAPPING=PRECISE", "FS=MRC", "CURRENCY=USD", "XLFILL=b")</f>
        <v>5.3594470046082954</v>
      </c>
    </row>
    <row r="381" spans="1:14" x14ac:dyDescent="0.2">
      <c r="A381" s="8" t="s">
        <v>86</v>
      </c>
      <c r="B381" s="4" t="s">
        <v>427</v>
      </c>
      <c r="C381" s="4" t="s">
        <v>425</v>
      </c>
      <c r="D381" s="4"/>
      <c r="E381" s="9">
        <f>_xll.BQL("DAL US Equity", "FA_GROWTH(FREE_CASH_FLOW_PER_SH, YOY)", "FPT=A", "FPO=5A", "ACT_EST_MAPPING=PRECISE", "FS=MRC", "CURRENCY=USD", "XLFILL=b")</f>
        <v>24.771639896928676</v>
      </c>
      <c r="F381" s="9">
        <f>_xll.BQL("DAL US Equity", "FA_GROWTH(FREE_CASH_FLOW_PER_SH, YOY)", "FPT=A", "FPO=4A", "ACT_EST_MAPPING=PRECISE", "FS=MRC", "CURRENCY=USD", "XLFILL=b")</f>
        <v>54.923057702003014</v>
      </c>
      <c r="G381" s="9">
        <f>_xll.BQL("DAL US Equity", "FA_GROWTH(FREE_CASH_FLOW_PER_SH, YOY)", "FPT=A", "FPO=3A", "ACT_EST_MAPPING=PRECISE", "FS=MRC", "CURRENCY=USD", "XLFILL=b")</f>
        <v>-5.4318004504869437</v>
      </c>
      <c r="H381" s="9">
        <f>_xll.BQL("DAL US Equity", "FA_GROWTH(FREE_CASH_FLOW_PER_SH, YOY)", "FPT=A", "FPO=2A", "ACT_EST_MAPPING=PRECISE", "FS=MRC", "CURRENCY=USD", "XLFILL=b")</f>
        <v>17.593222050395017</v>
      </c>
      <c r="I381" s="9">
        <f>_xll.BQL("DAL US Equity", "FA_GROWTH(FREE_CASH_FLOW_PER_SH, YOY)", "FPT=A", "FPO=1A", "ACT_EST_MAPPING=PRECISE", "FS=MRC", "CURRENCY=USD", "XLFILL=b")</f>
        <v>118.36834367052612</v>
      </c>
      <c r="J381" s="9">
        <f>_xll.BQL("DAL US Equity", "FA_GROWTH(FREE_CASH_FLOW_PER_SH, YOY)", "FPT=A", "FPO=0A", "ACT_EST_MAPPING=PRECISE", "FS=MRC", "CURRENCY=USD", "XLFILL=b")</f>
        <v>38073.813249869585</v>
      </c>
      <c r="K381" s="9">
        <f>_xll.BQL("DAL US Equity", "FA_GROWTH(FREE_CASH_FLOW_PER_SH, YOY)", "FPT=A", "FPO=-1A", "ACT_EST_MAPPING=PRECISE", "FS=MRC", "CURRENCY=USD", "XLFILL=b")</f>
        <v>-117.59173888991334</v>
      </c>
      <c r="L381" s="9">
        <f>_xll.BQL("DAL US Equity", "FA_GROWTH(FREE_CASH_FLOW_PER_SH, YOY)", "FPT=A", "FPO=-2A", "ACT_EST_MAPPING=PRECISE", "FS=MRC", "CURRENCY=USD", "XLFILL=b")</f>
        <v>100.29866479269151</v>
      </c>
      <c r="M381" s="9">
        <f>_xll.BQL("DAL US Equity", "FA_GROWTH(FREE_CASH_FLOW_PER_SH, YOY)", "FPT=A", "FPO=-3A", "ACT_EST_MAPPING=PRECISE", "FS=MRC", "CURRENCY=USD", "XLFILL=b")</f>
        <v>-266.98897343132325</v>
      </c>
      <c r="N381" s="9">
        <f>_xll.BQL("DAL US Equity", "FA_GROWTH(FREE_CASH_FLOW_PER_SH, YOY)", "FPT=A", "FPO=-4A", "ACT_EST_MAPPING=PRECISE", "FS=MRC", "CURRENCY=USD", "XLFILL=b")</f>
        <v>100.61635320608515</v>
      </c>
    </row>
    <row r="382" spans="1:14" x14ac:dyDescent="0.2">
      <c r="A382" s="8" t="s">
        <v>428</v>
      </c>
      <c r="B382" s="4" t="s">
        <v>429</v>
      </c>
      <c r="C382" s="4" t="s">
        <v>425</v>
      </c>
      <c r="D382" s="4"/>
      <c r="E382" s="9">
        <f>_xll.BQL("DAL US Equity", "CAP_EXPEND_TO_SALES", "FPT=A", "FPO=5A", "ACT_EST_MAPPING=PRECISE", "FS=MRC", "CURRENCY=USD", "XLFILL=b")</f>
        <v>6.1665097883521689</v>
      </c>
      <c r="F382" s="9">
        <f>_xll.BQL("DAL US Equity", "CAP_EXPEND_TO_SALES", "FPT=A", "FPO=4A", "ACT_EST_MAPPING=PRECISE", "FS=MRC", "CURRENCY=USD", "XLFILL=b")</f>
        <v>6.8293492801672491</v>
      </c>
      <c r="G382" s="9">
        <f>_xll.BQL("DAL US Equity", "CAP_EXPEND_TO_SALES", "FPT=A", "FPO=3A", "ACT_EST_MAPPING=PRECISE", "FS=MRC", "CURRENCY=USD", "XLFILL=b")</f>
        <v>8.6733620011874102</v>
      </c>
      <c r="H382" s="9">
        <f>_xll.BQL("DAL US Equity", "CAP_EXPEND_TO_SALES", "FPT=A", "FPO=2A", "ACT_EST_MAPPING=PRECISE", "FS=MRC", "CURRENCY=USD", "XLFILL=b")</f>
        <v>8.7706410833251525</v>
      </c>
      <c r="I382" s="9">
        <f>_xll.BQL("DAL US Equity", "CAP_EXPEND_TO_SALES", "FPT=A", "FPO=1A", "ACT_EST_MAPPING=PRECISE", "FS=MRC", "CURRENCY=USD", "XLFILL=b")</f>
        <v>8.9722529792701167</v>
      </c>
      <c r="J382" s="9">
        <f>_xll.BQL("DAL US Equity", "CAP_EXPEND_TO_SALES", "FPT=A", "FPO=0A", "ACT_EST_MAPPING=PRECISE", "FS=MRC", "CURRENCY=USD", "XLFILL=b")</f>
        <v>9.1699972436604185</v>
      </c>
      <c r="K382" s="9">
        <f>_xll.BQL("DAL US Equity", "CAP_EXPEND_TO_SALES", "FPT=A", "FPO=-1A", "ACT_EST_MAPPING=PRECISE", "FS=MRC", "CURRENCY=USD", "XLFILL=b")</f>
        <v>12.585504725000987</v>
      </c>
      <c r="L382" s="9">
        <f>_xll.BQL("DAL US Equity", "CAP_EXPEND_TO_SALES", "FPT=A", "FPO=-2A", "ACT_EST_MAPPING=PRECISE", "FS=MRC", "CURRENCY=USD", "XLFILL=b")</f>
        <v>10.85989497976521</v>
      </c>
      <c r="M382" s="9">
        <f>_xll.BQL("DAL US Equity", "CAP_EXPEND_TO_SALES", "FPT=A", "FPO=-3A", "ACT_EST_MAPPING=PRECISE", "FS=MRC", "CURRENCY=USD", "XLFILL=b")</f>
        <v>11.108511260602516</v>
      </c>
      <c r="N382" s="9">
        <f>_xll.BQL("DAL US Equity", "CAP_EXPEND_TO_SALES", "FPT=A", "FPO=-4A", "ACT_EST_MAPPING=PRECISE", "FS=MRC", "CURRENCY=USD", "XLFILL=b")</f>
        <v>10.50056374582509</v>
      </c>
    </row>
    <row r="383" spans="1:14" x14ac:dyDescent="0.2">
      <c r="A383" s="8" t="s">
        <v>86</v>
      </c>
      <c r="B383" s="4" t="s">
        <v>429</v>
      </c>
      <c r="C383" s="4" t="s">
        <v>425</v>
      </c>
      <c r="D383" s="4"/>
      <c r="E383" s="9">
        <f>_xll.BQL("DAL US Equity", "FA_GROWTH(CAP_EXPEND_TO_SALES, YOY)", "FPT=A", "FPO=5A", "ACT_EST_MAPPING=PRECISE", "FS=MRC", "CURRENCY=USD", "XLFILL=b")</f>
        <v>-9.7057488879650258</v>
      </c>
      <c r="F383" s="9">
        <f>_xll.BQL("DAL US Equity", "FA_GROWTH(CAP_EXPEND_TO_SALES, YOY)", "FPT=A", "FPO=4A", "ACT_EST_MAPPING=PRECISE", "FS=MRC", "CURRENCY=USD", "XLFILL=b")</f>
        <v>-21.260645188886503</v>
      </c>
      <c r="G383" s="9">
        <f>_xll.BQL("DAL US Equity", "FA_GROWTH(CAP_EXPEND_TO_SALES, YOY)", "FPT=A", "FPO=3A", "ACT_EST_MAPPING=PRECISE", "FS=MRC", "CURRENCY=USD", "XLFILL=b")</f>
        <v>-1.1091444879974672</v>
      </c>
      <c r="H383" s="9">
        <f>_xll.BQL("DAL US Equity", "FA_GROWTH(CAP_EXPEND_TO_SALES, YOY)", "FPT=A", "FPO=2A", "ACT_EST_MAPPING=PRECISE", "FS=MRC", "CURRENCY=USD", "XLFILL=b")</f>
        <v>-2.2470598679147487</v>
      </c>
      <c r="I383" s="9">
        <f>_xll.BQL("DAL US Equity", "FA_GROWTH(CAP_EXPEND_TO_SALES, YOY)", "FPT=A", "FPO=1A", "ACT_EST_MAPPING=PRECISE", "FS=MRC", "CURRENCY=USD", "XLFILL=b")</f>
        <v>-2.1564266502589216</v>
      </c>
      <c r="J383" s="9">
        <f>_xll.BQL("DAL US Equity", "FA_GROWTH(CAP_EXPEND_TO_SALES, YOY)", "FPT=A", "FPO=0A", "ACT_EST_MAPPING=PRECISE", "FS=MRC", "CURRENCY=USD", "XLFILL=b")</f>
        <v>-27.138422780579432</v>
      </c>
      <c r="K383" s="9">
        <f>_xll.BQL("DAL US Equity", "FA_GROWTH(CAP_EXPEND_TO_SALES, YOY)", "FPT=A", "FPO=-1A", "ACT_EST_MAPPING=PRECISE", "FS=MRC", "CURRENCY=USD", "XLFILL=b")</f>
        <v>15.889746157315834</v>
      </c>
      <c r="L383" s="9">
        <f>_xll.BQL("DAL US Equity", "FA_GROWTH(CAP_EXPEND_TO_SALES, YOY)", "FPT=A", "FPO=-2A", "ACT_EST_MAPPING=PRECISE", "FS=MRC", "CURRENCY=USD", "XLFILL=b")</f>
        <v>-2.2380702058524164</v>
      </c>
      <c r="M383" s="9">
        <f>_xll.BQL("DAL US Equity", "FA_GROWTH(CAP_EXPEND_TO_SALES, YOY)", "FPT=A", "FPO=-3A", "ACT_EST_MAPPING=PRECISE", "FS=MRC", "CURRENCY=USD", "XLFILL=b")</f>
        <v>5.7896654836188075</v>
      </c>
      <c r="N383" s="9">
        <f>_xll.BQL("DAL US Equity", "FA_GROWTH(CAP_EXPEND_TO_SALES, YOY)", "FPT=A", "FPO=-4A", "ACT_EST_MAPPING=PRECISE", "FS=MRC", "CURRENCY=USD", "XLFILL=b")</f>
        <v>-9.7089683171487255</v>
      </c>
    </row>
    <row r="384" spans="1:14" x14ac:dyDescent="0.2">
      <c r="A384" s="5" t="s">
        <v>430</v>
      </c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69A930CDD3054DBC716B01DADABC2F" ma:contentTypeVersion="6" ma:contentTypeDescription="Create a new document." ma:contentTypeScope="" ma:versionID="44e1c9a8f18c8400ac2913167fe8d885">
  <xsd:schema xmlns:xsd="http://www.w3.org/2001/XMLSchema" xmlns:xs="http://www.w3.org/2001/XMLSchema" xmlns:p="http://schemas.microsoft.com/office/2006/metadata/properties" xmlns:ns3="e1ffb5b7-7f01-49f9-bb97-00985892725c" targetNamespace="http://schemas.microsoft.com/office/2006/metadata/properties" ma:root="true" ma:fieldsID="c749bd41d9ee63dddd32e6e1d85d6323" ns3:_="">
    <xsd:import namespace="e1ffb5b7-7f01-49f9-bb97-00985892725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ffb5b7-7f01-49f9-bb97-00985892725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1ffb5b7-7f01-49f9-bb97-00985892725c" xsi:nil="true"/>
  </documentManagement>
</p:properties>
</file>

<file path=customXml/itemProps1.xml><?xml version="1.0" encoding="utf-8"?>
<ds:datastoreItem xmlns:ds="http://schemas.openxmlformats.org/officeDocument/2006/customXml" ds:itemID="{CB75434D-3C39-48BD-885D-59CCABE53A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ffb5b7-7f01-49f9-bb97-0098589272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45E0B14-CDE4-4335-A884-4114A19FE3B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58C896-B3E2-494F-9A1B-57A3A9021C1D}">
  <ds:schemaRefs>
    <ds:schemaRef ds:uri="http://schemas.microsoft.com/office/2006/metadata/properties"/>
    <ds:schemaRef ds:uri="http://schemas.microsoft.com/office/infopath/2007/PartnerControls"/>
    <ds:schemaRef ds:uri="e1ffb5b7-7f01-49f9-bb97-00985892725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Multiple Periods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>Salian, Nithi Dinesh</cp:lastModifiedBy>
  <cp:revision/>
  <dcterms:created xsi:type="dcterms:W3CDTF">2013-04-03T15:49:21Z</dcterms:created>
  <dcterms:modified xsi:type="dcterms:W3CDTF">2024-09-29T01:19:00Z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0x0101006069A930CDD3054DBC716B01DADABC2F</vt:lpwstr>
  </property>
</Properties>
</file>