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hisalian/Desktop/CDC-datathon/AirlineFinancials/"/>
    </mc:Choice>
  </mc:AlternateContent>
  <xr:revisionPtr revIDLastSave="0" documentId="13_ncr:1_{50DC3CDE-6A8A-FD46-A71D-5360608FFFCD}" xr6:coauthVersionLast="47" xr6:coauthVersionMax="47" xr10:uidLastSave="{00000000-0000-0000-0000-000000000000}"/>
  <bookViews>
    <workbookView xWindow="2560" yWindow="900" windowWidth="29040" windowHeight="15720" xr2:uid="{00000000-000D-0000-FFFF-FFFF00000000}"/>
  </bookViews>
  <sheets>
    <sheet name="Multiple Period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2" l="1"/>
  <c r="E97" i="2"/>
  <c r="E252" i="2"/>
  <c r="E174" i="2"/>
  <c r="E272" i="2"/>
  <c r="L251" i="2"/>
  <c r="L151" i="2"/>
  <c r="K125" i="2"/>
  <c r="G328" i="2"/>
  <c r="G3" i="2"/>
  <c r="G173" i="2"/>
  <c r="I197" i="2"/>
  <c r="I106" i="2"/>
  <c r="J125" i="2"/>
  <c r="J104" i="2"/>
  <c r="J251" i="2"/>
  <c r="J230" i="2"/>
  <c r="J262" i="2"/>
  <c r="J90" i="2"/>
  <c r="J316" i="2"/>
  <c r="J136" i="2"/>
  <c r="K196" i="2"/>
  <c r="K251" i="2"/>
  <c r="G125" i="2"/>
  <c r="F173" i="2"/>
  <c r="G156" i="2"/>
  <c r="G231" i="2"/>
  <c r="H337" i="2"/>
  <c r="M104" i="2"/>
  <c r="I80" i="2"/>
  <c r="N104" i="2"/>
  <c r="I136" i="2"/>
  <c r="I231" i="2"/>
  <c r="I316" i="2"/>
  <c r="I174" i="2"/>
  <c r="L284" i="2"/>
  <c r="L198" i="2"/>
  <c r="F328" i="2"/>
  <c r="H262" i="2"/>
  <c r="F134" i="2"/>
  <c r="H231" i="2"/>
  <c r="F90" i="2"/>
  <c r="F3" i="2"/>
  <c r="K338" i="2"/>
  <c r="F326" i="2"/>
  <c r="K185" i="2"/>
  <c r="F306" i="2"/>
  <c r="J164" i="2"/>
  <c r="K348" i="2"/>
  <c r="J99" i="2"/>
  <c r="F198" i="2"/>
  <c r="J350" i="2"/>
  <c r="E271" i="2"/>
  <c r="J292" i="2"/>
  <c r="N183" i="2"/>
  <c r="J240" i="2"/>
  <c r="E173" i="2"/>
  <c r="N314" i="2"/>
  <c r="I240" i="2"/>
  <c r="E90" i="2"/>
  <c r="I292" i="2"/>
  <c r="M198" i="2"/>
  <c r="I99" i="2"/>
  <c r="E134" i="2"/>
  <c r="F125" i="2"/>
  <c r="F184" i="2"/>
  <c r="L185" i="2"/>
  <c r="E198" i="2"/>
  <c r="G272" i="2"/>
  <c r="L64" i="2"/>
  <c r="L25" i="2"/>
  <c r="L57" i="2"/>
  <c r="L13" i="2"/>
  <c r="G174" i="2"/>
  <c r="N185" i="2"/>
  <c r="G90" i="2"/>
  <c r="N270" i="2"/>
  <c r="M80" i="2"/>
  <c r="E326" i="2"/>
  <c r="E143" i="2"/>
  <c r="H240" i="2"/>
  <c r="J291" i="2"/>
  <c r="H99" i="2"/>
  <c r="I297" i="2"/>
  <c r="J338" i="2"/>
  <c r="J96" i="2"/>
  <c r="F240" i="2"/>
  <c r="G350" i="2"/>
  <c r="G143" i="2"/>
  <c r="F156" i="2"/>
  <c r="F152" i="2"/>
  <c r="F143" i="2"/>
  <c r="F96" i="2"/>
  <c r="M185" i="2"/>
  <c r="I63" i="2"/>
  <c r="I24" i="2"/>
  <c r="K164" i="2"/>
  <c r="I96" i="2"/>
  <c r="H271" i="2"/>
  <c r="M125" i="2"/>
  <c r="I137" i="2"/>
  <c r="I90" i="2"/>
  <c r="K350" i="2"/>
  <c r="K260" i="2"/>
  <c r="K197" i="2"/>
  <c r="K292" i="2"/>
  <c r="K142" i="2"/>
  <c r="K87" i="2"/>
  <c r="K38" i="2"/>
  <c r="I251" i="2"/>
  <c r="G80" i="2"/>
  <c r="K151" i="2"/>
  <c r="I103" i="2"/>
  <c r="K297" i="2"/>
  <c r="K230" i="2"/>
  <c r="H103" i="2"/>
  <c r="K136" i="2"/>
  <c r="H306" i="2"/>
  <c r="K327" i="2"/>
  <c r="E315" i="2"/>
  <c r="E137" i="2"/>
  <c r="G152" i="2"/>
  <c r="G273" i="2"/>
  <c r="G103" i="2"/>
  <c r="G306" i="2"/>
  <c r="E350" i="2"/>
  <c r="G271" i="2"/>
  <c r="G326" i="2"/>
  <c r="G186" i="2"/>
  <c r="E156" i="2"/>
  <c r="J197" i="2"/>
  <c r="E231" i="2"/>
  <c r="N251" i="2"/>
  <c r="M251" i="2"/>
  <c r="F174" i="2"/>
  <c r="F272" i="2"/>
  <c r="F304" i="2"/>
  <c r="F146" i="2"/>
  <c r="F231" i="2"/>
  <c r="H106" i="2"/>
  <c r="F103" i="2"/>
  <c r="H3" i="2"/>
  <c r="F241" i="2"/>
  <c r="F294" i="2"/>
  <c r="H167" i="2"/>
  <c r="F271" i="2"/>
  <c r="H251" i="2"/>
  <c r="H174" i="2"/>
  <c r="K291" i="2"/>
  <c r="K262" i="2"/>
  <c r="H90" i="2"/>
  <c r="K96" i="2"/>
  <c r="L338" i="2"/>
  <c r="K57" i="2"/>
  <c r="K13" i="2"/>
  <c r="G262" i="2"/>
  <c r="I337" i="2"/>
  <c r="E339" i="2"/>
  <c r="E328" i="2"/>
  <c r="I230" i="2"/>
  <c r="E175" i="2"/>
  <c r="E262" i="2"/>
  <c r="F78" i="2"/>
  <c r="H80" i="2"/>
  <c r="K80" i="2"/>
  <c r="K316" i="2"/>
  <c r="L80" i="2"/>
  <c r="M131" i="2"/>
  <c r="M314" i="2"/>
  <c r="M156" i="2"/>
  <c r="E241" i="2"/>
  <c r="M296" i="2"/>
  <c r="E294" i="2"/>
  <c r="J339" i="2"/>
  <c r="J137" i="2"/>
  <c r="M136" i="2"/>
  <c r="J63" i="2"/>
  <c r="J24" i="2"/>
  <c r="J185" i="2"/>
  <c r="I339" i="2"/>
  <c r="J57" i="2"/>
  <c r="J13" i="2"/>
  <c r="I262" i="2"/>
  <c r="L314" i="2"/>
  <c r="J196" i="2"/>
  <c r="J327" i="2"/>
  <c r="G164" i="2"/>
  <c r="G240" i="2"/>
  <c r="F164" i="2"/>
  <c r="F350" i="2"/>
  <c r="F262" i="2"/>
  <c r="H292" i="2"/>
  <c r="H316" i="2"/>
  <c r="E184" i="2"/>
  <c r="I125" i="2"/>
  <c r="J7" i="2"/>
  <c r="J207" i="2"/>
  <c r="J107" i="2"/>
  <c r="J225" i="2"/>
  <c r="H125" i="2"/>
  <c r="F81" i="2"/>
  <c r="L239" i="2"/>
  <c r="J91" i="2"/>
  <c r="J310" i="2"/>
  <c r="K240" i="2"/>
  <c r="K293" i="2"/>
  <c r="N98" i="2"/>
  <c r="E81" i="2"/>
  <c r="K255" i="2"/>
  <c r="K156" i="2"/>
  <c r="M350" i="2"/>
  <c r="K137" i="2"/>
  <c r="I21" i="2"/>
  <c r="I114" i="2"/>
  <c r="M164" i="2"/>
  <c r="K99" i="2"/>
  <c r="K339" i="2"/>
  <c r="I91" i="2"/>
  <c r="L90" i="2"/>
  <c r="L164" i="2"/>
  <c r="I304" i="2"/>
  <c r="I146" i="2"/>
  <c r="J167" i="2"/>
  <c r="L350" i="2"/>
  <c r="J306" i="2"/>
  <c r="L262" i="2"/>
  <c r="F138" i="2"/>
  <c r="L316" i="2"/>
  <c r="J117" i="2"/>
  <c r="E76" i="2"/>
  <c r="F331" i="2"/>
  <c r="G21" i="2"/>
  <c r="G114" i="2"/>
  <c r="G81" i="2"/>
  <c r="F281" i="2"/>
  <c r="F244" i="2"/>
  <c r="H7" i="2"/>
  <c r="H207" i="2"/>
  <c r="H331" i="2"/>
  <c r="H304" i="2"/>
  <c r="H146" i="2"/>
  <c r="H297" i="2"/>
  <c r="H264" i="2"/>
  <c r="N156" i="2"/>
  <c r="I107" i="2"/>
  <c r="K287" i="2"/>
  <c r="I175" i="2"/>
  <c r="I241" i="2"/>
  <c r="I234" i="2"/>
  <c r="I328" i="2"/>
  <c r="F76" i="2"/>
  <c r="N198" i="2"/>
  <c r="E320" i="2"/>
  <c r="M117" i="2"/>
  <c r="E202" i="2"/>
  <c r="E355" i="2"/>
  <c r="N284" i="2"/>
  <c r="E351" i="2"/>
  <c r="E100" i="2"/>
  <c r="E266" i="2"/>
  <c r="M212" i="2"/>
  <c r="E77" i="2"/>
  <c r="G190" i="2"/>
  <c r="G275" i="2"/>
  <c r="E288" i="2"/>
  <c r="E132" i="2"/>
  <c r="E157" i="2"/>
  <c r="F267" i="2"/>
  <c r="F202" i="2"/>
  <c r="K310" i="2"/>
  <c r="K225" i="2"/>
  <c r="F22" i="2"/>
  <c r="F115" i="2"/>
  <c r="K256" i="2"/>
  <c r="K91" i="2"/>
  <c r="J297" i="2"/>
  <c r="E22" i="2"/>
  <c r="E115" i="2"/>
  <c r="J276" i="2"/>
  <c r="J72" i="2"/>
  <c r="J37" i="2"/>
  <c r="L85" i="2"/>
  <c r="L40" i="2"/>
  <c r="L225" i="2"/>
  <c r="K21" i="2"/>
  <c r="K114" i="2"/>
  <c r="L107" i="2"/>
  <c r="J140" i="2"/>
  <c r="G77" i="2"/>
  <c r="J320" i="2"/>
  <c r="M342" i="2"/>
  <c r="M94" i="2"/>
  <c r="J132" i="2"/>
  <c r="M107" i="2"/>
  <c r="J331" i="2"/>
  <c r="G202" i="2"/>
  <c r="G277" i="2"/>
  <c r="G157" i="2"/>
  <c r="G288" i="2"/>
  <c r="I132" i="2"/>
  <c r="I331" i="2"/>
  <c r="I267" i="2"/>
  <c r="H320" i="2"/>
  <c r="H267" i="2"/>
  <c r="H235" i="2"/>
  <c r="H202" i="2"/>
  <c r="H77" i="2"/>
  <c r="G320" i="2"/>
  <c r="L355" i="2"/>
  <c r="L247" i="2"/>
  <c r="N342" i="2"/>
  <c r="M310" i="2"/>
  <c r="M355" i="2"/>
  <c r="M225" i="2"/>
  <c r="H157" i="2"/>
  <c r="H68" i="2"/>
  <c r="H32" i="2"/>
  <c r="F157" i="2"/>
  <c r="H277" i="2"/>
  <c r="N225" i="2"/>
  <c r="N94" i="2"/>
  <c r="E248" i="2"/>
  <c r="I168" i="2"/>
  <c r="I202" i="2"/>
  <c r="I334" i="2"/>
  <c r="H186" i="2"/>
  <c r="G63" i="2"/>
  <c r="G24" i="2"/>
  <c r="I288" i="2"/>
  <c r="H107" i="2"/>
  <c r="H273" i="2"/>
  <c r="G191" i="2"/>
  <c r="F61" i="2"/>
  <c r="F26" i="2"/>
  <c r="F248" i="2"/>
  <c r="G357" i="2"/>
  <c r="F356" i="2"/>
  <c r="I77" i="2"/>
  <c r="G248" i="2"/>
  <c r="E141" i="2"/>
  <c r="E311" i="2"/>
  <c r="G95" i="2"/>
  <c r="E95" i="2"/>
  <c r="G65" i="2"/>
  <c r="G29" i="2"/>
  <c r="E268" i="2"/>
  <c r="I68" i="2"/>
  <c r="I32" i="2"/>
  <c r="G304" i="2"/>
  <c r="G146" i="2"/>
  <c r="G210" i="2"/>
  <c r="K320" i="2"/>
  <c r="K132" i="2"/>
  <c r="G343" i="2"/>
  <c r="J122" i="2"/>
  <c r="G294" i="2"/>
  <c r="I277" i="2"/>
  <c r="N212" i="2"/>
  <c r="N296" i="2"/>
  <c r="L133" i="2"/>
  <c r="G87" i="2"/>
  <c r="G38" i="2"/>
  <c r="G257" i="2"/>
  <c r="L288" i="2"/>
  <c r="N131" i="2"/>
  <c r="M77" i="2"/>
  <c r="J236" i="2"/>
  <c r="J227" i="2"/>
  <c r="J257" i="2"/>
  <c r="J334" i="2"/>
  <c r="J202" i="2"/>
  <c r="J168" i="2"/>
  <c r="E237" i="2"/>
  <c r="K122" i="2"/>
  <c r="E321" i="2"/>
  <c r="E180" i="2"/>
  <c r="K227" i="2"/>
  <c r="H357" i="2"/>
  <c r="K236" i="2"/>
  <c r="H191" i="2"/>
  <c r="F268" i="2"/>
  <c r="H248" i="2"/>
  <c r="F311" i="2"/>
  <c r="H328" i="2"/>
  <c r="F141" i="2"/>
  <c r="L102" i="2"/>
  <c r="L122" i="2"/>
  <c r="F95" i="2"/>
  <c r="M190" i="2"/>
  <c r="I311" i="2"/>
  <c r="N77" i="2"/>
  <c r="I306" i="2"/>
  <c r="K334" i="2"/>
  <c r="K252" i="2"/>
  <c r="J287" i="2"/>
  <c r="J231" i="2"/>
  <c r="J277" i="2"/>
  <c r="N350" i="2"/>
  <c r="H343" i="2"/>
  <c r="N102" i="2"/>
  <c r="N257" i="2"/>
  <c r="N320" i="2"/>
  <c r="N344" i="2"/>
  <c r="M133" i="2"/>
  <c r="M102" i="2"/>
  <c r="M288" i="2"/>
  <c r="M284" i="2"/>
  <c r="F169" i="2"/>
  <c r="G141" i="2"/>
  <c r="G268" i="2"/>
  <c r="K231" i="2"/>
  <c r="K265" i="2"/>
  <c r="K90" i="2"/>
  <c r="L137" i="2"/>
  <c r="L99" i="2"/>
  <c r="L156" i="2"/>
  <c r="H81" i="2"/>
  <c r="E213" i="2"/>
  <c r="E253" i="2"/>
  <c r="L227" i="2"/>
  <c r="E281" i="2"/>
  <c r="E244" i="2"/>
  <c r="E138" i="2"/>
  <c r="E340" i="2"/>
  <c r="E331" i="2"/>
  <c r="H21" i="2"/>
  <c r="H114" i="2"/>
  <c r="E168" i="2"/>
  <c r="I7" i="2"/>
  <c r="I207" i="2"/>
  <c r="I310" i="2"/>
  <c r="K342" i="2"/>
  <c r="I167" i="2"/>
  <c r="I225" i="2"/>
  <c r="K107" i="2"/>
  <c r="G122" i="2"/>
  <c r="K7" i="2"/>
  <c r="K207" i="2"/>
  <c r="K72" i="2"/>
  <c r="K37" i="2"/>
  <c r="K190" i="2"/>
  <c r="K167" i="2"/>
  <c r="K117" i="2"/>
  <c r="L117" i="2"/>
  <c r="K355" i="2"/>
  <c r="H82" i="2"/>
  <c r="F168" i="2"/>
  <c r="F100" i="2"/>
  <c r="F235" i="2"/>
  <c r="F213" i="2"/>
  <c r="F317" i="2"/>
  <c r="F320" i="2"/>
  <c r="F288" i="2"/>
  <c r="G331" i="2"/>
  <c r="I190" i="2"/>
  <c r="G168" i="2"/>
  <c r="I72" i="2"/>
  <c r="I37" i="2"/>
  <c r="G267" i="2"/>
  <c r="G100" i="2"/>
  <c r="H288" i="2"/>
  <c r="J21" i="2"/>
  <c r="J114" i="2"/>
  <c r="I181" i="2"/>
  <c r="H63" i="2"/>
  <c r="H24" i="2"/>
  <c r="J304" i="2"/>
  <c r="J146" i="2"/>
  <c r="I335" i="2"/>
  <c r="H168" i="2"/>
  <c r="E147" i="2"/>
  <c r="L255" i="2"/>
  <c r="I357" i="2"/>
  <c r="H100" i="2"/>
  <c r="J213" i="2"/>
  <c r="J190" i="2"/>
  <c r="I268" i="2"/>
  <c r="L342" i="2"/>
  <c r="H95" i="2"/>
  <c r="J355" i="2"/>
  <c r="E78" i="2"/>
  <c r="M99" i="2"/>
  <c r="I248" i="2"/>
  <c r="M122" i="2"/>
  <c r="H276" i="2"/>
  <c r="F77" i="2"/>
  <c r="E258" i="2"/>
  <c r="E343" i="2"/>
  <c r="H190" i="2"/>
  <c r="E345" i="2"/>
  <c r="I140" i="2"/>
  <c r="E103" i="2"/>
  <c r="G235" i="2"/>
  <c r="E289" i="2"/>
  <c r="I276" i="2"/>
  <c r="E257" i="2"/>
  <c r="I235" i="2"/>
  <c r="E199" i="2"/>
  <c r="E3" i="2"/>
  <c r="K140" i="2"/>
  <c r="K276" i="2"/>
  <c r="H122" i="2"/>
  <c r="K213" i="2"/>
  <c r="H295" i="2"/>
  <c r="F343" i="2"/>
  <c r="H342" i="2"/>
  <c r="H348" i="2"/>
  <c r="F257" i="2"/>
  <c r="M255" i="2"/>
  <c r="I122" i="2"/>
  <c r="N85" i="2"/>
  <c r="N40" i="2"/>
  <c r="K194" i="2"/>
  <c r="K171" i="2"/>
  <c r="N310" i="2"/>
  <c r="N133" i="2"/>
  <c r="K277" i="2"/>
  <c r="L310" i="2"/>
  <c r="N57" i="2"/>
  <c r="N13" i="2"/>
  <c r="L55" i="2"/>
  <c r="L11" i="2"/>
  <c r="I82" i="2"/>
  <c r="N288" i="2"/>
  <c r="L190" i="2"/>
  <c r="F97" i="2"/>
  <c r="F312" i="2"/>
  <c r="F289" i="2"/>
  <c r="F237" i="2"/>
  <c r="F351" i="2"/>
  <c r="F105" i="2"/>
  <c r="F321" i="2"/>
  <c r="F180" i="2"/>
  <c r="H134" i="2"/>
  <c r="G236" i="2"/>
  <c r="H143" i="2"/>
  <c r="H232" i="2"/>
  <c r="E313" i="2"/>
  <c r="I320" i="2"/>
  <c r="K335" i="2"/>
  <c r="K53" i="2"/>
  <c r="K18" i="2"/>
  <c r="K111" i="2"/>
  <c r="K157" i="2"/>
  <c r="M253" i="2"/>
  <c r="K248" i="2"/>
  <c r="M227" i="2"/>
  <c r="K322" i="2"/>
  <c r="G237" i="2"/>
  <c r="J175" i="2"/>
  <c r="G312" i="2"/>
  <c r="M294" i="2"/>
  <c r="J68" i="2"/>
  <c r="J32" i="2"/>
  <c r="J70" i="2"/>
  <c r="J34" i="2"/>
  <c r="J264" i="2"/>
  <c r="J82" i="2"/>
  <c r="I143" i="2"/>
  <c r="H268" i="2"/>
  <c r="I152" i="2"/>
  <c r="I210" i="2"/>
  <c r="H141" i="2"/>
  <c r="I258" i="2"/>
  <c r="I92" i="2"/>
  <c r="I138" i="2"/>
  <c r="I65" i="2"/>
  <c r="I29" i="2"/>
  <c r="I170" i="2"/>
  <c r="H345" i="2"/>
  <c r="H170" i="2"/>
  <c r="H199" i="2"/>
  <c r="J328" i="2"/>
  <c r="M72" i="2"/>
  <c r="M37" i="2"/>
  <c r="J65" i="2"/>
  <c r="J29" i="2"/>
  <c r="M194" i="2"/>
  <c r="J233" i="2"/>
  <c r="I358" i="2"/>
  <c r="I340" i="2"/>
  <c r="I285" i="2"/>
  <c r="I199" i="2"/>
  <c r="F123" i="2"/>
  <c r="E176" i="2"/>
  <c r="E70" i="2"/>
  <c r="E34" i="2"/>
  <c r="G351" i="2"/>
  <c r="E291" i="2"/>
  <c r="E75" i="2"/>
  <c r="E329" i="2"/>
  <c r="K268" i="2"/>
  <c r="K186" i="2"/>
  <c r="E55" i="2"/>
  <c r="E11" i="2"/>
  <c r="E254" i="2"/>
  <c r="E274" i="2"/>
  <c r="E183" i="2"/>
  <c r="F223" i="2"/>
  <c r="F75" i="2"/>
  <c r="F313" i="2"/>
  <c r="G165" i="2"/>
  <c r="E212" i="2"/>
  <c r="E353" i="2"/>
  <c r="E222" i="2"/>
  <c r="G47" i="2"/>
  <c r="G204" i="2"/>
  <c r="E295" i="2"/>
  <c r="G307" i="2"/>
  <c r="G249" i="2"/>
  <c r="G75" i="2"/>
  <c r="G4" i="2"/>
  <c r="H219" i="2"/>
  <c r="G285" i="2"/>
  <c r="H313" i="2"/>
  <c r="J358" i="2"/>
  <c r="L237" i="2"/>
  <c r="L328" i="2"/>
  <c r="K143" i="2"/>
  <c r="K290" i="2"/>
  <c r="M268" i="2"/>
  <c r="M70" i="2"/>
  <c r="M34" i="2"/>
  <c r="M101" i="2"/>
  <c r="M328" i="2"/>
  <c r="E102" i="2"/>
  <c r="M233" i="2"/>
  <c r="M143" i="2"/>
  <c r="E131" i="2"/>
  <c r="J4" i="2"/>
  <c r="J274" i="2"/>
  <c r="I294" i="2"/>
  <c r="F183" i="2"/>
  <c r="J219" i="2"/>
  <c r="I273" i="2"/>
  <c r="F47" i="2"/>
  <c r="F204" i="2"/>
  <c r="L70" i="2"/>
  <c r="L34" i="2"/>
  <c r="E66" i="2"/>
  <c r="E30" i="2"/>
  <c r="H195" i="2"/>
  <c r="E314" i="2"/>
  <c r="H249" i="2"/>
  <c r="H165" i="2"/>
  <c r="E71" i="2"/>
  <c r="E36" i="2"/>
  <c r="G183" i="2"/>
  <c r="E60" i="2"/>
  <c r="E16" i="2"/>
  <c r="G195" i="2"/>
  <c r="I313" i="2"/>
  <c r="E265" i="2"/>
  <c r="I161" i="2"/>
  <c r="E359" i="2"/>
  <c r="I131" i="2"/>
  <c r="E117" i="2"/>
  <c r="K345" i="2"/>
  <c r="K258" i="2"/>
  <c r="K97" i="2"/>
  <c r="N328" i="2"/>
  <c r="K295" i="2"/>
  <c r="K212" i="2"/>
  <c r="K161" i="2"/>
  <c r="L303" i="2"/>
  <c r="L145" i="2"/>
  <c r="F212" i="2"/>
  <c r="F135" i="2"/>
  <c r="I254" i="2"/>
  <c r="I249" i="2"/>
  <c r="I55" i="2"/>
  <c r="I11" i="2"/>
  <c r="I44" i="2"/>
  <c r="I150" i="2"/>
  <c r="G323" i="2"/>
  <c r="G295" i="2"/>
  <c r="K285" i="2"/>
  <c r="F57" i="2"/>
  <c r="F13" i="2"/>
  <c r="G238" i="2"/>
  <c r="K330" i="2"/>
  <c r="F60" i="2"/>
  <c r="F16" i="2"/>
  <c r="L233" i="2"/>
  <c r="G291" i="2"/>
  <c r="F66" i="2"/>
  <c r="F30" i="2"/>
  <c r="N59" i="2"/>
  <c r="N15" i="2"/>
  <c r="F295" i="2"/>
  <c r="K8" i="2"/>
  <c r="K128" i="2"/>
  <c r="F319" i="2"/>
  <c r="F68" i="2"/>
  <c r="F32" i="2"/>
  <c r="F359" i="2"/>
  <c r="K274" i="2"/>
  <c r="F265" i="2"/>
  <c r="F225" i="2"/>
  <c r="K4" i="2"/>
  <c r="F314" i="2"/>
  <c r="J307" i="2"/>
  <c r="J270" i="2"/>
  <c r="N259" i="2"/>
  <c r="N336" i="2"/>
  <c r="G57" i="2"/>
  <c r="G13" i="2"/>
  <c r="J123" i="2"/>
  <c r="G342" i="2"/>
  <c r="K219" i="2"/>
  <c r="K105" i="2"/>
  <c r="G348" i="2"/>
  <c r="K189" i="2"/>
  <c r="F89" i="2"/>
  <c r="L75" i="2"/>
  <c r="J165" i="2"/>
  <c r="J212" i="2"/>
  <c r="H323" i="2"/>
  <c r="J131" i="2"/>
  <c r="I323" i="2"/>
  <c r="J161" i="2"/>
  <c r="I186" i="2"/>
  <c r="M170" i="2"/>
  <c r="K79" i="2"/>
  <c r="G117" i="2"/>
  <c r="F318" i="2"/>
  <c r="H301" i="2"/>
  <c r="H178" i="2"/>
  <c r="H135" i="2"/>
  <c r="H85" i="2"/>
  <c r="H40" i="2"/>
  <c r="L97" i="2"/>
  <c r="G102" i="2"/>
  <c r="G43" i="2"/>
  <c r="G149" i="2"/>
  <c r="G70" i="2"/>
  <c r="G34" i="2"/>
  <c r="E286" i="2"/>
  <c r="E94" i="2"/>
  <c r="E196" i="2"/>
  <c r="E251" i="2"/>
  <c r="N143" i="2"/>
  <c r="E260" i="2"/>
  <c r="N139" i="2"/>
  <c r="E337" i="2"/>
  <c r="E23" i="2"/>
  <c r="E116" i="2"/>
  <c r="L280" i="2"/>
  <c r="L243" i="2"/>
  <c r="L330" i="2"/>
  <c r="G134" i="2"/>
  <c r="G61" i="2"/>
  <c r="G26" i="2"/>
  <c r="G170" i="2"/>
  <c r="N233" i="2"/>
  <c r="N22" i="2"/>
  <c r="N115" i="2"/>
  <c r="N274" i="2"/>
  <c r="I183" i="2"/>
  <c r="N294" i="2"/>
  <c r="K306" i="2"/>
  <c r="K264" i="2"/>
  <c r="K237" i="2"/>
  <c r="K328" i="2"/>
  <c r="J254" i="2"/>
  <c r="K307" i="2"/>
  <c r="K9" i="2"/>
  <c r="K129" i="2"/>
  <c r="K270" i="2"/>
  <c r="K353" i="2"/>
  <c r="K222" i="2"/>
  <c r="K228" i="2"/>
  <c r="K181" i="2"/>
  <c r="K100" i="2"/>
  <c r="J268" i="2"/>
  <c r="J186" i="2"/>
  <c r="J248" i="2"/>
  <c r="J357" i="2"/>
  <c r="J322" i="2"/>
  <c r="G8" i="2"/>
  <c r="G128" i="2"/>
  <c r="L72" i="2"/>
  <c r="L37" i="2"/>
  <c r="G345" i="2"/>
  <c r="G278" i="2"/>
  <c r="E285" i="2"/>
  <c r="G199" i="2"/>
  <c r="M303" i="2"/>
  <c r="M145" i="2"/>
  <c r="E223" i="2"/>
  <c r="I67" i="2"/>
  <c r="I31" i="2"/>
  <c r="I317" i="2"/>
  <c r="N253" i="2"/>
  <c r="I233" i="2"/>
  <c r="J78" i="2"/>
  <c r="I147" i="2"/>
  <c r="N231" i="2"/>
  <c r="F147" i="2"/>
  <c r="J289" i="2"/>
  <c r="F258" i="2"/>
  <c r="J67" i="2"/>
  <c r="J31" i="2"/>
  <c r="F278" i="2"/>
  <c r="F340" i="2"/>
  <c r="F4" i="2"/>
  <c r="E307" i="2"/>
  <c r="E336" i="2"/>
  <c r="E62" i="2"/>
  <c r="E27" i="2"/>
  <c r="E165" i="2"/>
  <c r="K210" i="2"/>
  <c r="E249" i="2"/>
  <c r="K67" i="2"/>
  <c r="K31" i="2"/>
  <c r="K148" i="2"/>
  <c r="K23" i="2"/>
  <c r="K116" i="2"/>
  <c r="H65" i="2"/>
  <c r="H29" i="2"/>
  <c r="H152" i="2"/>
  <c r="H351" i="2"/>
  <c r="H294" i="2"/>
  <c r="H97" i="2"/>
  <c r="H317" i="2"/>
  <c r="G105" i="2"/>
  <c r="G313" i="2"/>
  <c r="L78" i="2"/>
  <c r="G228" i="2"/>
  <c r="G161" i="2"/>
  <c r="J143" i="2"/>
  <c r="F280" i="2"/>
  <c r="F243" i="2"/>
  <c r="L100" i="2"/>
  <c r="J273" i="2"/>
  <c r="F254" i="2"/>
  <c r="J335" i="2"/>
  <c r="F165" i="2"/>
  <c r="J181" i="2"/>
  <c r="E135" i="2"/>
  <c r="N43" i="2"/>
  <c r="N149" i="2"/>
  <c r="E195" i="2"/>
  <c r="E85" i="2"/>
  <c r="E40" i="2"/>
  <c r="I97" i="2"/>
  <c r="I345" i="2"/>
  <c r="M9" i="2"/>
  <c r="M129" i="2"/>
  <c r="M322" i="2"/>
  <c r="M175" i="2"/>
  <c r="L268" i="2"/>
  <c r="L92" i="2"/>
  <c r="L65" i="2"/>
  <c r="L29" i="2"/>
  <c r="H123" i="2"/>
  <c r="H307" i="2"/>
  <c r="H161" i="2"/>
  <c r="H228" i="2"/>
  <c r="L59" i="2"/>
  <c r="L15" i="2"/>
  <c r="N237" i="2"/>
  <c r="N175" i="2"/>
  <c r="N322" i="2"/>
  <c r="I105" i="2"/>
  <c r="I139" i="2"/>
  <c r="I4" i="2"/>
  <c r="I219" i="2"/>
  <c r="I228" i="2"/>
  <c r="G254" i="2"/>
  <c r="G55" i="2"/>
  <c r="G11" i="2"/>
  <c r="H278" i="2"/>
  <c r="H4" i="2"/>
  <c r="F195" i="2"/>
  <c r="F279" i="2"/>
  <c r="K68" i="2"/>
  <c r="K32" i="2"/>
  <c r="K273" i="2"/>
  <c r="K70" i="2"/>
  <c r="K34" i="2"/>
  <c r="K175" i="2"/>
  <c r="N124" i="2"/>
  <c r="M75" i="2"/>
  <c r="H102" i="2"/>
  <c r="H48" i="2"/>
  <c r="H205" i="2"/>
  <c r="G319" i="2"/>
  <c r="H94" i="2"/>
  <c r="H254" i="2"/>
  <c r="M264" i="2"/>
  <c r="G359" i="2"/>
  <c r="I123" i="2"/>
  <c r="J45" i="2"/>
  <c r="J200" i="2"/>
  <c r="J154" i="2"/>
  <c r="J79" i="2"/>
  <c r="J340" i="2"/>
  <c r="G310" i="2"/>
  <c r="M92" i="2"/>
  <c r="M139" i="2"/>
  <c r="J189" i="2"/>
  <c r="J341" i="2"/>
  <c r="K358" i="2"/>
  <c r="G234" i="2"/>
  <c r="J59" i="2"/>
  <c r="J15" i="2"/>
  <c r="J105" i="2"/>
  <c r="I265" i="2"/>
  <c r="I255" i="2"/>
  <c r="I342" i="2"/>
  <c r="L170" i="2"/>
  <c r="I348" i="2"/>
  <c r="I135" i="2"/>
  <c r="E190" i="2"/>
  <c r="F199" i="2"/>
  <c r="E275" i="2"/>
  <c r="F285" i="2"/>
  <c r="E229" i="2"/>
  <c r="N170" i="2"/>
  <c r="E144" i="2"/>
  <c r="F345" i="2"/>
  <c r="I270" i="2"/>
  <c r="I307" i="2"/>
  <c r="H280" i="2"/>
  <c r="H243" i="2"/>
  <c r="N227" i="2"/>
  <c r="N122" i="2"/>
  <c r="E105" i="2"/>
  <c r="H210" i="2"/>
  <c r="E225" i="2"/>
  <c r="E278" i="2"/>
  <c r="E228" i="2"/>
  <c r="L87" i="2"/>
  <c r="L38" i="2"/>
  <c r="L91" i="2"/>
  <c r="G317" i="2"/>
  <c r="M280" i="2"/>
  <c r="M243" i="2"/>
  <c r="F358" i="2"/>
  <c r="G340" i="2"/>
  <c r="F337" i="2"/>
  <c r="F228" i="2"/>
  <c r="G138" i="2"/>
  <c r="F307" i="2"/>
  <c r="G258" i="2"/>
  <c r="L160" i="2"/>
  <c r="G78" i="2"/>
  <c r="L322" i="2"/>
  <c r="L68" i="2"/>
  <c r="L32" i="2"/>
  <c r="I264" i="2"/>
  <c r="J148" i="2"/>
  <c r="E88" i="2"/>
  <c r="E39" i="2"/>
  <c r="I3" i="2"/>
  <c r="J92" i="2"/>
  <c r="E58" i="2"/>
  <c r="E14" i="2"/>
  <c r="J241" i="2"/>
  <c r="L194" i="2"/>
  <c r="M82" i="2"/>
  <c r="H138" i="2"/>
  <c r="E358" i="2"/>
  <c r="E280" i="2"/>
  <c r="E243" i="2"/>
  <c r="J317" i="2"/>
  <c r="J170" i="2"/>
  <c r="K78" i="2"/>
  <c r="K242" i="2"/>
  <c r="H258" i="2"/>
  <c r="K92" i="2"/>
  <c r="H340" i="2"/>
  <c r="K65" i="2"/>
  <c r="K29" i="2"/>
  <c r="N164" i="2"/>
  <c r="E123" i="2"/>
  <c r="H139" i="2"/>
  <c r="H78" i="2"/>
  <c r="H8" i="2"/>
  <c r="H128" i="2"/>
  <c r="H285" i="2"/>
  <c r="H105" i="2"/>
  <c r="H224" i="2"/>
  <c r="L175" i="2"/>
  <c r="L264" i="2"/>
  <c r="N87" i="2"/>
  <c r="N38" i="2"/>
  <c r="J210" i="2"/>
  <c r="G123" i="2"/>
  <c r="L290" i="2"/>
  <c r="N55" i="2"/>
  <c r="N11" i="2"/>
  <c r="L143" i="2"/>
  <c r="F188" i="2"/>
  <c r="N194" i="2"/>
  <c r="L67" i="2"/>
  <c r="L31" i="2"/>
  <c r="F161" i="2"/>
  <c r="G97" i="2"/>
  <c r="J345" i="2"/>
  <c r="F336" i="2"/>
  <c r="J258" i="2"/>
  <c r="F249" i="2"/>
  <c r="J97" i="2"/>
  <c r="F55" i="2"/>
  <c r="F11" i="2"/>
  <c r="J8" i="2"/>
  <c r="J128" i="2"/>
  <c r="J285" i="2"/>
  <c r="I224" i="2"/>
  <c r="I8" i="2"/>
  <c r="I128" i="2"/>
  <c r="F85" i="2"/>
  <c r="F40" i="2"/>
  <c r="M100" i="2"/>
  <c r="F131" i="2"/>
  <c r="M237" i="2"/>
  <c r="F353" i="2"/>
  <c r="F222" i="2"/>
  <c r="E188" i="2"/>
  <c r="F274" i="2"/>
  <c r="G336" i="2"/>
  <c r="G280" i="2"/>
  <c r="G243" i="2"/>
  <c r="I134" i="2"/>
  <c r="G188" i="2"/>
  <c r="F238" i="2"/>
  <c r="K170" i="2"/>
  <c r="N223" i="2"/>
  <c r="F43" i="2"/>
  <c r="F149" i="2"/>
  <c r="K233" i="2"/>
  <c r="F102" i="2"/>
  <c r="K317" i="2"/>
  <c r="F291" i="2"/>
  <c r="J55" i="2"/>
  <c r="J11" i="2"/>
  <c r="J228" i="2"/>
  <c r="J44" i="2"/>
  <c r="J150" i="2"/>
  <c r="N264" i="2"/>
  <c r="E80" i="2"/>
  <c r="N69" i="2"/>
  <c r="N33" i="2"/>
  <c r="F117" i="2"/>
  <c r="E238" i="2"/>
  <c r="H183" i="2"/>
  <c r="H44" i="2"/>
  <c r="H150" i="2"/>
  <c r="E318" i="2"/>
  <c r="H57" i="2"/>
  <c r="H13" i="2"/>
  <c r="H55" i="2"/>
  <c r="H11" i="2"/>
  <c r="H70" i="2"/>
  <c r="H34" i="2"/>
  <c r="L105" i="2"/>
  <c r="L62" i="2"/>
  <c r="L27" i="2"/>
  <c r="M4" i="2"/>
  <c r="M89" i="2"/>
  <c r="M97" i="2"/>
  <c r="L212" i="2"/>
  <c r="L296" i="2"/>
  <c r="H336" i="2"/>
  <c r="H43" i="2"/>
  <c r="H149" i="2"/>
  <c r="K75" i="2"/>
  <c r="H291" i="2"/>
  <c r="E296" i="2"/>
  <c r="K20" i="2"/>
  <c r="K113" i="2"/>
  <c r="E259" i="2"/>
  <c r="G212" i="2"/>
  <c r="N67" i="2"/>
  <c r="N31" i="2"/>
  <c r="G135" i="2"/>
  <c r="G140" i="2"/>
  <c r="G314" i="2"/>
  <c r="G68" i="2"/>
  <c r="G32" i="2"/>
  <c r="G225" i="2"/>
  <c r="N303" i="2"/>
  <c r="N145" i="2"/>
  <c r="E98" i="2"/>
  <c r="F167" i="2"/>
  <c r="E63" i="2"/>
  <c r="E24" i="2"/>
  <c r="F251" i="2"/>
  <c r="F196" i="2"/>
  <c r="E171" i="2"/>
  <c r="F286" i="2"/>
  <c r="F63" i="2"/>
  <c r="F24" i="2"/>
  <c r="N75" i="2"/>
  <c r="F88" i="2"/>
  <c r="F39" i="2"/>
  <c r="H117" i="2"/>
  <c r="F296" i="2"/>
  <c r="F80" i="2"/>
  <c r="J239" i="2"/>
  <c r="J323" i="2"/>
  <c r="F259" i="2"/>
  <c r="I165" i="2"/>
  <c r="J183" i="2"/>
  <c r="E125" i="2"/>
  <c r="M62" i="2"/>
  <c r="M27" i="2"/>
  <c r="I280" i="2"/>
  <c r="I243" i="2"/>
  <c r="M330" i="2"/>
  <c r="I57" i="2"/>
  <c r="I13" i="2"/>
  <c r="G66" i="2"/>
  <c r="G30" i="2"/>
  <c r="I301" i="2"/>
  <c r="I178" i="2"/>
  <c r="I291" i="2"/>
  <c r="I353" i="2"/>
  <c r="I222" i="2"/>
  <c r="G85" i="2"/>
  <c r="G40" i="2"/>
  <c r="I260" i="2"/>
  <c r="I286" i="2"/>
  <c r="L270" i="2"/>
  <c r="G167" i="2"/>
  <c r="L219" i="2"/>
  <c r="K46" i="2"/>
  <c r="K201" i="2"/>
  <c r="K155" i="2"/>
  <c r="I196" i="2"/>
  <c r="K59" i="2"/>
  <c r="K15" i="2"/>
  <c r="K55" i="2"/>
  <c r="K11" i="2"/>
  <c r="I117" i="2"/>
  <c r="J71" i="2"/>
  <c r="J36" i="2"/>
  <c r="J135" i="2"/>
  <c r="J301" i="2"/>
  <c r="J178" i="2"/>
  <c r="F275" i="2"/>
  <c r="L94" i="2"/>
  <c r="F190" i="2"/>
  <c r="L131" i="2"/>
  <c r="K323" i="2"/>
  <c r="I43" i="2"/>
  <c r="I149" i="2"/>
  <c r="I102" i="2"/>
  <c r="K183" i="2"/>
  <c r="K131" i="2"/>
  <c r="I70" i="2"/>
  <c r="I34" i="2"/>
  <c r="K314" i="2"/>
  <c r="N89" i="2"/>
  <c r="H140" i="2"/>
  <c r="J260" i="2"/>
  <c r="K239" i="2"/>
  <c r="K319" i="2"/>
  <c r="I278" i="2"/>
  <c r="I329" i="2"/>
  <c r="M105" i="2"/>
  <c r="J265" i="2"/>
  <c r="F144" i="2"/>
  <c r="H296" i="2"/>
  <c r="J255" i="2"/>
  <c r="H250" i="2"/>
  <c r="J348" i="2"/>
  <c r="N280" i="2"/>
  <c r="N243" i="2"/>
  <c r="H263" i="2"/>
  <c r="J342" i="2"/>
  <c r="H259" i="2"/>
  <c r="J353" i="2"/>
  <c r="J222" i="2"/>
  <c r="H310" i="2"/>
  <c r="J249" i="2"/>
  <c r="H225" i="2"/>
  <c r="J199" i="2"/>
  <c r="K165" i="2"/>
  <c r="H234" i="2"/>
  <c r="K340" i="2"/>
  <c r="K48" i="2"/>
  <c r="K205" i="2"/>
  <c r="H230" i="2"/>
  <c r="K289" i="2"/>
  <c r="M219" i="2"/>
  <c r="L307" i="2"/>
  <c r="I359" i="2"/>
  <c r="G337" i="2"/>
  <c r="M270" i="2"/>
  <c r="L348" i="2"/>
  <c r="I238" i="2"/>
  <c r="L340" i="2"/>
  <c r="G269" i="2"/>
  <c r="H188" i="2"/>
  <c r="G318" i="2"/>
  <c r="L272" i="2"/>
  <c r="I81" i="2"/>
  <c r="L63" i="2"/>
  <c r="L24" i="2"/>
  <c r="E304" i="2"/>
  <c r="E146" i="2"/>
  <c r="H359" i="2"/>
  <c r="F124" i="2"/>
  <c r="K63" i="2"/>
  <c r="K24" i="2"/>
  <c r="K286" i="2"/>
  <c r="H238" i="2"/>
  <c r="H318" i="2"/>
  <c r="K199" i="2"/>
  <c r="F229" i="2"/>
  <c r="H308" i="2"/>
  <c r="F220" i="2"/>
  <c r="G251" i="2"/>
  <c r="F176" i="2"/>
  <c r="H176" i="2"/>
  <c r="F20" i="2"/>
  <c r="F113" i="2"/>
  <c r="G220" i="2"/>
  <c r="G176" i="2"/>
  <c r="J238" i="2"/>
  <c r="G229" i="2"/>
  <c r="J329" i="2"/>
  <c r="H144" i="2"/>
  <c r="H269" i="2"/>
  <c r="J81" i="2"/>
  <c r="G263" i="2"/>
  <c r="H47" i="2"/>
  <c r="H204" i="2"/>
  <c r="E124" i="2"/>
  <c r="M91" i="2"/>
  <c r="J60" i="2"/>
  <c r="J16" i="2"/>
  <c r="E6" i="2"/>
  <c r="E206" i="2"/>
  <c r="E166" i="2"/>
  <c r="M135" i="2"/>
  <c r="J278" i="2"/>
  <c r="G352" i="2"/>
  <c r="G221" i="2"/>
  <c r="E101" i="2"/>
  <c r="G211" i="2"/>
  <c r="E250" i="2"/>
  <c r="N330" i="2"/>
  <c r="N100" i="2"/>
  <c r="I223" i="2"/>
  <c r="N249" i="2"/>
  <c r="I166" i="2"/>
  <c r="I47" i="2"/>
  <c r="I204" i="2"/>
  <c r="I144" i="2"/>
  <c r="L188" i="2"/>
  <c r="M188" i="2"/>
  <c r="M229" i="2"/>
  <c r="N91" i="2"/>
  <c r="E92" i="2"/>
  <c r="N135" i="2"/>
  <c r="H160" i="2"/>
  <c r="H56" i="2"/>
  <c r="H12" i="2"/>
  <c r="H315" i="2"/>
  <c r="H88" i="2"/>
  <c r="H39" i="2"/>
  <c r="H226" i="2"/>
  <c r="H352" i="2"/>
  <c r="H221" i="2"/>
  <c r="H54" i="2"/>
  <c r="H19" i="2"/>
  <c r="H112" i="2"/>
  <c r="K3" i="2"/>
  <c r="N292" i="2"/>
  <c r="E293" i="2"/>
  <c r="N188" i="2"/>
  <c r="F79" i="2"/>
  <c r="E335" i="2"/>
  <c r="E247" i="2"/>
  <c r="M138" i="2"/>
  <c r="M235" i="2"/>
  <c r="M340" i="2"/>
  <c r="I321" i="2"/>
  <c r="I176" i="2"/>
  <c r="F148" i="2"/>
  <c r="F302" i="2"/>
  <c r="F179" i="2"/>
  <c r="F305" i="2"/>
  <c r="F59" i="2"/>
  <c r="F15" i="2"/>
  <c r="F239" i="2"/>
  <c r="F287" i="2"/>
  <c r="J321" i="2"/>
  <c r="F330" i="2"/>
  <c r="J308" i="2"/>
  <c r="F104" i="2"/>
  <c r="G20" i="2"/>
  <c r="G113" i="2"/>
  <c r="G290" i="2"/>
  <c r="G256" i="2"/>
  <c r="J166" i="2"/>
  <c r="G330" i="2"/>
  <c r="J6" i="2"/>
  <c r="J206" i="2"/>
  <c r="G305" i="2"/>
  <c r="L3" i="2"/>
  <c r="L266" i="2"/>
  <c r="L278" i="2"/>
  <c r="L318" i="2"/>
  <c r="I253" i="2"/>
  <c r="K76" i="2"/>
  <c r="H20" i="2"/>
  <c r="H113" i="2"/>
  <c r="I315" i="2"/>
  <c r="I88" i="2"/>
  <c r="I39" i="2"/>
  <c r="I349" i="2"/>
  <c r="I54" i="2"/>
  <c r="I19" i="2"/>
  <c r="I112" i="2"/>
  <c r="N241" i="2"/>
  <c r="I296" i="2"/>
  <c r="I56" i="2"/>
  <c r="I12" i="2"/>
  <c r="I352" i="2"/>
  <c r="I221" i="2"/>
  <c r="N326" i="2"/>
  <c r="G59" i="2"/>
  <c r="G15" i="2"/>
  <c r="G344" i="2"/>
  <c r="G9" i="2"/>
  <c r="G129" i="2"/>
  <c r="K47" i="2"/>
  <c r="K204" i="2"/>
  <c r="K58" i="2"/>
  <c r="K14" i="2"/>
  <c r="K61" i="2"/>
  <c r="K26" i="2"/>
  <c r="E72" i="2"/>
  <c r="E37" i="2"/>
  <c r="E7" i="2"/>
  <c r="E207" i="2"/>
  <c r="K312" i="2"/>
  <c r="E53" i="2"/>
  <c r="E18" i="2"/>
  <c r="E111" i="2"/>
  <c r="K275" i="2"/>
  <c r="G79" i="2"/>
  <c r="L359" i="2"/>
  <c r="L81" i="2"/>
  <c r="M56" i="2"/>
  <c r="M12" i="2"/>
  <c r="M3" i="2"/>
  <c r="J69" i="2"/>
  <c r="J33" i="2"/>
  <c r="J356" i="2"/>
  <c r="M166" i="2"/>
  <c r="M180" i="2"/>
  <c r="M141" i="2"/>
  <c r="F92" i="2"/>
  <c r="F136" i="2"/>
  <c r="G118" i="2"/>
  <c r="H46" i="2"/>
  <c r="H201" i="2"/>
  <c r="H155" i="2"/>
  <c r="H151" i="2"/>
  <c r="G104" i="2"/>
  <c r="E203" i="2"/>
  <c r="G185" i="2"/>
  <c r="E242" i="2"/>
  <c r="H349" i="2"/>
  <c r="G148" i="2"/>
  <c r="E189" i="2"/>
  <c r="G101" i="2"/>
  <c r="E230" i="2"/>
  <c r="G133" i="2"/>
  <c r="G215" i="2"/>
  <c r="G163" i="2"/>
  <c r="K169" i="2"/>
  <c r="K86" i="2"/>
  <c r="K41" i="2"/>
  <c r="N272" i="2"/>
  <c r="K98" i="2"/>
  <c r="N235" i="2"/>
  <c r="J220" i="2"/>
  <c r="J176" i="2"/>
  <c r="F338" i="2"/>
  <c r="J253" i="2"/>
  <c r="J214" i="2"/>
  <c r="J162" i="2"/>
  <c r="J89" i="2"/>
  <c r="N340" i="2"/>
  <c r="I211" i="2"/>
  <c r="L95" i="2"/>
  <c r="I247" i="2"/>
  <c r="L173" i="2"/>
  <c r="I250" i="2"/>
  <c r="E341" i="2"/>
  <c r="I226" i="2"/>
  <c r="I263" i="2"/>
  <c r="E276" i="2"/>
  <c r="I259" i="2"/>
  <c r="K124" i="2"/>
  <c r="E327" i="2"/>
  <c r="E107" i="2"/>
  <c r="G338" i="2"/>
  <c r="E139" i="2"/>
  <c r="G144" i="2"/>
  <c r="H194" i="2"/>
  <c r="G302" i="2"/>
  <c r="G179" i="2"/>
  <c r="G287" i="2"/>
  <c r="H256" i="2"/>
  <c r="K269" i="2"/>
  <c r="K6" i="2"/>
  <c r="K206" i="2"/>
  <c r="K223" i="2"/>
  <c r="I160" i="2"/>
  <c r="J315" i="2"/>
  <c r="H293" i="2"/>
  <c r="F233" i="2"/>
  <c r="G98" i="2"/>
  <c r="F197" i="2"/>
  <c r="H344" i="2"/>
  <c r="G321" i="2"/>
  <c r="G296" i="2"/>
  <c r="G223" i="2"/>
  <c r="H330" i="2"/>
  <c r="G349" i="2"/>
  <c r="G184" i="2"/>
  <c r="G259" i="2"/>
  <c r="H290" i="2"/>
  <c r="G89" i="2"/>
  <c r="L312" i="2"/>
  <c r="K321" i="2"/>
  <c r="K308" i="2"/>
  <c r="M78" i="2"/>
  <c r="K356" i="2"/>
  <c r="K44" i="2"/>
  <c r="K150" i="2"/>
  <c r="J138" i="2"/>
  <c r="G45" i="2"/>
  <c r="G200" i="2"/>
  <c r="G154" i="2"/>
  <c r="M278" i="2"/>
  <c r="J286" i="2"/>
  <c r="G239" i="2"/>
  <c r="J103" i="2"/>
  <c r="M359" i="2"/>
  <c r="J3" i="2"/>
  <c r="M318" i="2"/>
  <c r="J66" i="2"/>
  <c r="J30" i="2"/>
  <c r="G22" i="2"/>
  <c r="G115" i="2"/>
  <c r="F335" i="2"/>
  <c r="M305" i="2"/>
  <c r="H173" i="2"/>
  <c r="M266" i="2"/>
  <c r="F284" i="2"/>
  <c r="H312" i="2"/>
  <c r="H61" i="2"/>
  <c r="H26" i="2"/>
  <c r="H275" i="2"/>
  <c r="H356" i="2"/>
  <c r="I281" i="2"/>
  <c r="I244" i="2"/>
  <c r="H169" i="2"/>
  <c r="I232" i="2"/>
  <c r="H223" i="2"/>
  <c r="E211" i="2"/>
  <c r="H89" i="2"/>
  <c r="L53" i="2"/>
  <c r="L18" i="2"/>
  <c r="L111" i="2"/>
  <c r="H180" i="2"/>
  <c r="L334" i="2"/>
  <c r="H321" i="2"/>
  <c r="L196" i="2"/>
  <c r="I22" i="2"/>
  <c r="I115" i="2"/>
  <c r="N255" i="2"/>
  <c r="E133" i="2"/>
  <c r="N301" i="2"/>
  <c r="N178" i="2"/>
  <c r="E287" i="2"/>
  <c r="F352" i="2"/>
  <c r="F221" i="2"/>
  <c r="J76" i="2"/>
  <c r="N147" i="2"/>
  <c r="E215" i="2"/>
  <c r="E163" i="2"/>
  <c r="F98" i="2"/>
  <c r="K272" i="2"/>
  <c r="E338" i="2"/>
  <c r="F266" i="2"/>
  <c r="I61" i="2"/>
  <c r="I26" i="2"/>
  <c r="I312" i="2"/>
  <c r="I58" i="2"/>
  <c r="I14" i="2"/>
  <c r="E290" i="2"/>
  <c r="E344" i="2"/>
  <c r="F211" i="2"/>
  <c r="F263" i="2"/>
  <c r="F160" i="2"/>
  <c r="J263" i="2"/>
  <c r="E118" i="2"/>
  <c r="J259" i="2"/>
  <c r="E79" i="2"/>
  <c r="J284" i="2"/>
  <c r="M60" i="2"/>
  <c r="M16" i="2"/>
  <c r="J326" i="2"/>
  <c r="M58" i="2"/>
  <c r="M14" i="2"/>
  <c r="J296" i="2"/>
  <c r="J191" i="2"/>
  <c r="M272" i="2"/>
  <c r="J173" i="2"/>
  <c r="J247" i="2"/>
  <c r="J232" i="2"/>
  <c r="J250" i="2"/>
  <c r="J275" i="2"/>
  <c r="F151" i="2"/>
  <c r="G253" i="2"/>
  <c r="F6" i="2"/>
  <c r="F206" i="2"/>
  <c r="M334" i="2"/>
  <c r="I184" i="2"/>
  <c r="L241" i="2"/>
  <c r="I308" i="2"/>
  <c r="L71" i="2"/>
  <c r="L36" i="2"/>
  <c r="I269" i="2"/>
  <c r="K232" i="2"/>
  <c r="J223" i="2"/>
  <c r="K106" i="2"/>
  <c r="J86" i="2"/>
  <c r="J41" i="2"/>
  <c r="I69" i="2"/>
  <c r="I33" i="2"/>
  <c r="J61" i="2"/>
  <c r="J26" i="2"/>
  <c r="J169" i="2"/>
  <c r="K318" i="2"/>
  <c r="K141" i="2"/>
  <c r="I214" i="2"/>
  <c r="I162" i="2"/>
  <c r="H253" i="2"/>
  <c r="H220" i="2"/>
  <c r="E310" i="2"/>
  <c r="F45" i="2"/>
  <c r="F200" i="2"/>
  <c r="F154" i="2"/>
  <c r="F101" i="2"/>
  <c r="E273" i="2"/>
  <c r="E236" i="2"/>
  <c r="L180" i="2"/>
  <c r="L61" i="2"/>
  <c r="L26" i="2"/>
  <c r="E270" i="2"/>
  <c r="E233" i="2"/>
  <c r="E87" i="2"/>
  <c r="E38" i="2"/>
  <c r="E136" i="2"/>
  <c r="L76" i="2"/>
  <c r="K69" i="2"/>
  <c r="K33" i="2"/>
  <c r="K95" i="2"/>
  <c r="K359" i="2"/>
  <c r="G233" i="2"/>
  <c r="G92" i="2"/>
  <c r="G197" i="2"/>
  <c r="G136" i="2"/>
  <c r="G124" i="2"/>
  <c r="N196" i="2"/>
  <c r="M241" i="2"/>
  <c r="N63" i="2"/>
  <c r="N24" i="2"/>
  <c r="N180" i="2"/>
  <c r="N141" i="2"/>
  <c r="H203" i="2"/>
  <c r="H45" i="2"/>
  <c r="H200" i="2"/>
  <c r="H154" i="2"/>
  <c r="H227" i="2"/>
  <c r="G194" i="2"/>
  <c r="H104" i="2"/>
  <c r="H185" i="2"/>
  <c r="H148" i="2"/>
  <c r="K220" i="2"/>
  <c r="K215" i="2"/>
  <c r="K163" i="2"/>
  <c r="H9" i="2"/>
  <c r="H129" i="2"/>
  <c r="F189" i="2"/>
  <c r="E170" i="2"/>
  <c r="K176" i="2"/>
  <c r="H118" i="2"/>
  <c r="H341" i="2"/>
  <c r="F230" i="2"/>
  <c r="L223" i="2"/>
  <c r="L98" i="2"/>
  <c r="H338" i="2"/>
  <c r="M173" i="2"/>
  <c r="H272" i="2"/>
  <c r="M214" i="2"/>
  <c r="M162" i="2"/>
  <c r="F253" i="2"/>
  <c r="F327" i="2"/>
  <c r="I256" i="2"/>
  <c r="G281" i="2"/>
  <c r="G244" i="2"/>
  <c r="J211" i="2"/>
  <c r="I293" i="2"/>
  <c r="G180" i="2"/>
  <c r="I290" i="2"/>
  <c r="G169" i="2"/>
  <c r="E160" i="2"/>
  <c r="G335" i="2"/>
  <c r="H287" i="2"/>
  <c r="H239" i="2"/>
  <c r="I46" i="2"/>
  <c r="I201" i="2"/>
  <c r="I155" i="2"/>
  <c r="H302" i="2"/>
  <c r="H179" i="2"/>
  <c r="E226" i="2"/>
  <c r="E357" i="2"/>
  <c r="E322" i="2"/>
  <c r="K315" i="2"/>
  <c r="K253" i="2"/>
  <c r="F276" i="2"/>
  <c r="F242" i="2"/>
  <c r="H281" i="2"/>
  <c r="H244" i="2"/>
  <c r="H326" i="2"/>
  <c r="N305" i="2"/>
  <c r="H66" i="2"/>
  <c r="H30" i="2"/>
  <c r="N266" i="2"/>
  <c r="H184" i="2"/>
  <c r="N278" i="2"/>
  <c r="N318" i="2"/>
  <c r="J349" i="2"/>
  <c r="J235" i="2"/>
  <c r="I141" i="2"/>
  <c r="I330" i="2"/>
  <c r="J95" i="2"/>
  <c r="J281" i="2"/>
  <c r="J244" i="2"/>
  <c r="J359" i="2"/>
  <c r="I191" i="2"/>
  <c r="E151" i="2"/>
  <c r="E86" i="2"/>
  <c r="E41" i="2"/>
  <c r="M312" i="2"/>
  <c r="K241" i="2"/>
  <c r="F62" i="2"/>
  <c r="F27" i="2"/>
  <c r="K202" i="2"/>
  <c r="F315" i="2"/>
  <c r="G76" i="2"/>
  <c r="M147" i="2"/>
  <c r="J106" i="2"/>
  <c r="M352" i="2"/>
  <c r="M221" i="2"/>
  <c r="J337" i="2"/>
  <c r="M262" i="2"/>
  <c r="J141" i="2"/>
  <c r="N117" i="2"/>
  <c r="N359" i="2"/>
  <c r="M196" i="2"/>
  <c r="I76" i="2"/>
  <c r="M132" i="2"/>
  <c r="K304" i="2"/>
  <c r="K146" i="2"/>
  <c r="K343" i="2"/>
  <c r="K71" i="2"/>
  <c r="K36" i="2"/>
  <c r="L344" i="2"/>
  <c r="G214" i="2"/>
  <c r="G162" i="2"/>
  <c r="G356" i="2"/>
  <c r="I95" i="2"/>
  <c r="H22" i="2"/>
  <c r="H115" i="2"/>
  <c r="F226" i="2"/>
  <c r="F9" i="2"/>
  <c r="F129" i="2"/>
  <c r="I173" i="2"/>
  <c r="L202" i="2"/>
  <c r="F86" i="2"/>
  <c r="F41" i="2"/>
  <c r="L6" i="2"/>
  <c r="L206" i="2"/>
  <c r="G266" i="2"/>
  <c r="L292" i="2"/>
  <c r="G88" i="2"/>
  <c r="G39" i="2"/>
  <c r="G62" i="2"/>
  <c r="G27" i="2"/>
  <c r="G54" i="2"/>
  <c r="G19" i="2"/>
  <c r="G112" i="2"/>
  <c r="G315" i="2"/>
  <c r="I326" i="2"/>
  <c r="I66" i="2"/>
  <c r="I30" i="2"/>
  <c r="I275" i="2"/>
  <c r="F344" i="2"/>
  <c r="F194" i="2"/>
  <c r="F256" i="2"/>
  <c r="F290" i="2"/>
  <c r="J22" i="2"/>
  <c r="J115" i="2"/>
  <c r="I356" i="2"/>
  <c r="K278" i="2"/>
  <c r="K60" i="2"/>
  <c r="K16" i="2"/>
  <c r="K180" i="2"/>
  <c r="K337" i="2"/>
  <c r="K235" i="2"/>
  <c r="K138" i="2"/>
  <c r="E256" i="2"/>
  <c r="I169" i="2"/>
  <c r="E305" i="2"/>
  <c r="E104" i="2"/>
  <c r="E64" i="2"/>
  <c r="E25" i="2"/>
  <c r="E9" i="2"/>
  <c r="E129" i="2"/>
  <c r="E302" i="2"/>
  <c r="E179" i="2"/>
  <c r="E148" i="2"/>
  <c r="I20" i="2"/>
  <c r="I113" i="2"/>
  <c r="F64" i="2"/>
  <c r="F25" i="2"/>
  <c r="F7" i="2"/>
  <c r="F207" i="2"/>
  <c r="F53" i="2"/>
  <c r="F18" i="2"/>
  <c r="F111" i="2"/>
  <c r="M292" i="2"/>
  <c r="H266" i="2"/>
  <c r="M348" i="2"/>
  <c r="F133" i="2"/>
  <c r="H214" i="2"/>
  <c r="H162" i="2"/>
  <c r="F215" i="2"/>
  <c r="F163" i="2"/>
  <c r="F48" i="2"/>
  <c r="F205" i="2"/>
  <c r="G226" i="2"/>
  <c r="G160" i="2"/>
  <c r="J54" i="2"/>
  <c r="J19" i="2"/>
  <c r="J112" i="2"/>
  <c r="J47" i="2"/>
  <c r="J204" i="2"/>
  <c r="J269" i="2"/>
  <c r="J58" i="2"/>
  <c r="J14" i="2"/>
  <c r="J184" i="2"/>
  <c r="J56" i="2"/>
  <c r="J12" i="2"/>
  <c r="J312" i="2"/>
  <c r="J98" i="2"/>
  <c r="J20" i="2"/>
  <c r="J113" i="2"/>
  <c r="K81" i="2"/>
  <c r="I194" i="2"/>
  <c r="N229" i="2"/>
  <c r="I9" i="2"/>
  <c r="I129" i="2"/>
  <c r="N202" i="2"/>
  <c r="I151" i="2"/>
  <c r="N106" i="2"/>
  <c r="N334" i="2"/>
  <c r="N3" i="2"/>
  <c r="N6" i="2"/>
  <c r="N206" i="2"/>
  <c r="I220" i="2"/>
  <c r="N71" i="2"/>
  <c r="N36" i="2"/>
  <c r="I89" i="2"/>
  <c r="F118" i="2"/>
  <c r="F72" i="2"/>
  <c r="F37" i="2"/>
  <c r="K284" i="2"/>
  <c r="F139" i="2"/>
  <c r="K250" i="2"/>
  <c r="F107" i="2"/>
  <c r="M202" i="2"/>
  <c r="K296" i="2"/>
  <c r="K89" i="2"/>
  <c r="G151" i="2"/>
  <c r="L235" i="2"/>
  <c r="H67" i="2"/>
  <c r="H31" i="2"/>
  <c r="K56" i="2"/>
  <c r="K12" i="2"/>
  <c r="H64" i="2"/>
  <c r="H25" i="2"/>
  <c r="K247" i="2"/>
  <c r="M22" i="2"/>
  <c r="M115" i="2"/>
  <c r="K101" i="2"/>
  <c r="E164" i="2"/>
  <c r="E297" i="2"/>
  <c r="H92" i="2"/>
  <c r="E167" i="2"/>
  <c r="E292" i="2"/>
  <c r="J303" i="2"/>
  <c r="J145" i="2"/>
  <c r="H72" i="2"/>
  <c r="H37" i="2"/>
  <c r="E181" i="2"/>
  <c r="J160" i="2"/>
  <c r="G48" i="2"/>
  <c r="G205" i="2"/>
  <c r="E47" i="2"/>
  <c r="E204" i="2"/>
  <c r="H79" i="2"/>
  <c r="H211" i="2"/>
  <c r="K22" i="2"/>
  <c r="K115" i="2"/>
  <c r="G107" i="2"/>
  <c r="K173" i="2"/>
  <c r="G7" i="2"/>
  <c r="G207" i="2"/>
  <c r="G64" i="2"/>
  <c r="G25" i="2"/>
  <c r="L141" i="2"/>
  <c r="G53" i="2"/>
  <c r="G18" i="2"/>
  <c r="G111" i="2"/>
  <c r="E197" i="2"/>
  <c r="E20" i="2"/>
  <c r="E113" i="2"/>
  <c r="K54" i="2"/>
  <c r="K19" i="2"/>
  <c r="K112" i="2"/>
  <c r="E4" i="2"/>
  <c r="F236" i="2"/>
  <c r="E59" i="2"/>
  <c r="E15" i="2"/>
  <c r="K62" i="2"/>
  <c r="K27" i="2"/>
  <c r="F273" i="2"/>
  <c r="L69" i="2"/>
  <c r="L33" i="2"/>
  <c r="M81" i="2"/>
  <c r="L89" i="2"/>
  <c r="H59" i="2"/>
  <c r="H15" i="2"/>
  <c r="L124" i="2"/>
  <c r="H133" i="2"/>
  <c r="L101" i="2"/>
  <c r="M76" i="2"/>
  <c r="N166" i="2"/>
  <c r="G82" i="2"/>
  <c r="I79" i="2"/>
  <c r="I104" i="2"/>
  <c r="J151" i="2"/>
  <c r="M95" i="2"/>
  <c r="I59" i="2"/>
  <c r="I15" i="2"/>
  <c r="J142" i="2"/>
  <c r="E43" i="2"/>
  <c r="E149" i="2"/>
  <c r="J46" i="2"/>
  <c r="J201" i="2"/>
  <c r="J155" i="2"/>
  <c r="E96" i="2"/>
  <c r="J9" i="2"/>
  <c r="J129" i="2"/>
  <c r="E57" i="2"/>
  <c r="E13" i="2"/>
  <c r="J194" i="2"/>
  <c r="L22" i="2"/>
  <c r="L115" i="2"/>
  <c r="K118" i="2"/>
  <c r="H136" i="2"/>
  <c r="N61" i="2"/>
  <c r="N26" i="2"/>
  <c r="H197" i="2"/>
  <c r="G139" i="2"/>
  <c r="G189" i="2"/>
  <c r="I185" i="2"/>
  <c r="I45" i="2"/>
  <c r="I200" i="2"/>
  <c r="I154" i="2"/>
  <c r="I148" i="2"/>
  <c r="K160" i="2"/>
  <c r="F87" i="2"/>
  <c r="F38" i="2"/>
  <c r="K133" i="2"/>
  <c r="F292" i="2"/>
  <c r="K211" i="2"/>
  <c r="F308" i="2"/>
  <c r="F297" i="2"/>
  <c r="K303" i="2"/>
  <c r="K145" i="2"/>
  <c r="J293" i="2"/>
  <c r="M98" i="2"/>
  <c r="J290" i="2"/>
  <c r="M124" i="2"/>
  <c r="J256" i="2"/>
  <c r="E279" i="2"/>
  <c r="E267" i="2"/>
  <c r="F170" i="2"/>
  <c r="E352" i="2"/>
  <c r="E221" i="2"/>
  <c r="I287" i="2"/>
  <c r="F355" i="2"/>
  <c r="F360" i="2"/>
  <c r="I239" i="2"/>
  <c r="F357" i="2"/>
  <c r="I227" i="2"/>
  <c r="N173" i="2"/>
  <c r="F310" i="2"/>
  <c r="G230" i="2"/>
  <c r="G327" i="2"/>
  <c r="M6" i="2"/>
  <c r="M206" i="2"/>
  <c r="E360" i="2"/>
  <c r="G276" i="2"/>
  <c r="E316" i="2"/>
  <c r="F175" i="2"/>
  <c r="F137" i="2"/>
  <c r="G264" i="2"/>
  <c r="F132" i="2"/>
  <c r="E319" i="2"/>
  <c r="F171" i="2"/>
  <c r="G242" i="2"/>
  <c r="F166" i="2"/>
  <c r="E306" i="2"/>
  <c r="F181" i="2"/>
  <c r="M344" i="2"/>
  <c r="M223" i="2"/>
  <c r="M64" i="2"/>
  <c r="M25" i="2"/>
  <c r="M259" i="2"/>
  <c r="L253" i="2"/>
  <c r="L56" i="2"/>
  <c r="L12" i="2"/>
  <c r="L60" i="2"/>
  <c r="L16" i="2"/>
  <c r="L58" i="2"/>
  <c r="L14" i="2"/>
  <c r="H270" i="2"/>
  <c r="L4" i="2"/>
  <c r="H233" i="2"/>
  <c r="I341" i="2"/>
  <c r="I338" i="2"/>
  <c r="I322" i="2"/>
  <c r="I302" i="2"/>
  <c r="I179" i="2"/>
  <c r="H101" i="2"/>
  <c r="H62" i="2"/>
  <c r="H27" i="2"/>
  <c r="H87" i="2"/>
  <c r="H38" i="2"/>
  <c r="K349" i="2"/>
  <c r="G60" i="2"/>
  <c r="G16" i="2"/>
  <c r="J311" i="2"/>
  <c r="K357" i="2"/>
  <c r="G86" i="2"/>
  <c r="G41" i="2"/>
  <c r="N214" i="2"/>
  <c r="N162" i="2"/>
  <c r="H75" i="2"/>
  <c r="L79" i="2"/>
  <c r="J294" i="2"/>
  <c r="J302" i="2"/>
  <c r="J179" i="2"/>
  <c r="J134" i="2"/>
  <c r="J147" i="2"/>
  <c r="J144" i="2"/>
  <c r="J139" i="2"/>
  <c r="E56" i="2"/>
  <c r="E12" i="2"/>
  <c r="N352" i="2"/>
  <c r="N221" i="2"/>
  <c r="J152" i="2"/>
  <c r="E99" i="2"/>
  <c r="N312" i="2"/>
  <c r="E67" i="2"/>
  <c r="E31" i="2"/>
  <c r="K45" i="2"/>
  <c r="K200" i="2"/>
  <c r="K154" i="2"/>
  <c r="K66" i="2"/>
  <c r="K30" i="2"/>
  <c r="M90" i="2"/>
  <c r="M68" i="2"/>
  <c r="M32" i="2"/>
  <c r="I64" i="2"/>
  <c r="I25" i="2"/>
  <c r="I85" i="2"/>
  <c r="I40" i="2"/>
  <c r="H335" i="2"/>
  <c r="I94" i="2"/>
  <c r="N81" i="2"/>
  <c r="J330" i="2"/>
  <c r="J77" i="2"/>
  <c r="N62" i="2"/>
  <c r="N27" i="2"/>
  <c r="F58" i="2"/>
  <c r="F14" i="2"/>
  <c r="L96" i="2"/>
  <c r="F71" i="2"/>
  <c r="F36" i="2"/>
  <c r="L47" i="2"/>
  <c r="L204" i="2"/>
  <c r="I203" i="2"/>
  <c r="I195" i="2"/>
  <c r="I188" i="2"/>
  <c r="F23" i="2"/>
  <c r="F116" i="2"/>
  <c r="K254" i="2"/>
  <c r="H215" i="2"/>
  <c r="H163" i="2"/>
  <c r="H156" i="2"/>
  <c r="H53" i="2"/>
  <c r="H18" i="2"/>
  <c r="H111" i="2"/>
  <c r="K257" i="2"/>
  <c r="K103" i="2"/>
  <c r="K168" i="2"/>
  <c r="K301" i="2"/>
  <c r="K178" i="2"/>
  <c r="J88" i="2"/>
  <c r="J39" i="2"/>
  <c r="L297" i="2"/>
  <c r="L275" i="2"/>
  <c r="K184" i="2"/>
  <c r="M118" i="2"/>
  <c r="L313" i="2"/>
  <c r="K249" i="2"/>
  <c r="L289" i="2"/>
  <c r="G198" i="2"/>
  <c r="L291" i="2"/>
  <c r="H124" i="2"/>
  <c r="L302" i="2"/>
  <c r="L179" i="2"/>
  <c r="L20" i="2"/>
  <c r="L113" i="2"/>
  <c r="G213" i="2"/>
  <c r="L308" i="2"/>
  <c r="E44" i="2"/>
  <c r="E150" i="2"/>
  <c r="E142" i="2"/>
  <c r="E106" i="2"/>
  <c r="G6" i="2"/>
  <c r="G206" i="2"/>
  <c r="L285" i="2"/>
  <c r="L271" i="2"/>
  <c r="J226" i="2"/>
  <c r="L311" i="2"/>
  <c r="J352" i="2"/>
  <c r="J221" i="2"/>
  <c r="L293" i="2"/>
  <c r="L319" i="2"/>
  <c r="J234" i="2"/>
  <c r="M316" i="2"/>
  <c r="L279" i="2"/>
  <c r="H229" i="2"/>
  <c r="L306" i="2"/>
  <c r="M307" i="2"/>
  <c r="L8" i="2"/>
  <c r="L128" i="2"/>
  <c r="L295" i="2"/>
  <c r="H237" i="2"/>
  <c r="K326" i="2"/>
  <c r="L323" i="2"/>
  <c r="H242" i="2"/>
  <c r="K263" i="2"/>
  <c r="L327" i="2"/>
  <c r="L281" i="2"/>
  <c r="L244" i="2"/>
  <c r="F247" i="2"/>
  <c r="K331" i="2"/>
  <c r="L315" i="2"/>
  <c r="L286" i="2"/>
  <c r="F252" i="2"/>
  <c r="L321" i="2"/>
  <c r="L276" i="2"/>
  <c r="M160" i="2"/>
  <c r="E219" i="2"/>
  <c r="L273" i="2"/>
  <c r="L287" i="2"/>
  <c r="G279" i="2"/>
  <c r="E232" i="2"/>
  <c r="L317" i="2"/>
  <c r="G274" i="2"/>
  <c r="I215" i="2"/>
  <c r="I163" i="2"/>
  <c r="E224" i="2"/>
  <c r="L277" i="2"/>
  <c r="I171" i="2"/>
  <c r="G289" i="2"/>
  <c r="L304" i="2"/>
  <c r="L146" i="2"/>
  <c r="I156" i="2"/>
  <c r="L66" i="2"/>
  <c r="L30" i="2"/>
  <c r="G284" i="2"/>
  <c r="I53" i="2"/>
  <c r="I18" i="2"/>
  <c r="I111" i="2"/>
  <c r="L45" i="2"/>
  <c r="L200" i="2"/>
  <c r="L154" i="2"/>
  <c r="G132" i="2"/>
  <c r="L103" i="2"/>
  <c r="H314" i="2"/>
  <c r="G166" i="2"/>
  <c r="L357" i="2"/>
  <c r="H319" i="2"/>
  <c r="G181" i="2"/>
  <c r="E82" i="2"/>
  <c r="G175" i="2"/>
  <c r="H305" i="2"/>
  <c r="F106" i="2"/>
  <c r="G137" i="2"/>
  <c r="F99" i="2"/>
  <c r="F260" i="2"/>
  <c r="F67" i="2"/>
  <c r="F31" i="2"/>
  <c r="F329" i="2"/>
  <c r="M239" i="2"/>
  <c r="F339" i="2"/>
  <c r="K152" i="2"/>
  <c r="F322" i="2"/>
  <c r="I62" i="2"/>
  <c r="I27" i="2"/>
  <c r="K134" i="2"/>
  <c r="L210" i="2"/>
  <c r="G308" i="2"/>
  <c r="I351" i="2"/>
  <c r="I271" i="2"/>
  <c r="K147" i="2"/>
  <c r="G292" i="2"/>
  <c r="I344" i="2"/>
  <c r="N190" i="2"/>
  <c r="K139" i="2"/>
  <c r="G297" i="2"/>
  <c r="I266" i="2"/>
  <c r="I336" i="2"/>
  <c r="G355" i="2"/>
  <c r="K311" i="2"/>
  <c r="G71" i="2"/>
  <c r="G36" i="2"/>
  <c r="G58" i="2"/>
  <c r="G14" i="2"/>
  <c r="K294" i="2"/>
  <c r="K302" i="2"/>
  <c r="K179" i="2"/>
  <c r="G360" i="2"/>
  <c r="K77" i="2"/>
  <c r="J94" i="2"/>
  <c r="J85" i="2"/>
  <c r="J40" i="2"/>
  <c r="K341" i="2"/>
  <c r="K88" i="2"/>
  <c r="K39" i="2"/>
  <c r="N268" i="2"/>
  <c r="M54" i="2"/>
  <c r="M19" i="2"/>
  <c r="M112" i="2"/>
  <c r="E54" i="2"/>
  <c r="E19" i="2"/>
  <c r="E112" i="2"/>
  <c r="I23" i="2"/>
  <c r="I116" i="2"/>
  <c r="L249" i="2"/>
  <c r="M20" i="2"/>
  <c r="M113" i="2"/>
  <c r="L257" i="2"/>
  <c r="F303" i="2"/>
  <c r="F145" i="2"/>
  <c r="G260" i="2"/>
  <c r="F44" i="2"/>
  <c r="F150" i="2"/>
  <c r="G247" i="2"/>
  <c r="F142" i="2"/>
  <c r="G255" i="2"/>
  <c r="I124" i="2"/>
  <c r="N348" i="2"/>
  <c r="G252" i="2"/>
  <c r="L301" i="2"/>
  <c r="L178" i="2"/>
  <c r="K226" i="2"/>
  <c r="L168" i="2"/>
  <c r="K234" i="2"/>
  <c r="K229" i="2"/>
  <c r="E191" i="2"/>
  <c r="E264" i="2"/>
  <c r="E46" i="2"/>
  <c r="E201" i="2"/>
  <c r="E155" i="2"/>
  <c r="I237" i="2"/>
  <c r="I242" i="2"/>
  <c r="H198" i="2"/>
  <c r="J188" i="2"/>
  <c r="H213" i="2"/>
  <c r="N160" i="2"/>
  <c r="H6" i="2"/>
  <c r="H206" i="2"/>
  <c r="E185" i="2"/>
  <c r="J203" i="2"/>
  <c r="M8" i="2"/>
  <c r="M128" i="2"/>
  <c r="J266" i="2"/>
  <c r="J195" i="2"/>
  <c r="F232" i="2"/>
  <c r="F224" i="2"/>
  <c r="F219" i="2"/>
  <c r="M286" i="2"/>
  <c r="M276" i="2"/>
  <c r="G339" i="2"/>
  <c r="J344" i="2"/>
  <c r="G322" i="2"/>
  <c r="J351" i="2"/>
  <c r="G329" i="2"/>
  <c r="J64" i="2"/>
  <c r="J25" i="2"/>
  <c r="J279" i="2"/>
  <c r="H60" i="2"/>
  <c r="H16" i="2"/>
  <c r="J271" i="2"/>
  <c r="H360" i="2"/>
  <c r="I305" i="2"/>
  <c r="H86" i="2"/>
  <c r="H41" i="2"/>
  <c r="H355" i="2"/>
  <c r="I319" i="2"/>
  <c r="N239" i="2"/>
  <c r="I314" i="2"/>
  <c r="H284" i="2"/>
  <c r="M210" i="2"/>
  <c r="H274" i="2"/>
  <c r="H289" i="2"/>
  <c r="N316" i="2"/>
  <c r="M21" i="2"/>
  <c r="M114" i="2"/>
  <c r="N4" i="2"/>
  <c r="L326" i="2"/>
  <c r="N56" i="2"/>
  <c r="N12" i="2"/>
  <c r="L336" i="2"/>
  <c r="N47" i="2"/>
  <c r="N204" i="2"/>
  <c r="M79" i="2"/>
  <c r="M23" i="2"/>
  <c r="M116" i="2"/>
  <c r="E269" i="2"/>
  <c r="M357" i="2"/>
  <c r="E342" i="2"/>
  <c r="M96" i="2"/>
  <c r="E334" i="2"/>
  <c r="I75" i="2"/>
  <c r="K64" i="2"/>
  <c r="K25" i="2"/>
  <c r="K85" i="2"/>
  <c r="K40" i="2"/>
  <c r="E65" i="2"/>
  <c r="E29" i="2"/>
  <c r="N79" i="2"/>
  <c r="E349" i="2"/>
  <c r="E69" i="2"/>
  <c r="E33" i="2"/>
  <c r="E48" i="2"/>
  <c r="E205" i="2"/>
  <c r="G91" i="2"/>
  <c r="E61" i="2"/>
  <c r="E26" i="2"/>
  <c r="G69" i="2"/>
  <c r="G33" i="2"/>
  <c r="J62" i="2"/>
  <c r="J27" i="2"/>
  <c r="E122" i="2"/>
  <c r="I71" i="2"/>
  <c r="I36" i="2"/>
  <c r="J87" i="2"/>
  <c r="J38" i="2"/>
  <c r="I86" i="2"/>
  <c r="I41" i="2"/>
  <c r="I60" i="2"/>
  <c r="I16" i="2"/>
  <c r="I87" i="2"/>
  <c r="I38" i="2"/>
  <c r="F82" i="2"/>
  <c r="I101" i="2"/>
  <c r="G67" i="2"/>
  <c r="G31" i="2"/>
  <c r="G56" i="2"/>
  <c r="G12" i="2"/>
  <c r="J75" i="2"/>
  <c r="L77" i="2"/>
  <c r="I295" i="2"/>
  <c r="F56" i="2"/>
  <c r="F12" i="2"/>
  <c r="I318" i="2"/>
  <c r="F65" i="2"/>
  <c r="F29" i="2"/>
  <c r="I272" i="2"/>
  <c r="F54" i="2"/>
  <c r="F19" i="2"/>
  <c r="F112" i="2"/>
  <c r="N293" i="2"/>
  <c r="F69" i="2"/>
  <c r="F33" i="2"/>
  <c r="N252" i="2"/>
  <c r="N254" i="2"/>
  <c r="M66" i="2"/>
  <c r="M30" i="2"/>
  <c r="N289" i="2"/>
  <c r="N285" i="2"/>
  <c r="N275" i="2"/>
  <c r="H181" i="2"/>
  <c r="N263" i="2"/>
  <c r="H166" i="2"/>
  <c r="N277" i="2"/>
  <c r="N58" i="2"/>
  <c r="N14" i="2"/>
  <c r="H175" i="2"/>
  <c r="N265" i="2"/>
  <c r="N60" i="2"/>
  <c r="N16" i="2"/>
  <c r="N291" i="2"/>
  <c r="N281" i="2"/>
  <c r="N244" i="2"/>
  <c r="J23" i="2"/>
  <c r="J116" i="2"/>
  <c r="H132" i="2"/>
  <c r="N273" i="2"/>
  <c r="H71" i="2"/>
  <c r="H36" i="2"/>
  <c r="H91" i="2"/>
  <c r="L294" i="2"/>
  <c r="H137" i="2"/>
  <c r="N279" i="2"/>
  <c r="H58" i="2"/>
  <c r="H14" i="2"/>
  <c r="G142" i="2"/>
  <c r="J171" i="2"/>
  <c r="N287" i="2"/>
  <c r="G99" i="2"/>
  <c r="H69" i="2"/>
  <c r="H33" i="2"/>
  <c r="G303" i="2"/>
  <c r="G145" i="2"/>
  <c r="N302" i="2"/>
  <c r="N179" i="2"/>
  <c r="J242" i="2"/>
  <c r="L43" i="2"/>
  <c r="L149" i="2"/>
  <c r="G44" i="2"/>
  <c r="G150" i="2"/>
  <c r="N269" i="2"/>
  <c r="G106" i="2"/>
  <c r="J237" i="2"/>
  <c r="F122" i="2"/>
  <c r="N258" i="2"/>
  <c r="J215" i="2"/>
  <c r="J163" i="2"/>
  <c r="J53" i="2"/>
  <c r="J18" i="2"/>
  <c r="J111" i="2"/>
  <c r="N297" i="2"/>
  <c r="J156" i="2"/>
  <c r="J101" i="2"/>
  <c r="N295" i="2"/>
  <c r="L147" i="2"/>
  <c r="L88" i="2"/>
  <c r="L39" i="2"/>
  <c r="N256" i="2"/>
  <c r="N248" i="2"/>
  <c r="L139" i="2"/>
  <c r="N271" i="2"/>
  <c r="N20" i="2"/>
  <c r="N113" i="2"/>
  <c r="N260" i="2"/>
  <c r="E161" i="2"/>
  <c r="E45" i="2"/>
  <c r="E200" i="2"/>
  <c r="E154" i="2"/>
  <c r="N267" i="2"/>
  <c r="N250" i="2"/>
  <c r="M134" i="2"/>
  <c r="M103" i="2"/>
  <c r="J124" i="2"/>
  <c r="M168" i="2"/>
  <c r="N96" i="2"/>
  <c r="N8" i="2"/>
  <c r="N128" i="2"/>
  <c r="M339" i="2"/>
  <c r="M301" i="2"/>
  <c r="M178" i="2"/>
  <c r="M345" i="2"/>
  <c r="G232" i="2"/>
  <c r="M329" i="2"/>
  <c r="G224" i="2"/>
  <c r="G219" i="2"/>
  <c r="M315" i="2"/>
  <c r="I213" i="2"/>
  <c r="M304" i="2"/>
  <c r="M146" i="2"/>
  <c r="I6" i="2"/>
  <c r="I206" i="2"/>
  <c r="M343" i="2"/>
  <c r="I198" i="2"/>
  <c r="M317" i="2"/>
  <c r="K195" i="2"/>
  <c r="M311" i="2"/>
  <c r="K203" i="2"/>
  <c r="M319" i="2"/>
  <c r="K188" i="2"/>
  <c r="M349" i="2"/>
  <c r="M337" i="2"/>
  <c r="K94" i="2"/>
  <c r="M308" i="2"/>
  <c r="M341" i="2"/>
  <c r="F185" i="2"/>
  <c r="M331" i="2"/>
  <c r="F191" i="2"/>
  <c r="E227" i="2"/>
  <c r="M302" i="2"/>
  <c r="M179" i="2"/>
  <c r="M351" i="2"/>
  <c r="E240" i="2"/>
  <c r="E235" i="2"/>
  <c r="M321" i="2"/>
  <c r="M306" i="2"/>
  <c r="N286" i="2"/>
  <c r="M323" i="2"/>
  <c r="N276" i="2"/>
  <c r="M297" i="2"/>
  <c r="I289" i="2"/>
  <c r="I284" i="2"/>
  <c r="I274" i="2"/>
  <c r="M335" i="2"/>
  <c r="M313" i="2"/>
  <c r="L229" i="2"/>
  <c r="N210" i="2"/>
  <c r="K271" i="2"/>
  <c r="M293" i="2"/>
  <c r="K266" i="2"/>
  <c r="M327" i="2"/>
  <c r="K279" i="2"/>
  <c r="H247" i="2"/>
  <c r="M295" i="2"/>
  <c r="H260" i="2"/>
  <c r="H322" i="2"/>
  <c r="H329" i="2"/>
  <c r="H339" i="2"/>
  <c r="H255" i="2"/>
  <c r="H252" i="2"/>
  <c r="I360" i="2"/>
  <c r="I355" i="2"/>
  <c r="J314" i="2"/>
  <c r="J319" i="2"/>
  <c r="M61" i="2"/>
  <c r="M26" i="2"/>
  <c r="M55" i="2"/>
  <c r="M11" i="2"/>
  <c r="M67" i="2"/>
  <c r="M31" i="2"/>
  <c r="J305" i="2"/>
  <c r="M87" i="2"/>
  <c r="M38" i="2"/>
  <c r="H76" i="2"/>
  <c r="E317" i="2"/>
  <c r="M59" i="2"/>
  <c r="M15" i="2"/>
  <c r="K82" i="2"/>
  <c r="M336" i="2"/>
  <c r="E312" i="2"/>
  <c r="I78" i="2"/>
  <c r="M326" i="2"/>
  <c r="F269" i="2"/>
  <c r="M65" i="2"/>
  <c r="M29" i="2"/>
  <c r="M85" i="2"/>
  <c r="M40" i="2"/>
  <c r="F264" i="2"/>
  <c r="J80" i="2"/>
  <c r="M43" i="2"/>
  <c r="M149" i="2"/>
  <c r="E8" i="2"/>
  <c r="E128" i="2"/>
  <c r="M69" i="2"/>
  <c r="M33" i="2"/>
  <c r="M71" i="2"/>
  <c r="M36" i="2"/>
  <c r="M257" i="2"/>
  <c r="E68" i="2"/>
  <c r="E32" i="2"/>
  <c r="M57" i="2"/>
  <c r="M13" i="2"/>
  <c r="M47" i="2"/>
  <c r="M204" i="2"/>
  <c r="M249" i="2"/>
  <c r="E91" i="2"/>
  <c r="K123" i="2"/>
  <c r="G23" i="2"/>
  <c r="G116" i="2"/>
  <c r="L46" i="2"/>
  <c r="L201" i="2"/>
  <c r="L155" i="2"/>
  <c r="M53" i="2"/>
  <c r="M18" i="2"/>
  <c r="M111" i="2"/>
  <c r="L197" i="2"/>
  <c r="M63" i="2"/>
  <c r="M24" i="2"/>
  <c r="L195" i="2"/>
  <c r="M88" i="2"/>
  <c r="M39" i="2"/>
  <c r="J272" i="2"/>
  <c r="J295" i="2"/>
  <c r="L106" i="2"/>
  <c r="L161" i="2"/>
  <c r="K344" i="2"/>
  <c r="J318" i="2"/>
  <c r="K351" i="2"/>
  <c r="L86" i="2"/>
  <c r="L41" i="2"/>
  <c r="L186" i="2"/>
  <c r="E21" i="2"/>
  <c r="E114" i="2"/>
  <c r="L169" i="2"/>
  <c r="G96" i="2"/>
  <c r="G72" i="2"/>
  <c r="G37" i="2"/>
  <c r="L174" i="2"/>
  <c r="N357" i="2"/>
  <c r="F94" i="2"/>
  <c r="I133" i="2"/>
  <c r="F342" i="2"/>
  <c r="L176" i="2"/>
  <c r="I180" i="2"/>
  <c r="F70" i="2"/>
  <c r="F34" i="2"/>
  <c r="F334" i="2"/>
  <c r="I157" i="2"/>
  <c r="F349" i="2"/>
  <c r="L191" i="2"/>
  <c r="I118" i="2"/>
  <c r="G171" i="2"/>
  <c r="G147" i="2"/>
  <c r="G196" i="2"/>
  <c r="L181" i="2"/>
  <c r="G131" i="2"/>
  <c r="L189" i="2"/>
  <c r="L152" i="2"/>
  <c r="L148" i="2"/>
  <c r="L184" i="2"/>
  <c r="I100" i="2"/>
  <c r="L171" i="2"/>
  <c r="N65" i="2"/>
  <c r="N29" i="2"/>
  <c r="L144" i="2"/>
  <c r="L48" i="2"/>
  <c r="L205" i="2"/>
  <c r="K166" i="2"/>
  <c r="K191" i="2"/>
  <c r="L7" i="2"/>
  <c r="L207" i="2"/>
  <c r="K144" i="2"/>
  <c r="H189" i="2"/>
  <c r="K135" i="2"/>
  <c r="L203" i="2"/>
  <c r="H98" i="2"/>
  <c r="H142" i="2"/>
  <c r="H164" i="2"/>
  <c r="L167" i="2"/>
  <c r="J102" i="2"/>
  <c r="M137" i="2"/>
  <c r="K104" i="2"/>
  <c r="M151" i="2"/>
  <c r="L157" i="2"/>
  <c r="J174" i="2"/>
  <c r="J43" i="2"/>
  <c r="J149" i="2"/>
  <c r="L142" i="2"/>
  <c r="J198" i="2"/>
  <c r="E214" i="2"/>
  <c r="E162" i="2"/>
  <c r="E186" i="2"/>
  <c r="L44" i="2"/>
  <c r="L150" i="2"/>
  <c r="E140" i="2"/>
  <c r="L165" i="2"/>
  <c r="L199" i="2"/>
  <c r="E255" i="2"/>
  <c r="E210" i="2"/>
  <c r="E234" i="2"/>
  <c r="H212" i="2"/>
  <c r="H257" i="2"/>
  <c r="F46" i="2"/>
  <c r="F201" i="2"/>
  <c r="F155" i="2"/>
  <c r="H236" i="2"/>
  <c r="J224" i="2"/>
  <c r="J280" i="2"/>
  <c r="J243" i="2"/>
  <c r="N168" i="2"/>
  <c r="G265" i="2"/>
  <c r="G353" i="2"/>
  <c r="G222" i="2"/>
  <c r="L183" i="2"/>
  <c r="G241" i="2"/>
  <c r="K214" i="2"/>
  <c r="K162" i="2"/>
  <c r="K238" i="2"/>
  <c r="K259" i="2"/>
  <c r="I229" i="2"/>
  <c r="I252" i="2"/>
  <c r="I48" i="2"/>
  <c r="I205" i="2"/>
  <c r="F227" i="2"/>
  <c r="F203" i="2"/>
  <c r="H327" i="2"/>
  <c r="F250" i="2"/>
  <c r="H279" i="2"/>
  <c r="H303" i="2"/>
  <c r="H145" i="2"/>
  <c r="N262" i="2"/>
  <c r="N219" i="2"/>
  <c r="M247" i="2"/>
  <c r="M45" i="2"/>
  <c r="M200" i="2"/>
  <c r="M154" i="2"/>
  <c r="J313" i="2"/>
  <c r="J288" i="2"/>
  <c r="J267" i="2"/>
  <c r="K305" i="2"/>
  <c r="K281" i="2"/>
  <c r="K244" i="2"/>
  <c r="K329" i="2"/>
  <c r="G286" i="2"/>
  <c r="G334" i="2"/>
  <c r="L231" i="2"/>
  <c r="G311" i="2"/>
  <c r="F293" i="2"/>
  <c r="H23" i="2"/>
  <c r="H116" i="2"/>
  <c r="F316" i="2"/>
  <c r="F21" i="2"/>
  <c r="F114" i="2"/>
  <c r="F270" i="2"/>
  <c r="J100" i="2"/>
  <c r="J360" i="2"/>
  <c r="J336" i="2"/>
  <c r="E277" i="2"/>
  <c r="J118" i="2"/>
  <c r="E323" i="2"/>
  <c r="L82" i="2"/>
  <c r="E301" i="2"/>
  <c r="E178" i="2"/>
  <c r="M106" i="2"/>
  <c r="M290" i="2"/>
  <c r="M86" i="2"/>
  <c r="M41" i="2"/>
  <c r="M338" i="2"/>
  <c r="M46" i="2"/>
  <c r="M201" i="2"/>
  <c r="M155" i="2"/>
  <c r="G94" i="2"/>
  <c r="M215" i="2"/>
  <c r="M163" i="2"/>
  <c r="G358" i="2"/>
  <c r="L274" i="2"/>
  <c r="E89" i="2"/>
  <c r="L320" i="2"/>
  <c r="E348" i="2"/>
  <c r="M191" i="2"/>
  <c r="K102" i="2"/>
  <c r="L238" i="2"/>
  <c r="M236" i="2"/>
  <c r="K352" i="2"/>
  <c r="K221" i="2"/>
  <c r="M291" i="2"/>
  <c r="F91" i="2"/>
  <c r="L263" i="2"/>
  <c r="M199" i="2"/>
  <c r="M240" i="2"/>
  <c r="F341" i="2"/>
  <c r="L224" i="2"/>
  <c r="M265" i="2"/>
  <c r="M195" i="2"/>
  <c r="M271" i="2"/>
  <c r="L258" i="2"/>
  <c r="M285" i="2"/>
  <c r="M254" i="2"/>
  <c r="M220" i="2"/>
  <c r="L250" i="2"/>
  <c r="N307" i="2"/>
  <c r="M263" i="2"/>
  <c r="L228" i="2"/>
  <c r="M250" i="2"/>
  <c r="I343" i="2"/>
  <c r="M181" i="2"/>
  <c r="M273" i="2"/>
  <c r="L265" i="2"/>
  <c r="I98" i="2"/>
  <c r="M258" i="2"/>
  <c r="N53" i="2"/>
  <c r="N18" i="2"/>
  <c r="N111" i="2"/>
  <c r="M279" i="2"/>
  <c r="M232" i="2"/>
  <c r="M123" i="2"/>
  <c r="L240" i="2"/>
  <c r="N355" i="2"/>
  <c r="M256" i="2"/>
  <c r="H350" i="2"/>
  <c r="H131" i="2"/>
  <c r="M277" i="2"/>
  <c r="L254" i="2"/>
  <c r="M48" i="2"/>
  <c r="M205" i="2"/>
  <c r="H96" i="2"/>
  <c r="M281" i="2"/>
  <c r="M244" i="2"/>
  <c r="H171" i="2"/>
  <c r="L230" i="2"/>
  <c r="M275" i="2"/>
  <c r="M238" i="2"/>
  <c r="M171" i="2"/>
  <c r="H147" i="2"/>
  <c r="L215" i="2"/>
  <c r="L163" i="2"/>
  <c r="M260" i="2"/>
  <c r="J157" i="2"/>
  <c r="M287" i="2"/>
  <c r="M174" i="2"/>
  <c r="L248" i="2"/>
  <c r="M252" i="2"/>
  <c r="J133" i="2"/>
  <c r="M267" i="2"/>
  <c r="L226" i="2"/>
  <c r="M289" i="2"/>
  <c r="J180" i="2"/>
  <c r="N151" i="2"/>
  <c r="L211" i="2"/>
  <c r="M224" i="2"/>
  <c r="M269" i="2"/>
  <c r="M242" i="2"/>
  <c r="M186" i="2"/>
  <c r="M248" i="2"/>
  <c r="L267" i="2"/>
  <c r="N137" i="2"/>
  <c r="L252" i="2"/>
  <c r="E303" i="2"/>
  <c r="E145" i="2"/>
  <c r="M203" i="2"/>
  <c r="L256" i="2"/>
  <c r="E169" i="2"/>
  <c r="M211" i="2"/>
  <c r="F140" i="2"/>
  <c r="L234" i="2"/>
  <c r="F186" i="2"/>
  <c r="M228" i="2"/>
  <c r="L269" i="2"/>
  <c r="F214" i="2"/>
  <c r="F162" i="2"/>
  <c r="L220" i="2"/>
  <c r="M226" i="2"/>
  <c r="F8" i="2"/>
  <c r="F128" i="2"/>
  <c r="L213" i="2"/>
  <c r="J252" i="2"/>
  <c r="M184" i="2"/>
  <c r="J229" i="2"/>
  <c r="G46" i="2"/>
  <c r="G201" i="2"/>
  <c r="G155" i="2"/>
  <c r="L260" i="2"/>
  <c r="L104" i="2"/>
  <c r="G301" i="2"/>
  <c r="G178" i="2"/>
  <c r="J48" i="2"/>
  <c r="J205" i="2"/>
  <c r="L236" i="2"/>
  <c r="M176" i="2"/>
  <c r="I164" i="2"/>
  <c r="E239" i="2"/>
  <c r="L242" i="2"/>
  <c r="E194" i="2"/>
  <c r="I142" i="2"/>
  <c r="M7" i="2"/>
  <c r="M207" i="2"/>
  <c r="L232" i="2"/>
  <c r="E220" i="2"/>
  <c r="I189" i="2"/>
  <c r="M234" i="2"/>
  <c r="H353" i="2"/>
  <c r="H222" i="2"/>
  <c r="H241" i="2"/>
  <c r="M197" i="2"/>
  <c r="H196" i="2"/>
  <c r="M230" i="2"/>
  <c r="K43" i="2"/>
  <c r="K149" i="2"/>
  <c r="K224" i="2"/>
  <c r="K174" i="2"/>
  <c r="K198" i="2"/>
  <c r="L166" i="2"/>
  <c r="M189" i="2"/>
  <c r="K280" i="2"/>
  <c r="K243" i="2"/>
  <c r="L135" i="2"/>
  <c r="M213" i="2"/>
  <c r="G203" i="2"/>
  <c r="G250" i="2"/>
  <c r="G227" i="2"/>
  <c r="F255" i="2"/>
  <c r="M183" i="2"/>
  <c r="F234" i="2"/>
  <c r="F210" i="2"/>
  <c r="I257" i="2"/>
  <c r="I350" i="2"/>
  <c r="I212" i="2"/>
  <c r="I327" i="2"/>
  <c r="I236" i="2"/>
  <c r="H311" i="2"/>
  <c r="L140" i="2"/>
  <c r="H286" i="2"/>
  <c r="L132" i="2"/>
  <c r="H265" i="2"/>
  <c r="L54" i="2"/>
  <c r="L19" i="2"/>
  <c r="L112" i="2"/>
  <c r="K267" i="2"/>
  <c r="L138" i="2"/>
  <c r="K313" i="2"/>
  <c r="N247" i="2"/>
  <c r="K288" i="2"/>
  <c r="L136" i="2"/>
  <c r="N45" i="2"/>
  <c r="N200" i="2"/>
  <c r="N154" i="2"/>
  <c r="F323" i="2"/>
  <c r="L352" i="2"/>
  <c r="L221" i="2"/>
  <c r="L134" i="2"/>
  <c r="F277" i="2"/>
  <c r="L9" i="2"/>
  <c r="L129" i="2"/>
  <c r="F301" i="2"/>
  <c r="F178" i="2"/>
  <c r="L214" i="2"/>
  <c r="L162" i="2"/>
  <c r="L305" i="2"/>
  <c r="I303" i="2"/>
  <c r="I145" i="2"/>
  <c r="G270" i="2"/>
  <c r="E263" i="2"/>
  <c r="L259" i="2"/>
  <c r="E308" i="2"/>
  <c r="E284" i="2"/>
  <c r="I279" i="2"/>
  <c r="M231" i="2"/>
  <c r="G316" i="2"/>
  <c r="G293" i="2"/>
  <c r="K336" i="2"/>
  <c r="K360" i="2"/>
  <c r="L118" i="2"/>
  <c r="N290" i="2"/>
  <c r="L21" i="2"/>
  <c r="L114" i="2"/>
  <c r="L23" i="2"/>
  <c r="L116" i="2"/>
  <c r="L125" i="2"/>
  <c r="L123" i="2"/>
  <c r="M320" i="2"/>
  <c r="M274" i="2"/>
  <c r="H358" i="2"/>
  <c r="L345" i="2"/>
  <c r="H334" i="2"/>
  <c r="L329" i="2"/>
  <c r="L360" i="2"/>
  <c r="E356" i="2"/>
  <c r="L358" i="2"/>
  <c r="E330" i="2"/>
  <c r="L341" i="2"/>
  <c r="L351" i="2"/>
  <c r="L349" i="2"/>
  <c r="L331" i="2"/>
  <c r="L343" i="2"/>
  <c r="L339" i="2"/>
  <c r="G341" i="2"/>
  <c r="L356" i="2"/>
  <c r="J343" i="2"/>
  <c r="L337" i="2"/>
  <c r="N338" i="2"/>
  <c r="L335" i="2"/>
  <c r="L353" i="2"/>
  <c r="L222" i="2"/>
  <c r="F348" i="2"/>
  <c r="N174" i="2"/>
  <c r="N134" i="2"/>
  <c r="N132" i="2"/>
  <c r="N44" i="2"/>
  <c r="N150" i="2"/>
  <c r="N136" i="2"/>
  <c r="N165" i="2"/>
  <c r="M157" i="2"/>
  <c r="M142" i="2"/>
  <c r="N148" i="2"/>
  <c r="N176" i="2"/>
  <c r="M144" i="2"/>
  <c r="M165" i="2"/>
  <c r="N181" i="2"/>
  <c r="M167" i="2"/>
  <c r="N144" i="2"/>
  <c r="M140" i="2"/>
  <c r="M148" i="2"/>
  <c r="N161" i="2"/>
  <c r="M161" i="2"/>
  <c r="N167" i="2"/>
  <c r="M44" i="2"/>
  <c r="M150" i="2"/>
  <c r="N140" i="2"/>
  <c r="M152" i="2"/>
  <c r="M169" i="2"/>
  <c r="N157" i="2"/>
  <c r="N169" i="2"/>
  <c r="N142" i="2"/>
  <c r="N152" i="2"/>
  <c r="N171" i="2"/>
  <c r="N138" i="2"/>
  <c r="N9" i="2"/>
  <c r="N129" i="2"/>
  <c r="N337" i="2"/>
  <c r="N308" i="2"/>
  <c r="N317" i="2"/>
  <c r="N327" i="2"/>
  <c r="N339" i="2"/>
  <c r="N353" i="2"/>
  <c r="N222" i="2"/>
  <c r="N331" i="2"/>
  <c r="N311" i="2"/>
  <c r="N349" i="2"/>
  <c r="N343" i="2"/>
  <c r="N315" i="2"/>
  <c r="N335" i="2"/>
  <c r="N304" i="2"/>
  <c r="N146" i="2"/>
  <c r="N356" i="2"/>
  <c r="N321" i="2"/>
  <c r="N358" i="2"/>
  <c r="N103" i="2"/>
  <c r="N92" i="2"/>
  <c r="N329" i="2"/>
  <c r="N66" i="2"/>
  <c r="N30" i="2"/>
  <c r="N64" i="2"/>
  <c r="N25" i="2"/>
  <c r="N341" i="2"/>
  <c r="N101" i="2"/>
  <c r="N345" i="2"/>
  <c r="N186" i="2"/>
  <c r="N86" i="2"/>
  <c r="N41" i="2"/>
  <c r="N220" i="2"/>
  <c r="N97" i="2"/>
  <c r="N242" i="2"/>
  <c r="N323" i="2"/>
  <c r="N70" i="2"/>
  <c r="N34" i="2"/>
  <c r="N213" i="2"/>
  <c r="N88" i="2"/>
  <c r="N39" i="2"/>
  <c r="N313" i="2"/>
  <c r="N238" i="2"/>
  <c r="N72" i="2"/>
  <c r="N37" i="2"/>
  <c r="N230" i="2"/>
  <c r="N360" i="2"/>
  <c r="N99" i="2"/>
  <c r="N240" i="2"/>
  <c r="N107" i="2"/>
  <c r="N319" i="2"/>
  <c r="N215" i="2"/>
  <c r="N163" i="2"/>
  <c r="N54" i="2"/>
  <c r="N19" i="2"/>
  <c r="N112" i="2"/>
  <c r="N184" i="2"/>
  <c r="N90" i="2"/>
  <c r="N48" i="2"/>
  <c r="N205" i="2"/>
  <c r="N351" i="2"/>
  <c r="N68" i="2"/>
  <c r="N32" i="2"/>
  <c r="N236" i="2"/>
  <c r="N306" i="2"/>
  <c r="N105" i="2"/>
  <c r="N46" i="2"/>
  <c r="N201" i="2"/>
  <c r="N155" i="2"/>
  <c r="N95" i="2"/>
  <c r="N226" i="2"/>
  <c r="N224" i="2"/>
  <c r="N228" i="2"/>
  <c r="N195" i="2"/>
  <c r="N7" i="2"/>
  <c r="N207" i="2"/>
  <c r="N191" i="2"/>
  <c r="N189" i="2"/>
  <c r="N211" i="2"/>
  <c r="N232" i="2"/>
  <c r="N199" i="2"/>
  <c r="N203" i="2"/>
  <c r="N197" i="2"/>
  <c r="N234" i="2"/>
  <c r="M353" i="2"/>
  <c r="M222" i="2"/>
  <c r="M358" i="2"/>
  <c r="M360" i="2"/>
  <c r="M356" i="2"/>
  <c r="N78" i="2"/>
  <c r="N82" i="2"/>
  <c r="N80" i="2"/>
  <c r="N76" i="2"/>
  <c r="N23" i="2"/>
  <c r="N116" i="2"/>
  <c r="N21" i="2"/>
  <c r="N114" i="2"/>
  <c r="N123" i="2"/>
  <c r="N125" i="2"/>
  <c r="N118" i="2"/>
</calcChain>
</file>

<file path=xl/sharedStrings.xml><?xml version="1.0" encoding="utf-8"?>
<sst xmlns="http://schemas.openxmlformats.org/spreadsheetml/2006/main" count="845" uniqueCount="377">
  <si>
    <t>Frontier Group Holdings Inc- Company Financial (Multiple Periods)</t>
  </si>
  <si>
    <t>ULCC US Equity    Periodicity:A    Currency:USD    Estimate Source:BST    Actual Source:Bloomberg</t>
  </si>
  <si>
    <t>In Millions of USD</t>
  </si>
  <si>
    <t>12 Months Ending</t>
  </si>
  <si>
    <t>Field Expression</t>
  </si>
  <si>
    <t>Calcrt Field</t>
  </si>
  <si>
    <t>Segment Id</t>
  </si>
  <si>
    <t xml:space="preserve">  Highlights</t>
  </si>
  <si>
    <t>Highlights</t>
  </si>
  <si>
    <t xml:space="preserve">  Adjusted Diluted EPS</t>
  </si>
  <si>
    <t>IS_COMP_EPS_ADJUSTED_OLD</t>
  </si>
  <si>
    <t>Non-GAAP Diluted EPS</t>
  </si>
  <si>
    <t xml:space="preserve">    YOY Growth</t>
  </si>
  <si>
    <t xml:space="preserve">  Revenue</t>
  </si>
  <si>
    <t>IS_COMP_SALES</t>
  </si>
  <si>
    <t>Revenue</t>
  </si>
  <si>
    <t xml:space="preserve">  </t>
  </si>
  <si>
    <t>REV_PASS_MILES_KM</t>
  </si>
  <si>
    <t xml:space="preserve">  Available Seat Miles (Km)</t>
  </si>
  <si>
    <t>AVAIL_SEAT_MILES_KM</t>
  </si>
  <si>
    <t xml:space="preserve">  Load Factor (%)</t>
  </si>
  <si>
    <t>LOAD_FACTOR</t>
  </si>
  <si>
    <t>Load Factor (%)</t>
  </si>
  <si>
    <t xml:space="preserve">  Passenger Revenue</t>
  </si>
  <si>
    <t>TOTAL_PASSENGER_REVENUE</t>
  </si>
  <si>
    <t xml:space="preserve">    Fare</t>
  </si>
  <si>
    <t>SALES_REV_TURN</t>
  </si>
  <si>
    <t>SEG0000474269 Segment</t>
  </si>
  <si>
    <t xml:space="preserve">      YOY Growth</t>
  </si>
  <si>
    <t xml:space="preserve">    Non-Fare</t>
  </si>
  <si>
    <t>SEG0000474266 Segment</t>
  </si>
  <si>
    <t xml:space="preserve">  Passenger Revenue per ASM</t>
  </si>
  <si>
    <t>PASSENGER_REVENUE_PER_ASM</t>
  </si>
  <si>
    <t xml:space="preserve">  Yield</t>
  </si>
  <si>
    <t>YIELD_PER_PASS_MILES_KM</t>
  </si>
  <si>
    <t>Yield</t>
  </si>
  <si>
    <t xml:space="preserve">  Cost per ASM</t>
  </si>
  <si>
    <t>OP_EXP_PER_ASM_ASK</t>
  </si>
  <si>
    <t xml:space="preserve">  Cost per ASM - Ex-Fuel</t>
  </si>
  <si>
    <t>CONS_COST_PER_ASM_EX_FUEL</t>
  </si>
  <si>
    <t xml:space="preserve">  Cost per ASM Ex-Fuel &amp; Abnormal Items</t>
  </si>
  <si>
    <t>COST_PER_SEAT_EXCL_ABN_ITMS</t>
  </si>
  <si>
    <t xml:space="preserve">  Passengers Carried</t>
  </si>
  <si>
    <t>REV_PASS_CARRIED</t>
  </si>
  <si>
    <t xml:space="preserve">  Fuel Consumption (Gallons)</t>
  </si>
  <si>
    <t>FUEL_GALLONS_LITRES</t>
  </si>
  <si>
    <t xml:space="preserve">  Average Fuel Price per Gallon</t>
  </si>
  <si>
    <t>FUEL_PRICE_PER_GALLON_LITRE</t>
  </si>
  <si>
    <t xml:space="preserve">  Adjusted Operating Income</t>
  </si>
  <si>
    <t>IS_COMPARABLE_EBIT</t>
  </si>
  <si>
    <t xml:space="preserve">  Adjusted EBITDAR</t>
  </si>
  <si>
    <t>AIRLINE_EBITDAR</t>
  </si>
  <si>
    <t>EBITDAR</t>
  </si>
  <si>
    <t xml:space="preserve">  Adjusted Net Income</t>
  </si>
  <si>
    <t>IS_COMP_NET_INCOME_ADJUST_OLD</t>
  </si>
  <si>
    <t xml:space="preserve">  Company Operating Metrics</t>
  </si>
  <si>
    <t>Company Operating Metrics</t>
  </si>
  <si>
    <t xml:space="preserve">  Company-Level Industry Statistics</t>
  </si>
  <si>
    <t>Company-Level Industry Statistics</t>
  </si>
  <si>
    <t xml:space="preserve">  Revenue Passenger Miles</t>
  </si>
  <si>
    <t xml:space="preserve">  Available Seat Miles (ASM)</t>
  </si>
  <si>
    <t xml:space="preserve">  Yield per Passenger Mile/Kms</t>
  </si>
  <si>
    <t xml:space="preserve">  Passenger Revenue per Available Seat Mile (¢)</t>
  </si>
  <si>
    <t xml:space="preserve">  Cost Per ASM (ASK)</t>
  </si>
  <si>
    <t xml:space="preserve">  Cost Per ASM (ASK)-Ex Fuel</t>
  </si>
  <si>
    <t xml:space="preserve">  Cost Per ASM Ex-Fuel &amp; Abnormal Items</t>
  </si>
  <si>
    <t xml:space="preserve">  Revenue Per Passenger</t>
  </si>
  <si>
    <t xml:space="preserve">    Passenger</t>
  </si>
  <si>
    <t>AVERAGE_PASSENGER_FARE</t>
  </si>
  <si>
    <t>SEG0000474277 Segment</t>
  </si>
  <si>
    <t xml:space="preserve">      Fare</t>
  </si>
  <si>
    <t xml:space="preserve">        YOY Growth</t>
  </si>
  <si>
    <t xml:space="preserve">      Non - Fare</t>
  </si>
  <si>
    <t xml:space="preserve">    Other</t>
  </si>
  <si>
    <t>SEG0000474268 Segment</t>
  </si>
  <si>
    <t xml:space="preserve">  Fuel Information</t>
  </si>
  <si>
    <t xml:space="preserve">    Average Fuel Price per Gallon</t>
  </si>
  <si>
    <t xml:space="preserve">    Fuel Consumption (Gallons)</t>
  </si>
  <si>
    <t xml:space="preserve">    Efficiency (ASMs / Gallon)</t>
  </si>
  <si>
    <t>ASM_PER_GALLON_LITER</t>
  </si>
  <si>
    <t xml:space="preserve">    Fuel cost per ASK</t>
  </si>
  <si>
    <t>FUEL_COST_PER_AVAIL_SEAT_MILE</t>
  </si>
  <si>
    <t xml:space="preserve">  Size of Fleet</t>
  </si>
  <si>
    <t>SIZE_OF_FLEET</t>
  </si>
  <si>
    <t xml:space="preserve">  Avg Size of Fleet</t>
  </si>
  <si>
    <t>AVG_SIZE_OF_FLEET</t>
  </si>
  <si>
    <t xml:space="preserve">  Average Length of Passenger Haul</t>
  </si>
  <si>
    <t>AVG_LENGTH_OF_PASSENGER_HAUL</t>
  </si>
  <si>
    <t xml:space="preserve">  Number of Departures</t>
  </si>
  <si>
    <t>NUMBER_OF_DEPARTURES</t>
  </si>
  <si>
    <t xml:space="preserve">  Number of Flight Hours</t>
  </si>
  <si>
    <t>NUM_OF_FLIGHT_HOURS</t>
  </si>
  <si>
    <t xml:space="preserve">  Avg. Seats per Departure</t>
  </si>
  <si>
    <t>SEATS_PER_AIRCRAFT_MOVEMENT</t>
  </si>
  <si>
    <t xml:space="preserve">  Avg Aircraft Utilization</t>
  </si>
  <si>
    <t>AVG_AIRCRAFT_UTIL</t>
  </si>
  <si>
    <t xml:space="preserve">  Business Breakdown</t>
  </si>
  <si>
    <t>Business Breakdown</t>
  </si>
  <si>
    <t xml:space="preserve">      Fare </t>
  </si>
  <si>
    <t>Fare Revenue</t>
  </si>
  <si>
    <t xml:space="preserve">      Non-Fare </t>
  </si>
  <si>
    <t>Non-Fare Revenue</t>
  </si>
  <si>
    <t>Other Revenue</t>
  </si>
  <si>
    <t xml:space="preserve">  Regional Breakdown</t>
  </si>
  <si>
    <t xml:space="preserve">    Domestic</t>
  </si>
  <si>
    <t>SEG0000474267 Segment</t>
  </si>
  <si>
    <t xml:space="preserve">    Latin America</t>
  </si>
  <si>
    <t>SEG0000474273 Segment</t>
  </si>
  <si>
    <t xml:space="preserve">  Income Statement</t>
  </si>
  <si>
    <t>Income Statement</t>
  </si>
  <si>
    <t xml:space="preserve">  Total Revenue</t>
  </si>
  <si>
    <t>Total Revenue</t>
  </si>
  <si>
    <t xml:space="preserve">  Total Operating Expenses</t>
  </si>
  <si>
    <t>IS_TOT_OPER_EXP</t>
  </si>
  <si>
    <t xml:space="preserve">    Aircraft Fuel</t>
  </si>
  <si>
    <t>FUEL_EXPENSES</t>
  </si>
  <si>
    <t>Aircraft Fuel</t>
  </si>
  <si>
    <t xml:space="preserve">    Salaries, Wages &amp; Benefits</t>
  </si>
  <si>
    <t>IS_PERSONNEL_EXP</t>
  </si>
  <si>
    <t>Salaries, Wages &amp; Benefits</t>
  </si>
  <si>
    <t xml:space="preserve">    Aircraft Rent</t>
  </si>
  <si>
    <t>AIRCRAFT_RENTALS</t>
  </si>
  <si>
    <t>Aircraft Rent</t>
  </si>
  <si>
    <t xml:space="preserve">    Station Operations</t>
  </si>
  <si>
    <t>OTHER_RENTALS_LANDING_FEES</t>
  </si>
  <si>
    <t>Station Operations</t>
  </si>
  <si>
    <t xml:space="preserve">    Maintenance, Materials &amp; Repairs Expense</t>
  </si>
  <si>
    <t>CB_IS_REPAIR_AND_MAINTENANCE_EXP</t>
  </si>
  <si>
    <t>Maintenance, Materials &amp; Repairs Expense</t>
  </si>
  <si>
    <t xml:space="preserve">    Sales &amp; Marketing</t>
  </si>
  <si>
    <t>IS_SELLING_EXPENSES</t>
  </si>
  <si>
    <t>Sales &amp; Marketing</t>
  </si>
  <si>
    <t xml:space="preserve">    Depreciation &amp; Amortization</t>
  </si>
  <si>
    <t>IS_D_AND_A_GAAP</t>
  </si>
  <si>
    <t>Depreciation &amp; Amortization</t>
  </si>
  <si>
    <t>CB_IS_OTHER_OPEX</t>
  </si>
  <si>
    <t>Other Operating Expenses</t>
  </si>
  <si>
    <t xml:space="preserve">  Operating Income</t>
  </si>
  <si>
    <t>Operating Income</t>
  </si>
  <si>
    <t xml:space="preserve">    Operating Margin (%)</t>
  </si>
  <si>
    <t>OPER_MARGIN</t>
  </si>
  <si>
    <t xml:space="preserve">  EBITDAR</t>
  </si>
  <si>
    <t xml:space="preserve">    EBITDA Margin (%)</t>
  </si>
  <si>
    <t>EBITDA_AS_REPORTED_TO_SALES_PCT</t>
  </si>
  <si>
    <t xml:space="preserve">  Interest Expense (Income), Net</t>
  </si>
  <si>
    <t>Interest Expense (Income), Net</t>
  </si>
  <si>
    <t xml:space="preserve">    Interest Expense</t>
  </si>
  <si>
    <t>CB_IS_INTEREST_EXPENSE</t>
  </si>
  <si>
    <t>Interest Expense</t>
  </si>
  <si>
    <t xml:space="preserve">    Capitalized Interest</t>
  </si>
  <si>
    <t>IS_CAP_INT_EXP</t>
  </si>
  <si>
    <t>Capitalized Interest</t>
  </si>
  <si>
    <t xml:space="preserve">    Interest Income</t>
  </si>
  <si>
    <t>IS_INT_INC</t>
  </si>
  <si>
    <t>Interest Income</t>
  </si>
  <si>
    <t xml:space="preserve">  Other Income (Expense), Net</t>
  </si>
  <si>
    <t>IS_NET_INTEREST_EXPENSE</t>
  </si>
  <si>
    <t>Other Income (Expense), Net</t>
  </si>
  <si>
    <t xml:space="preserve">  Pre-Tax Income</t>
  </si>
  <si>
    <t>PRETAX_INC</t>
  </si>
  <si>
    <t>Pre-Tax Income</t>
  </si>
  <si>
    <t xml:space="preserve">    As % of Revenue</t>
  </si>
  <si>
    <t>PRETAX_MARGIN</t>
  </si>
  <si>
    <t xml:space="preserve">  Income Tax Expense</t>
  </si>
  <si>
    <t>IS_INC_TAX_EXP</t>
  </si>
  <si>
    <t xml:space="preserve">    Tax Rate (%)</t>
  </si>
  <si>
    <t>CB_IS_ETR_PCT</t>
  </si>
  <si>
    <t xml:space="preserve">  Net Income</t>
  </si>
  <si>
    <t>IS_COMP_NET_INCOME_GAAP</t>
  </si>
  <si>
    <t>Net Income</t>
  </si>
  <si>
    <t xml:space="preserve">    Net Income Margin (%)</t>
  </si>
  <si>
    <t>NORMALIZED_PROFIT_MARGIN</t>
  </si>
  <si>
    <t xml:space="preserve">  Basic Weighted Avg. Shares</t>
  </si>
  <si>
    <t>IS_AVG_NUM_SH_FOR_EPS</t>
  </si>
  <si>
    <t>Basic Weighted Avg. Shares</t>
  </si>
  <si>
    <t xml:space="preserve">  Basic EPS</t>
  </si>
  <si>
    <t>IS_EPS</t>
  </si>
  <si>
    <t xml:space="preserve">  Diluted Weighted Avg. Shares</t>
  </si>
  <si>
    <t>IS_SH_FOR_DILUTED_EPS</t>
  </si>
  <si>
    <t>Diluted Weighted Avg. Shares</t>
  </si>
  <si>
    <t xml:space="preserve">  Diluted EPS</t>
  </si>
  <si>
    <t>IS_COMP_EPS_GAAP</t>
  </si>
  <si>
    <t>Diluted EPS</t>
  </si>
  <si>
    <t xml:space="preserve">  Adjusted Results</t>
  </si>
  <si>
    <t>Non-GAAP Results/Non-IFRS Results</t>
  </si>
  <si>
    <t xml:space="preserve">    Adjusted Operating Expenses</t>
  </si>
  <si>
    <t>CB_IS_ADJUSTED_OPEX</t>
  </si>
  <si>
    <t xml:space="preserve">    EBITDA</t>
  </si>
  <si>
    <t>IS_COMPARABLE_EBITDA</t>
  </si>
  <si>
    <t>EBITDA</t>
  </si>
  <si>
    <t xml:space="preserve">      EBITDA Margin (%)</t>
  </si>
  <si>
    <t>FFO_GROWTH_RT</t>
  </si>
  <si>
    <t xml:space="preserve">    EBITDAR</t>
  </si>
  <si>
    <t xml:space="preserve">    Pre-Tax Income</t>
  </si>
  <si>
    <t>IS_COMP_PTP_EX_STK_BASED_COMP</t>
  </si>
  <si>
    <t xml:space="preserve">    Net Income</t>
  </si>
  <si>
    <t xml:space="preserve">    Diluted EPS</t>
  </si>
  <si>
    <t xml:space="preserve">  Company Specific Adjustments</t>
  </si>
  <si>
    <t>Company Specific Adjustments</t>
  </si>
  <si>
    <t xml:space="preserve">    Stock-Based Compensation</t>
  </si>
  <si>
    <t>CF_STOCK_BASED_COMPENSATION</t>
  </si>
  <si>
    <t>Stock-Based Compensation</t>
  </si>
  <si>
    <t xml:space="preserve">    Extraordinary Items (Expense)</t>
  </si>
  <si>
    <t>IS_NET_ABNORMAL_ITEMS</t>
  </si>
  <si>
    <t>Extraordinary Items (Expense)</t>
  </si>
  <si>
    <t xml:space="preserve">    Interest Capitalized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</si>
  <si>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</si>
  <si>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</si>
  <si>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</si>
  <si>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</si>
  <si>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</si>
  <si>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</si>
  <si>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</si>
  <si>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 &amp; Cash Equivalents</t>
  </si>
  <si>
    <t>BS_CASH_NEAR_CASH_ITEM</t>
  </si>
  <si>
    <t>Cash &amp; Cash Equivalents</t>
  </si>
  <si>
    <t xml:space="preserve">      Accounts Receivable</t>
  </si>
  <si>
    <t>BS_ACCT_NOTE_RCV</t>
  </si>
  <si>
    <t>Accounts Receivable</t>
  </si>
  <si>
    <t xml:space="preserve">      Supplies, net</t>
  </si>
  <si>
    <t>BS_INVENTORIES</t>
  </si>
  <si>
    <t>Inventories</t>
  </si>
  <si>
    <t xml:space="preserve">      Other Current Assets</t>
  </si>
  <si>
    <t>CB_BS_OTHER_CURRENT_ASSETS</t>
  </si>
  <si>
    <t>Other Current Assets</t>
  </si>
  <si>
    <t xml:space="preserve">    Non-Current Assets</t>
  </si>
  <si>
    <t>BS_TOTAL_NON_CURRENT_ASSETS</t>
  </si>
  <si>
    <t xml:space="preserve">      Property &amp; Equipment, net</t>
  </si>
  <si>
    <t>CB_BS_PP_AND_E_NET</t>
  </si>
  <si>
    <t>Property, Plant &amp; Equipment</t>
  </si>
  <si>
    <t xml:space="preserve">      Operating Lease Right-of-Use Assets</t>
  </si>
  <si>
    <t>BS_OPER_LEA_RT_OF_USE_ASSETS</t>
  </si>
  <si>
    <t>Operating Lease Right-of-Use Assets</t>
  </si>
  <si>
    <t xml:space="preserve">      Pre-Delivery Deposits For Flight Equipment</t>
  </si>
  <si>
    <t>CB_BS_PREPAYMENT_FIXED_ASSETS</t>
  </si>
  <si>
    <t xml:space="preserve">      Aircraft Maintenance Deposits</t>
  </si>
  <si>
    <t>CB_BS_CUSTOMER_DEPOSITS_ADVANCES_LT</t>
  </si>
  <si>
    <t xml:space="preserve">      Intangible Assets</t>
  </si>
  <si>
    <t>BS_DISCLOSED_INTANGIBLES</t>
  </si>
  <si>
    <t>Intangible Assets</t>
  </si>
  <si>
    <t xml:space="preserve">      Other Assets</t>
  </si>
  <si>
    <t>CB_BS_OTHER_NONCURRENT_ASSETS</t>
  </si>
  <si>
    <t>Other Assets</t>
  </si>
  <si>
    <t xml:space="preserve">    Total Assets</t>
  </si>
  <si>
    <t>BS_TOT_ASSET</t>
  </si>
  <si>
    <t>Total Assets</t>
  </si>
  <si>
    <t xml:space="preserve">  Liabilities &amp; Equity</t>
  </si>
  <si>
    <t>Liabilities &amp; Equity</t>
  </si>
  <si>
    <t xml:space="preserve">    Current Liabilities</t>
  </si>
  <si>
    <t>BS_CUR_LIAB</t>
  </si>
  <si>
    <t>Current Liabilities</t>
  </si>
  <si>
    <t xml:space="preserve">      Accounts Payable</t>
  </si>
  <si>
    <t>BS_ACCT_PAYABLE</t>
  </si>
  <si>
    <t>Accounts Payable</t>
  </si>
  <si>
    <t xml:space="preserve">      Air Traffic Liability</t>
  </si>
  <si>
    <t>ST_DEFERRED_REVENUE</t>
  </si>
  <si>
    <t>Air Traffic Liability</t>
  </si>
  <si>
    <t xml:space="preserve">      Short-Term Debt</t>
  </si>
  <si>
    <t>BS_ST_BORROW</t>
  </si>
  <si>
    <t xml:space="preserve">        Current Portion of Long-Term Debt</t>
  </si>
  <si>
    <t>BS_CURR_PORTION_LT_DEBT</t>
  </si>
  <si>
    <t>Short-Term Debt &amp; Current Maturities</t>
  </si>
  <si>
    <t xml:space="preserve">          YOY Growth</t>
  </si>
  <si>
    <t xml:space="preserve">        Current Operating Lease Liabilities</t>
  </si>
  <si>
    <t>BS_ST_OPERATING_LEASE_LIABS</t>
  </si>
  <si>
    <t>Current Operating Lease Liabilities</t>
  </si>
  <si>
    <t xml:space="preserve">      Other Current Liabilities</t>
  </si>
  <si>
    <t>CB_BS_OTHER_CURRENT_LIABS</t>
  </si>
  <si>
    <t>Other Current Liabilities</t>
  </si>
  <si>
    <t xml:space="preserve">    Non-Current Liabilities</t>
  </si>
  <si>
    <t>Non-Current Liabilities</t>
  </si>
  <si>
    <t xml:space="preserve">      Long-Term Debt</t>
  </si>
  <si>
    <t>BS_LONG_TERM_BORROWINGS</t>
  </si>
  <si>
    <t>Long-Term Debt</t>
  </si>
  <si>
    <t xml:space="preserve">      Long-Term Operating Lease Liabilities</t>
  </si>
  <si>
    <t>BS_LT_OPERATING_LEASE_LIABS</t>
  </si>
  <si>
    <t>Long-Term Operating Lease Liabilities</t>
  </si>
  <si>
    <t xml:space="preserve">      Frequent Flyer Liabilities</t>
  </si>
  <si>
    <t>BS_REFUND_LIABILITIES_NONCURRENT</t>
  </si>
  <si>
    <t xml:space="preserve">      Other Long-Term Liabilities</t>
  </si>
  <si>
    <t>CB_BS_OTHER_NONCURRENT_LIABS</t>
  </si>
  <si>
    <t>Long-Term Frequent Flyer Liability</t>
  </si>
  <si>
    <t xml:space="preserve">    Total Liabilities</t>
  </si>
  <si>
    <t>BS_TOTAL_LIABILITIES</t>
  </si>
  <si>
    <t>Total Liabilities</t>
  </si>
  <si>
    <t xml:space="preserve">    Total Shareholders' Equity</t>
  </si>
  <si>
    <t>HEADLINE_NAV</t>
  </si>
  <si>
    <t>Total Shareholders' Equity</t>
  </si>
  <si>
    <t xml:space="preserve">      Additional Paid in Capital</t>
  </si>
  <si>
    <t>CB_BS_APIC</t>
  </si>
  <si>
    <t xml:space="preserve">      Retained Earnings</t>
  </si>
  <si>
    <t>CB_BS_RETAINED_ERN</t>
  </si>
  <si>
    <t xml:space="preserve">      Accumulated Other Comprehensive Income</t>
  </si>
  <si>
    <t>BS_ACCUMULATED_OTHER_COMP_INC</t>
  </si>
  <si>
    <t xml:space="preserve">    Total Liabilities &amp; Shareholders' Equity</t>
  </si>
  <si>
    <t xml:space="preserve">  Special Company Reference Items</t>
  </si>
  <si>
    <t xml:space="preserve">    Total Debt</t>
  </si>
  <si>
    <t>CB_BS_TOTAL_DEBT</t>
  </si>
  <si>
    <t xml:space="preserve">    Total Debt Including Operating Lease Liabilities</t>
  </si>
  <si>
    <t>SHORT_AND_LONG_TERM_DEBT</t>
  </si>
  <si>
    <t xml:space="preserve">    Net Debt (Cash)</t>
  </si>
  <si>
    <t>NET_DEBT</t>
  </si>
  <si>
    <t xml:space="preserve">    Annualized Days Sales Outstanding</t>
  </si>
  <si>
    <t>ANNUALIZED_DAYS_SALES_OUTSTDG</t>
  </si>
  <si>
    <t xml:space="preserve">    Book Value per Share</t>
  </si>
  <si>
    <t>BOOK_VAL_PER_SH</t>
  </si>
  <si>
    <t xml:space="preserve">    Total Debts to Total Capital</t>
  </si>
  <si>
    <t>TOT_DEBT_TO_TOT_CAP</t>
  </si>
  <si>
    <t xml:space="preserve">    Net Debt % of Total Capital</t>
  </si>
  <si>
    <t>NET_DEBT_PCT_CAPITAL</t>
  </si>
  <si>
    <t xml:space="preserve">  Condensed Cash Flow Statement</t>
  </si>
  <si>
    <t>Condensed Cash Flow Statement</t>
  </si>
  <si>
    <t xml:space="preserve">  Cash from Operating Activities</t>
  </si>
  <si>
    <t>Cash from Operating Activities</t>
  </si>
  <si>
    <t xml:space="preserve">    Deferred Income Taxes</t>
  </si>
  <si>
    <t>CF_DEF_INC_TAX</t>
  </si>
  <si>
    <t xml:space="preserve">    Gain Recognized on Sale-leaseback transactions</t>
  </si>
  <si>
    <t>CB_CF_GAIN_LOSS_DISP_BUSINESS_SUBSIDIARIES</t>
  </si>
  <si>
    <t>Gain Recognized on Sale-leaseback transactions</t>
  </si>
  <si>
    <t xml:space="preserve">    Change in Working Capital</t>
  </si>
  <si>
    <t>CF_ACCT_RCV_UNBILLED_REV</t>
  </si>
  <si>
    <t>CF_CHANGE_IN_ACCOUNTS_PAYABLE</t>
  </si>
  <si>
    <t>CB_CF_CHANGE_IN_DEPOSITS_ADVANCES</t>
  </si>
  <si>
    <t xml:space="preserve">      Other Long-Term Assets</t>
  </si>
  <si>
    <t>CB_CF_CHG_IN_NONCURR_ASSETS</t>
  </si>
  <si>
    <t>CF_CHANGE_IN_OTHR_CURRNT_ASSTS</t>
  </si>
  <si>
    <t xml:space="preserve">      Other Liabilities</t>
  </si>
  <si>
    <t>CF_CHANGE_IN_OTHR_LIBLTS</t>
  </si>
  <si>
    <t xml:space="preserve">  Cash Flow from Operations</t>
  </si>
  <si>
    <t>CB_CF_NET_CASH_OPERATING_ACT</t>
  </si>
  <si>
    <t>Cash Flow from Operations</t>
  </si>
  <si>
    <t xml:space="preserve">  Cash from Investing Activities</t>
  </si>
  <si>
    <t>Cash from Investing Activities</t>
  </si>
  <si>
    <t xml:space="preserve">    Capital Expenditures</t>
  </si>
  <si>
    <t>HEADLINE_CAPEX</t>
  </si>
  <si>
    <t>Capital Expenditures</t>
  </si>
  <si>
    <t>CB_CF_OTHER_FINANCING_ACTIVITIES</t>
  </si>
  <si>
    <t>Other Investing Activities</t>
  </si>
  <si>
    <t xml:space="preserve">  Cash Flow from Investing</t>
  </si>
  <si>
    <t>CB_CF_NET_CASH_INVESTING_ACT</t>
  </si>
  <si>
    <t>Cash Flow from Investing</t>
  </si>
  <si>
    <t xml:space="preserve">  Cash from Financing Activities</t>
  </si>
  <si>
    <t>Cash from Financing Activities</t>
  </si>
  <si>
    <t xml:space="preserve">    Issuance of Long-Term Debt</t>
  </si>
  <si>
    <t>CF_INCR_LT_BORROW</t>
  </si>
  <si>
    <t>Issuance of Long-Term Debt</t>
  </si>
  <si>
    <t xml:space="preserve">    Increase/Decrease in Long-Term Borrowings</t>
  </si>
  <si>
    <t>CB_CF_PURCHASE_OF_OTHER_ASSETS</t>
  </si>
  <si>
    <t xml:space="preserve">    Debt Repayments</t>
  </si>
  <si>
    <t>CF_PYMT_LT_DEBT_AND_CAPITAL_LEASE</t>
  </si>
  <si>
    <t>Debt Repayments</t>
  </si>
  <si>
    <t xml:space="preserve">    Sale-Leaseback Transactions</t>
  </si>
  <si>
    <t>CB_CF_INCREASE_IN_FINANCE_LEASE_OBLIG</t>
  </si>
  <si>
    <t>Sale-Leaseback Transactions</t>
  </si>
  <si>
    <t>CF_OTHER_FNC_ACT</t>
  </si>
  <si>
    <t>Other, Net</t>
  </si>
  <si>
    <t xml:space="preserve">  Cash Flow from Financing</t>
  </si>
  <si>
    <t>CB_CF_NET_CASH_FINANCING_ACT</t>
  </si>
  <si>
    <t>Cash Flow from Financing</t>
  </si>
  <si>
    <t>Special Company Reference Items</t>
  </si>
  <si>
    <t xml:space="preserve">    Net Change in Cash</t>
  </si>
  <si>
    <t>CF_NET_CHNG_CASH</t>
  </si>
  <si>
    <t>Net Change in Cash</t>
  </si>
  <si>
    <t xml:space="preserve">      Cash &amp; Cash Equivalents (BOP)</t>
  </si>
  <si>
    <t>CF_CASH_AND_CASH_EQUIV_BEG_BAL</t>
  </si>
  <si>
    <t>Cash &amp; Cash Equivalents (BOP)</t>
  </si>
  <si>
    <t xml:space="preserve">      Cash &amp; Cash Equivalents (EOP)</t>
  </si>
  <si>
    <t>Cash &amp; Cash Equivalents (EOP)</t>
  </si>
  <si>
    <t xml:space="preserve">    </t>
  </si>
  <si>
    <t xml:space="preserve">    Cash Flow per Share</t>
  </si>
  <si>
    <t>CASH_FLOW_PER_SH</t>
  </si>
  <si>
    <t xml:space="preserve">    Free Cash Flow</t>
  </si>
  <si>
    <t>CF_FREE_CASH_FLOW</t>
  </si>
  <si>
    <t xml:space="preserve">    Capital Expenditure to Sales</t>
  </si>
  <si>
    <t>CAP_EXPEND_TO_SALES</t>
  </si>
  <si>
    <t>Source: Bloomberg</t>
  </si>
  <si>
    <t xml:space="preserve"> 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</si>
</sst>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14" fontId="5" fillId="33" borderId="1" xfId="48" applyNumberFormat="1">
      <alignment horizontal="left"/>
    </xf>
    <xf numFmtId="0" fontId="3" fillId="0" borderId="0" xfId="32"/>
    <xf numFmtId="0" fontId="5" fillId="33" borderId="3" xfId="29">
      <alignment horizontal="left"/>
    </xf>
    <xf numFmtId="4" fontId="1" fillId="34" borderId="2" xfId="30"/>
    <xf numFmtId="0" fontId="7" fillId="35" borderId="4" xfId="31"/>
    <xf numFmtId="0" fontId="4" fillId="33" borderId="15" xfId="47">
      <alignment horizontal="left" vertical="center" readingOrder="1"/>
    </xf>
    <xf numFmtId="0" fontId="5" fillId="33" borderId="1" xfId="48">
      <alignment horizontal="left"/>
    </xf>
    <xf numFmtId="0" fontId="2" fillId="34" borderId="5" xfId="33" applyFont="1"/>
    <xf numFmtId="4" fontId="1" fillId="34" borderId="2" xfId="49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34.33203125" customWidth="1"/>
    <col min="2" max="4" width="0" hidden="1" customWidth="1"/>
    <col min="5" max="14" width="19" customWidth="1"/>
  </cols>
  <sheetData>
    <row r="1" spans="1:14" ht="20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">
      <c r="A3" s="3" t="s">
        <v>2</v>
      </c>
      <c r="B3" s="3"/>
      <c r="C3" s="3"/>
      <c r="D3" s="3"/>
      <c r="E3" s="3" t="str">
        <f>_xll.BQL("ULCC US Equity", "FISCAL_PERIOD", "FPT=A", "FPO=5A", "ACT_EST_MAPPING=PRECISE", "FS=MRC", "CURRENCY=USD", "XLFILL=b")</f>
        <v>2028 A (Fwd)</v>
      </c>
      <c r="F3" s="3" t="str">
        <f>_xll.BQL("ULCC US Equity", "FISCAL_PERIOD", "FPT=A", "FPO=4A", "ACT_EST_MAPPING=PRECISE", "FS=MRC", "CURRENCY=USD", "XLFILL=b")</f>
        <v>2027 A (Fwd)</v>
      </c>
      <c r="G3" s="3" t="str">
        <f>_xll.BQL("ULCC US Equity", "FISCAL_PERIOD", "FPT=A", "FPO=3A", "ACT_EST_MAPPING=PRECISE", "FS=MRC", "CURRENCY=USD", "XLFILL=b")</f>
        <v>2026 A (Fwd)</v>
      </c>
      <c r="H3" s="3" t="str">
        <f>_xll.BQL("ULCC US Equity", "FISCAL_PERIOD", "FPT=A", "FPO=2A", "ACT_EST_MAPPING=PRECISE", "FS=MRC", "CURRENCY=USD", "XLFILL=b")</f>
        <v>2025 A (Fwd)</v>
      </c>
      <c r="I3" s="3" t="str">
        <f>_xll.BQL("ULCC US Equity", "FISCAL_PERIOD", "FPT=A", "FPO=1A", "ACT_EST_MAPPING=PRECISE", "FS=MRC", "CURRENCY=USD", "XLFILL=b")</f>
        <v>2024 A (Fwd)</v>
      </c>
      <c r="J3" s="3" t="str">
        <f>_xll.BQL("ULCC US Equity", "FISCAL_PERIOD", "FPT=A", "FPO=0A", "ACT_EST_MAPPING=PRECISE", "FS=MRC", "CURRENCY=USD", "XLFILL=b")</f>
        <v>2023 A (Rep)</v>
      </c>
      <c r="K3" s="3" t="str">
        <f>_xll.BQL("ULCC US Equity", "FISCAL_PERIOD", "FPT=A", "FPO=-1A", "ACT_EST_MAPPING=PRECISE", "FS=MRC", "CURRENCY=USD", "XLFILL=b")</f>
        <v>2022 A (Rep)</v>
      </c>
      <c r="L3" s="3" t="str">
        <f>_xll.BQL("ULCC US Equity", "FISCAL_PERIOD", "FPT=A", "FPO=-2A", "ACT_EST_MAPPING=PRECISE", "FS=MRC", "CURRENCY=USD", "XLFILL=b")</f>
        <v>2021 A (Rep)</v>
      </c>
      <c r="M3" s="3" t="str">
        <f>_xll.BQL("ULCC US Equity", "FISCAL_PERIOD", "FPT=A", "FPO=-3A", "ACT_EST_MAPPING=PRECISE", "FS=MRC", "CURRENCY=USD", "XLFILL=b")</f>
        <v>2020 A (Rep)</v>
      </c>
      <c r="N3" s="3" t="str">
        <f>_xll.BQL("ULCC US Equity", "FISCAL_PERIOD", "FPT=A", "FPO=-4A", "ACT_EST_MAPPING=PRECISE", "FS=MRC", "CURRENCY=USD", "XLFILL=b")</f>
        <v>2019 A (Rep)</v>
      </c>
    </row>
    <row r="4" spans="1:14" x14ac:dyDescent="0.2">
      <c r="A4" s="7" t="s">
        <v>3</v>
      </c>
      <c r="B4" s="7" t="s">
        <v>4</v>
      </c>
      <c r="C4" s="7" t="s">
        <v>5</v>
      </c>
      <c r="D4" s="7" t="s">
        <v>6</v>
      </c>
      <c r="E4" s="1">
        <f>_xll.BQL("ULCC US Equity", "IS_COMP_SALES().period_end_date", "FPT=A", "FPO=5A", "ACT_EST_MAPPING=PRECISE", "FS=MRC", "CURRENCY=USD", "XLFILL=b")</f>
        <v>47118</v>
      </c>
      <c r="F4" s="1">
        <f>_xll.BQL("ULCC US Equity", "IS_COMP_SALES().period_end_date", "FPT=A", "FPO=4A", "ACT_EST_MAPPING=PRECISE", "FS=MRC", "CURRENCY=USD", "XLFILL=b")</f>
        <v>46752</v>
      </c>
      <c r="G4" s="1">
        <f>_xll.BQL("ULCC US Equity", "IS_COMP_SALES().period_end_date", "FPT=A", "FPO=3A", "ACT_EST_MAPPING=PRECISE", "FS=MRC", "CURRENCY=USD", "XLFILL=b")</f>
        <v>46387</v>
      </c>
      <c r="H4" s="1">
        <f>_xll.BQL("ULCC US Equity", "IS_COMP_SALES().period_end_date", "FPT=A", "FPO=2A", "ACT_EST_MAPPING=PRECISE", "FS=MRC", "CURRENCY=USD", "XLFILL=b")</f>
        <v>46022</v>
      </c>
      <c r="I4" s="1">
        <f>_xll.BQL("ULCC US Equity", "IS_COMP_SALES().period_end_date", "FPT=A", "FPO=1A", "ACT_EST_MAPPING=PRECISE", "FS=MRC", "CURRENCY=USD", "XLFILL=b")</f>
        <v>45657</v>
      </c>
      <c r="J4" s="1">
        <f>_xll.BQL("ULCC US Equity", "IS_COMP_SALES().period_end_date", "FPT=A", "FPO=0A", "ACT_EST_MAPPING=PRECISE", "FS=MRC", "CURRENCY=USD", "XLFILL=b")</f>
        <v>45291</v>
      </c>
      <c r="K4" s="1">
        <f>_xll.BQL("ULCC US Equity", "IS_COMP_SALES().period_end_date", "FPT=A", "FPO=-1A", "ACT_EST_MAPPING=PRECISE", "FS=MRC", "CURRENCY=USD", "XLFILL=b")</f>
        <v>44926</v>
      </c>
      <c r="L4" s="1">
        <f>_xll.BQL("ULCC US Equity", "IS_COMP_SALES().period_end_date", "FPT=A", "FPO=-2A", "ACT_EST_MAPPING=PRECISE", "FS=MRC", "CURRENCY=USD", "XLFILL=b")</f>
        <v>44561</v>
      </c>
      <c r="M4" s="1">
        <f>_xll.BQL("ULCC US Equity", "IS_COMP_SALES().period_end_date", "FPT=A", "FPO=-3A", "ACT_EST_MAPPING=PRECISE", "FS=MRC", "CURRENCY=USD", "XLFILL=b")</f>
        <v>44196</v>
      </c>
      <c r="N4" s="1">
        <f>_xll.BQL("ULCC US Equity", "IS_COMP_SALES().period_end_date", "FPT=A", "FPO=-4A", "ACT_EST_MAPPING=PRECISE", "FS=MRC", "CURRENCY=USD", "XLFILL=b")</f>
        <v>43830</v>
      </c>
    </row>
    <row r="5" spans="1:14" x14ac:dyDescent="0.2">
      <c r="A5" s="8" t="s">
        <v>7</v>
      </c>
      <c r="B5" s="4"/>
      <c r="C5" s="4" t="s">
        <v>8</v>
      </c>
      <c r="D5" s="4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8" t="s">
        <v>9</v>
      </c>
      <c r="B6" s="4" t="s">
        <v>10</v>
      </c>
      <c r="C6" s="4" t="s">
        <v>11</v>
      </c>
      <c r="D6" s="4"/>
      <c r="E6" s="9">
        <f>_xll.BQL("ULCC US Equity", "IS_COMP_EPS_ADJUSTED_OLD", "FPT=A", "FPO=5A", "ACT_EST_MAPPING=PRECISE", "FS=MRC", "CURRENCY=USD", "XLFILL=b")</f>
        <v>1.52</v>
      </c>
      <c r="F6" s="9">
        <f>_xll.BQL("ULCC US Equity", "IS_COMP_EPS_ADJUSTED_OLD", "FPT=A", "FPO=4A", "ACT_EST_MAPPING=PRECISE", "FS=MRC", "CURRENCY=USD", "XLFILL=b")</f>
        <v>1.2</v>
      </c>
      <c r="G6" s="9">
        <f>_xll.BQL("ULCC US Equity", "IS_COMP_EPS_ADJUSTED_OLD", "FPT=A", "FPO=3A", "ACT_EST_MAPPING=PRECISE", "FS=MRC", "CURRENCY=USD", "XLFILL=b")</f>
        <v>1.1371428571428572</v>
      </c>
      <c r="H6" s="9">
        <f>_xll.BQL("ULCC US Equity", "IS_COMP_EPS_ADJUSTED_OLD", "FPT=A", "FPO=2A", "ACT_EST_MAPPING=PRECISE", "FS=MRC", "CURRENCY=USD", "XLFILL=b")</f>
        <v>0.46416666666666662</v>
      </c>
      <c r="I6" s="9">
        <f>_xll.BQL("ULCC US Equity", "IS_COMP_EPS_ADJUSTED_OLD", "FPT=A", "FPO=1A", "ACT_EST_MAPPING=PRECISE", "FS=MRC", "CURRENCY=USD", "XLFILL=b")</f>
        <v>-2.2750000000000003E-2</v>
      </c>
      <c r="J6" s="9">
        <f>_xll.BQL("ULCC US Equity", "IS_COMP_EPS_ADJUSTED_OLD", "FPT=A", "FPO=0A", "ACT_EST_MAPPING=PRECISE", "FS=MRC", "CURRENCY=USD", "XLFILL=b")</f>
        <v>0.12</v>
      </c>
      <c r="K6" s="9">
        <f>_xll.BQL("ULCC US Equity", "IS_COMP_EPS_ADJUSTED_OLD", "FPT=A", "FPO=-1A", "ACT_EST_MAPPING=PRECISE", "FS=MRC", "CURRENCY=USD", "XLFILL=b")</f>
        <v>-0.17</v>
      </c>
      <c r="L6" s="9">
        <f>_xll.BQL("ULCC US Equity", "IS_COMP_EPS_ADJUSTED_OLD", "FPT=A", "FPO=-2A", "ACT_EST_MAPPING=PRECISE", "FS=MRC", "CURRENCY=USD", "XLFILL=b")</f>
        <v>-1.42</v>
      </c>
      <c r="M6" s="9" t="str">
        <f>_xll.BQL("ULCC US Equity", "IS_COMP_EPS_ADJUSTED_OLD", "FPT=A", "FPO=-3A", "ACT_EST_MAPPING=PRECISE", "FS=MRC", "CURRENCY=USD", "XLFILL=b")</f>
        <v/>
      </c>
      <c r="N6" s="9" t="str">
        <f>_xll.BQL("ULCC US Equity", "IS_COMP_EPS_ADJUSTED_OLD", "FPT=A", "FPO=-4A", "ACT_EST_MAPPING=PRECISE", "FS=MRC", "CURRENCY=USD", "XLFILL=b")</f>
        <v/>
      </c>
    </row>
    <row r="7" spans="1:14" x14ac:dyDescent="0.2">
      <c r="A7" s="8" t="s">
        <v>12</v>
      </c>
      <c r="B7" s="4" t="s">
        <v>10</v>
      </c>
      <c r="C7" s="4" t="s">
        <v>11</v>
      </c>
      <c r="D7" s="4"/>
      <c r="E7" s="9">
        <f>_xll.BQL("ULCC US Equity", "FA_GROWTH(IS_COMP_EPS_ADJUSTED_OLD, YOY)", "FPT=A", "FPO=5A", "ACT_EST_MAPPING=PRECISE", "FS=MRC", "CURRENCY=USD", "XLFILL=b")</f>
        <v>26.666666666666675</v>
      </c>
      <c r="F7" s="9">
        <f>_xll.BQL("ULCC US Equity", "FA_GROWTH(IS_COMP_EPS_ADJUSTED_OLD, YOY)", "FPT=A", "FPO=4A", "ACT_EST_MAPPING=PRECISE", "FS=MRC", "CURRENCY=USD", "XLFILL=b")</f>
        <v>5.5276381909547618</v>
      </c>
      <c r="G7" s="9">
        <f>_xll.BQL("ULCC US Equity", "FA_GROWTH(IS_COMP_EPS_ADJUSTED_OLD, YOY)", "FPT=A", "FPO=3A", "ACT_EST_MAPPING=PRECISE", "FS=MRC", "CURRENCY=USD", "XLFILL=b")</f>
        <v>144.98589381892799</v>
      </c>
      <c r="H7" s="9">
        <f>_xll.BQL("ULCC US Equity", "FA_GROWTH(IS_COMP_EPS_ADJUSTED_OLD, YOY)", "FPT=A", "FPO=2A", "ACT_EST_MAPPING=PRECISE", "FS=MRC", "CURRENCY=USD", "XLFILL=b")</f>
        <v>2140.2930402930397</v>
      </c>
      <c r="I7" s="9">
        <f>_xll.BQL("ULCC US Equity", "FA_GROWTH(IS_COMP_EPS_ADJUSTED_OLD, YOY)", "FPT=A", "FPO=1A", "ACT_EST_MAPPING=PRECISE", "FS=MRC", "CURRENCY=USD", "XLFILL=b")</f>
        <v>-118.95833333333333</v>
      </c>
      <c r="J7" s="9">
        <f>_xll.BQL("ULCC US Equity", "FA_GROWTH(IS_COMP_EPS_ADJUSTED_OLD, YOY)", "FPT=A", "FPO=0A", "ACT_EST_MAPPING=PRECISE", "FS=MRC", "CURRENCY=USD", "XLFILL=b")</f>
        <v>170.58823529411765</v>
      </c>
      <c r="K7" s="9">
        <f>_xll.BQL("ULCC US Equity", "FA_GROWTH(IS_COMP_EPS_ADJUSTED_OLD, YOY)", "FPT=A", "FPO=-1A", "ACT_EST_MAPPING=PRECISE", "FS=MRC", "CURRENCY=USD", "XLFILL=b")</f>
        <v>88.028169014084511</v>
      </c>
      <c r="L7" s="9" t="str">
        <f>_xll.BQL("ULCC US Equity", "FA_GROWTH(IS_COMP_EPS_ADJUSTED_OLD, YOY)", "FPT=A", "FPO=-2A", "ACT_EST_MAPPING=PRECISE", "FS=MRC", "CURRENCY=USD", "XLFILL=b")</f>
        <v/>
      </c>
      <c r="M7" s="9" t="str">
        <f>_xll.BQL("ULCC US Equity", "FA_GROWTH(IS_COMP_EPS_ADJUSTED_OLD, YOY)", "FPT=A", "FPO=-3A", "ACT_EST_MAPPING=PRECISE", "FS=MRC", "CURRENCY=USD", "XLFILL=b")</f>
        <v/>
      </c>
      <c r="N7" s="9" t="str">
        <f>_xll.BQL("ULCC US Equity", "FA_GROWTH(IS_COMP_EPS_ADJUSTED_OLD, YOY)", "FPT=A", "FPO=-4A", "ACT_EST_MAPPING=PRECISE", "FS=MRC", "CURRENCY=USD", "XLFILL=b")</f>
        <v/>
      </c>
    </row>
    <row r="8" spans="1:14" x14ac:dyDescent="0.2">
      <c r="A8" s="8" t="s">
        <v>13</v>
      </c>
      <c r="B8" s="4" t="s">
        <v>14</v>
      </c>
      <c r="C8" s="4" t="s">
        <v>15</v>
      </c>
      <c r="D8" s="4"/>
      <c r="E8" s="9">
        <f>_xll.BQL("ULCC US Equity", "IS_COMP_SALES/1M", "FPT=A", "FPO=5A", "ACT_EST_MAPPING=PRECISE", "FS=MRC", "CURRENCY=USD", "XLFILL=b")</f>
        <v>6016</v>
      </c>
      <c r="F8" s="9">
        <f>_xll.BQL("ULCC US Equity", "IS_COMP_SALES/1M", "FPT=A", "FPO=4A", "ACT_EST_MAPPING=PRECISE", "FS=MRC", "CURRENCY=USD", "XLFILL=b")</f>
        <v>5362</v>
      </c>
      <c r="G8" s="9">
        <f>_xll.BQL("ULCC US Equity", "IS_COMP_SALES/1M", "FPT=A", "FPO=3A", "ACT_EST_MAPPING=PRECISE", "FS=MRC", "CURRENCY=USD", "XLFILL=b")</f>
        <v>4839.4285714285716</v>
      </c>
      <c r="H8" s="9">
        <f>_xll.BQL("ULCC US Equity", "IS_COMP_SALES/1M", "FPT=A", "FPO=2A", "ACT_EST_MAPPING=PRECISE", "FS=MRC", "CURRENCY=USD", "XLFILL=b")</f>
        <v>4238.25</v>
      </c>
      <c r="I8" s="9">
        <f>_xll.BQL("ULCC US Equity", "IS_COMP_SALES/1M", "FPT=A", "FPO=1A", "ACT_EST_MAPPING=PRECISE", "FS=MRC", "CURRENCY=USD", "XLFILL=b")</f>
        <v>3726.5833333333335</v>
      </c>
      <c r="J8" s="9">
        <f>_xll.BQL("ULCC US Equity", "IS_COMP_SALES/1M", "FPT=A", "FPO=0A", "ACT_EST_MAPPING=PRECISE", "FS=MRC", "CURRENCY=USD", "XLFILL=b")</f>
        <v>3589</v>
      </c>
      <c r="K8" s="9">
        <f>_xll.BQL("ULCC US Equity", "IS_COMP_SALES/1M", "FPT=A", "FPO=-1A", "ACT_EST_MAPPING=PRECISE", "FS=MRC", "CURRENCY=USD", "XLFILL=b")</f>
        <v>3326</v>
      </c>
      <c r="L8" s="9">
        <f>_xll.BQL("ULCC US Equity", "IS_COMP_SALES/1M", "FPT=A", "FPO=-2A", "ACT_EST_MAPPING=PRECISE", "FS=MRC", "CURRENCY=USD", "XLFILL=b")</f>
        <v>2060</v>
      </c>
      <c r="M8" s="9" t="str">
        <f>_xll.BQL("ULCC US Equity", "IS_COMP_SALES/1M", "FPT=A", "FPO=-3A", "ACT_EST_MAPPING=PRECISE", "FS=MRC", "CURRENCY=USD", "XLFILL=b")</f>
        <v/>
      </c>
      <c r="N8" s="9" t="str">
        <f>_xll.BQL("ULCC US Equity", "IS_COMP_SALES/1M", "FPT=A", "FPO=-4A", "ACT_EST_MAPPING=PRECISE", "FS=MRC", "CURRENCY=USD", "XLFILL=b")</f>
        <v/>
      </c>
    </row>
    <row r="9" spans="1:14" x14ac:dyDescent="0.2">
      <c r="A9" s="8" t="s">
        <v>12</v>
      </c>
      <c r="B9" s="4" t="s">
        <v>14</v>
      </c>
      <c r="C9" s="4" t="s">
        <v>15</v>
      </c>
      <c r="D9" s="4"/>
      <c r="E9" s="9">
        <f>_xll.BQL("ULCC US Equity", "FA_GROWTH(IS_COMP_SALES, YOY)", "FPT=A", "FPO=5A", "ACT_EST_MAPPING=PRECISE", "FS=MRC", "CURRENCY=USD", "XLFILL=b")</f>
        <v>12.196941439761282</v>
      </c>
      <c r="F9" s="9">
        <f>_xll.BQL("ULCC US Equity", "FA_GROWTH(IS_COMP_SALES, YOY)", "FPT=A", "FPO=4A", "ACT_EST_MAPPING=PRECISE", "FS=MRC", "CURRENCY=USD", "XLFILL=b")</f>
        <v>10.798205219034118</v>
      </c>
      <c r="G9" s="9">
        <f>_xll.BQL("ULCC US Equity", "FA_GROWTH(IS_COMP_SALES, YOY)", "FPT=A", "FPO=3A", "ACT_EST_MAPPING=PRECISE", "FS=MRC", "CURRENCY=USD", "XLFILL=b")</f>
        <v>14.184594382789399</v>
      </c>
      <c r="H9" s="9">
        <f>_xll.BQL("ULCC US Equity", "FA_GROWTH(IS_COMP_SALES, YOY)", "FPT=A", "FPO=2A", "ACT_EST_MAPPING=PRECISE", "FS=MRC", "CURRENCY=USD", "XLFILL=b")</f>
        <v>13.730181801918642</v>
      </c>
      <c r="I9" s="9">
        <f>_xll.BQL("ULCC US Equity", "FA_GROWTH(IS_COMP_SALES, YOY)", "FPT=A", "FPO=1A", "ACT_EST_MAPPING=PRECISE", "FS=MRC", "CURRENCY=USD", "XLFILL=b")</f>
        <v>3.833472647905642</v>
      </c>
      <c r="J9" s="9">
        <f>_xll.BQL("ULCC US Equity", "FA_GROWTH(IS_COMP_SALES, YOY)", "FPT=A", "FPO=0A", "ACT_EST_MAPPING=PRECISE", "FS=MRC", "CURRENCY=USD", "XLFILL=b")</f>
        <v>7.9073962717979551</v>
      </c>
      <c r="K9" s="9">
        <f>_xll.BQL("ULCC US Equity", "FA_GROWTH(IS_COMP_SALES, YOY)", "FPT=A", "FPO=-1A", "ACT_EST_MAPPING=PRECISE", "FS=MRC", "CURRENCY=USD", "XLFILL=b")</f>
        <v>61.456310679611647</v>
      </c>
      <c r="L9" s="9" t="str">
        <f>_xll.BQL("ULCC US Equity", "FA_GROWTH(IS_COMP_SALES, YOY)", "FPT=A", "FPO=-2A", "ACT_EST_MAPPING=PRECISE", "FS=MRC", "CURRENCY=USD", "XLFILL=b")</f>
        <v/>
      </c>
      <c r="M9" s="9" t="str">
        <f>_xll.BQL("ULCC US Equity", "FA_GROWTH(IS_COMP_SALES, YOY)", "FPT=A", "FPO=-3A", "ACT_EST_MAPPING=PRECISE", "FS=MRC", "CURRENCY=USD", "XLFILL=b")</f>
        <v/>
      </c>
      <c r="N9" s="9" t="str">
        <f>_xll.BQL("ULCC US Equity", "FA_GROWTH(IS_COMP_SALES, YOY)", "FPT=A", "FPO=-4A", "ACT_EST_MAPPING=PRECISE", "FS=MRC", "CURRENCY=USD", "XLFILL=b")</f>
        <v/>
      </c>
    </row>
    <row r="10" spans="1:14" x14ac:dyDescent="0.2">
      <c r="A10" s="8" t="s">
        <v>16</v>
      </c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8" t="s">
        <v>376</v>
      </c>
      <c r="B11" s="4" t="s">
        <v>17</v>
      </c>
      <c r="C11" s="4"/>
      <c r="D11" s="4"/>
      <c r="E11" s="9">
        <f>_xll.BQL("ULCC US Equity", "REV_PASS_MILES_KM/1M", "FPT=A", "FPO=5A", "ACT_EST_MAPPING=PRECISE", "FS=MRC", "CURRENCY=USD", "XLFILL=b")</f>
        <v>46958.385396483012</v>
      </c>
      <c r="F11" s="9">
        <f>_xll.BQL("ULCC US Equity", "REV_PASS_MILES_KM/1M", "FPT=A", "FPO=4A", "ACT_EST_MAPPING=PRECISE", "FS=MRC", "CURRENCY=USD", "XLFILL=b")</f>
        <v>42689.441269529998</v>
      </c>
      <c r="G11" s="9">
        <f>_xll.BQL("ULCC US Equity", "REV_PASS_MILES_KM/1M", "FPT=A", "FPO=3A", "ACT_EST_MAPPING=PRECISE", "FS=MRC", "CURRENCY=USD", "XLFILL=b")</f>
        <v>38506.716901938402</v>
      </c>
      <c r="H11" s="9">
        <f>_xll.BQL("ULCC US Equity", "REV_PASS_MILES_KM/1M", "FPT=A", "FPO=2A", "ACT_EST_MAPPING=PRECISE", "FS=MRC", "CURRENCY=USD", "XLFILL=b")</f>
        <v>34687.114602606249</v>
      </c>
      <c r="I11" s="9">
        <f>_xll.BQL("ULCC US Equity", "REV_PASS_MILES_KM/1M", "FPT=A", "FPO=1A", "ACT_EST_MAPPING=PRECISE", "FS=MRC", "CURRENCY=USD", "XLFILL=b")</f>
        <v>31245.982851249999</v>
      </c>
      <c r="J11" s="9">
        <f>_xll.BQL("ULCC US Equity", "REV_PASS_MILES_KM/1M", "FPT=A", "FPO=0A", "ACT_EST_MAPPING=PRECISE", "FS=MRC", "CURRENCY=USD", "XLFILL=b")</f>
        <v>30798</v>
      </c>
      <c r="K11" s="9">
        <f>_xll.BQL("ULCC US Equity", "REV_PASS_MILES_KM/1M", "FPT=A", "FPO=-1A", "ACT_EST_MAPPING=PRECISE", "FS=MRC", "CURRENCY=USD", "XLFILL=b")</f>
        <v>25669</v>
      </c>
      <c r="L11" s="9">
        <f>_xll.BQL("ULCC US Equity", "REV_PASS_MILES_KM/1M", "FPT=A", "FPO=-2A", "ACT_EST_MAPPING=PRECISE", "FS=MRC", "CURRENCY=USD", "XLFILL=b")</f>
        <v>20380</v>
      </c>
      <c r="M11" s="9">
        <f>_xll.BQL("ULCC US Equity", "REV_PASS_MILES_KM/1M", "FPT=A", "FPO=-3A", "ACT_EST_MAPPING=PRECISE", "FS=MRC", "CURRENCY=USD", "XLFILL=b")</f>
        <v>11443</v>
      </c>
      <c r="N11" s="9">
        <f>_xll.BQL("ULCC US Equity", "REV_PASS_MILES_KM/1M", "FPT=A", "FPO=-4A", "ACT_EST_MAPPING=PRECISE", "FS=MRC", "CURRENCY=USD", "XLFILL=b")</f>
        <v>24203</v>
      </c>
    </row>
    <row r="12" spans="1:14" x14ac:dyDescent="0.2">
      <c r="A12" s="8" t="s">
        <v>12</v>
      </c>
      <c r="B12" s="4" t="s">
        <v>17</v>
      </c>
      <c r="C12" s="4"/>
      <c r="D12" s="4"/>
      <c r="E12" s="9">
        <f>_xll.BQL("ULCC US Equity", "FA_GROWTH(REV_PASS_MILES_KM, YOY)", "FPT=A", "FPO=5A", "ACT_EST_MAPPING=PRECISE", "FS=MRC", "CURRENCY=USD", "XLFILL=b")</f>
        <v>10.000000000000025</v>
      </c>
      <c r="F12" s="9">
        <f>_xll.BQL("ULCC US Equity", "FA_GROWTH(REV_PASS_MILES_KM, YOY)", "FPT=A", "FPO=4A", "ACT_EST_MAPPING=PRECISE", "FS=MRC", "CURRENCY=USD", "XLFILL=b")</f>
        <v>10.862324041396121</v>
      </c>
      <c r="G12" s="9">
        <f>_xll.BQL("ULCC US Equity", "FA_GROWTH(REV_PASS_MILES_KM, YOY)", "FPT=A", "FPO=3A", "ACT_EST_MAPPING=PRECISE", "FS=MRC", "CURRENCY=USD", "XLFILL=b")</f>
        <v>11.011588433029146</v>
      </c>
      <c r="H12" s="9">
        <f>_xll.BQL("ULCC US Equity", "FA_GROWTH(REV_PASS_MILES_KM, YOY)", "FPT=A", "FPO=2A", "ACT_EST_MAPPING=PRECISE", "FS=MRC", "CURRENCY=USD", "XLFILL=b")</f>
        <v>11.013037316630877</v>
      </c>
      <c r="I12" s="9">
        <f>_xll.BQL("ULCC US Equity", "FA_GROWTH(REV_PASS_MILES_KM, YOY)", "FPT=A", "FPO=1A", "ACT_EST_MAPPING=PRECISE", "FS=MRC", "CURRENCY=USD", "XLFILL=b")</f>
        <v>1.4545842303071628</v>
      </c>
      <c r="J12" s="9">
        <f>_xll.BQL("ULCC US Equity", "FA_GROWTH(REV_PASS_MILES_KM, YOY)", "FPT=A", "FPO=0A", "ACT_EST_MAPPING=PRECISE", "FS=MRC", "CURRENCY=USD", "XLFILL=b")</f>
        <v>19.981300401262224</v>
      </c>
      <c r="K12" s="9">
        <f>_xll.BQL("ULCC US Equity", "FA_GROWTH(REV_PASS_MILES_KM, YOY)", "FPT=A", "FPO=-1A", "ACT_EST_MAPPING=PRECISE", "FS=MRC", "CURRENCY=USD", "XLFILL=b")</f>
        <v>25.951913640824337</v>
      </c>
      <c r="L12" s="9">
        <f>_xll.BQL("ULCC US Equity", "FA_GROWTH(REV_PASS_MILES_KM, YOY)", "FPT=A", "FPO=-2A", "ACT_EST_MAPPING=PRECISE", "FS=MRC", "CURRENCY=USD", "XLFILL=b")</f>
        <v>78.100148562439927</v>
      </c>
      <c r="M12" s="9">
        <f>_xll.BQL("ULCC US Equity", "FA_GROWTH(REV_PASS_MILES_KM, YOY)", "FPT=A", "FPO=-3A", "ACT_EST_MAPPING=PRECISE", "FS=MRC", "CURRENCY=USD", "XLFILL=b")</f>
        <v>-52.72073709870677</v>
      </c>
      <c r="N12" s="9">
        <f>_xll.BQL("ULCC US Equity", "FA_GROWTH(REV_PASS_MILES_KM, YOY)", "FPT=A", "FPO=-4A", "ACT_EST_MAPPING=PRECISE", "FS=MRC", "CURRENCY=USD", "XLFILL=b")</f>
        <v>15.693116634799235</v>
      </c>
    </row>
    <row r="13" spans="1:14" x14ac:dyDescent="0.2">
      <c r="A13" s="8" t="s">
        <v>18</v>
      </c>
      <c r="B13" s="4" t="s">
        <v>19</v>
      </c>
      <c r="C13" s="4"/>
      <c r="D13" s="4"/>
      <c r="E13" s="9">
        <f>_xll.BQL("ULCC US Equity", "AVAIL_SEAT_MILES_KM/1M", "FPT=A", "FPO=5A", "ACT_EST_MAPPING=PRECISE", "FS=MRC", "CURRENCY=USD", "XLFILL=b")</f>
        <v>55245.159289980009</v>
      </c>
      <c r="F13" s="9">
        <f>_xll.BQL("ULCC US Equity", "AVAIL_SEAT_MILES_KM/1M", "FPT=A", "FPO=4A", "ACT_EST_MAPPING=PRECISE", "FS=MRC", "CURRENCY=USD", "XLFILL=b")</f>
        <v>50222.8720818</v>
      </c>
      <c r="G13" s="9">
        <f>_xll.BQL("ULCC US Equity", "AVAIL_SEAT_MILES_KM/1M", "FPT=A", "FPO=3A", "ACT_EST_MAPPING=PRECISE", "FS=MRC", "CURRENCY=USD", "XLFILL=b")</f>
        <v>47244.279773199996</v>
      </c>
      <c r="H13" s="9">
        <f>_xll.BQL("ULCC US Equity", "AVAIL_SEAT_MILES_KM/1M", "FPT=A", "FPO=2A", "ACT_EST_MAPPING=PRECISE", "FS=MRC", "CURRENCY=USD", "XLFILL=b")</f>
        <v>43307.227146874997</v>
      </c>
      <c r="I13" s="9">
        <f>_xll.BQL("ULCC US Equity", "AVAIL_SEAT_MILES_KM/1M", "FPT=A", "FPO=1A", "ACT_EST_MAPPING=PRECISE", "FS=MRC", "CURRENCY=USD", "XLFILL=b")</f>
        <v>40305.040000000001</v>
      </c>
      <c r="J13" s="9">
        <f>_xll.BQL("ULCC US Equity", "AVAIL_SEAT_MILES_KM/1M", "FPT=A", "FPO=0A", "ACT_EST_MAPPING=PRECISE", "FS=MRC", "CURRENCY=USD", "XLFILL=b")</f>
        <v>37822</v>
      </c>
      <c r="K13" s="9">
        <f>_xll.BQL("ULCC US Equity", "AVAIL_SEAT_MILES_KM/1M", "FPT=A", "FPO=-1A", "ACT_EST_MAPPING=PRECISE", "FS=MRC", "CURRENCY=USD", "XLFILL=b")</f>
        <v>31746</v>
      </c>
      <c r="L13" s="9">
        <f>_xll.BQL("ULCC US Equity", "AVAIL_SEAT_MILES_KM/1M", "FPT=A", "FPO=-2A", "ACT_EST_MAPPING=PRECISE", "FS=MRC", "CURRENCY=USD", "XLFILL=b")</f>
        <v>26867</v>
      </c>
      <c r="M13" s="9">
        <f>_xll.BQL("ULCC US Equity", "AVAIL_SEAT_MILES_KM/1M", "FPT=A", "FPO=-3A", "ACT_EST_MAPPING=PRECISE", "FS=MRC", "CURRENCY=USD", "XLFILL=b")</f>
        <v>16955</v>
      </c>
      <c r="N13" s="9">
        <f>_xll.BQL("ULCC US Equity", "AVAIL_SEAT_MILES_KM/1M", "FPT=A", "FPO=-4A", "ACT_EST_MAPPING=PRECISE", "FS=MRC", "CURRENCY=USD", "XLFILL=b")</f>
        <v>28120</v>
      </c>
    </row>
    <row r="14" spans="1:14" x14ac:dyDescent="0.2">
      <c r="A14" s="8" t="s">
        <v>12</v>
      </c>
      <c r="B14" s="4" t="s">
        <v>19</v>
      </c>
      <c r="C14" s="4"/>
      <c r="D14" s="4"/>
      <c r="E14" s="9">
        <f>_xll.BQL("ULCC US Equity", "FA_GROWTH(AVAIL_SEAT_MILES_KM, YOY)", "FPT=A", "FPO=5A", "ACT_EST_MAPPING=PRECISE", "FS=MRC", "CURRENCY=USD", "XLFILL=b")</f>
        <v>10.000000000000016</v>
      </c>
      <c r="F14" s="9">
        <f>_xll.BQL("ULCC US Equity", "FA_GROWTH(AVAIL_SEAT_MILES_KM, YOY)", "FPT=A", "FPO=4A", "ACT_EST_MAPPING=PRECISE", "FS=MRC", "CURRENCY=USD", "XLFILL=b")</f>
        <v>6.3046623271621041</v>
      </c>
      <c r="G14" s="9">
        <f>_xll.BQL("ULCC US Equity", "FA_GROWTH(AVAIL_SEAT_MILES_KM, YOY)", "FPT=A", "FPO=3A", "ACT_EST_MAPPING=PRECISE", "FS=MRC", "CURRENCY=USD", "XLFILL=b")</f>
        <v>9.0909829275668379</v>
      </c>
      <c r="H14" s="9">
        <f>_xll.BQL("ULCC US Equity", "FA_GROWTH(AVAIL_SEAT_MILES_KM, YOY)", "FPT=A", "FPO=2A", "ACT_EST_MAPPING=PRECISE", "FS=MRC", "CURRENCY=USD", "XLFILL=b")</f>
        <v>7.4486643528327967</v>
      </c>
      <c r="I14" s="9">
        <f>_xll.BQL("ULCC US Equity", "FA_GROWTH(AVAIL_SEAT_MILES_KM, YOY)", "FPT=A", "FPO=1A", "ACT_EST_MAPPING=PRECISE", "FS=MRC", "CURRENCY=USD", "XLFILL=b")</f>
        <v>6.5650679498704454</v>
      </c>
      <c r="J14" s="9">
        <f>_xll.BQL("ULCC US Equity", "FA_GROWTH(AVAIL_SEAT_MILES_KM, YOY)", "FPT=A", "FPO=0A", "ACT_EST_MAPPING=PRECISE", "FS=MRC", "CURRENCY=USD", "XLFILL=b")</f>
        <v>19.13941913941914</v>
      </c>
      <c r="K14" s="9">
        <f>_xll.BQL("ULCC US Equity", "FA_GROWTH(AVAIL_SEAT_MILES_KM, YOY)", "FPT=A", "FPO=-1A", "ACT_EST_MAPPING=PRECISE", "FS=MRC", "CURRENCY=USD", "XLFILL=b")</f>
        <v>18.159824319797522</v>
      </c>
      <c r="L14" s="9">
        <f>_xll.BQL("ULCC US Equity", "FA_GROWTH(AVAIL_SEAT_MILES_KM, YOY)", "FPT=A", "FPO=-2A", "ACT_EST_MAPPING=PRECISE", "FS=MRC", "CURRENCY=USD", "XLFILL=b")</f>
        <v>58.460631082276613</v>
      </c>
      <c r="M14" s="9">
        <f>_xll.BQL("ULCC US Equity", "FA_GROWTH(AVAIL_SEAT_MILES_KM, YOY)", "FPT=A", "FPO=-3A", "ACT_EST_MAPPING=PRECISE", "FS=MRC", "CURRENCY=USD", "XLFILL=b")</f>
        <v>-39.704836415362735</v>
      </c>
      <c r="N14" s="9">
        <f>_xll.BQL("ULCC US Equity", "FA_GROWTH(AVAIL_SEAT_MILES_KM, YOY)", "FPT=A", "FPO=-4A", "ACT_EST_MAPPING=PRECISE", "FS=MRC", "CURRENCY=USD", "XLFILL=b")</f>
        <v>14.174347314141865</v>
      </c>
    </row>
    <row r="15" spans="1:14" x14ac:dyDescent="0.2">
      <c r="A15" s="8" t="s">
        <v>20</v>
      </c>
      <c r="B15" s="4" t="s">
        <v>21</v>
      </c>
      <c r="C15" s="4" t="s">
        <v>22</v>
      </c>
      <c r="D15" s="4"/>
      <c r="E15" s="9">
        <f>_xll.BQL("ULCC US Equity", "LOAD_FACTOR", "FPT=A", "FPO=5A", "ACT_EST_MAPPING=PRECISE", "FS=MRC", "CURRENCY=USD", "XLFILL=b")</f>
        <v>85.000000000000014</v>
      </c>
      <c r="F15" s="9">
        <f>_xll.BQL("ULCC US Equity", "LOAD_FACTOR", "FPT=A", "FPO=4A", "ACT_EST_MAPPING=PRECISE", "FS=MRC", "CURRENCY=USD", "XLFILL=b")</f>
        <v>84.999999999999986</v>
      </c>
      <c r="G15" s="9">
        <f>_xll.BQL("ULCC US Equity", "LOAD_FACTOR", "FPT=A", "FPO=3A", "ACT_EST_MAPPING=PRECISE", "FS=MRC", "CURRENCY=USD", "XLFILL=b")</f>
        <v>81.539009445561774</v>
      </c>
      <c r="H15" s="9">
        <f>_xll.BQL("ULCC US Equity", "LOAD_FACTOR", "FPT=A", "FPO=2A", "ACT_EST_MAPPING=PRECISE", "FS=MRC", "CURRENCY=USD", "XLFILL=b")</f>
        <v>80.106380639578148</v>
      </c>
      <c r="I15" s="9">
        <f>_xll.BQL("ULCC US Equity", "LOAD_FACTOR", "FPT=A", "FPO=1A", "ACT_EST_MAPPING=PRECISE", "FS=MRC", "CURRENCY=USD", "XLFILL=b")</f>
        <v>77.530992768029193</v>
      </c>
      <c r="J15" s="9">
        <f>_xll.BQL("ULCC US Equity", "LOAD_FACTOR", "FPT=A", "FPO=0A", "ACT_EST_MAPPING=PRECISE", "FS=MRC", "CURRENCY=USD", "XLFILL=b")</f>
        <v>81.400000000000006</v>
      </c>
      <c r="K15" s="9">
        <f>_xll.BQL("ULCC US Equity", "LOAD_FACTOR", "FPT=A", "FPO=-1A", "ACT_EST_MAPPING=PRECISE", "FS=MRC", "CURRENCY=USD", "XLFILL=b")</f>
        <v>80.900000000000006</v>
      </c>
      <c r="L15" s="9">
        <f>_xll.BQL("ULCC US Equity", "LOAD_FACTOR", "FPT=A", "FPO=-2A", "ACT_EST_MAPPING=PRECISE", "FS=MRC", "CURRENCY=USD", "XLFILL=b")</f>
        <v>75.900000000000006</v>
      </c>
      <c r="M15" s="9">
        <f>_xll.BQL("ULCC US Equity", "LOAD_FACTOR", "FPT=A", "FPO=-3A", "ACT_EST_MAPPING=PRECISE", "FS=MRC", "CURRENCY=USD", "XLFILL=b")</f>
        <v>67.5</v>
      </c>
      <c r="N15" s="9">
        <f>_xll.BQL("ULCC US Equity", "LOAD_FACTOR", "FPT=A", "FPO=-4A", "ACT_EST_MAPPING=PRECISE", "FS=MRC", "CURRENCY=USD", "XLFILL=b")</f>
        <v>86.1</v>
      </c>
    </row>
    <row r="16" spans="1:14" x14ac:dyDescent="0.2">
      <c r="A16" s="8" t="s">
        <v>12</v>
      </c>
      <c r="B16" s="4" t="s">
        <v>21</v>
      </c>
      <c r="C16" s="4" t="s">
        <v>22</v>
      </c>
      <c r="D16" s="4"/>
      <c r="E16" s="9">
        <f>_xll.BQL("ULCC US Equity", "FA_GROWTH(LOAD_FACTOR, YOY)", "FPT=A", "FPO=5A", "ACT_EST_MAPPING=PRECISE", "FS=MRC", "CURRENCY=USD", "XLFILL=b")</f>
        <v>3.3437305212240016E-14</v>
      </c>
      <c r="F16" s="9">
        <f>_xll.BQL("ULCC US Equity", "FA_GROWTH(LOAD_FACTOR, YOY)", "FPT=A", "FPO=4A", "ACT_EST_MAPPING=PRECISE", "FS=MRC", "CURRENCY=USD", "XLFILL=b")</f>
        <v>4.2445825353677948</v>
      </c>
      <c r="G16" s="9">
        <f>_xll.BQL("ULCC US Equity", "FA_GROWTH(LOAD_FACTOR, YOY)", "FPT=A", "FPO=3A", "ACT_EST_MAPPING=PRECISE", "FS=MRC", "CURRENCY=USD", "XLFILL=b")</f>
        <v>1.7884078578327469</v>
      </c>
      <c r="H16" s="9">
        <f>_xll.BQL("ULCC US Equity", "FA_GROWTH(LOAD_FACTOR, YOY)", "FPT=A", "FPO=2A", "ACT_EST_MAPPING=PRECISE", "FS=MRC", "CURRENCY=USD", "XLFILL=b")</f>
        <v>3.3217527334577688</v>
      </c>
      <c r="I16" s="9">
        <f>_xll.BQL("ULCC US Equity", "FA_GROWTH(LOAD_FACTOR, YOY)", "FPT=A", "FPO=1A", "ACT_EST_MAPPING=PRECISE", "FS=MRC", "CURRENCY=USD", "XLFILL=b")</f>
        <v>-4.7530801375562799</v>
      </c>
      <c r="J16" s="9">
        <f>_xll.BQL("ULCC US Equity", "FA_GROWTH(LOAD_FACTOR, YOY)", "FPT=A", "FPO=0A", "ACT_EST_MAPPING=PRECISE", "FS=MRC", "CURRENCY=USD", "XLFILL=b")</f>
        <v>0.61804697156983923</v>
      </c>
      <c r="K16" s="9">
        <f>_xll.BQL("ULCC US Equity", "FA_GROWTH(LOAD_FACTOR, YOY)", "FPT=A", "FPO=-1A", "ACT_EST_MAPPING=PRECISE", "FS=MRC", "CURRENCY=USD", "XLFILL=b")</f>
        <v>6.587615283267457</v>
      </c>
      <c r="L16" s="9">
        <f>_xll.BQL("ULCC US Equity", "FA_GROWTH(LOAD_FACTOR, YOY)", "FPT=A", "FPO=-2A", "ACT_EST_MAPPING=PRECISE", "FS=MRC", "CURRENCY=USD", "XLFILL=b")</f>
        <v>12.444444444444454</v>
      </c>
      <c r="M16" s="9">
        <f>_xll.BQL("ULCC US Equity", "FA_GROWTH(LOAD_FACTOR, YOY)", "FPT=A", "FPO=-3A", "ACT_EST_MAPPING=PRECISE", "FS=MRC", "CURRENCY=USD", "XLFILL=b")</f>
        <v>-21.602787456445988</v>
      </c>
      <c r="N16" s="9">
        <f>_xll.BQL("ULCC US Equity", "FA_GROWTH(LOAD_FACTOR, YOY)", "FPT=A", "FPO=-4A", "ACT_EST_MAPPING=PRECISE", "FS=MRC", "CURRENCY=USD", "XLFILL=b")</f>
        <v>1.365052911085995</v>
      </c>
    </row>
    <row r="17" spans="1:14" x14ac:dyDescent="0.2">
      <c r="A17" s="8" t="s">
        <v>16</v>
      </c>
      <c r="B17" s="4"/>
      <c r="C17" s="4"/>
      <c r="D17" s="4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8" t="s">
        <v>23</v>
      </c>
      <c r="B18" s="4" t="s">
        <v>24</v>
      </c>
      <c r="C18" s="4"/>
      <c r="D18" s="4"/>
      <c r="E18" s="9" t="str">
        <f>_xll.BQL("ULCC US Equity", "TOTAL_PASSENGER_REVENUE/1M", "FPT=A", "FPO=5A", "ACT_EST_MAPPING=PRECISE", "FS=MRC", "CURRENCY=USD", "XLFILL=b")</f>
        <v/>
      </c>
      <c r="F18" s="9" t="str">
        <f>_xll.BQL("ULCC US Equity", "TOTAL_PASSENGER_REVENUE/1M", "FPT=A", "FPO=4A", "ACT_EST_MAPPING=PRECISE", "FS=MRC", "CURRENCY=USD", "XLFILL=b")</f>
        <v/>
      </c>
      <c r="G18" s="9">
        <f>_xll.BQL("ULCC US Equity", "TOTAL_PASSENGER_REVENUE/1M", "FPT=A", "FPO=3A", "ACT_EST_MAPPING=PRECISE", "FS=MRC", "CURRENCY=USD", "XLFILL=b")</f>
        <v>4698.6693555460542</v>
      </c>
      <c r="H18" s="9">
        <f>_xll.BQL("ULCC US Equity", "TOTAL_PASSENGER_REVENUE/1M", "FPT=A", "FPO=2A", "ACT_EST_MAPPING=PRECISE", "FS=MRC", "CURRENCY=USD", "XLFILL=b")</f>
        <v>4084.4483483361764</v>
      </c>
      <c r="I18" s="9">
        <f>_xll.BQL("ULCC US Equity", "TOTAL_PASSENGER_REVENUE/1M", "FPT=A", "FPO=1A", "ACT_EST_MAPPING=PRECISE", "FS=MRC", "CURRENCY=USD", "XLFILL=b")</f>
        <v>3636.0412942078615</v>
      </c>
      <c r="J18" s="9">
        <f>_xll.BQL("ULCC US Equity", "TOTAL_PASSENGER_REVENUE/1M", "FPT=A", "FPO=0A", "ACT_EST_MAPPING=PRECISE", "FS=MRC", "CURRENCY=USD", "XLFILL=b")</f>
        <v>3509</v>
      </c>
      <c r="K18" s="9">
        <f>_xll.BQL("ULCC US Equity", "TOTAL_PASSENGER_REVENUE/1M", "FPT=A", "FPO=-1A", "ACT_EST_MAPPING=PRECISE", "FS=MRC", "CURRENCY=USD", "XLFILL=b")</f>
        <v>3248</v>
      </c>
      <c r="L18" s="9">
        <f>_xll.BQL("ULCC US Equity", "TOTAL_PASSENGER_REVENUE/1M", "FPT=A", "FPO=-2A", "ACT_EST_MAPPING=PRECISE", "FS=MRC", "CURRENCY=USD", "XLFILL=b")</f>
        <v>2000</v>
      </c>
      <c r="M18" s="9">
        <f>_xll.BQL("ULCC US Equity", "TOTAL_PASSENGER_REVENUE/1M", "FPT=A", "FPO=-3A", "ACT_EST_MAPPING=PRECISE", "FS=MRC", "CURRENCY=USD", "XLFILL=b")</f>
        <v>1207</v>
      </c>
      <c r="N18" s="9">
        <f>_xll.BQL("ULCC US Equity", "TOTAL_PASSENGER_REVENUE/1M", "FPT=A", "FPO=-4A", "ACT_EST_MAPPING=PRECISE", "FS=MRC", "CURRENCY=USD", "XLFILL=b")</f>
        <v>2445</v>
      </c>
    </row>
    <row r="19" spans="1:14" x14ac:dyDescent="0.2">
      <c r="A19" s="8" t="s">
        <v>12</v>
      </c>
      <c r="B19" s="4" t="s">
        <v>24</v>
      </c>
      <c r="C19" s="4"/>
      <c r="D19" s="4"/>
      <c r="E19" s="9" t="str">
        <f>_xll.BQL("ULCC US Equity", "FA_GROWTH(TOTAL_PASSENGER_REVENUE, YOY)", "FPT=A", "FPO=5A", "ACT_EST_MAPPING=PRECISE", "FS=MRC", "CURRENCY=USD", "XLFILL=b")</f>
        <v/>
      </c>
      <c r="F19" s="9" t="str">
        <f>_xll.BQL("ULCC US Equity", "FA_GROWTH(TOTAL_PASSENGER_REVENUE, YOY)", "FPT=A", "FPO=4A", "ACT_EST_MAPPING=PRECISE", "FS=MRC", "CURRENCY=USD", "XLFILL=b")</f>
        <v/>
      </c>
      <c r="G19" s="9">
        <f>_xll.BQL("ULCC US Equity", "FA_GROWTH(TOTAL_PASSENGER_REVENUE, YOY)", "FPT=A", "FPO=3A", "ACT_EST_MAPPING=PRECISE", "FS=MRC", "CURRENCY=USD", "XLFILL=b")</f>
        <v>15.038040754269398</v>
      </c>
      <c r="H19" s="9">
        <f>_xll.BQL("ULCC US Equity", "FA_GROWTH(TOTAL_PASSENGER_REVENUE, YOY)", "FPT=A", "FPO=2A", "ACT_EST_MAPPING=PRECISE", "FS=MRC", "CURRENCY=USD", "XLFILL=b")</f>
        <v>12.332287172937725</v>
      </c>
      <c r="I19" s="9">
        <f>_xll.BQL("ULCC US Equity", "FA_GROWTH(TOTAL_PASSENGER_REVENUE, YOY)", "FPT=A", "FPO=1A", "ACT_EST_MAPPING=PRECISE", "FS=MRC", "CURRENCY=USD", "XLFILL=b")</f>
        <v>3.6204415562228962</v>
      </c>
      <c r="J19" s="9">
        <f>_xll.BQL("ULCC US Equity", "FA_GROWTH(TOTAL_PASSENGER_REVENUE, YOY)", "FPT=A", "FPO=0A", "ACT_EST_MAPPING=PRECISE", "FS=MRC", "CURRENCY=USD", "XLFILL=b")</f>
        <v>8.0357142857142865</v>
      </c>
      <c r="K19" s="9">
        <f>_xll.BQL("ULCC US Equity", "FA_GROWTH(TOTAL_PASSENGER_REVENUE, YOY)", "FPT=A", "FPO=-1A", "ACT_EST_MAPPING=PRECISE", "FS=MRC", "CURRENCY=USD", "XLFILL=b")</f>
        <v>62.4</v>
      </c>
      <c r="L19" s="9">
        <f>_xll.BQL("ULCC US Equity", "FA_GROWTH(TOTAL_PASSENGER_REVENUE, YOY)", "FPT=A", "FPO=-2A", "ACT_EST_MAPPING=PRECISE", "FS=MRC", "CURRENCY=USD", "XLFILL=b")</f>
        <v>65.700082850041426</v>
      </c>
      <c r="M19" s="9">
        <f>_xll.BQL("ULCC US Equity", "FA_GROWTH(TOTAL_PASSENGER_REVENUE, YOY)", "FPT=A", "FPO=-3A", "ACT_EST_MAPPING=PRECISE", "FS=MRC", "CURRENCY=USD", "XLFILL=b")</f>
        <v>-50.633946830265849</v>
      </c>
      <c r="N19" s="9">
        <f>_xll.BQL("ULCC US Equity", "FA_GROWTH(TOTAL_PASSENGER_REVENUE, YOY)", "FPT=A", "FPO=-4A", "ACT_EST_MAPPING=PRECISE", "FS=MRC", "CURRENCY=USD", "XLFILL=b")</f>
        <v>16.317792578496668</v>
      </c>
    </row>
    <row r="20" spans="1:14" x14ac:dyDescent="0.2">
      <c r="A20" s="8" t="s">
        <v>25</v>
      </c>
      <c r="B20" s="4" t="s">
        <v>26</v>
      </c>
      <c r="C20" s="4"/>
      <c r="D20" s="4" t="s">
        <v>27</v>
      </c>
      <c r="E20" s="9" t="str">
        <f>_xll.BQL("SEG0000474269 Segment", "SALES_REV_TURN/1M", "FPT=A", "FPO=5A", "ACT_EST_MAPPING=PRECISE", "FS=MRC", "CURRENCY=USD", "XLFILL=b")</f>
        <v/>
      </c>
      <c r="F20" s="9" t="str">
        <f>_xll.BQL("SEG0000474269 Segment", "SALES_REV_TURN/1M", "FPT=A", "FPO=4A", "ACT_EST_MAPPING=PRECISE", "FS=MRC", "CURRENCY=USD", "XLFILL=b")</f>
        <v/>
      </c>
      <c r="G20" s="9">
        <f>_xll.BQL("SEG0000474269 Segment", "SALES_REV_TURN/1M", "FPT=A", "FPO=3A", "ACT_EST_MAPPING=PRECISE", "FS=MRC", "CURRENCY=USD", "XLFILL=b")</f>
        <v>2544.9304271847764</v>
      </c>
      <c r="H20" s="9">
        <f>_xll.BQL("SEG0000474269 Segment", "SALES_REV_TURN/1M", "FPT=A", "FPO=2A", "ACT_EST_MAPPING=PRECISE", "FS=MRC", "CURRENCY=USD", "XLFILL=b")</f>
        <v>1587.6030323092486</v>
      </c>
      <c r="I20" s="9">
        <f>_xll.BQL("SEG0000474269 Segment", "SALES_REV_TURN/1M", "FPT=A", "FPO=1A", "ACT_EST_MAPPING=PRECISE", "FS=MRC", "CURRENCY=USD", "XLFILL=b")</f>
        <v>1743.7875250873124</v>
      </c>
      <c r="J20" s="9">
        <f>_xll.BQL("SEG0000474269 Segment", "SALES_REV_TURN/1M", "FPT=A", "FPO=0A", "ACT_EST_MAPPING=PRECISE", "FS=MRC", "CURRENCY=USD", "XLFILL=b")</f>
        <v>1277</v>
      </c>
      <c r="K20" s="9">
        <f>_xll.BQL("SEG0000474269 Segment", "SALES_REV_TURN/1M", "FPT=A", "FPO=-1A", "ACT_EST_MAPPING=PRECISE", "FS=MRC", "CURRENCY=USD", "XLFILL=b")</f>
        <v>1382</v>
      </c>
      <c r="L20" s="9">
        <f>_xll.BQL("SEG0000474269 Segment", "SALES_REV_TURN/1M", "FPT=A", "FPO=-2A", "ACT_EST_MAPPING=PRECISE", "FS=MRC", "CURRENCY=USD", "XLFILL=b")</f>
        <v>806</v>
      </c>
      <c r="M20" s="9">
        <f>_xll.BQL("SEG0000474269 Segment", "SALES_REV_TURN/1M", "FPT=A", "FPO=-3A", "ACT_EST_MAPPING=PRECISE", "FS=MRC", "CURRENCY=USD", "XLFILL=b")</f>
        <v>548</v>
      </c>
      <c r="N20" s="9">
        <f>_xll.BQL("SEG0000474269 Segment", "SALES_REV_TURN/1M", "FPT=A", "FPO=-4A", "ACT_EST_MAPPING=PRECISE", "FS=MRC", "CURRENCY=USD", "XLFILL=b")</f>
        <v>1205</v>
      </c>
    </row>
    <row r="21" spans="1:14" x14ac:dyDescent="0.2">
      <c r="A21" s="8" t="s">
        <v>28</v>
      </c>
      <c r="B21" s="4" t="s">
        <v>26</v>
      </c>
      <c r="C21" s="4"/>
      <c r="D21" s="4" t="s">
        <v>27</v>
      </c>
      <c r="E21" s="9" t="str">
        <f>_xll.BQL("SEG0000474269 Segment", "FA_GROWTH(SALES_REV_TURN, YOY)", "FPT=A", "FPO=5A", "ACT_EST_MAPPING=PRECISE", "FS=MRC", "CURRENCY=USD", "XLFILL=b")</f>
        <v/>
      </c>
      <c r="F21" s="9" t="str">
        <f>_xll.BQL("SEG0000474269 Segment", "FA_GROWTH(SALES_REV_TURN, YOY)", "FPT=A", "FPO=4A", "ACT_EST_MAPPING=PRECISE", "FS=MRC", "CURRENCY=USD", "XLFILL=b")</f>
        <v/>
      </c>
      <c r="G21" s="9">
        <f>_xll.BQL("SEG0000474269 Segment", "FA_GROWTH(SALES_REV_TURN, YOY)", "FPT=A", "FPO=3A", "ACT_EST_MAPPING=PRECISE", "FS=MRC", "CURRENCY=USD", "XLFILL=b")</f>
        <v>60.300174249670377</v>
      </c>
      <c r="H21" s="9">
        <f>_xll.BQL("SEG0000474269 Segment", "FA_GROWTH(SALES_REV_TURN, YOY)", "FPT=A", "FPO=2A", "ACT_EST_MAPPING=PRECISE", "FS=MRC", "CURRENCY=USD", "XLFILL=b")</f>
        <v>-8.9566240457101287</v>
      </c>
      <c r="I21" s="9">
        <f>_xll.BQL("SEG0000474269 Segment", "FA_GROWTH(SALES_REV_TURN, YOY)", "FPT=A", "FPO=1A", "ACT_EST_MAPPING=PRECISE", "FS=MRC", "CURRENCY=USD", "XLFILL=b")</f>
        <v>36.553447540118441</v>
      </c>
      <c r="J21" s="9">
        <f>_xll.BQL("SEG0000474269 Segment", "FA_GROWTH(SALES_REV_TURN, YOY)", "FPT=A", "FPO=0A", "ACT_EST_MAPPING=PRECISE", "FS=MRC", "CURRENCY=USD", "XLFILL=b")</f>
        <v>-7.5976845151953691</v>
      </c>
      <c r="K21" s="9">
        <f>_xll.BQL("SEG0000474269 Segment", "FA_GROWTH(SALES_REV_TURN, YOY)", "FPT=A", "FPO=-1A", "ACT_EST_MAPPING=PRECISE", "FS=MRC", "CURRENCY=USD", "XLFILL=b")</f>
        <v>71.464019851116632</v>
      </c>
      <c r="L21" s="9">
        <f>_xll.BQL("SEG0000474269 Segment", "FA_GROWTH(SALES_REV_TURN, YOY)", "FPT=A", "FPO=-2A", "ACT_EST_MAPPING=PRECISE", "FS=MRC", "CURRENCY=USD", "XLFILL=b")</f>
        <v>47.080291970802918</v>
      </c>
      <c r="M21" s="9">
        <f>_xll.BQL("SEG0000474269 Segment", "FA_GROWTH(SALES_REV_TURN, YOY)", "FPT=A", "FPO=-3A", "ACT_EST_MAPPING=PRECISE", "FS=MRC", "CURRENCY=USD", "XLFILL=b")</f>
        <v>-54.522821576763484</v>
      </c>
      <c r="N21" s="9">
        <f>_xll.BQL("SEG0000474269 Segment", "FA_GROWTH(SALES_REV_TURN, YOY)", "FPT=A", "FPO=-4A", "ACT_EST_MAPPING=PRECISE", "FS=MRC", "CURRENCY=USD", "XLFILL=b")</f>
        <v>10.957642725598527</v>
      </c>
    </row>
    <row r="22" spans="1:14" x14ac:dyDescent="0.2">
      <c r="A22" s="8" t="s">
        <v>29</v>
      </c>
      <c r="B22" s="4" t="s">
        <v>26</v>
      </c>
      <c r="C22" s="4"/>
      <c r="D22" s="4" t="s">
        <v>30</v>
      </c>
      <c r="E22" s="9" t="str">
        <f>_xll.BQL("SEG0000474266 Segment", "SALES_REV_TURN/1M", "FPT=A", "FPO=5A", "ACT_EST_MAPPING=PRECISE", "FS=MRC", "CURRENCY=USD", "XLFILL=b")</f>
        <v/>
      </c>
      <c r="F22" s="9" t="str">
        <f>_xll.BQL("SEG0000474266 Segment", "SALES_REV_TURN/1M", "FPT=A", "FPO=4A", "ACT_EST_MAPPING=PRECISE", "FS=MRC", "CURRENCY=USD", "XLFILL=b")</f>
        <v/>
      </c>
      <c r="G22" s="9">
        <f>_xll.BQL("SEG0000474266 Segment", "SALES_REV_TURN/1M", "FPT=A", "FPO=3A", "ACT_EST_MAPPING=PRECISE", "FS=MRC", "CURRENCY=USD", "XLFILL=b")</f>
        <v>2885.2340540622831</v>
      </c>
      <c r="H22" s="9">
        <f>_xll.BQL("SEG0000474266 Segment", "SALES_REV_TURN/1M", "FPT=A", "FPO=2A", "ACT_EST_MAPPING=PRECISE", "FS=MRC", "CURRENCY=USD", "XLFILL=b")</f>
        <v>2539.2869255564506</v>
      </c>
      <c r="I22" s="9">
        <f>_xll.BQL("SEG0000474266 Segment", "SALES_REV_TURN/1M", "FPT=A", "FPO=1A", "ACT_EST_MAPPING=PRECISE", "FS=MRC", "CURRENCY=USD", "XLFILL=b")</f>
        <v>2289.1083636865319</v>
      </c>
      <c r="J22" s="9">
        <f>_xll.BQL("SEG0000474266 Segment", "SALES_REV_TURN/1M", "FPT=A", "FPO=0A", "ACT_EST_MAPPING=PRECISE", "FS=MRC", "CURRENCY=USD", "XLFILL=b")</f>
        <v>2232</v>
      </c>
      <c r="K22" s="9">
        <f>_xll.BQL("SEG0000474266 Segment", "SALES_REV_TURN/1M", "FPT=A", "FPO=-1A", "ACT_EST_MAPPING=PRECISE", "FS=MRC", "CURRENCY=USD", "XLFILL=b")</f>
        <v>1866</v>
      </c>
      <c r="L22" s="9">
        <f>_xll.BQL("SEG0000474266 Segment", "SALES_REV_TURN/1M", "FPT=A", "FPO=-2A", "ACT_EST_MAPPING=PRECISE", "FS=MRC", "CURRENCY=USD", "XLFILL=b")</f>
        <v>1194</v>
      </c>
      <c r="M22" s="9">
        <f>_xll.BQL("SEG0000474266 Segment", "SALES_REV_TURN/1M", "FPT=A", "FPO=-3A", "ACT_EST_MAPPING=PRECISE", "FS=MRC", "CURRENCY=USD", "XLFILL=b")</f>
        <v>659</v>
      </c>
      <c r="N22" s="9">
        <f>_xll.BQL("SEG0000474266 Segment", "SALES_REV_TURN/1M", "FPT=A", "FPO=-4A", "ACT_EST_MAPPING=PRECISE", "FS=MRC", "CURRENCY=USD", "XLFILL=b")</f>
        <v>1240</v>
      </c>
    </row>
    <row r="23" spans="1:14" x14ac:dyDescent="0.2">
      <c r="A23" s="8" t="s">
        <v>28</v>
      </c>
      <c r="B23" s="4" t="s">
        <v>26</v>
      </c>
      <c r="C23" s="4"/>
      <c r="D23" s="4" t="s">
        <v>30</v>
      </c>
      <c r="E23" s="9" t="str">
        <f>_xll.BQL("SEG0000474266 Segment", "FA_GROWTH(SALES_REV_TURN, YOY)", "FPT=A", "FPO=5A", "ACT_EST_MAPPING=PRECISE", "FS=MRC", "CURRENCY=USD", "XLFILL=b")</f>
        <v/>
      </c>
      <c r="F23" s="9" t="str">
        <f>_xll.BQL("SEG0000474266 Segment", "FA_GROWTH(SALES_REV_TURN, YOY)", "FPT=A", "FPO=4A", "ACT_EST_MAPPING=PRECISE", "FS=MRC", "CURRENCY=USD", "XLFILL=b")</f>
        <v/>
      </c>
      <c r="G23" s="9">
        <f>_xll.BQL("SEG0000474266 Segment", "FA_GROWTH(SALES_REV_TURN, YOY)", "FPT=A", "FPO=3A", "ACT_EST_MAPPING=PRECISE", "FS=MRC", "CURRENCY=USD", "XLFILL=b")</f>
        <v>13.623790404466524</v>
      </c>
      <c r="H23" s="9">
        <f>_xll.BQL("SEG0000474266 Segment", "FA_GROWTH(SALES_REV_TURN, YOY)", "FPT=A", "FPO=2A", "ACT_EST_MAPPING=PRECISE", "FS=MRC", "CURRENCY=USD", "XLFILL=b")</f>
        <v>10.929083386293438</v>
      </c>
      <c r="I23" s="9">
        <f>_xll.BQL("SEG0000474266 Segment", "FA_GROWTH(SALES_REV_TURN, YOY)", "FPT=A", "FPO=1A", "ACT_EST_MAPPING=PRECISE", "FS=MRC", "CURRENCY=USD", "XLFILL=b")</f>
        <v>2.5586184447370979</v>
      </c>
      <c r="J23" s="9">
        <f>_xll.BQL("SEG0000474266 Segment", "FA_GROWTH(SALES_REV_TURN, YOY)", "FPT=A", "FPO=0A", "ACT_EST_MAPPING=PRECISE", "FS=MRC", "CURRENCY=USD", "XLFILL=b")</f>
        <v>19.614147909967844</v>
      </c>
      <c r="K23" s="9">
        <f>_xll.BQL("SEG0000474266 Segment", "FA_GROWTH(SALES_REV_TURN, YOY)", "FPT=A", "FPO=-1A", "ACT_EST_MAPPING=PRECISE", "FS=MRC", "CURRENCY=USD", "XLFILL=b")</f>
        <v>56.281407035175882</v>
      </c>
      <c r="L23" s="9">
        <f>_xll.BQL("SEG0000474266 Segment", "FA_GROWTH(SALES_REV_TURN, YOY)", "FPT=A", "FPO=-2A", "ACT_EST_MAPPING=PRECISE", "FS=MRC", "CURRENCY=USD", "XLFILL=b")</f>
        <v>81.183611532625193</v>
      </c>
      <c r="M23" s="9">
        <f>_xll.BQL("SEG0000474266 Segment", "FA_GROWTH(SALES_REV_TURN, YOY)", "FPT=A", "FPO=-3A", "ACT_EST_MAPPING=PRECISE", "FS=MRC", "CURRENCY=USD", "XLFILL=b")</f>
        <v>-46.854838709677416</v>
      </c>
      <c r="N23" s="9">
        <f>_xll.BQL("SEG0000474266 Segment", "FA_GROWTH(SALES_REV_TURN, YOY)", "FPT=A", "FPO=-4A", "ACT_EST_MAPPING=PRECISE", "FS=MRC", "CURRENCY=USD", "XLFILL=b")</f>
        <v>22.047244094488189</v>
      </c>
    </row>
    <row r="24" spans="1:14" x14ac:dyDescent="0.2">
      <c r="A24" s="8" t="s">
        <v>31</v>
      </c>
      <c r="B24" s="4" t="s">
        <v>32</v>
      </c>
      <c r="C24" s="4"/>
      <c r="D24" s="4"/>
      <c r="E24" s="9" t="str">
        <f>_xll.BQL("ULCC US Equity", "PASSENGER_REVENUE_PER_ASM", "FPT=A", "FPO=5A", "ACT_EST_MAPPING=PRECISE", "FS=MRC", "CURRENCY=USD", "XLFILL=b")</f>
        <v/>
      </c>
      <c r="F24" s="9" t="str">
        <f>_xll.BQL("ULCC US Equity", "PASSENGER_REVENUE_PER_ASM", "FPT=A", "FPO=4A", "ACT_EST_MAPPING=PRECISE", "FS=MRC", "CURRENCY=USD", "XLFILL=b")</f>
        <v/>
      </c>
      <c r="G24" s="9">
        <f>_xll.BQL("ULCC US Equity", "PASSENGER_REVENUE_PER_ASM", "FPT=A", "FPO=3A", "ACT_EST_MAPPING=PRECISE", "FS=MRC", "CURRENCY=USD", "XLFILL=b")</f>
        <v>9.9498556183124727</v>
      </c>
      <c r="H24" s="9">
        <f>_xll.BQL("ULCC US Equity", "PASSENGER_REVENUE_PER_ASM", "FPT=A", "FPO=2A", "ACT_EST_MAPPING=PRECISE", "FS=MRC", "CURRENCY=USD", "XLFILL=b")</f>
        <v>9.5573145520698723</v>
      </c>
      <c r="I24" s="9">
        <f>_xll.BQL("ULCC US Equity", "PASSENGER_REVENUE_PER_ASM", "FPT=A", "FPO=1A", "ACT_EST_MAPPING=PRECISE", "FS=MRC", "CURRENCY=USD", "XLFILL=b")</f>
        <v>9.1364081036279909</v>
      </c>
      <c r="J24" s="9">
        <f>_xll.BQL("ULCC US Equity", "PASSENGER_REVENUE_PER_ASM", "FPT=A", "FPO=0A", "ACT_EST_MAPPING=PRECISE", "FS=MRC", "CURRENCY=USD", "XLFILL=b")</f>
        <v>9.2776689999999995</v>
      </c>
      <c r="K24" s="9">
        <f>_xll.BQL("ULCC US Equity", "PASSENGER_REVENUE_PER_ASM", "FPT=A", "FPO=-1A", "ACT_EST_MAPPING=PRECISE", "FS=MRC", "CURRENCY=USD", "XLFILL=b")</f>
        <v>10.231210000000001</v>
      </c>
      <c r="L24" s="9">
        <f>_xll.BQL("ULCC US Equity", "PASSENGER_REVENUE_PER_ASM", "FPT=A", "FPO=-2A", "ACT_EST_MAPPING=PRECISE", "FS=MRC", "CURRENCY=USD", "XLFILL=b")</f>
        <v>7.4440759999999999</v>
      </c>
      <c r="M24" s="9">
        <f>_xll.BQL("ULCC US Equity", "PASSENGER_REVENUE_PER_ASM", "FPT=A", "FPO=-3A", "ACT_EST_MAPPING=PRECISE", "FS=MRC", "CURRENCY=USD", "XLFILL=b")</f>
        <v>7.1188440000000002</v>
      </c>
      <c r="N24" s="9">
        <f>_xll.BQL("ULCC US Equity", "PASSENGER_REVENUE_PER_ASM", "FPT=A", "FPO=-4A", "ACT_EST_MAPPING=PRECISE", "FS=MRC", "CURRENCY=USD", "XLFILL=b")</f>
        <v>8.6948790000000002</v>
      </c>
    </row>
    <row r="25" spans="1:14" x14ac:dyDescent="0.2">
      <c r="A25" s="8" t="s">
        <v>12</v>
      </c>
      <c r="B25" s="4" t="s">
        <v>32</v>
      </c>
      <c r="C25" s="4"/>
      <c r="D25" s="4"/>
      <c r="E25" s="9" t="str">
        <f>_xll.BQL("ULCC US Equity", "FA_GROWTH(PASSENGER_REVENUE_PER_ASM, YOY)", "FPT=A", "FPO=5A", "ACT_EST_MAPPING=PRECISE", "FS=MRC", "CURRENCY=USD", "XLFILL=b")</f>
        <v/>
      </c>
      <c r="F25" s="9" t="str">
        <f>_xll.BQL("ULCC US Equity", "FA_GROWTH(PASSENGER_REVENUE_PER_ASM, YOY)", "FPT=A", "FPO=4A", "ACT_EST_MAPPING=PRECISE", "FS=MRC", "CURRENCY=USD", "XLFILL=b")</f>
        <v/>
      </c>
      <c r="G25" s="9">
        <f>_xll.BQL("ULCC US Equity", "FA_GROWTH(PASSENGER_REVENUE_PER_ASM, YOY)", "FPT=A", "FPO=3A", "ACT_EST_MAPPING=PRECISE", "FS=MRC", "CURRENCY=USD", "XLFILL=b")</f>
        <v>4.1072318390691231</v>
      </c>
      <c r="H25" s="9">
        <f>_xll.BQL("ULCC US Equity", "FA_GROWTH(PASSENGER_REVENUE_PER_ASM, YOY)", "FPT=A", "FPO=2A", "ACT_EST_MAPPING=PRECISE", "FS=MRC", "CURRENCY=USD", "XLFILL=b")</f>
        <v>4.6069138294593364</v>
      </c>
      <c r="I25" s="9">
        <f>_xll.BQL("ULCC US Equity", "FA_GROWTH(PASSENGER_REVENUE_PER_ASM, YOY)", "FPT=A", "FPO=1A", "ACT_EST_MAPPING=PRECISE", "FS=MRC", "CURRENCY=USD", "XLFILL=b")</f>
        <v>-1.5225903874346947</v>
      </c>
      <c r="J25" s="9">
        <f>_xll.BQL("ULCC US Equity", "FA_GROWTH(PASSENGER_REVENUE_PER_ASM, YOY)", "FPT=A", "FPO=0A", "ACT_EST_MAPPING=PRECISE", "FS=MRC", "CURRENCY=USD", "XLFILL=b")</f>
        <v>-9.3199240363554381</v>
      </c>
      <c r="K25" s="9">
        <f>_xll.BQL("ULCC US Equity", "FA_GROWTH(PASSENGER_REVENUE_PER_ASM, YOY)", "FPT=A", "FPO=-1A", "ACT_EST_MAPPING=PRECISE", "FS=MRC", "CURRENCY=USD", "XLFILL=b")</f>
        <v>37.440966481266457</v>
      </c>
      <c r="L25" s="9">
        <f>_xll.BQL("ULCC US Equity", "FA_GROWTH(PASSENGER_REVENUE_PER_ASM, YOY)", "FPT=A", "FPO=-2A", "ACT_EST_MAPPING=PRECISE", "FS=MRC", "CURRENCY=USD", "XLFILL=b")</f>
        <v>4.5686069255064412</v>
      </c>
      <c r="M25" s="9">
        <f>_xll.BQL("ULCC US Equity", "FA_GROWTH(PASSENGER_REVENUE_PER_ASM, YOY)", "FPT=A", "FPO=-3A", "ACT_EST_MAPPING=PRECISE", "FS=MRC", "CURRENCY=USD", "XLFILL=b")</f>
        <v>-18.126014174550328</v>
      </c>
      <c r="N25" s="9">
        <f>_xll.BQL("ULCC US Equity", "FA_GROWTH(PASSENGER_REVENUE_PER_ASM, YOY)", "FPT=A", "FPO=-4A", "ACT_EST_MAPPING=PRECISE", "FS=MRC", "CURRENCY=USD", "XLFILL=b")</f>
        <v>1.8773461700966496</v>
      </c>
    </row>
    <row r="26" spans="1:14" x14ac:dyDescent="0.2">
      <c r="A26" s="8" t="s">
        <v>33</v>
      </c>
      <c r="B26" s="4" t="s">
        <v>34</v>
      </c>
      <c r="C26" s="4" t="s">
        <v>35</v>
      </c>
      <c r="D26" s="4"/>
      <c r="E26" s="9" t="str">
        <f>_xll.BQL("ULCC US Equity", "YIELD_PER_PASS_MILES_KM", "FPT=A", "FPO=5A", "ACT_EST_MAPPING=PRECISE", "FS=MRC", "CURRENCY=USD", "XLFILL=b")</f>
        <v/>
      </c>
      <c r="F26" s="9" t="str">
        <f>_xll.BQL("ULCC US Equity", "YIELD_PER_PASS_MILES_KM", "FPT=A", "FPO=4A", "ACT_EST_MAPPING=PRECISE", "FS=MRC", "CURRENCY=USD", "XLFILL=b")</f>
        <v/>
      </c>
      <c r="G26" s="9">
        <f>_xll.BQL("ULCC US Equity", "YIELD_PER_PASS_MILES_KM", "FPT=A", "FPO=3A", "ACT_EST_MAPPING=PRECISE", "FS=MRC", "CURRENCY=USD", "XLFILL=b")</f>
        <v>12.406269849657052</v>
      </c>
      <c r="H26" s="9">
        <f>_xll.BQL("ULCC US Equity", "YIELD_PER_PASS_MILES_KM", "FPT=A", "FPO=2A", "ACT_EST_MAPPING=PRECISE", "FS=MRC", "CURRENCY=USD", "XLFILL=b")</f>
        <v>12.025306823826046</v>
      </c>
      <c r="I26" s="9">
        <f>_xll.BQL("ULCC US Equity", "YIELD_PER_PASS_MILES_KM", "FPT=A", "FPO=1A", "ACT_EST_MAPPING=PRECISE", "FS=MRC", "CURRENCY=USD", "XLFILL=b")</f>
        <v>11.741640651480328</v>
      </c>
      <c r="J26" s="9">
        <f>_xll.BQL("ULCC US Equity", "YIELD_PER_PASS_MILES_KM", "FPT=A", "FPO=0A", "ACT_EST_MAPPING=PRECISE", "FS=MRC", "CURRENCY=USD", "XLFILL=b")</f>
        <v>11.393597</v>
      </c>
      <c r="K26" s="9">
        <f>_xll.BQL("ULCC US Equity", "YIELD_PER_PASS_MILES_KM", "FPT=A", "FPO=-1A", "ACT_EST_MAPPING=PRECISE", "FS=MRC", "CURRENCY=USD", "XLFILL=b")</f>
        <v>12.653395</v>
      </c>
      <c r="L26" s="9">
        <f>_xll.BQL("ULCC US Equity", "YIELD_PER_PASS_MILES_KM", "FPT=A", "FPO=-2A", "ACT_EST_MAPPING=PRECISE", "FS=MRC", "CURRENCY=USD", "XLFILL=b")</f>
        <v>9.8135429999999992</v>
      </c>
      <c r="M26" s="9">
        <f>_xll.BQL("ULCC US Equity", "YIELD_PER_PASS_MILES_KM", "FPT=A", "FPO=-3A", "ACT_EST_MAPPING=PRECISE", "FS=MRC", "CURRENCY=USD", "XLFILL=b")</f>
        <v>10.55</v>
      </c>
      <c r="N26" s="9">
        <f>_xll.BQL("ULCC US Equity", "YIELD_PER_PASS_MILES_KM", "FPT=A", "FPO=-4A", "ACT_EST_MAPPING=PRECISE", "FS=MRC", "CURRENCY=USD", "XLFILL=b")</f>
        <v>10.102053</v>
      </c>
    </row>
    <row r="27" spans="1:14" x14ac:dyDescent="0.2">
      <c r="A27" s="8" t="s">
        <v>12</v>
      </c>
      <c r="B27" s="4" t="s">
        <v>34</v>
      </c>
      <c r="C27" s="4" t="s">
        <v>35</v>
      </c>
      <c r="D27" s="4"/>
      <c r="E27" s="9" t="str">
        <f>_xll.BQL("ULCC US Equity", "FA_GROWTH(YIELD_PER_PASS_MILES_KM, YOY)", "FPT=A", "FPO=5A", "ACT_EST_MAPPING=PRECISE", "FS=MRC", "CURRENCY=USD", "XLFILL=b")</f>
        <v/>
      </c>
      <c r="F27" s="9" t="str">
        <f>_xll.BQL("ULCC US Equity", "FA_GROWTH(YIELD_PER_PASS_MILES_KM, YOY)", "FPT=A", "FPO=4A", "ACT_EST_MAPPING=PRECISE", "FS=MRC", "CURRENCY=USD", "XLFILL=b")</f>
        <v/>
      </c>
      <c r="G27" s="9">
        <f>_xll.BQL("ULCC US Equity", "FA_GROWTH(YIELD_PER_PASS_MILES_KM, YOY)", "FPT=A", "FPO=3A", "ACT_EST_MAPPING=PRECISE", "FS=MRC", "CURRENCY=USD", "XLFILL=b")</f>
        <v>3.1680108575374928</v>
      </c>
      <c r="H27" s="9">
        <f>_xll.BQL("ULCC US Equity", "FA_GROWTH(YIELD_PER_PASS_MILES_KM, YOY)", "FPT=A", "FPO=2A", "ACT_EST_MAPPING=PRECISE", "FS=MRC", "CURRENCY=USD", "XLFILL=b")</f>
        <v>2.4158989426231088</v>
      </c>
      <c r="I27" s="9">
        <f>_xll.BQL("ULCC US Equity", "FA_GROWTH(YIELD_PER_PASS_MILES_KM, YOY)", "FPT=A", "FPO=1A", "ACT_EST_MAPPING=PRECISE", "FS=MRC", "CURRENCY=USD", "XLFILL=b")</f>
        <v>3.0547302268136045</v>
      </c>
      <c r="J27" s="9">
        <f>_xll.BQL("ULCC US Equity", "FA_GROWTH(YIELD_PER_PASS_MILES_KM, YOY)", "FPT=A", "FPO=0A", "ACT_EST_MAPPING=PRECISE", "FS=MRC", "CURRENCY=USD", "XLFILL=b")</f>
        <v>-9.9562054294519378</v>
      </c>
      <c r="K27" s="9">
        <f>_xll.BQL("ULCC US Equity", "FA_GROWTH(YIELD_PER_PASS_MILES_KM, YOY)", "FPT=A", "FPO=-1A", "ACT_EST_MAPPING=PRECISE", "FS=MRC", "CURRENCY=USD", "XLFILL=b")</f>
        <v>28.938090962662528</v>
      </c>
      <c r="L27" s="9">
        <f>_xll.BQL("ULCC US Equity", "FA_GROWTH(YIELD_PER_PASS_MILES_KM, YOY)", "FPT=A", "FPO=-2A", "ACT_EST_MAPPING=PRECISE", "FS=MRC", "CURRENCY=USD", "XLFILL=b")</f>
        <v>-6.9806350710900604</v>
      </c>
      <c r="M27" s="9">
        <f>_xll.BQL("ULCC US Equity", "FA_GROWTH(YIELD_PER_PASS_MILES_KM, YOY)", "FPT=A", "FPO=-3A", "ACT_EST_MAPPING=PRECISE", "FS=MRC", "CURRENCY=USD", "XLFILL=b")</f>
        <v>4.434217480347816</v>
      </c>
      <c r="N27" s="9">
        <f>_xll.BQL("ULCC US Equity", "FA_GROWTH(YIELD_PER_PASS_MILES_KM, YOY)", "FPT=A", "FPO=-4A", "ACT_EST_MAPPING=PRECISE", "FS=MRC", "CURRENCY=USD", "XLFILL=b")</f>
        <v>0.5399390374072891</v>
      </c>
    </row>
    <row r="28" spans="1:14" x14ac:dyDescent="0.2">
      <c r="A28" s="8" t="s">
        <v>16</v>
      </c>
      <c r="B28" s="4"/>
      <c r="C28" s="4"/>
      <c r="D28" s="4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2">
      <c r="A29" s="8" t="s">
        <v>36</v>
      </c>
      <c r="B29" s="4" t="s">
        <v>37</v>
      </c>
      <c r="C29" s="4"/>
      <c r="D29" s="4"/>
      <c r="E29" s="9">
        <f>_xll.BQL("ULCC US Equity", "OP_EXP_PER_ASM_ASK", "FPT=A", "FPO=5A", "ACT_EST_MAPPING=PRECISE", "FS=MRC", "CURRENCY=USD", "XLFILL=b")</f>
        <v>10.010530874768266</v>
      </c>
      <c r="F29" s="9">
        <f>_xll.BQL("ULCC US Equity", "OP_EXP_PER_ASM_ASK", "FPT=A", "FPO=4A", "ACT_EST_MAPPING=PRECISE", "FS=MRC", "CURRENCY=USD", "XLFILL=b")</f>
        <v>9.9331772578368955</v>
      </c>
      <c r="G29" s="9">
        <f>_xll.BQL("ULCC US Equity", "OP_EXP_PER_ASM_ASK", "FPT=A", "FPO=3A", "ACT_EST_MAPPING=PRECISE", "FS=MRC", "CURRENCY=USD", "XLFILL=b")</f>
        <v>9.5629918988079368</v>
      </c>
      <c r="H29" s="9">
        <f>_xll.BQL("ULCC US Equity", "OP_EXP_PER_ASM_ASK", "FPT=A", "FPO=2A", "ACT_EST_MAPPING=PRECISE", "FS=MRC", "CURRENCY=USD", "XLFILL=b")</f>
        <v>9.5231382564045752</v>
      </c>
      <c r="I29" s="9">
        <f>_xll.BQL("ULCC US Equity", "OP_EXP_PER_ASM_ASK", "FPT=A", "FPO=1A", "ACT_EST_MAPPING=PRECISE", "FS=MRC", "CURRENCY=USD", "XLFILL=b")</f>
        <v>9.3208969844074865</v>
      </c>
      <c r="J29" s="9">
        <f>_xll.BQL("ULCC US Equity", "OP_EXP_PER_ASM_ASK", "FPT=A", "FPO=0A", "ACT_EST_MAPPING=PRECISE", "FS=MRC", "CURRENCY=USD", "XLFILL=b")</f>
        <v>9.5</v>
      </c>
      <c r="K29" s="9">
        <f>_xll.BQL("ULCC US Equity", "OP_EXP_PER_ASM_ASK", "FPT=A", "FPO=-1A", "ACT_EST_MAPPING=PRECISE", "FS=MRC", "CURRENCY=USD", "XLFILL=b")</f>
        <v>10.62</v>
      </c>
      <c r="L29" s="9">
        <f>_xll.BQL("ULCC US Equity", "OP_EXP_PER_ASM_ASK", "FPT=A", "FPO=-2A", "ACT_EST_MAPPING=PRECISE", "FS=MRC", "CURRENCY=USD", "XLFILL=b")</f>
        <v>8.1</v>
      </c>
      <c r="M29" s="9">
        <f>_xll.BQL("ULCC US Equity", "OP_EXP_PER_ASM_ASK", "FPT=A", "FPO=-3A", "ACT_EST_MAPPING=PRECISE", "FS=MRC", "CURRENCY=USD", "XLFILL=b")</f>
        <v>9.5299999999999994</v>
      </c>
      <c r="N29" s="9">
        <f>_xll.BQL("ULCC US Equity", "OP_EXP_PER_ASM_ASK", "FPT=A", "FPO=-4A", "ACT_EST_MAPPING=PRECISE", "FS=MRC", "CURRENCY=USD", "XLFILL=b")</f>
        <v>7.82</v>
      </c>
    </row>
    <row r="30" spans="1:14" x14ac:dyDescent="0.2">
      <c r="A30" s="8" t="s">
        <v>12</v>
      </c>
      <c r="B30" s="4" t="s">
        <v>37</v>
      </c>
      <c r="C30" s="4"/>
      <c r="D30" s="4"/>
      <c r="E30" s="9">
        <f>_xll.BQL("ULCC US Equity", "FA_GROWTH(OP_EXP_PER_ASM_ASK, YOY)", "FPT=A", "FPO=5A", "ACT_EST_MAPPING=PRECISE", "FS=MRC", "CURRENCY=USD", "XLFILL=b")</f>
        <v>0.77873992302252937</v>
      </c>
      <c r="F30" s="9">
        <f>_xll.BQL("ULCC US Equity", "FA_GROWTH(OP_EXP_PER_ASM_ASK, YOY)", "FPT=A", "FPO=4A", "ACT_EST_MAPPING=PRECISE", "FS=MRC", "CURRENCY=USD", "XLFILL=b")</f>
        <v>3.8710203139992596</v>
      </c>
      <c r="G30" s="9">
        <f>_xll.BQL("ULCC US Equity", "FA_GROWTH(OP_EXP_PER_ASM_ASK, YOY)", "FPT=A", "FPO=3A", "ACT_EST_MAPPING=PRECISE", "FS=MRC", "CURRENCY=USD", "XLFILL=b")</f>
        <v>0.41849274189166424</v>
      </c>
      <c r="H30" s="9">
        <f>_xll.BQL("ULCC US Equity", "FA_GROWTH(OP_EXP_PER_ASM_ASK, YOY)", "FPT=A", "FPO=2A", "ACT_EST_MAPPING=PRECISE", "FS=MRC", "CURRENCY=USD", "XLFILL=b")</f>
        <v>2.1697619052695161</v>
      </c>
      <c r="I30" s="9">
        <f>_xll.BQL("ULCC US Equity", "FA_GROWTH(OP_EXP_PER_ASM_ASK, YOY)", "FPT=A", "FPO=1A", "ACT_EST_MAPPING=PRECISE", "FS=MRC", "CURRENCY=USD", "XLFILL=b")</f>
        <v>-1.8852949009738265</v>
      </c>
      <c r="J30" s="9">
        <f>_xll.BQL("ULCC US Equity", "FA_GROWTH(OP_EXP_PER_ASM_ASK, YOY)", "FPT=A", "FPO=0A", "ACT_EST_MAPPING=PRECISE", "FS=MRC", "CURRENCY=USD", "XLFILL=b")</f>
        <v>-10.546139359698675</v>
      </c>
      <c r="K30" s="9">
        <f>_xll.BQL("ULCC US Equity", "FA_GROWTH(OP_EXP_PER_ASM_ASK, YOY)", "FPT=A", "FPO=-1A", "ACT_EST_MAPPING=PRECISE", "FS=MRC", "CURRENCY=USD", "XLFILL=b")</f>
        <v>31.111111111111107</v>
      </c>
      <c r="L30" s="9">
        <f>_xll.BQL("ULCC US Equity", "FA_GROWTH(OP_EXP_PER_ASM_ASK, YOY)", "FPT=A", "FPO=-2A", "ACT_EST_MAPPING=PRECISE", "FS=MRC", "CURRENCY=USD", "XLFILL=b")</f>
        <v>-15.005246589716682</v>
      </c>
      <c r="M30" s="9">
        <f>_xll.BQL("ULCC US Equity", "FA_GROWTH(OP_EXP_PER_ASM_ASK, YOY)", "FPT=A", "FPO=-3A", "ACT_EST_MAPPING=PRECISE", "FS=MRC", "CURRENCY=USD", "XLFILL=b")</f>
        <v>21.867007672634259</v>
      </c>
      <c r="N30" s="9">
        <f>_xll.BQL("ULCC US Equity", "FA_GROWTH(OP_EXP_PER_ASM_ASK, YOY)", "FPT=A", "FPO=-4A", "ACT_EST_MAPPING=PRECISE", "FS=MRC", "CURRENCY=USD", "XLFILL=b")</f>
        <v>-6.6825775656324637</v>
      </c>
    </row>
    <row r="31" spans="1:14" x14ac:dyDescent="0.2">
      <c r="A31" s="8" t="s">
        <v>38</v>
      </c>
      <c r="B31" s="4" t="s">
        <v>39</v>
      </c>
      <c r="C31" s="4"/>
      <c r="D31" s="4"/>
      <c r="E31" s="9">
        <f>_xll.BQL("ULCC US Equity", "CONS_COST_PER_ASM_EX_FUEL", "FPT=A", "FPO=5A", "ACT_EST_MAPPING=PRECISE", "FS=MRC", "CURRENCY=USD", "XLFILL=b")</f>
        <v>7.3862990826599129</v>
      </c>
      <c r="F31" s="9">
        <f>_xll.BQL("ULCC US Equity", "CONS_COST_PER_ASM_EX_FUEL", "FPT=A", "FPO=4A", "ACT_EST_MAPPING=PRECISE", "FS=MRC", "CURRENCY=USD", "XLFILL=b")</f>
        <v>7.2958243067680009</v>
      </c>
      <c r="G31" s="9">
        <f>_xll.BQL("ULCC US Equity", "CONS_COST_PER_ASM_EX_FUEL", "FPT=A", "FPO=3A", "ACT_EST_MAPPING=PRECISE", "FS=MRC", "CURRENCY=USD", "XLFILL=b")</f>
        <v>6.9931438291954491</v>
      </c>
      <c r="H31" s="9">
        <f>_xll.BQL("ULCC US Equity", "CONS_COST_PER_ASM_EX_FUEL", "FPT=A", "FPO=2A", "ACT_EST_MAPPING=PRECISE", "FS=MRC", "CURRENCY=USD", "XLFILL=b")</f>
        <v>6.8756548113444378</v>
      </c>
      <c r="I31" s="9">
        <f>_xll.BQL("ULCC US Equity", "CONS_COST_PER_ASM_EX_FUEL", "FPT=A", "FPO=1A", "ACT_EST_MAPPING=PRECISE", "FS=MRC", "CURRENCY=USD", "XLFILL=b")</f>
        <v>6.6585028787281804</v>
      </c>
      <c r="J31" s="9">
        <f>_xll.BQL("ULCC US Equity", "CONS_COST_PER_ASM_EX_FUEL", "FPT=A", "FPO=0A", "ACT_EST_MAPPING=PRECISE", "FS=MRC", "CURRENCY=USD", "XLFILL=b")</f>
        <v>6.51</v>
      </c>
      <c r="K31" s="9">
        <f>_xll.BQL("ULCC US Equity", "CONS_COST_PER_ASM_EX_FUEL", "FPT=A", "FPO=-1A", "ACT_EST_MAPPING=PRECISE", "FS=MRC", "CURRENCY=USD", "XLFILL=b")</f>
        <v>6.96</v>
      </c>
      <c r="L31" s="9">
        <f>_xll.BQL("ULCC US Equity", "CONS_COST_PER_ASM_EX_FUEL", "FPT=A", "FPO=-2A", "ACT_EST_MAPPING=PRECISE", "FS=MRC", "CURRENCY=USD", "XLFILL=b")</f>
        <v>5.96</v>
      </c>
      <c r="M31" s="9">
        <f>_xll.BQL("ULCC US Equity", "CONS_COST_PER_ASM_EX_FUEL", "FPT=A", "FPO=-3A", "ACT_EST_MAPPING=PRECISE", "FS=MRC", "CURRENCY=USD", "XLFILL=b")</f>
        <v>7.53</v>
      </c>
      <c r="N31" s="9">
        <f>_xll.BQL("ULCC US Equity", "CONS_COST_PER_ASM_EX_FUEL", "FPT=A", "FPO=-4A", "ACT_EST_MAPPING=PRECISE", "FS=MRC", "CURRENCY=USD", "XLFILL=b")</f>
        <v>5.55</v>
      </c>
    </row>
    <row r="32" spans="1:14" x14ac:dyDescent="0.2">
      <c r="A32" s="8" t="s">
        <v>12</v>
      </c>
      <c r="B32" s="4" t="s">
        <v>39</v>
      </c>
      <c r="C32" s="4"/>
      <c r="D32" s="4"/>
      <c r="E32" s="9">
        <f>_xll.BQL("ULCC US Equity", "FA_GROWTH(CONS_COST_PER_ASM_EX_FUEL, YOY)", "FPT=A", "FPO=5A", "ACT_EST_MAPPING=PRECISE", "FS=MRC", "CURRENCY=USD", "XLFILL=b")</f>
        <v>1.2400898388956914</v>
      </c>
      <c r="F32" s="9">
        <f>_xll.BQL("ULCC US Equity", "FA_GROWTH(CONS_COST_PER_ASM_EX_FUEL, YOY)", "FPT=A", "FPO=4A", "ACT_EST_MAPPING=PRECISE", "FS=MRC", "CURRENCY=USD", "XLFILL=b")</f>
        <v>4.3282461360068254</v>
      </c>
      <c r="G32" s="9">
        <f>_xll.BQL("ULCC US Equity", "FA_GROWTH(CONS_COST_PER_ASM_EX_FUEL, YOY)", "FPT=A", "FPO=3A", "ACT_EST_MAPPING=PRECISE", "FS=MRC", "CURRENCY=USD", "XLFILL=b")</f>
        <v>1.7087684166046428</v>
      </c>
      <c r="H32" s="9">
        <f>_xll.BQL("ULCC US Equity", "FA_GROWTH(CONS_COST_PER_ASM_EX_FUEL, YOY)", "FPT=A", "FPO=2A", "ACT_EST_MAPPING=PRECISE", "FS=MRC", "CURRENCY=USD", "XLFILL=b")</f>
        <v>3.2612726399802194</v>
      </c>
      <c r="I32" s="9">
        <f>_xll.BQL("ULCC US Equity", "FA_GROWTH(CONS_COST_PER_ASM_EX_FUEL, YOY)", "FPT=A", "FPO=1A", "ACT_EST_MAPPING=PRECISE", "FS=MRC", "CURRENCY=USD", "XLFILL=b")</f>
        <v>2.2811502108783501</v>
      </c>
      <c r="J32" s="9">
        <f>_xll.BQL("ULCC US Equity", "FA_GROWTH(CONS_COST_PER_ASM_EX_FUEL, YOY)", "FPT=A", "FPO=0A", "ACT_EST_MAPPING=PRECISE", "FS=MRC", "CURRENCY=USD", "XLFILL=b")</f>
        <v>-6.4655172413793123</v>
      </c>
      <c r="K32" s="9">
        <f>_xll.BQL("ULCC US Equity", "FA_GROWTH(CONS_COST_PER_ASM_EX_FUEL, YOY)", "FPT=A", "FPO=-1A", "ACT_EST_MAPPING=PRECISE", "FS=MRC", "CURRENCY=USD", "XLFILL=b")</f>
        <v>16.778523489932887</v>
      </c>
      <c r="L32" s="9">
        <f>_xll.BQL("ULCC US Equity", "FA_GROWTH(CONS_COST_PER_ASM_EX_FUEL, YOY)", "FPT=A", "FPO=-2A", "ACT_EST_MAPPING=PRECISE", "FS=MRC", "CURRENCY=USD", "XLFILL=b")</f>
        <v>-20.849933598937586</v>
      </c>
      <c r="M32" s="9">
        <f>_xll.BQL("ULCC US Equity", "FA_GROWTH(CONS_COST_PER_ASM_EX_FUEL, YOY)", "FPT=A", "FPO=-3A", "ACT_EST_MAPPING=PRECISE", "FS=MRC", "CURRENCY=USD", "XLFILL=b")</f>
        <v>35.675675675675684</v>
      </c>
      <c r="N32" s="9">
        <f>_xll.BQL("ULCC US Equity", "FA_GROWTH(CONS_COST_PER_ASM_EX_FUEL, YOY)", "FPT=A", "FPO=-4A", "ACT_EST_MAPPING=PRECISE", "FS=MRC", "CURRENCY=USD", "XLFILL=b")</f>
        <v>-7.3455759599332291</v>
      </c>
    </row>
    <row r="33" spans="1:14" x14ac:dyDescent="0.2">
      <c r="A33" s="8" t="s">
        <v>40</v>
      </c>
      <c r="B33" s="4" t="s">
        <v>41</v>
      </c>
      <c r="C33" s="4"/>
      <c r="D33" s="4"/>
      <c r="E33" s="9" t="str">
        <f>_xll.BQL("ULCC US Equity", "COST_PER_SEAT_EXCL_ABN_ITMS", "FPT=A", "FPO=5A", "ACT_EST_MAPPING=PRECISE", "FS=MRC", "CURRENCY=USD", "XLFILL=b")</f>
        <v/>
      </c>
      <c r="F33" s="9" t="str">
        <f>_xll.BQL("ULCC US Equity", "COST_PER_SEAT_EXCL_ABN_ITMS", "FPT=A", "FPO=4A", "ACT_EST_MAPPING=PRECISE", "FS=MRC", "CURRENCY=USD", "XLFILL=b")</f>
        <v/>
      </c>
      <c r="G33" s="9">
        <f>_xll.BQL("ULCC US Equity", "COST_PER_SEAT_EXCL_ABN_ITMS", "FPT=A", "FPO=3A", "ACT_EST_MAPPING=PRECISE", "FS=MRC", "CURRENCY=USD", "XLFILL=b")</f>
        <v>6.9323695498309759</v>
      </c>
      <c r="H33" s="9">
        <f>_xll.BQL("ULCC US Equity", "COST_PER_SEAT_EXCL_ABN_ITMS", "FPT=A", "FPO=2A", "ACT_EST_MAPPING=PRECISE", "FS=MRC", "CURRENCY=USD", "XLFILL=b")</f>
        <v>6.9748147580253743</v>
      </c>
      <c r="I33" s="9">
        <f>_xll.BQL("ULCC US Equity", "COST_PER_SEAT_EXCL_ABN_ITMS", "FPT=A", "FPO=1A", "ACT_EST_MAPPING=PRECISE", "FS=MRC", "CURRENCY=USD", "XLFILL=b")</f>
        <v>6.7223159136749473</v>
      </c>
      <c r="J33" s="9">
        <f>_xll.BQL("ULCC US Equity", "COST_PER_SEAT_EXCL_ABN_ITMS", "FPT=A", "FPO=0A", "ACT_EST_MAPPING=PRECISE", "FS=MRC", "CURRENCY=USD", "XLFILL=b")</f>
        <v>6.5</v>
      </c>
      <c r="K33" s="9">
        <f>_xll.BQL("ULCC US Equity", "COST_PER_SEAT_EXCL_ABN_ITMS", "FPT=A", "FPO=-1A", "ACT_EST_MAPPING=PRECISE", "FS=MRC", "CURRENCY=USD", "XLFILL=b")</f>
        <v>6.9</v>
      </c>
      <c r="L33" s="9">
        <f>_xll.BQL("ULCC US Equity", "COST_PER_SEAT_EXCL_ABN_ITMS", "FPT=A", "FPO=-2A", "ACT_EST_MAPPING=PRECISE", "FS=MRC", "CURRENCY=USD", "XLFILL=b")</f>
        <v>7.02</v>
      </c>
      <c r="M33" s="9">
        <f>_xll.BQL("ULCC US Equity", "COST_PER_SEAT_EXCL_ABN_ITMS", "FPT=A", "FPO=-3A", "ACT_EST_MAPPING=PRECISE", "FS=MRC", "CURRENCY=USD", "XLFILL=b")</f>
        <v>8.6300000000000008</v>
      </c>
      <c r="N33" s="9">
        <f>_xll.BQL("ULCC US Equity", "COST_PER_SEAT_EXCL_ABN_ITMS", "FPT=A", "FPO=-4A", "ACT_EST_MAPPING=PRECISE", "FS=MRC", "CURRENCY=USD", "XLFILL=b")</f>
        <v>5.44</v>
      </c>
    </row>
    <row r="34" spans="1:14" x14ac:dyDescent="0.2">
      <c r="A34" s="8" t="s">
        <v>12</v>
      </c>
      <c r="B34" s="4" t="s">
        <v>41</v>
      </c>
      <c r="C34" s="4"/>
      <c r="D34" s="4"/>
      <c r="E34" s="9" t="str">
        <f>_xll.BQL("ULCC US Equity", "FA_GROWTH(COST_PER_SEAT_EXCL_ABN_ITMS, YOY)", "FPT=A", "FPO=5A", "ACT_EST_MAPPING=PRECISE", "FS=MRC", "CURRENCY=USD", "XLFILL=b")</f>
        <v/>
      </c>
      <c r="F34" s="9" t="str">
        <f>_xll.BQL("ULCC US Equity", "FA_GROWTH(COST_PER_SEAT_EXCL_ABN_ITMS, YOY)", "FPT=A", "FPO=4A", "ACT_EST_MAPPING=PRECISE", "FS=MRC", "CURRENCY=USD", "XLFILL=b")</f>
        <v/>
      </c>
      <c r="G34" s="9">
        <f>_xll.BQL("ULCC US Equity", "FA_GROWTH(COST_PER_SEAT_EXCL_ABN_ITMS, YOY)", "FPT=A", "FPO=3A", "ACT_EST_MAPPING=PRECISE", "FS=MRC", "CURRENCY=USD", "XLFILL=b")</f>
        <v>-0.60854961266978558</v>
      </c>
      <c r="H34" s="9">
        <f>_xll.BQL("ULCC US Equity", "FA_GROWTH(COST_PER_SEAT_EXCL_ABN_ITMS, YOY)", "FPT=A", "FPO=2A", "ACT_EST_MAPPING=PRECISE", "FS=MRC", "CURRENCY=USD", "XLFILL=b")</f>
        <v>3.7561288043124899</v>
      </c>
      <c r="I34" s="9">
        <f>_xll.BQL("ULCC US Equity", "FA_GROWTH(COST_PER_SEAT_EXCL_ABN_ITMS, YOY)", "FPT=A", "FPO=1A", "ACT_EST_MAPPING=PRECISE", "FS=MRC", "CURRENCY=USD", "XLFILL=b")</f>
        <v>3.4202448257684201</v>
      </c>
      <c r="J34" s="9">
        <f>_xll.BQL("ULCC US Equity", "FA_GROWTH(COST_PER_SEAT_EXCL_ABN_ITMS, YOY)", "FPT=A", "FPO=0A", "ACT_EST_MAPPING=PRECISE", "FS=MRC", "CURRENCY=USD", "XLFILL=b")</f>
        <v>-5.7971014492753667</v>
      </c>
      <c r="K34" s="9">
        <f>_xll.BQL("ULCC US Equity", "FA_GROWTH(COST_PER_SEAT_EXCL_ABN_ITMS, YOY)", "FPT=A", "FPO=-1A", "ACT_EST_MAPPING=PRECISE", "FS=MRC", "CURRENCY=USD", "XLFILL=b")</f>
        <v>-1.7094017094016984</v>
      </c>
      <c r="L34" s="9">
        <f>_xll.BQL("ULCC US Equity", "FA_GROWTH(COST_PER_SEAT_EXCL_ABN_ITMS, YOY)", "FPT=A", "FPO=-2A", "ACT_EST_MAPPING=PRECISE", "FS=MRC", "CURRENCY=USD", "XLFILL=b")</f>
        <v>-18.65585168018541</v>
      </c>
      <c r="M34" s="9">
        <f>_xll.BQL("ULCC US Equity", "FA_GROWTH(COST_PER_SEAT_EXCL_ABN_ITMS, YOY)", "FPT=A", "FPO=-3A", "ACT_EST_MAPPING=PRECISE", "FS=MRC", "CURRENCY=USD", "XLFILL=b")</f>
        <v>58.639705882352949</v>
      </c>
      <c r="N34" s="9">
        <f>_xll.BQL("ULCC US Equity", "FA_GROWTH(COST_PER_SEAT_EXCL_ABN_ITMS, YOY)", "FPT=A", "FPO=-4A", "ACT_EST_MAPPING=PRECISE", "FS=MRC", "CURRENCY=USD", "XLFILL=b")</f>
        <v>0</v>
      </c>
    </row>
    <row r="35" spans="1:14" x14ac:dyDescent="0.2">
      <c r="A35" s="8" t="s">
        <v>16</v>
      </c>
      <c r="B35" s="4"/>
      <c r="C35" s="4"/>
      <c r="D35" s="4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">
      <c r="A36" s="8" t="s">
        <v>42</v>
      </c>
      <c r="B36" s="4" t="s">
        <v>43</v>
      </c>
      <c r="C36" s="4"/>
      <c r="D36" s="4"/>
      <c r="E36" s="9" t="str">
        <f>_xll.BQL("ULCC US Equity", "REV_PASS_CARRIED/1K", "FPT=A", "FPO=5A", "ACT_EST_MAPPING=PRECISE", "FS=MRC", "CURRENCY=USD", "XLFILL=b")</f>
        <v/>
      </c>
      <c r="F36" s="9" t="str">
        <f>_xll.BQL("ULCC US Equity", "REV_PASS_CARRIED/1K", "FPT=A", "FPO=4A", "ACT_EST_MAPPING=PRECISE", "FS=MRC", "CURRENCY=USD", "XLFILL=b")</f>
        <v/>
      </c>
      <c r="G36" s="9">
        <f>_xll.BQL("ULCC US Equity", "REV_PASS_CARRIED/1K", "FPT=A", "FPO=3A", "ACT_EST_MAPPING=PRECISE", "FS=MRC", "CURRENCY=USD", "XLFILL=b")</f>
        <v>44333.249572591791</v>
      </c>
      <c r="H36" s="9">
        <f>_xll.BQL("ULCC US Equity", "REV_PASS_CARRIED/1K", "FPT=A", "FPO=2A", "ACT_EST_MAPPING=PRECISE", "FS=MRC", "CURRENCY=USD", "XLFILL=b")</f>
        <v>38307.184496847643</v>
      </c>
      <c r="I36" s="9">
        <f>_xll.BQL("ULCC US Equity", "REV_PASS_CARRIED/1K", "FPT=A", "FPO=1A", "ACT_EST_MAPPING=PRECISE", "FS=MRC", "CURRENCY=USD", "XLFILL=b")</f>
        <v>33747.130177812542</v>
      </c>
      <c r="J36" s="9">
        <f>_xll.BQL("ULCC US Equity", "REV_PASS_CARRIED/1K", "FPT=A", "FPO=0A", "ACT_EST_MAPPING=PRECISE", "FS=MRC", "CURRENCY=USD", "XLFILL=b")</f>
        <v>30218</v>
      </c>
      <c r="K36" s="9">
        <f>_xll.BQL("ULCC US Equity", "REV_PASS_CARRIED/1K", "FPT=A", "FPO=-1A", "ACT_EST_MAPPING=PRECISE", "FS=MRC", "CURRENCY=USD", "XLFILL=b")</f>
        <v>25486</v>
      </c>
      <c r="L36" s="9">
        <f>_xll.BQL("ULCC US Equity", "REV_PASS_CARRIED/1K", "FPT=A", "FPO=-2A", "ACT_EST_MAPPING=PRECISE", "FS=MRC", "CURRENCY=USD", "XLFILL=b")</f>
        <v>20709</v>
      </c>
      <c r="M36" s="9">
        <f>_xll.BQL("ULCC US Equity", "REV_PASS_CARRIED/1K", "FPT=A", "FPO=-3A", "ACT_EST_MAPPING=PRECISE", "FS=MRC", "CURRENCY=USD", "XLFILL=b")</f>
        <v>11238</v>
      </c>
      <c r="N36" s="9">
        <f>_xll.BQL("ULCC US Equity", "REV_PASS_CARRIED/1K", "FPT=A", "FPO=-4A", "ACT_EST_MAPPING=PRECISE", "FS=MRC", "CURRENCY=USD", "XLFILL=b")</f>
        <v>22823</v>
      </c>
    </row>
    <row r="37" spans="1:14" x14ac:dyDescent="0.2">
      <c r="A37" s="8" t="s">
        <v>12</v>
      </c>
      <c r="B37" s="4" t="s">
        <v>43</v>
      </c>
      <c r="C37" s="4"/>
      <c r="D37" s="4"/>
      <c r="E37" s="9" t="str">
        <f>_xll.BQL("ULCC US Equity", "FA_GROWTH(REV_PASS_CARRIED, YOY)", "FPT=A", "FPO=5A", "ACT_EST_MAPPING=PRECISE", "FS=MRC", "CURRENCY=USD", "XLFILL=b")</f>
        <v/>
      </c>
      <c r="F37" s="9" t="str">
        <f>_xll.BQL("ULCC US Equity", "FA_GROWTH(REV_PASS_CARRIED, YOY)", "FPT=A", "FPO=4A", "ACT_EST_MAPPING=PRECISE", "FS=MRC", "CURRENCY=USD", "XLFILL=b")</f>
        <v/>
      </c>
      <c r="G37" s="9">
        <f>_xll.BQL("ULCC US Equity", "FA_GROWTH(REV_PASS_CARRIED, YOY)", "FPT=A", "FPO=3A", "ACT_EST_MAPPING=PRECISE", "FS=MRC", "CURRENCY=USD", "XLFILL=b")</f>
        <v>15.730900495284478</v>
      </c>
      <c r="H37" s="9">
        <f>_xll.BQL("ULCC US Equity", "FA_GROWTH(REV_PASS_CARRIED, YOY)", "FPT=A", "FPO=2A", "ACT_EST_MAPPING=PRECISE", "FS=MRC", "CURRENCY=USD", "XLFILL=b")</f>
        <v>13.51242104145842</v>
      </c>
      <c r="I37" s="9">
        <f>_xll.BQL("ULCC US Equity", "FA_GROWTH(REV_PASS_CARRIED, YOY)", "FPT=A", "FPO=1A", "ACT_EST_MAPPING=PRECISE", "FS=MRC", "CURRENCY=USD", "XLFILL=b")</f>
        <v>11.67890058181395</v>
      </c>
      <c r="J37" s="9">
        <f>_xll.BQL("ULCC US Equity", "FA_GROWTH(REV_PASS_CARRIED, YOY)", "FPT=A", "FPO=0A", "ACT_EST_MAPPING=PRECISE", "FS=MRC", "CURRENCY=USD", "XLFILL=b")</f>
        <v>18.567056423134268</v>
      </c>
      <c r="K37" s="9">
        <f>_xll.BQL("ULCC US Equity", "FA_GROWTH(REV_PASS_CARRIED, YOY)", "FPT=A", "FPO=-1A", "ACT_EST_MAPPING=PRECISE", "FS=MRC", "CURRENCY=USD", "XLFILL=b")</f>
        <v>23.067265440146794</v>
      </c>
      <c r="L37" s="9">
        <f>_xll.BQL("ULCC US Equity", "FA_GROWTH(REV_PASS_CARRIED, YOY)", "FPT=A", "FPO=-2A", "ACT_EST_MAPPING=PRECISE", "FS=MRC", "CURRENCY=USD", "XLFILL=b")</f>
        <v>84.276561665776825</v>
      </c>
      <c r="M37" s="9">
        <f>_xll.BQL("ULCC US Equity", "FA_GROWTH(REV_PASS_CARRIED, YOY)", "FPT=A", "FPO=-3A", "ACT_EST_MAPPING=PRECISE", "FS=MRC", "CURRENCY=USD", "XLFILL=b")</f>
        <v>-50.760198045830961</v>
      </c>
      <c r="N37" s="9">
        <f>_xll.BQL("ULCC US Equity", "FA_GROWTH(REV_PASS_CARRIED, YOY)", "FPT=A", "FPO=-4A", "ACT_EST_MAPPING=PRECISE", "FS=MRC", "CURRENCY=USD", "XLFILL=b")</f>
        <v>15.017890439953636</v>
      </c>
    </row>
    <row r="38" spans="1:14" x14ac:dyDescent="0.2">
      <c r="A38" s="8" t="s">
        <v>44</v>
      </c>
      <c r="B38" s="4" t="s">
        <v>45</v>
      </c>
      <c r="C38" s="4"/>
      <c r="D38" s="4"/>
      <c r="E38" s="9">
        <f>_xll.BQL("ULCC US Equity", "FUEL_GALLONS_LITRES/1M", "FPT=A", "FPO=5A", "ACT_EST_MAPPING=PRECISE", "FS=MRC", "CURRENCY=USD", "XLFILL=b")</f>
        <v>517.4022247282503</v>
      </c>
      <c r="F38" s="9">
        <f>_xll.BQL("ULCC US Equity", "FUEL_GALLONS_LITRES/1M", "FPT=A", "FPO=4A", "ACT_EST_MAPPING=PRECISE", "FS=MRC", "CURRENCY=USD", "XLFILL=b")</f>
        <v>472.71748713808307</v>
      </c>
      <c r="G38" s="9">
        <f>_xll.BQL("ULCC US Equity", "FUEL_GALLONS_LITRES/1M", "FPT=A", "FPO=3A", "ACT_EST_MAPPING=PRECISE", "FS=MRC", "CURRENCY=USD", "XLFILL=b")</f>
        <v>444.88108704871308</v>
      </c>
      <c r="H38" s="9">
        <f>_xll.BQL("ULCC US Equity", "FUEL_GALLONS_LITRES/1M", "FPT=A", "FPO=2A", "ACT_EST_MAPPING=PRECISE", "FS=MRC", "CURRENCY=USD", "XLFILL=b")</f>
        <v>411.89896789725287</v>
      </c>
      <c r="I38" s="9">
        <f>_xll.BQL("ULCC US Equity", "FUEL_GALLONS_LITRES/1M", "FPT=A", "FPO=1A", "ACT_EST_MAPPING=PRECISE", "FS=MRC", "CURRENCY=USD", "XLFILL=b")</f>
        <v>385.83104463001536</v>
      </c>
      <c r="J38" s="9">
        <f>_xll.BQL("ULCC US Equity", "FUEL_GALLONS_LITRES/1M", "FPT=A", "FPO=0A", "ACT_EST_MAPPING=PRECISE", "FS=MRC", "CURRENCY=USD", "XLFILL=b")</f>
        <v>364.60599999999999</v>
      </c>
      <c r="K38" s="9">
        <f>_xll.BQL("ULCC US Equity", "FUEL_GALLONS_LITRES/1M", "FPT=A", "FPO=-1A", "ACT_EST_MAPPING=PRECISE", "FS=MRC", "CURRENCY=USD", "XLFILL=b")</f>
        <v>312.11500000000001</v>
      </c>
      <c r="L38" s="9">
        <f>_xll.BQL("ULCC US Equity", "FUEL_GALLONS_LITRES/1M", "FPT=A", "FPO=-2A", "ACT_EST_MAPPING=PRECISE", "FS=MRC", "CURRENCY=USD", "XLFILL=b")</f>
        <v>265.55799999999999</v>
      </c>
      <c r="M38" s="9">
        <f>_xll.BQL("ULCC US Equity", "FUEL_GALLONS_LITRES/1M", "FPT=A", "FPO=-3A", "ACT_EST_MAPPING=PRECISE", "FS=MRC", "CURRENCY=USD", "XLFILL=b")</f>
        <v>162.24100000000001</v>
      </c>
      <c r="N38" s="9">
        <f>_xll.BQL("ULCC US Equity", "FUEL_GALLONS_LITRES/1M", "FPT=A", "FPO=-4A", "ACT_EST_MAPPING=PRECISE", "FS=MRC", "CURRENCY=USD", "XLFILL=b")</f>
        <v>288.51</v>
      </c>
    </row>
    <row r="39" spans="1:14" x14ac:dyDescent="0.2">
      <c r="A39" s="8" t="s">
        <v>12</v>
      </c>
      <c r="B39" s="4" t="s">
        <v>45</v>
      </c>
      <c r="C39" s="4"/>
      <c r="D39" s="4"/>
      <c r="E39" s="9">
        <f>_xll.BQL("ULCC US Equity", "FA_GROWTH(FUEL_GALLONS_LITRES, YOY)", "FPT=A", "FPO=5A", "ACT_EST_MAPPING=PRECISE", "FS=MRC", "CURRENCY=USD", "XLFILL=b")</f>
        <v>9.4527363184079949</v>
      </c>
      <c r="F39" s="9">
        <f>_xll.BQL("ULCC US Equity", "FA_GROWTH(FUEL_GALLONS_LITRES, YOY)", "FPT=A", "FPO=4A", "ACT_EST_MAPPING=PRECISE", "FS=MRC", "CURRENCY=USD", "XLFILL=b")</f>
        <v>6.2570428143019736</v>
      </c>
      <c r="G39" s="9">
        <f>_xll.BQL("ULCC US Equity", "FA_GROWTH(FUEL_GALLONS_LITRES, YOY)", "FPT=A", "FPO=3A", "ACT_EST_MAPPING=PRECISE", "FS=MRC", "CURRENCY=USD", "XLFILL=b")</f>
        <v>8.0073323125411502</v>
      </c>
      <c r="H39" s="9">
        <f>_xll.BQL("ULCC US Equity", "FA_GROWTH(FUEL_GALLONS_LITRES, YOY)", "FPT=A", "FPO=2A", "ACT_EST_MAPPING=PRECISE", "FS=MRC", "CURRENCY=USD", "XLFILL=b")</f>
        <v>6.7563052870032196</v>
      </c>
      <c r="I39" s="9">
        <f>_xll.BQL("ULCC US Equity", "FA_GROWTH(FUEL_GALLONS_LITRES, YOY)", "FPT=A", "FPO=1A", "ACT_EST_MAPPING=PRECISE", "FS=MRC", "CURRENCY=USD", "XLFILL=b")</f>
        <v>5.8213646045362317</v>
      </c>
      <c r="J39" s="9">
        <f>_xll.BQL("ULCC US Equity", "FA_GROWTH(FUEL_GALLONS_LITRES, YOY)", "FPT=A", "FPO=0A", "ACT_EST_MAPPING=PRECISE", "FS=MRC", "CURRENCY=USD", "XLFILL=b")</f>
        <v>16.817839578360541</v>
      </c>
      <c r="K39" s="9">
        <f>_xll.BQL("ULCC US Equity", "FA_GROWTH(FUEL_GALLONS_LITRES, YOY)", "FPT=A", "FPO=-1A", "ACT_EST_MAPPING=PRECISE", "FS=MRC", "CURRENCY=USD", "XLFILL=b")</f>
        <v>17.531763305944462</v>
      </c>
      <c r="L39" s="9">
        <f>_xll.BQL("ULCC US Equity", "FA_GROWTH(FUEL_GALLONS_LITRES, YOY)", "FPT=A", "FPO=-2A", "ACT_EST_MAPPING=PRECISE", "FS=MRC", "CURRENCY=USD", "XLFILL=b")</f>
        <v>63.681190327968885</v>
      </c>
      <c r="M39" s="9">
        <f>_xll.BQL("ULCC US Equity", "FA_GROWTH(FUEL_GALLONS_LITRES, YOY)", "FPT=A", "FPO=-3A", "ACT_EST_MAPPING=PRECISE", "FS=MRC", "CURRENCY=USD", "XLFILL=b")</f>
        <v>-43.765900662022112</v>
      </c>
      <c r="N39" s="9">
        <f>_xll.BQL("ULCC US Equity", "FA_GROWTH(FUEL_GALLONS_LITRES, YOY)", "FPT=A", "FPO=-4A", "ACT_EST_MAPPING=PRECISE", "FS=MRC", "CURRENCY=USD", "XLFILL=b")</f>
        <v>10.464470726972701</v>
      </c>
    </row>
    <row r="40" spans="1:14" x14ac:dyDescent="0.2">
      <c r="A40" s="8" t="s">
        <v>46</v>
      </c>
      <c r="B40" s="4" t="s">
        <v>47</v>
      </c>
      <c r="C40" s="4"/>
      <c r="D40" s="4"/>
      <c r="E40" s="9">
        <f>_xll.BQL("ULCC US Equity", "FUEL_PRICE_PER_GALLON_LITRE", "FPT=A", "FPO=5A", "ACT_EST_MAPPING=PRECISE", "FS=MRC", "CURRENCY=USD", "XLFILL=b")</f>
        <v>2.802</v>
      </c>
      <c r="F40" s="9">
        <f>_xll.BQL("ULCC US Equity", "FUEL_PRICE_PER_GALLON_LITRE", "FPT=A", "FPO=4A", "ACT_EST_MAPPING=PRECISE", "FS=MRC", "CURRENCY=USD", "XLFILL=b")</f>
        <v>2.802</v>
      </c>
      <c r="G40" s="9">
        <f>_xll.BQL("ULCC US Equity", "FUEL_PRICE_PER_GALLON_LITRE", "FPT=A", "FPO=3A", "ACT_EST_MAPPING=PRECISE", "FS=MRC", "CURRENCY=USD", "XLFILL=b")</f>
        <v>2.7497237653438793</v>
      </c>
      <c r="H40" s="9">
        <f>_xll.BQL("ULCC US Equity", "FUEL_PRICE_PER_GALLON_LITRE", "FPT=A", "FPO=2A", "ACT_EST_MAPPING=PRECISE", "FS=MRC", "CURRENCY=USD", "XLFILL=b")</f>
        <v>2.7611118371544001</v>
      </c>
      <c r="I40" s="9">
        <f>_xll.BQL("ULCC US Equity", "FUEL_PRICE_PER_GALLON_LITRE", "FPT=A", "FPO=1A", "ACT_EST_MAPPING=PRECISE", "FS=MRC", "CURRENCY=USD", "XLFILL=b")</f>
        <v>2.7694784777571715</v>
      </c>
      <c r="J40" s="9">
        <f>_xll.BQL("ULCC US Equity", "FUEL_PRICE_PER_GALLON_LITRE", "FPT=A", "FPO=0A", "ACT_EST_MAPPING=PRECISE", "FS=MRC", "CURRENCY=USD", "XLFILL=b")</f>
        <v>3.1</v>
      </c>
      <c r="K40" s="9">
        <f>_xll.BQL("ULCC US Equity", "FUEL_PRICE_PER_GALLON_LITRE", "FPT=A", "FPO=-1A", "ACT_EST_MAPPING=PRECISE", "FS=MRC", "CURRENCY=USD", "XLFILL=b")</f>
        <v>3.72</v>
      </c>
      <c r="L40" s="9">
        <f>_xll.BQL("ULCC US Equity", "FUEL_PRICE_PER_GALLON_LITRE", "FPT=A", "FPO=-2A", "ACT_EST_MAPPING=PRECISE", "FS=MRC", "CURRENCY=USD", "XLFILL=b")</f>
        <v>2.17</v>
      </c>
      <c r="M40" s="9">
        <f>_xll.BQL("ULCC US Equity", "FUEL_PRICE_PER_GALLON_LITRE", "FPT=A", "FPO=-3A", "ACT_EST_MAPPING=PRECISE", "FS=MRC", "CURRENCY=USD", "XLFILL=b")</f>
        <v>2.08</v>
      </c>
      <c r="N40" s="9">
        <f>_xll.BQL("ULCC US Equity", "FUEL_PRICE_PER_GALLON_LITRE", "FPT=A", "FPO=-4A", "ACT_EST_MAPPING=PRECISE", "FS=MRC", "CURRENCY=USD", "XLFILL=b")</f>
        <v>2.2200000000000002</v>
      </c>
    </row>
    <row r="41" spans="1:14" x14ac:dyDescent="0.2">
      <c r="A41" s="8" t="s">
        <v>12</v>
      </c>
      <c r="B41" s="4" t="s">
        <v>47</v>
      </c>
      <c r="C41" s="4"/>
      <c r="D41" s="4"/>
      <c r="E41" s="9">
        <f>_xll.BQL("ULCC US Equity", "FA_GROWTH(FUEL_PRICE_PER_GALLON_LITRE, YOY)", "FPT=A", "FPO=5A", "ACT_EST_MAPPING=PRECISE", "FS=MRC", "CURRENCY=USD", "XLFILL=b")</f>
        <v>0</v>
      </c>
      <c r="F41" s="9">
        <f>_xll.BQL("ULCC US Equity", "FA_GROWTH(FUEL_PRICE_PER_GALLON_LITRE, YOY)", "FPT=A", "FPO=4A", "ACT_EST_MAPPING=PRECISE", "FS=MRC", "CURRENCY=USD", "XLFILL=b")</f>
        <v>1.9011449555400377</v>
      </c>
      <c r="G41" s="9">
        <f>_xll.BQL("ULCC US Equity", "FA_GROWTH(FUEL_PRICE_PER_GALLON_LITRE, YOY)", "FPT=A", "FPO=3A", "ACT_EST_MAPPING=PRECISE", "FS=MRC", "CURRENCY=USD", "XLFILL=b")</f>
        <v>-0.41244514826524936</v>
      </c>
      <c r="H41" s="9">
        <f>_xll.BQL("ULCC US Equity", "FA_GROWTH(FUEL_PRICE_PER_GALLON_LITRE, YOY)", "FPT=A", "FPO=2A", "ACT_EST_MAPPING=PRECISE", "FS=MRC", "CURRENCY=USD", "XLFILL=b")</f>
        <v>-0.30210166534845184</v>
      </c>
      <c r="I41" s="9">
        <f>_xll.BQL("ULCC US Equity", "FA_GROWTH(FUEL_PRICE_PER_GALLON_LITRE, YOY)", "FPT=A", "FPO=1A", "ACT_EST_MAPPING=PRECISE", "FS=MRC", "CURRENCY=USD", "XLFILL=b")</f>
        <v>-10.661984588478344</v>
      </c>
      <c r="J41" s="9">
        <f>_xll.BQL("ULCC US Equity", "FA_GROWTH(FUEL_PRICE_PER_GALLON_LITRE, YOY)", "FPT=A", "FPO=0A", "ACT_EST_MAPPING=PRECISE", "FS=MRC", "CURRENCY=USD", "XLFILL=b")</f>
        <v>-16.666666666666668</v>
      </c>
      <c r="K41" s="9">
        <f>_xll.BQL("ULCC US Equity", "FA_GROWTH(FUEL_PRICE_PER_GALLON_LITRE, YOY)", "FPT=A", "FPO=-1A", "ACT_EST_MAPPING=PRECISE", "FS=MRC", "CURRENCY=USD", "XLFILL=b")</f>
        <v>71.428571428571445</v>
      </c>
      <c r="L41" s="9">
        <f>_xll.BQL("ULCC US Equity", "FA_GROWTH(FUEL_PRICE_PER_GALLON_LITRE, YOY)", "FPT=A", "FPO=-2A", "ACT_EST_MAPPING=PRECISE", "FS=MRC", "CURRENCY=USD", "XLFILL=b")</f>
        <v>4.3269230769230695</v>
      </c>
      <c r="M41" s="9">
        <f>_xll.BQL("ULCC US Equity", "FA_GROWTH(FUEL_PRICE_PER_GALLON_LITRE, YOY)", "FPT=A", "FPO=-3A", "ACT_EST_MAPPING=PRECISE", "FS=MRC", "CURRENCY=USD", "XLFILL=b")</f>
        <v>-6.3063063063063112</v>
      </c>
      <c r="N41" s="9">
        <f>_xll.BQL("ULCC US Equity", "FA_GROWTH(FUEL_PRICE_PER_GALLON_LITRE, YOY)", "FPT=A", "FPO=-4A", "ACT_EST_MAPPING=PRECISE", "FS=MRC", "CURRENCY=USD", "XLFILL=b")</f>
        <v>-1.3333333333333246</v>
      </c>
    </row>
    <row r="42" spans="1:14" x14ac:dyDescent="0.2">
      <c r="A42" s="8" t="s">
        <v>16</v>
      </c>
      <c r="B42" s="4"/>
      <c r="C42" s="4"/>
      <c r="D42" s="4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">
      <c r="A43" s="8" t="s">
        <v>48</v>
      </c>
      <c r="B43" s="4" t="s">
        <v>49</v>
      </c>
      <c r="C43" s="4"/>
      <c r="D43" s="4"/>
      <c r="E43" s="9">
        <f>_xll.BQL("ULCC US Equity", "IS_COMPARABLE_EBIT/1M", "FPT=A", "FPO=5A", "ACT_EST_MAPPING=PRECISE", "FS=MRC", "CURRENCY=USD", "XLFILL=b")</f>
        <v>486</v>
      </c>
      <c r="F43" s="9">
        <f>_xll.BQL("ULCC US Equity", "IS_COMPARABLE_EBIT/1M", "FPT=A", "FPO=4A", "ACT_EST_MAPPING=PRECISE", "FS=MRC", "CURRENCY=USD", "XLFILL=b")</f>
        <v>373</v>
      </c>
      <c r="G43" s="9">
        <f>_xll.BQL("ULCC US Equity", "IS_COMPARABLE_EBIT/1M", "FPT=A", "FPO=3A", "ACT_EST_MAPPING=PRECISE", "FS=MRC", "CURRENCY=USD", "XLFILL=b")</f>
        <v>321.25</v>
      </c>
      <c r="H43" s="9">
        <f>_xll.BQL("ULCC US Equity", "IS_COMPARABLE_EBIT/1M", "FPT=A", "FPO=2A", "ACT_EST_MAPPING=PRECISE", "FS=MRC", "CURRENCY=USD", "XLFILL=b")</f>
        <v>121.45454545454545</v>
      </c>
      <c r="I43" s="9">
        <f>_xll.BQL("ULCC US Equity", "IS_COMPARABLE_EBIT/1M", "FPT=A", "FPO=1A", "ACT_EST_MAPPING=PRECISE", "FS=MRC", "CURRENCY=USD", "XLFILL=b")</f>
        <v>-36.052727272727275</v>
      </c>
      <c r="J43" s="9">
        <f>_xll.BQL("ULCC US Equity", "IS_COMPARABLE_EBIT/1M", "FPT=A", "FPO=0A", "ACT_EST_MAPPING=PRECISE", "FS=MRC", "CURRENCY=USD", "XLFILL=b")</f>
        <v>-1</v>
      </c>
      <c r="K43" s="9">
        <f>_xll.BQL("ULCC US Equity", "IS_COMPARABLE_EBIT/1M", "FPT=A", "FPO=-1A", "ACT_EST_MAPPING=PRECISE", "FS=MRC", "CURRENCY=USD", "XLFILL=b")</f>
        <v>-33</v>
      </c>
      <c r="L43" s="9">
        <f>_xll.BQL("ULCC US Equity", "IS_COMPARABLE_EBIT/1M", "FPT=A", "FPO=-2A", "ACT_EST_MAPPING=PRECISE", "FS=MRC", "CURRENCY=USD", "XLFILL=b")</f>
        <v>-400</v>
      </c>
      <c r="M43" s="9" t="str">
        <f>_xll.BQL("ULCC US Equity", "IS_COMPARABLE_EBIT/1M", "FPT=A", "FPO=-3A", "ACT_EST_MAPPING=PRECISE", "FS=MRC", "CURRENCY=USD", "XLFILL=b")</f>
        <v/>
      </c>
      <c r="N43" s="9" t="str">
        <f>_xll.BQL("ULCC US Equity", "IS_COMPARABLE_EBIT/1M", "FPT=A", "FPO=-4A", "ACT_EST_MAPPING=PRECISE", "FS=MRC", "CURRENCY=USD", "XLFILL=b")</f>
        <v/>
      </c>
    </row>
    <row r="44" spans="1:14" x14ac:dyDescent="0.2">
      <c r="A44" s="8" t="s">
        <v>12</v>
      </c>
      <c r="B44" s="4" t="s">
        <v>49</v>
      </c>
      <c r="C44" s="4"/>
      <c r="D44" s="4"/>
      <c r="E44" s="9">
        <f>_xll.BQL("ULCC US Equity", "FA_GROWTH(IS_COMPARABLE_EBIT, YOY)", "FPT=A", "FPO=5A", "ACT_EST_MAPPING=PRECISE", "FS=MRC", "CURRENCY=USD", "XLFILL=b")</f>
        <v>30.294906166219839</v>
      </c>
      <c r="F44" s="9">
        <f>_xll.BQL("ULCC US Equity", "FA_GROWTH(IS_COMPARABLE_EBIT, YOY)", "FPT=A", "FPO=4A", "ACT_EST_MAPPING=PRECISE", "FS=MRC", "CURRENCY=USD", "XLFILL=b")</f>
        <v>16.108949416342412</v>
      </c>
      <c r="G44" s="9">
        <f>_xll.BQL("ULCC US Equity", "FA_GROWTH(IS_COMPARABLE_EBIT, YOY)", "FPT=A", "FPO=3A", "ACT_EST_MAPPING=PRECISE", "FS=MRC", "CURRENCY=USD", "XLFILL=b")</f>
        <v>164.50224550898204</v>
      </c>
      <c r="H44" s="9">
        <f>_xll.BQL("ULCC US Equity", "FA_GROWTH(IS_COMPARABLE_EBIT, YOY)", "FPT=A", "FPO=2A", "ACT_EST_MAPPING=PRECISE", "FS=MRC", "CURRENCY=USD", "XLFILL=b")</f>
        <v>436.88032679408946</v>
      </c>
      <c r="I44" s="9">
        <f>_xll.BQL("ULCC US Equity", "FA_GROWTH(IS_COMPARABLE_EBIT, YOY)", "FPT=A", "FPO=1A", "ACT_EST_MAPPING=PRECISE", "FS=MRC", "CURRENCY=USD", "XLFILL=b")</f>
        <v>-3505.2727272727275</v>
      </c>
      <c r="J44" s="9">
        <f>_xll.BQL("ULCC US Equity", "FA_GROWTH(IS_COMPARABLE_EBIT, YOY)", "FPT=A", "FPO=0A", "ACT_EST_MAPPING=PRECISE", "FS=MRC", "CURRENCY=USD", "XLFILL=b")</f>
        <v>96.969696969696969</v>
      </c>
      <c r="K44" s="9">
        <f>_xll.BQL("ULCC US Equity", "FA_GROWTH(IS_COMPARABLE_EBIT, YOY)", "FPT=A", "FPO=-1A", "ACT_EST_MAPPING=PRECISE", "FS=MRC", "CURRENCY=USD", "XLFILL=b")</f>
        <v>91.75</v>
      </c>
      <c r="L44" s="9" t="str">
        <f>_xll.BQL("ULCC US Equity", "FA_GROWTH(IS_COMPARABLE_EBIT, YOY)", "FPT=A", "FPO=-2A", "ACT_EST_MAPPING=PRECISE", "FS=MRC", "CURRENCY=USD", "XLFILL=b")</f>
        <v/>
      </c>
      <c r="M44" s="9" t="str">
        <f>_xll.BQL("ULCC US Equity", "FA_GROWTH(IS_COMPARABLE_EBIT, YOY)", "FPT=A", "FPO=-3A", "ACT_EST_MAPPING=PRECISE", "FS=MRC", "CURRENCY=USD", "XLFILL=b")</f>
        <v/>
      </c>
      <c r="N44" s="9" t="str">
        <f>_xll.BQL("ULCC US Equity", "FA_GROWTH(IS_COMPARABLE_EBIT, YOY)", "FPT=A", "FPO=-4A", "ACT_EST_MAPPING=PRECISE", "FS=MRC", "CURRENCY=USD", "XLFILL=b")</f>
        <v/>
      </c>
    </row>
    <row r="45" spans="1:14" x14ac:dyDescent="0.2">
      <c r="A45" s="8" t="s">
        <v>50</v>
      </c>
      <c r="B45" s="4" t="s">
        <v>51</v>
      </c>
      <c r="C45" s="4" t="s">
        <v>52</v>
      </c>
      <c r="D45" s="4"/>
      <c r="E45" s="9">
        <f>_xll.BQL("ULCC US Equity", "AIRLINE_EBITDAR/1M", "FPT=A", "FPO=5A", "ACT_EST_MAPPING=PRECISE", "FS=MRC", "CURRENCY=USD", "XLFILL=b")</f>
        <v>1754.1609297422342</v>
      </c>
      <c r="F45" s="9">
        <f>_xll.BQL("ULCC US Equity", "AIRLINE_EBITDAR/1M", "FPT=A", "FPO=4A", "ACT_EST_MAPPING=PRECISE", "FS=MRC", "CURRENCY=USD", "XLFILL=b")</f>
        <v>1475.9196754861168</v>
      </c>
      <c r="G45" s="9">
        <f>_xll.BQL("ULCC US Equity", "AIRLINE_EBITDAR/1M", "FPT=A", "FPO=3A", "ACT_EST_MAPPING=PRECISE", "FS=MRC", "CURRENCY=USD", "XLFILL=b")</f>
        <v>1214.1807057533613</v>
      </c>
      <c r="H45" s="9">
        <f>_xll.BQL("ULCC US Equity", "AIRLINE_EBITDAR/1M", "FPT=A", "FPO=2A", "ACT_EST_MAPPING=PRECISE", "FS=MRC", "CURRENCY=USD", "XLFILL=b")</f>
        <v>867.65093027049352</v>
      </c>
      <c r="I45" s="9">
        <f>_xll.BQL("ULCC US Equity", "AIRLINE_EBITDAR/1M", "FPT=A", "FPO=1A", "ACT_EST_MAPPING=PRECISE", "FS=MRC", "CURRENCY=USD", "XLFILL=b")</f>
        <v>676.4224629463663</v>
      </c>
      <c r="J45" s="9">
        <f>_xll.BQL("ULCC US Equity", "AIRLINE_EBITDAR/1M", "FPT=A", "FPO=0A", "ACT_EST_MAPPING=PRECISE", "FS=MRC", "CURRENCY=USD", "XLFILL=b")</f>
        <v>601</v>
      </c>
      <c r="K45" s="9">
        <f>_xll.BQL("ULCC US Equity", "AIRLINE_EBITDAR/1M", "FPT=A", "FPO=-1A", "ACT_EST_MAPPING=PRECISE", "FS=MRC", "CURRENCY=USD", "XLFILL=b")</f>
        <v>556</v>
      </c>
      <c r="L45" s="9">
        <f>_xll.BQL("ULCC US Equity", "AIRLINE_EBITDAR/1M", "FPT=A", "FPO=-2A", "ACT_EST_MAPPING=PRECISE", "FS=MRC", "CURRENCY=USD", "XLFILL=b")</f>
        <v>451</v>
      </c>
      <c r="M45" s="9">
        <f>_xll.BQL("ULCC US Equity", "AIRLINE_EBITDAR/1M", "FPT=A", "FPO=-3A", "ACT_EST_MAPPING=PRECISE", "FS=MRC", "CURRENCY=USD", "XLFILL=b")</f>
        <v>64</v>
      </c>
      <c r="N45" s="9">
        <f>_xll.BQL("ULCC US Equity", "AIRLINE_EBITDAR/1M", "FPT=A", "FPO=-4A", "ACT_EST_MAPPING=PRECISE", "FS=MRC", "CURRENCY=USD", "XLFILL=b")</f>
        <v>723</v>
      </c>
    </row>
    <row r="46" spans="1:14" x14ac:dyDescent="0.2">
      <c r="A46" s="8" t="s">
        <v>12</v>
      </c>
      <c r="B46" s="4" t="s">
        <v>51</v>
      </c>
      <c r="C46" s="4" t="s">
        <v>52</v>
      </c>
      <c r="D46" s="4"/>
      <c r="E46" s="9">
        <f>_xll.BQL("ULCC US Equity", "FA_GROWTH(AIRLINE_EBITDAR, YOY)", "FPT=A", "FPO=5A", "ACT_EST_MAPPING=PRECISE", "FS=MRC", "CURRENCY=USD", "XLFILL=b")</f>
        <v>18.852059422845912</v>
      </c>
      <c r="F46" s="9">
        <f>_xll.BQL("ULCC US Equity", "FA_GROWTH(AIRLINE_EBITDAR, YOY)", "FPT=A", "FPO=4A", "ACT_EST_MAPPING=PRECISE", "FS=MRC", "CURRENCY=USD", "XLFILL=b")</f>
        <v>21.55683816194022</v>
      </c>
      <c r="G46" s="9">
        <f>_xll.BQL("ULCC US Equity", "FA_GROWTH(AIRLINE_EBITDAR, YOY)", "FPT=A", "FPO=3A", "ACT_EST_MAPPING=PRECISE", "FS=MRC", "CURRENCY=USD", "XLFILL=b")</f>
        <v>39.93884676350612</v>
      </c>
      <c r="H46" s="9">
        <f>_xll.BQL("ULCC US Equity", "FA_GROWTH(AIRLINE_EBITDAR, YOY)", "FPT=A", "FPO=2A", "ACT_EST_MAPPING=PRECISE", "FS=MRC", "CURRENCY=USD", "XLFILL=b")</f>
        <v>28.270567256322732</v>
      </c>
      <c r="I46" s="9">
        <f>_xll.BQL("ULCC US Equity", "FA_GROWTH(AIRLINE_EBITDAR, YOY)", "FPT=A", "FPO=1A", "ACT_EST_MAPPING=PRECISE", "FS=MRC", "CURRENCY=USD", "XLFILL=b")</f>
        <v>12.54949466661669</v>
      </c>
      <c r="J46" s="9">
        <f>_xll.BQL("ULCC US Equity", "FA_GROWTH(AIRLINE_EBITDAR, YOY)", "FPT=A", "FPO=0A", "ACT_EST_MAPPING=PRECISE", "FS=MRC", "CURRENCY=USD", "XLFILL=b")</f>
        <v>8.0935251798561154</v>
      </c>
      <c r="K46" s="9">
        <f>_xll.BQL("ULCC US Equity", "FA_GROWTH(AIRLINE_EBITDAR, YOY)", "FPT=A", "FPO=-1A", "ACT_EST_MAPPING=PRECISE", "FS=MRC", "CURRENCY=USD", "XLFILL=b")</f>
        <v>23.281596452328159</v>
      </c>
      <c r="L46" s="9">
        <f>_xll.BQL("ULCC US Equity", "FA_GROWTH(AIRLINE_EBITDAR, YOY)", "FPT=A", "FPO=-2A", "ACT_EST_MAPPING=PRECISE", "FS=MRC", "CURRENCY=USD", "XLFILL=b")</f>
        <v>604.6875</v>
      </c>
      <c r="M46" s="9">
        <f>_xll.BQL("ULCC US Equity", "FA_GROWTH(AIRLINE_EBITDAR, YOY)", "FPT=A", "FPO=-3A", "ACT_EST_MAPPING=PRECISE", "FS=MRC", "CURRENCY=USD", "XLFILL=b")</f>
        <v>-91.147994467496545</v>
      </c>
      <c r="N46" s="9" t="str">
        <f>_xll.BQL("ULCC US Equity", "FA_GROWTH(AIRLINE_EBITDAR, YOY)", "FPT=A", "FPO=-4A", "ACT_EST_MAPPING=PRECISE", "FS=MRC", "CURRENCY=USD", "XLFILL=b")</f>
        <v/>
      </c>
    </row>
    <row r="47" spans="1:14" x14ac:dyDescent="0.2">
      <c r="A47" s="8" t="s">
        <v>53</v>
      </c>
      <c r="B47" s="4" t="s">
        <v>54</v>
      </c>
      <c r="C47" s="4"/>
      <c r="D47" s="4"/>
      <c r="E47" s="9">
        <f>_xll.BQL("ULCC US Equity", "IS_COMP_NET_INCOME_ADJUST_OLD/1M", "FPT=A", "FPO=5A", "ACT_EST_MAPPING=PRECISE", "FS=MRC", "CURRENCY=USD", "XLFILL=b")</f>
        <v>344</v>
      </c>
      <c r="F47" s="9">
        <f>_xll.BQL("ULCC US Equity", "IS_COMP_NET_INCOME_ADJUST_OLD/1M", "FPT=A", "FPO=4A", "ACT_EST_MAPPING=PRECISE", "FS=MRC", "CURRENCY=USD", "XLFILL=b")</f>
        <v>273</v>
      </c>
      <c r="G47" s="9">
        <f>_xll.BQL("ULCC US Equity", "IS_COMP_NET_INCOME_ADJUST_OLD/1M", "FPT=A", "FPO=3A", "ACT_EST_MAPPING=PRECISE", "FS=MRC", "CURRENCY=USD", "XLFILL=b")</f>
        <v>257.85714285714289</v>
      </c>
      <c r="H47" s="9">
        <f>_xll.BQL("ULCC US Equity", "IS_COMP_NET_INCOME_ADJUST_OLD/1M", "FPT=A", "FPO=2A", "ACT_EST_MAPPING=PRECISE", "FS=MRC", "CURRENCY=USD", "XLFILL=b")</f>
        <v>104.79166666666667</v>
      </c>
      <c r="I47" s="9">
        <f>_xll.BQL("ULCC US Equity", "IS_COMP_NET_INCOME_ADJUST_OLD/1M", "FPT=A", "FPO=1A", "ACT_EST_MAPPING=PRECISE", "FS=MRC", "CURRENCY=USD", "XLFILL=b")</f>
        <v>-6.2696666666666667</v>
      </c>
      <c r="J47" s="9">
        <f>_xll.BQL("ULCC US Equity", "IS_COMP_NET_INCOME_ADJUST_OLD/1M", "FPT=A", "FPO=0A", "ACT_EST_MAPPING=PRECISE", "FS=MRC", "CURRENCY=USD", "XLFILL=b")</f>
        <v>28</v>
      </c>
      <c r="K47" s="9">
        <f>_xll.BQL("ULCC US Equity", "IS_COMP_NET_INCOME_ADJUST_OLD/1M", "FPT=A", "FPO=-1A", "ACT_EST_MAPPING=PRECISE", "FS=MRC", "CURRENCY=USD", "XLFILL=b")</f>
        <v>-17</v>
      </c>
      <c r="L47" s="9">
        <f>_xll.BQL("ULCC US Equity", "IS_COMP_NET_INCOME_ADJUST_OLD/1M", "FPT=A", "FPO=-2A", "ACT_EST_MAPPING=PRECISE", "FS=MRC", "CURRENCY=USD", "XLFILL=b")</f>
        <v>-299</v>
      </c>
      <c r="M47" s="9" t="str">
        <f>_xll.BQL("ULCC US Equity", "IS_COMP_NET_INCOME_ADJUST_OLD/1M", "FPT=A", "FPO=-3A", "ACT_EST_MAPPING=PRECISE", "FS=MRC", "CURRENCY=USD", "XLFILL=b")</f>
        <v/>
      </c>
      <c r="N47" s="9" t="str">
        <f>_xll.BQL("ULCC US Equity", "IS_COMP_NET_INCOME_ADJUST_OLD/1M", "FPT=A", "FPO=-4A", "ACT_EST_MAPPING=PRECISE", "FS=MRC", "CURRENCY=USD", "XLFILL=b")</f>
        <v/>
      </c>
    </row>
    <row r="48" spans="1:14" x14ac:dyDescent="0.2">
      <c r="A48" s="8" t="s">
        <v>12</v>
      </c>
      <c r="B48" s="4" t="s">
        <v>54</v>
      </c>
      <c r="C48" s="4"/>
      <c r="D48" s="4"/>
      <c r="E48" s="9">
        <f>_xll.BQL("ULCC US Equity", "FA_GROWTH(IS_COMP_NET_INCOME_ADJUST_OLD, YOY)", "FPT=A", "FPO=5A", "ACT_EST_MAPPING=PRECISE", "FS=MRC", "CURRENCY=USD", "XLFILL=b")</f>
        <v>26.007326007326007</v>
      </c>
      <c r="F48" s="9">
        <f>_xll.BQL("ULCC US Equity", "FA_GROWTH(IS_COMP_NET_INCOME_ADJUST_OLD, YOY)", "FPT=A", "FPO=4A", "ACT_EST_MAPPING=PRECISE", "FS=MRC", "CURRENCY=USD", "XLFILL=b")</f>
        <v>5.8725761772853149</v>
      </c>
      <c r="G48" s="9">
        <f>_xll.BQL("ULCC US Equity", "FA_GROWTH(IS_COMP_NET_INCOME_ADJUST_OLD, YOY)", "FPT=A", "FPO=3A", "ACT_EST_MAPPING=PRECISE", "FS=MRC", "CURRENCY=USD", "XLFILL=b")</f>
        <v>146.06645839250211</v>
      </c>
      <c r="H48" s="9">
        <f>_xll.BQL("ULCC US Equity", "FA_GROWTH(IS_COMP_NET_INCOME_ADJUST_OLD, YOY)", "FPT=A", "FPO=2A", "ACT_EST_MAPPING=PRECISE", "FS=MRC", "CURRENCY=USD", "XLFILL=b")</f>
        <v>1771.4073050135573</v>
      </c>
      <c r="I48" s="9">
        <f>_xll.BQL("ULCC US Equity", "FA_GROWTH(IS_COMP_NET_INCOME_ADJUST_OLD, YOY)", "FPT=A", "FPO=1A", "ACT_EST_MAPPING=PRECISE", "FS=MRC", "CURRENCY=USD", "XLFILL=b")</f>
        <v>-122.39166666666667</v>
      </c>
      <c r="J48" s="9">
        <f>_xll.BQL("ULCC US Equity", "FA_GROWTH(IS_COMP_NET_INCOME_ADJUST_OLD, YOY)", "FPT=A", "FPO=0A", "ACT_EST_MAPPING=PRECISE", "FS=MRC", "CURRENCY=USD", "XLFILL=b")</f>
        <v>264.70588235294116</v>
      </c>
      <c r="K48" s="9">
        <f>_xll.BQL("ULCC US Equity", "FA_GROWTH(IS_COMP_NET_INCOME_ADJUST_OLD, YOY)", "FPT=A", "FPO=-1A", "ACT_EST_MAPPING=PRECISE", "FS=MRC", "CURRENCY=USD", "XLFILL=b")</f>
        <v>94.314381270903013</v>
      </c>
      <c r="L48" s="9" t="str">
        <f>_xll.BQL("ULCC US Equity", "FA_GROWTH(IS_COMP_NET_INCOME_ADJUST_OLD, YOY)", "FPT=A", "FPO=-2A", "ACT_EST_MAPPING=PRECISE", "FS=MRC", "CURRENCY=USD", "XLFILL=b")</f>
        <v/>
      </c>
      <c r="M48" s="9" t="str">
        <f>_xll.BQL("ULCC US Equity", "FA_GROWTH(IS_COMP_NET_INCOME_ADJUST_OLD, YOY)", "FPT=A", "FPO=-3A", "ACT_EST_MAPPING=PRECISE", "FS=MRC", "CURRENCY=USD", "XLFILL=b")</f>
        <v/>
      </c>
      <c r="N48" s="9" t="str">
        <f>_xll.BQL("ULCC US Equity", "FA_GROWTH(IS_COMP_NET_INCOME_ADJUST_OLD, YOY)", "FPT=A", "FPO=-4A", "ACT_EST_MAPPING=PRECISE", "FS=MRC", "CURRENCY=USD", "XLFILL=b")</f>
        <v/>
      </c>
    </row>
    <row r="49" spans="1:14" x14ac:dyDescent="0.2">
      <c r="A49" s="8" t="s">
        <v>16</v>
      </c>
      <c r="B49" s="4"/>
      <c r="C49" s="4"/>
      <c r="D49" s="4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2">
      <c r="A50" s="8" t="s">
        <v>55</v>
      </c>
      <c r="B50" s="4"/>
      <c r="C50" s="4" t="s">
        <v>56</v>
      </c>
      <c r="D50" s="4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x14ac:dyDescent="0.2">
      <c r="A51" s="8" t="s">
        <v>16</v>
      </c>
      <c r="B51" s="4"/>
      <c r="C51" s="4"/>
      <c r="D51" s="4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x14ac:dyDescent="0.2">
      <c r="A52" s="8" t="s">
        <v>57</v>
      </c>
      <c r="B52" s="4"/>
      <c r="C52" s="4" t="s">
        <v>58</v>
      </c>
      <c r="D52" s="4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x14ac:dyDescent="0.2">
      <c r="A53" s="8" t="s">
        <v>23</v>
      </c>
      <c r="B53" s="4" t="s">
        <v>24</v>
      </c>
      <c r="C53" s="4"/>
      <c r="D53" s="4"/>
      <c r="E53" s="9" t="str">
        <f>_xll.BQL("ULCC US Equity", "TOTAL_PASSENGER_REVENUE/1M", "FPT=A", "FPO=5A", "ACT_EST_MAPPING=PRECISE", "FS=MRC", "CURRENCY=USD", "XLFILL=b")</f>
        <v/>
      </c>
      <c r="F53" s="9" t="str">
        <f>_xll.BQL("ULCC US Equity", "TOTAL_PASSENGER_REVENUE/1M", "FPT=A", "FPO=4A", "ACT_EST_MAPPING=PRECISE", "FS=MRC", "CURRENCY=USD", "XLFILL=b")</f>
        <v/>
      </c>
      <c r="G53" s="9">
        <f>_xll.BQL("ULCC US Equity", "TOTAL_PASSENGER_REVENUE/1M", "FPT=A", "FPO=3A", "ACT_EST_MAPPING=PRECISE", "FS=MRC", "CURRENCY=USD", "XLFILL=b")</f>
        <v>4698.6693555460542</v>
      </c>
      <c r="H53" s="9">
        <f>_xll.BQL("ULCC US Equity", "TOTAL_PASSENGER_REVENUE/1M", "FPT=A", "FPO=2A", "ACT_EST_MAPPING=PRECISE", "FS=MRC", "CURRENCY=USD", "XLFILL=b")</f>
        <v>4084.4483483361764</v>
      </c>
      <c r="I53" s="9">
        <f>_xll.BQL("ULCC US Equity", "TOTAL_PASSENGER_REVENUE/1M", "FPT=A", "FPO=1A", "ACT_EST_MAPPING=PRECISE", "FS=MRC", "CURRENCY=USD", "XLFILL=b")</f>
        <v>3636.0412942078615</v>
      </c>
      <c r="J53" s="9">
        <f>_xll.BQL("ULCC US Equity", "TOTAL_PASSENGER_REVENUE/1M", "FPT=A", "FPO=0A", "ACT_EST_MAPPING=PRECISE", "FS=MRC", "CURRENCY=USD", "XLFILL=b")</f>
        <v>3509</v>
      </c>
      <c r="K53" s="9">
        <f>_xll.BQL("ULCC US Equity", "TOTAL_PASSENGER_REVENUE/1M", "FPT=A", "FPO=-1A", "ACT_EST_MAPPING=PRECISE", "FS=MRC", "CURRENCY=USD", "XLFILL=b")</f>
        <v>3248</v>
      </c>
      <c r="L53" s="9">
        <f>_xll.BQL("ULCC US Equity", "TOTAL_PASSENGER_REVENUE/1M", "FPT=A", "FPO=-2A", "ACT_EST_MAPPING=PRECISE", "FS=MRC", "CURRENCY=USD", "XLFILL=b")</f>
        <v>2000</v>
      </c>
      <c r="M53" s="9">
        <f>_xll.BQL("ULCC US Equity", "TOTAL_PASSENGER_REVENUE/1M", "FPT=A", "FPO=-3A", "ACT_EST_MAPPING=PRECISE", "FS=MRC", "CURRENCY=USD", "XLFILL=b")</f>
        <v>1207</v>
      </c>
      <c r="N53" s="9">
        <f>_xll.BQL("ULCC US Equity", "TOTAL_PASSENGER_REVENUE/1M", "FPT=A", "FPO=-4A", "ACT_EST_MAPPING=PRECISE", "FS=MRC", "CURRENCY=USD", "XLFILL=b")</f>
        <v>2445</v>
      </c>
    </row>
    <row r="54" spans="1:14" x14ac:dyDescent="0.2">
      <c r="A54" s="8" t="s">
        <v>12</v>
      </c>
      <c r="B54" s="4" t="s">
        <v>24</v>
      </c>
      <c r="C54" s="4"/>
      <c r="D54" s="4"/>
      <c r="E54" s="9" t="str">
        <f>_xll.BQL("ULCC US Equity", "FA_GROWTH(TOTAL_PASSENGER_REVENUE, YOY)", "FPT=A", "FPO=5A", "ACT_EST_MAPPING=PRECISE", "FS=MRC", "CURRENCY=USD", "XLFILL=b")</f>
        <v/>
      </c>
      <c r="F54" s="9" t="str">
        <f>_xll.BQL("ULCC US Equity", "FA_GROWTH(TOTAL_PASSENGER_REVENUE, YOY)", "FPT=A", "FPO=4A", "ACT_EST_MAPPING=PRECISE", "FS=MRC", "CURRENCY=USD", "XLFILL=b")</f>
        <v/>
      </c>
      <c r="G54" s="9">
        <f>_xll.BQL("ULCC US Equity", "FA_GROWTH(TOTAL_PASSENGER_REVENUE, YOY)", "FPT=A", "FPO=3A", "ACT_EST_MAPPING=PRECISE", "FS=MRC", "CURRENCY=USD", "XLFILL=b")</f>
        <v>15.038040754269398</v>
      </c>
      <c r="H54" s="9">
        <f>_xll.BQL("ULCC US Equity", "FA_GROWTH(TOTAL_PASSENGER_REVENUE, YOY)", "FPT=A", "FPO=2A", "ACT_EST_MAPPING=PRECISE", "FS=MRC", "CURRENCY=USD", "XLFILL=b")</f>
        <v>12.332287172937725</v>
      </c>
      <c r="I54" s="9">
        <f>_xll.BQL("ULCC US Equity", "FA_GROWTH(TOTAL_PASSENGER_REVENUE, YOY)", "FPT=A", "FPO=1A", "ACT_EST_MAPPING=PRECISE", "FS=MRC", "CURRENCY=USD", "XLFILL=b")</f>
        <v>3.6204415562228962</v>
      </c>
      <c r="J54" s="9">
        <f>_xll.BQL("ULCC US Equity", "FA_GROWTH(TOTAL_PASSENGER_REVENUE, YOY)", "FPT=A", "FPO=0A", "ACT_EST_MAPPING=PRECISE", "FS=MRC", "CURRENCY=USD", "XLFILL=b")</f>
        <v>8.0357142857142865</v>
      </c>
      <c r="K54" s="9">
        <f>_xll.BQL("ULCC US Equity", "FA_GROWTH(TOTAL_PASSENGER_REVENUE, YOY)", "FPT=A", "FPO=-1A", "ACT_EST_MAPPING=PRECISE", "FS=MRC", "CURRENCY=USD", "XLFILL=b")</f>
        <v>62.4</v>
      </c>
      <c r="L54" s="9">
        <f>_xll.BQL("ULCC US Equity", "FA_GROWTH(TOTAL_PASSENGER_REVENUE, YOY)", "FPT=A", "FPO=-2A", "ACT_EST_MAPPING=PRECISE", "FS=MRC", "CURRENCY=USD", "XLFILL=b")</f>
        <v>65.700082850041426</v>
      </c>
      <c r="M54" s="9">
        <f>_xll.BQL("ULCC US Equity", "FA_GROWTH(TOTAL_PASSENGER_REVENUE, YOY)", "FPT=A", "FPO=-3A", "ACT_EST_MAPPING=PRECISE", "FS=MRC", "CURRENCY=USD", "XLFILL=b")</f>
        <v>-50.633946830265849</v>
      </c>
      <c r="N54" s="9">
        <f>_xll.BQL("ULCC US Equity", "FA_GROWTH(TOTAL_PASSENGER_REVENUE, YOY)", "FPT=A", "FPO=-4A", "ACT_EST_MAPPING=PRECISE", "FS=MRC", "CURRENCY=USD", "XLFILL=b")</f>
        <v>16.317792578496668</v>
      </c>
    </row>
    <row r="55" spans="1:14" x14ac:dyDescent="0.2">
      <c r="A55" s="8" t="s">
        <v>59</v>
      </c>
      <c r="B55" s="4" t="s">
        <v>17</v>
      </c>
      <c r="C55" s="4"/>
      <c r="D55" s="4"/>
      <c r="E55" s="9">
        <f>_xll.BQL("ULCC US Equity", "REV_PASS_MILES_KM/1M", "FPT=A", "FPO=5A", "ACT_EST_MAPPING=PRECISE", "FS=MRC", "CURRENCY=USD", "XLFILL=b")</f>
        <v>46958.385396483012</v>
      </c>
      <c r="F55" s="9">
        <f>_xll.BQL("ULCC US Equity", "REV_PASS_MILES_KM/1M", "FPT=A", "FPO=4A", "ACT_EST_MAPPING=PRECISE", "FS=MRC", "CURRENCY=USD", "XLFILL=b")</f>
        <v>42689.441269529998</v>
      </c>
      <c r="G55" s="9">
        <f>_xll.BQL("ULCC US Equity", "REV_PASS_MILES_KM/1M", "FPT=A", "FPO=3A", "ACT_EST_MAPPING=PRECISE", "FS=MRC", "CURRENCY=USD", "XLFILL=b")</f>
        <v>38506.716901938402</v>
      </c>
      <c r="H55" s="9">
        <f>_xll.BQL("ULCC US Equity", "REV_PASS_MILES_KM/1M", "FPT=A", "FPO=2A", "ACT_EST_MAPPING=PRECISE", "FS=MRC", "CURRENCY=USD", "XLFILL=b")</f>
        <v>34687.114602606249</v>
      </c>
      <c r="I55" s="9">
        <f>_xll.BQL("ULCC US Equity", "REV_PASS_MILES_KM/1M", "FPT=A", "FPO=1A", "ACT_EST_MAPPING=PRECISE", "FS=MRC", "CURRENCY=USD", "XLFILL=b")</f>
        <v>31245.982851249999</v>
      </c>
      <c r="J55" s="9">
        <f>_xll.BQL("ULCC US Equity", "REV_PASS_MILES_KM/1M", "FPT=A", "FPO=0A", "ACT_EST_MAPPING=PRECISE", "FS=MRC", "CURRENCY=USD", "XLFILL=b")</f>
        <v>30798</v>
      </c>
      <c r="K55" s="9">
        <f>_xll.BQL("ULCC US Equity", "REV_PASS_MILES_KM/1M", "FPT=A", "FPO=-1A", "ACT_EST_MAPPING=PRECISE", "FS=MRC", "CURRENCY=USD", "XLFILL=b")</f>
        <v>25669</v>
      </c>
      <c r="L55" s="9">
        <f>_xll.BQL("ULCC US Equity", "REV_PASS_MILES_KM/1M", "FPT=A", "FPO=-2A", "ACT_EST_MAPPING=PRECISE", "FS=MRC", "CURRENCY=USD", "XLFILL=b")</f>
        <v>20380</v>
      </c>
      <c r="M55" s="9">
        <f>_xll.BQL("ULCC US Equity", "REV_PASS_MILES_KM/1M", "FPT=A", "FPO=-3A", "ACT_EST_MAPPING=PRECISE", "FS=MRC", "CURRENCY=USD", "XLFILL=b")</f>
        <v>11443</v>
      </c>
      <c r="N55" s="9">
        <f>_xll.BQL("ULCC US Equity", "REV_PASS_MILES_KM/1M", "FPT=A", "FPO=-4A", "ACT_EST_MAPPING=PRECISE", "FS=MRC", "CURRENCY=USD", "XLFILL=b")</f>
        <v>24203</v>
      </c>
    </row>
    <row r="56" spans="1:14" x14ac:dyDescent="0.2">
      <c r="A56" s="8" t="s">
        <v>12</v>
      </c>
      <c r="B56" s="4" t="s">
        <v>17</v>
      </c>
      <c r="C56" s="4"/>
      <c r="D56" s="4"/>
      <c r="E56" s="9">
        <f>_xll.BQL("ULCC US Equity", "FA_GROWTH(REV_PASS_MILES_KM, YOY)", "FPT=A", "FPO=5A", "ACT_EST_MAPPING=PRECISE", "FS=MRC", "CURRENCY=USD", "XLFILL=b")</f>
        <v>10.000000000000025</v>
      </c>
      <c r="F56" s="9">
        <f>_xll.BQL("ULCC US Equity", "FA_GROWTH(REV_PASS_MILES_KM, YOY)", "FPT=A", "FPO=4A", "ACT_EST_MAPPING=PRECISE", "FS=MRC", "CURRENCY=USD", "XLFILL=b")</f>
        <v>10.862324041396121</v>
      </c>
      <c r="G56" s="9">
        <f>_xll.BQL("ULCC US Equity", "FA_GROWTH(REV_PASS_MILES_KM, YOY)", "FPT=A", "FPO=3A", "ACT_EST_MAPPING=PRECISE", "FS=MRC", "CURRENCY=USD", "XLFILL=b")</f>
        <v>11.011588433029146</v>
      </c>
      <c r="H56" s="9">
        <f>_xll.BQL("ULCC US Equity", "FA_GROWTH(REV_PASS_MILES_KM, YOY)", "FPT=A", "FPO=2A", "ACT_EST_MAPPING=PRECISE", "FS=MRC", "CURRENCY=USD", "XLFILL=b")</f>
        <v>11.013037316630877</v>
      </c>
      <c r="I56" s="9">
        <f>_xll.BQL("ULCC US Equity", "FA_GROWTH(REV_PASS_MILES_KM, YOY)", "FPT=A", "FPO=1A", "ACT_EST_MAPPING=PRECISE", "FS=MRC", "CURRENCY=USD", "XLFILL=b")</f>
        <v>1.4545842303071628</v>
      </c>
      <c r="J56" s="9">
        <f>_xll.BQL("ULCC US Equity", "FA_GROWTH(REV_PASS_MILES_KM, YOY)", "FPT=A", "FPO=0A", "ACT_EST_MAPPING=PRECISE", "FS=MRC", "CURRENCY=USD", "XLFILL=b")</f>
        <v>19.981300401262224</v>
      </c>
      <c r="K56" s="9">
        <f>_xll.BQL("ULCC US Equity", "FA_GROWTH(REV_PASS_MILES_KM, YOY)", "FPT=A", "FPO=-1A", "ACT_EST_MAPPING=PRECISE", "FS=MRC", "CURRENCY=USD", "XLFILL=b")</f>
        <v>25.951913640824337</v>
      </c>
      <c r="L56" s="9">
        <f>_xll.BQL("ULCC US Equity", "FA_GROWTH(REV_PASS_MILES_KM, YOY)", "FPT=A", "FPO=-2A", "ACT_EST_MAPPING=PRECISE", "FS=MRC", "CURRENCY=USD", "XLFILL=b")</f>
        <v>78.100148562439927</v>
      </c>
      <c r="M56" s="9">
        <f>_xll.BQL("ULCC US Equity", "FA_GROWTH(REV_PASS_MILES_KM, YOY)", "FPT=A", "FPO=-3A", "ACT_EST_MAPPING=PRECISE", "FS=MRC", "CURRENCY=USD", "XLFILL=b")</f>
        <v>-52.72073709870677</v>
      </c>
      <c r="N56" s="9">
        <f>_xll.BQL("ULCC US Equity", "FA_GROWTH(REV_PASS_MILES_KM, YOY)", "FPT=A", "FPO=-4A", "ACT_EST_MAPPING=PRECISE", "FS=MRC", "CURRENCY=USD", "XLFILL=b")</f>
        <v>15.693116634799235</v>
      </c>
    </row>
    <row r="57" spans="1:14" x14ac:dyDescent="0.2">
      <c r="A57" s="8" t="s">
        <v>60</v>
      </c>
      <c r="B57" s="4" t="s">
        <v>19</v>
      </c>
      <c r="C57" s="4"/>
      <c r="D57" s="4"/>
      <c r="E57" s="9">
        <f>_xll.BQL("ULCC US Equity", "AVAIL_SEAT_MILES_KM/1M", "FPT=A", "FPO=5A", "ACT_EST_MAPPING=PRECISE", "FS=MRC", "CURRENCY=USD", "XLFILL=b")</f>
        <v>55245.159289980009</v>
      </c>
      <c r="F57" s="9">
        <f>_xll.BQL("ULCC US Equity", "AVAIL_SEAT_MILES_KM/1M", "FPT=A", "FPO=4A", "ACT_EST_MAPPING=PRECISE", "FS=MRC", "CURRENCY=USD", "XLFILL=b")</f>
        <v>50222.8720818</v>
      </c>
      <c r="G57" s="9">
        <f>_xll.BQL("ULCC US Equity", "AVAIL_SEAT_MILES_KM/1M", "FPT=A", "FPO=3A", "ACT_EST_MAPPING=PRECISE", "FS=MRC", "CURRENCY=USD", "XLFILL=b")</f>
        <v>47244.279773199996</v>
      </c>
      <c r="H57" s="9">
        <f>_xll.BQL("ULCC US Equity", "AVAIL_SEAT_MILES_KM/1M", "FPT=A", "FPO=2A", "ACT_EST_MAPPING=PRECISE", "FS=MRC", "CURRENCY=USD", "XLFILL=b")</f>
        <v>43307.227146874997</v>
      </c>
      <c r="I57" s="9">
        <f>_xll.BQL("ULCC US Equity", "AVAIL_SEAT_MILES_KM/1M", "FPT=A", "FPO=1A", "ACT_EST_MAPPING=PRECISE", "FS=MRC", "CURRENCY=USD", "XLFILL=b")</f>
        <v>40305.040000000001</v>
      </c>
      <c r="J57" s="9">
        <f>_xll.BQL("ULCC US Equity", "AVAIL_SEAT_MILES_KM/1M", "FPT=A", "FPO=0A", "ACT_EST_MAPPING=PRECISE", "FS=MRC", "CURRENCY=USD", "XLFILL=b")</f>
        <v>37822</v>
      </c>
      <c r="K57" s="9">
        <f>_xll.BQL("ULCC US Equity", "AVAIL_SEAT_MILES_KM/1M", "FPT=A", "FPO=-1A", "ACT_EST_MAPPING=PRECISE", "FS=MRC", "CURRENCY=USD", "XLFILL=b")</f>
        <v>31746</v>
      </c>
      <c r="L57" s="9">
        <f>_xll.BQL("ULCC US Equity", "AVAIL_SEAT_MILES_KM/1M", "FPT=A", "FPO=-2A", "ACT_EST_MAPPING=PRECISE", "FS=MRC", "CURRENCY=USD", "XLFILL=b")</f>
        <v>26867</v>
      </c>
      <c r="M57" s="9">
        <f>_xll.BQL("ULCC US Equity", "AVAIL_SEAT_MILES_KM/1M", "FPT=A", "FPO=-3A", "ACT_EST_MAPPING=PRECISE", "FS=MRC", "CURRENCY=USD", "XLFILL=b")</f>
        <v>16955</v>
      </c>
      <c r="N57" s="9">
        <f>_xll.BQL("ULCC US Equity", "AVAIL_SEAT_MILES_KM/1M", "FPT=A", "FPO=-4A", "ACT_EST_MAPPING=PRECISE", "FS=MRC", "CURRENCY=USD", "XLFILL=b")</f>
        <v>28120</v>
      </c>
    </row>
    <row r="58" spans="1:14" x14ac:dyDescent="0.2">
      <c r="A58" s="8" t="s">
        <v>12</v>
      </c>
      <c r="B58" s="4" t="s">
        <v>19</v>
      </c>
      <c r="C58" s="4"/>
      <c r="D58" s="4"/>
      <c r="E58" s="9">
        <f>_xll.BQL("ULCC US Equity", "FA_GROWTH(AVAIL_SEAT_MILES_KM, YOY)", "FPT=A", "FPO=5A", "ACT_EST_MAPPING=PRECISE", "FS=MRC", "CURRENCY=USD", "XLFILL=b")</f>
        <v>10.000000000000016</v>
      </c>
      <c r="F58" s="9">
        <f>_xll.BQL("ULCC US Equity", "FA_GROWTH(AVAIL_SEAT_MILES_KM, YOY)", "FPT=A", "FPO=4A", "ACT_EST_MAPPING=PRECISE", "FS=MRC", "CURRENCY=USD", "XLFILL=b")</f>
        <v>6.3046623271621041</v>
      </c>
      <c r="G58" s="9">
        <f>_xll.BQL("ULCC US Equity", "FA_GROWTH(AVAIL_SEAT_MILES_KM, YOY)", "FPT=A", "FPO=3A", "ACT_EST_MAPPING=PRECISE", "FS=MRC", "CURRENCY=USD", "XLFILL=b")</f>
        <v>9.0909829275668379</v>
      </c>
      <c r="H58" s="9">
        <f>_xll.BQL("ULCC US Equity", "FA_GROWTH(AVAIL_SEAT_MILES_KM, YOY)", "FPT=A", "FPO=2A", "ACT_EST_MAPPING=PRECISE", "FS=MRC", "CURRENCY=USD", "XLFILL=b")</f>
        <v>7.4486643528327967</v>
      </c>
      <c r="I58" s="9">
        <f>_xll.BQL("ULCC US Equity", "FA_GROWTH(AVAIL_SEAT_MILES_KM, YOY)", "FPT=A", "FPO=1A", "ACT_EST_MAPPING=PRECISE", "FS=MRC", "CURRENCY=USD", "XLFILL=b")</f>
        <v>6.5650679498704454</v>
      </c>
      <c r="J58" s="9">
        <f>_xll.BQL("ULCC US Equity", "FA_GROWTH(AVAIL_SEAT_MILES_KM, YOY)", "FPT=A", "FPO=0A", "ACT_EST_MAPPING=PRECISE", "FS=MRC", "CURRENCY=USD", "XLFILL=b")</f>
        <v>19.13941913941914</v>
      </c>
      <c r="K58" s="9">
        <f>_xll.BQL("ULCC US Equity", "FA_GROWTH(AVAIL_SEAT_MILES_KM, YOY)", "FPT=A", "FPO=-1A", "ACT_EST_MAPPING=PRECISE", "FS=MRC", "CURRENCY=USD", "XLFILL=b")</f>
        <v>18.159824319797522</v>
      </c>
      <c r="L58" s="9">
        <f>_xll.BQL("ULCC US Equity", "FA_GROWTH(AVAIL_SEAT_MILES_KM, YOY)", "FPT=A", "FPO=-2A", "ACT_EST_MAPPING=PRECISE", "FS=MRC", "CURRENCY=USD", "XLFILL=b")</f>
        <v>58.460631082276613</v>
      </c>
      <c r="M58" s="9">
        <f>_xll.BQL("ULCC US Equity", "FA_GROWTH(AVAIL_SEAT_MILES_KM, YOY)", "FPT=A", "FPO=-3A", "ACT_EST_MAPPING=PRECISE", "FS=MRC", "CURRENCY=USD", "XLFILL=b")</f>
        <v>-39.704836415362735</v>
      </c>
      <c r="N58" s="9">
        <f>_xll.BQL("ULCC US Equity", "FA_GROWTH(AVAIL_SEAT_MILES_KM, YOY)", "FPT=A", "FPO=-4A", "ACT_EST_MAPPING=PRECISE", "FS=MRC", "CURRENCY=USD", "XLFILL=b")</f>
        <v>14.174347314141865</v>
      </c>
    </row>
    <row r="59" spans="1:14" x14ac:dyDescent="0.2">
      <c r="A59" s="8" t="s">
        <v>20</v>
      </c>
      <c r="B59" s="4" t="s">
        <v>21</v>
      </c>
      <c r="C59" s="4" t="s">
        <v>22</v>
      </c>
      <c r="D59" s="4"/>
      <c r="E59" s="9">
        <f>_xll.BQL("ULCC US Equity", "LOAD_FACTOR", "FPT=A", "FPO=5A", "ACT_EST_MAPPING=PRECISE", "FS=MRC", "CURRENCY=USD", "XLFILL=b")</f>
        <v>85.000000000000014</v>
      </c>
      <c r="F59" s="9">
        <f>_xll.BQL("ULCC US Equity", "LOAD_FACTOR", "FPT=A", "FPO=4A", "ACT_EST_MAPPING=PRECISE", "FS=MRC", "CURRENCY=USD", "XLFILL=b")</f>
        <v>84.999999999999986</v>
      </c>
      <c r="G59" s="9">
        <f>_xll.BQL("ULCC US Equity", "LOAD_FACTOR", "FPT=A", "FPO=3A", "ACT_EST_MAPPING=PRECISE", "FS=MRC", "CURRENCY=USD", "XLFILL=b")</f>
        <v>81.539009445561774</v>
      </c>
      <c r="H59" s="9">
        <f>_xll.BQL("ULCC US Equity", "LOAD_FACTOR", "FPT=A", "FPO=2A", "ACT_EST_MAPPING=PRECISE", "FS=MRC", "CURRENCY=USD", "XLFILL=b")</f>
        <v>80.106380639578148</v>
      </c>
      <c r="I59" s="9">
        <f>_xll.BQL("ULCC US Equity", "LOAD_FACTOR", "FPT=A", "FPO=1A", "ACT_EST_MAPPING=PRECISE", "FS=MRC", "CURRENCY=USD", "XLFILL=b")</f>
        <v>77.530992768029193</v>
      </c>
      <c r="J59" s="9">
        <f>_xll.BQL("ULCC US Equity", "LOAD_FACTOR", "FPT=A", "FPO=0A", "ACT_EST_MAPPING=PRECISE", "FS=MRC", "CURRENCY=USD", "XLFILL=b")</f>
        <v>81.400000000000006</v>
      </c>
      <c r="K59" s="9">
        <f>_xll.BQL("ULCC US Equity", "LOAD_FACTOR", "FPT=A", "FPO=-1A", "ACT_EST_MAPPING=PRECISE", "FS=MRC", "CURRENCY=USD", "XLFILL=b")</f>
        <v>80.900000000000006</v>
      </c>
      <c r="L59" s="9">
        <f>_xll.BQL("ULCC US Equity", "LOAD_FACTOR", "FPT=A", "FPO=-2A", "ACT_EST_MAPPING=PRECISE", "FS=MRC", "CURRENCY=USD", "XLFILL=b")</f>
        <v>75.900000000000006</v>
      </c>
      <c r="M59" s="9">
        <f>_xll.BQL("ULCC US Equity", "LOAD_FACTOR", "FPT=A", "FPO=-3A", "ACT_EST_MAPPING=PRECISE", "FS=MRC", "CURRENCY=USD", "XLFILL=b")</f>
        <v>67.5</v>
      </c>
      <c r="N59" s="9">
        <f>_xll.BQL("ULCC US Equity", "LOAD_FACTOR", "FPT=A", "FPO=-4A", "ACT_EST_MAPPING=PRECISE", "FS=MRC", "CURRENCY=USD", "XLFILL=b")</f>
        <v>86.1</v>
      </c>
    </row>
    <row r="60" spans="1:14" x14ac:dyDescent="0.2">
      <c r="A60" s="8" t="s">
        <v>12</v>
      </c>
      <c r="B60" s="4" t="s">
        <v>21</v>
      </c>
      <c r="C60" s="4" t="s">
        <v>22</v>
      </c>
      <c r="D60" s="4"/>
      <c r="E60" s="9">
        <f>_xll.BQL("ULCC US Equity", "FA_GROWTH(LOAD_FACTOR, YOY)", "FPT=A", "FPO=5A", "ACT_EST_MAPPING=PRECISE", "FS=MRC", "CURRENCY=USD", "XLFILL=b")</f>
        <v>3.3437305212240016E-14</v>
      </c>
      <c r="F60" s="9">
        <f>_xll.BQL("ULCC US Equity", "FA_GROWTH(LOAD_FACTOR, YOY)", "FPT=A", "FPO=4A", "ACT_EST_MAPPING=PRECISE", "FS=MRC", "CURRENCY=USD", "XLFILL=b")</f>
        <v>4.2445825353677948</v>
      </c>
      <c r="G60" s="9">
        <f>_xll.BQL("ULCC US Equity", "FA_GROWTH(LOAD_FACTOR, YOY)", "FPT=A", "FPO=3A", "ACT_EST_MAPPING=PRECISE", "FS=MRC", "CURRENCY=USD", "XLFILL=b")</f>
        <v>1.7884078578327469</v>
      </c>
      <c r="H60" s="9">
        <f>_xll.BQL("ULCC US Equity", "FA_GROWTH(LOAD_FACTOR, YOY)", "FPT=A", "FPO=2A", "ACT_EST_MAPPING=PRECISE", "FS=MRC", "CURRENCY=USD", "XLFILL=b")</f>
        <v>3.3217527334577688</v>
      </c>
      <c r="I60" s="9">
        <f>_xll.BQL("ULCC US Equity", "FA_GROWTH(LOAD_FACTOR, YOY)", "FPT=A", "FPO=1A", "ACT_EST_MAPPING=PRECISE", "FS=MRC", "CURRENCY=USD", "XLFILL=b")</f>
        <v>-4.7530801375562799</v>
      </c>
      <c r="J60" s="9">
        <f>_xll.BQL("ULCC US Equity", "FA_GROWTH(LOAD_FACTOR, YOY)", "FPT=A", "FPO=0A", "ACT_EST_MAPPING=PRECISE", "FS=MRC", "CURRENCY=USD", "XLFILL=b")</f>
        <v>0.61804697156983923</v>
      </c>
      <c r="K60" s="9">
        <f>_xll.BQL("ULCC US Equity", "FA_GROWTH(LOAD_FACTOR, YOY)", "FPT=A", "FPO=-1A", "ACT_EST_MAPPING=PRECISE", "FS=MRC", "CURRENCY=USD", "XLFILL=b")</f>
        <v>6.587615283267457</v>
      </c>
      <c r="L60" s="9">
        <f>_xll.BQL("ULCC US Equity", "FA_GROWTH(LOAD_FACTOR, YOY)", "FPT=A", "FPO=-2A", "ACT_EST_MAPPING=PRECISE", "FS=MRC", "CURRENCY=USD", "XLFILL=b")</f>
        <v>12.444444444444454</v>
      </c>
      <c r="M60" s="9">
        <f>_xll.BQL("ULCC US Equity", "FA_GROWTH(LOAD_FACTOR, YOY)", "FPT=A", "FPO=-3A", "ACT_EST_MAPPING=PRECISE", "FS=MRC", "CURRENCY=USD", "XLFILL=b")</f>
        <v>-21.602787456445988</v>
      </c>
      <c r="N60" s="9">
        <f>_xll.BQL("ULCC US Equity", "FA_GROWTH(LOAD_FACTOR, YOY)", "FPT=A", "FPO=-4A", "ACT_EST_MAPPING=PRECISE", "FS=MRC", "CURRENCY=USD", "XLFILL=b")</f>
        <v>1.365052911085995</v>
      </c>
    </row>
    <row r="61" spans="1:14" x14ac:dyDescent="0.2">
      <c r="A61" s="8" t="s">
        <v>61</v>
      </c>
      <c r="B61" s="4" t="s">
        <v>34</v>
      </c>
      <c r="C61" s="4"/>
      <c r="D61" s="4"/>
      <c r="E61" s="9" t="str">
        <f>_xll.BQL("ULCC US Equity", "YIELD_PER_PASS_MILES_KM", "FPT=A", "FPO=5A", "ACT_EST_MAPPING=PRECISE", "FS=MRC", "CURRENCY=USD", "XLFILL=b")</f>
        <v/>
      </c>
      <c r="F61" s="9" t="str">
        <f>_xll.BQL("ULCC US Equity", "YIELD_PER_PASS_MILES_KM", "FPT=A", "FPO=4A", "ACT_EST_MAPPING=PRECISE", "FS=MRC", "CURRENCY=USD", "XLFILL=b")</f>
        <v/>
      </c>
      <c r="G61" s="9">
        <f>_xll.BQL("ULCC US Equity", "YIELD_PER_PASS_MILES_KM", "FPT=A", "FPO=3A", "ACT_EST_MAPPING=PRECISE", "FS=MRC", "CURRENCY=USD", "XLFILL=b")</f>
        <v>12.406269849657052</v>
      </c>
      <c r="H61" s="9">
        <f>_xll.BQL("ULCC US Equity", "YIELD_PER_PASS_MILES_KM", "FPT=A", "FPO=2A", "ACT_EST_MAPPING=PRECISE", "FS=MRC", "CURRENCY=USD", "XLFILL=b")</f>
        <v>12.025306823826046</v>
      </c>
      <c r="I61" s="9">
        <f>_xll.BQL("ULCC US Equity", "YIELD_PER_PASS_MILES_KM", "FPT=A", "FPO=1A", "ACT_EST_MAPPING=PRECISE", "FS=MRC", "CURRENCY=USD", "XLFILL=b")</f>
        <v>11.741640651480328</v>
      </c>
      <c r="J61" s="9">
        <f>_xll.BQL("ULCC US Equity", "YIELD_PER_PASS_MILES_KM", "FPT=A", "FPO=0A", "ACT_EST_MAPPING=PRECISE", "FS=MRC", "CURRENCY=USD", "XLFILL=b")</f>
        <v>11.393597</v>
      </c>
      <c r="K61" s="9">
        <f>_xll.BQL("ULCC US Equity", "YIELD_PER_PASS_MILES_KM", "FPT=A", "FPO=-1A", "ACT_EST_MAPPING=PRECISE", "FS=MRC", "CURRENCY=USD", "XLFILL=b")</f>
        <v>12.653395</v>
      </c>
      <c r="L61" s="9">
        <f>_xll.BQL("ULCC US Equity", "YIELD_PER_PASS_MILES_KM", "FPT=A", "FPO=-2A", "ACT_EST_MAPPING=PRECISE", "FS=MRC", "CURRENCY=USD", "XLFILL=b")</f>
        <v>9.8135429999999992</v>
      </c>
      <c r="M61" s="9">
        <f>_xll.BQL("ULCC US Equity", "YIELD_PER_PASS_MILES_KM", "FPT=A", "FPO=-3A", "ACT_EST_MAPPING=PRECISE", "FS=MRC", "CURRENCY=USD", "XLFILL=b")</f>
        <v>10.55</v>
      </c>
      <c r="N61" s="9">
        <f>_xll.BQL("ULCC US Equity", "YIELD_PER_PASS_MILES_KM", "FPT=A", "FPO=-4A", "ACT_EST_MAPPING=PRECISE", "FS=MRC", "CURRENCY=USD", "XLFILL=b")</f>
        <v>10.102053</v>
      </c>
    </row>
    <row r="62" spans="1:14" x14ac:dyDescent="0.2">
      <c r="A62" s="8" t="s">
        <v>12</v>
      </c>
      <c r="B62" s="4" t="s">
        <v>34</v>
      </c>
      <c r="C62" s="4"/>
      <c r="D62" s="4"/>
      <c r="E62" s="9" t="str">
        <f>_xll.BQL("ULCC US Equity", "FA_GROWTH(YIELD_PER_PASS_MILES_KM, YOY)", "FPT=A", "FPO=5A", "ACT_EST_MAPPING=PRECISE", "FS=MRC", "CURRENCY=USD", "XLFILL=b")</f>
        <v/>
      </c>
      <c r="F62" s="9" t="str">
        <f>_xll.BQL("ULCC US Equity", "FA_GROWTH(YIELD_PER_PASS_MILES_KM, YOY)", "FPT=A", "FPO=4A", "ACT_EST_MAPPING=PRECISE", "FS=MRC", "CURRENCY=USD", "XLFILL=b")</f>
        <v/>
      </c>
      <c r="G62" s="9">
        <f>_xll.BQL("ULCC US Equity", "FA_GROWTH(YIELD_PER_PASS_MILES_KM, YOY)", "FPT=A", "FPO=3A", "ACT_EST_MAPPING=PRECISE", "FS=MRC", "CURRENCY=USD", "XLFILL=b")</f>
        <v>3.1680108575374928</v>
      </c>
      <c r="H62" s="9">
        <f>_xll.BQL("ULCC US Equity", "FA_GROWTH(YIELD_PER_PASS_MILES_KM, YOY)", "FPT=A", "FPO=2A", "ACT_EST_MAPPING=PRECISE", "FS=MRC", "CURRENCY=USD", "XLFILL=b")</f>
        <v>2.4158989426231088</v>
      </c>
      <c r="I62" s="9">
        <f>_xll.BQL("ULCC US Equity", "FA_GROWTH(YIELD_PER_PASS_MILES_KM, YOY)", "FPT=A", "FPO=1A", "ACT_EST_MAPPING=PRECISE", "FS=MRC", "CURRENCY=USD", "XLFILL=b")</f>
        <v>3.0547302268136045</v>
      </c>
      <c r="J62" s="9">
        <f>_xll.BQL("ULCC US Equity", "FA_GROWTH(YIELD_PER_PASS_MILES_KM, YOY)", "FPT=A", "FPO=0A", "ACT_EST_MAPPING=PRECISE", "FS=MRC", "CURRENCY=USD", "XLFILL=b")</f>
        <v>-9.9562054294519378</v>
      </c>
      <c r="K62" s="9">
        <f>_xll.BQL("ULCC US Equity", "FA_GROWTH(YIELD_PER_PASS_MILES_KM, YOY)", "FPT=A", "FPO=-1A", "ACT_EST_MAPPING=PRECISE", "FS=MRC", "CURRENCY=USD", "XLFILL=b")</f>
        <v>28.938090962662528</v>
      </c>
      <c r="L62" s="9">
        <f>_xll.BQL("ULCC US Equity", "FA_GROWTH(YIELD_PER_PASS_MILES_KM, YOY)", "FPT=A", "FPO=-2A", "ACT_EST_MAPPING=PRECISE", "FS=MRC", "CURRENCY=USD", "XLFILL=b")</f>
        <v>-6.9806350710900604</v>
      </c>
      <c r="M62" s="9">
        <f>_xll.BQL("ULCC US Equity", "FA_GROWTH(YIELD_PER_PASS_MILES_KM, YOY)", "FPT=A", "FPO=-3A", "ACT_EST_MAPPING=PRECISE", "FS=MRC", "CURRENCY=USD", "XLFILL=b")</f>
        <v>4.434217480347816</v>
      </c>
      <c r="N62" s="9">
        <f>_xll.BQL("ULCC US Equity", "FA_GROWTH(YIELD_PER_PASS_MILES_KM, YOY)", "FPT=A", "FPO=-4A", "ACT_EST_MAPPING=PRECISE", "FS=MRC", "CURRENCY=USD", "XLFILL=b")</f>
        <v>0.5399390374072891</v>
      </c>
    </row>
    <row r="63" spans="1:14" x14ac:dyDescent="0.2">
      <c r="A63" s="8" t="s">
        <v>62</v>
      </c>
      <c r="B63" s="4" t="s">
        <v>32</v>
      </c>
      <c r="C63" s="4"/>
      <c r="D63" s="4"/>
      <c r="E63" s="9" t="str">
        <f>_xll.BQL("ULCC US Equity", "PASSENGER_REVENUE_PER_ASM", "FPT=A", "FPO=5A", "ACT_EST_MAPPING=PRECISE", "FS=MRC", "CURRENCY=USD", "XLFILL=b")</f>
        <v/>
      </c>
      <c r="F63" s="9" t="str">
        <f>_xll.BQL("ULCC US Equity", "PASSENGER_REVENUE_PER_ASM", "FPT=A", "FPO=4A", "ACT_EST_MAPPING=PRECISE", "FS=MRC", "CURRENCY=USD", "XLFILL=b")</f>
        <v/>
      </c>
      <c r="G63" s="9">
        <f>_xll.BQL("ULCC US Equity", "PASSENGER_REVENUE_PER_ASM", "FPT=A", "FPO=3A", "ACT_EST_MAPPING=PRECISE", "FS=MRC", "CURRENCY=USD", "XLFILL=b")</f>
        <v>9.9498556183124727</v>
      </c>
      <c r="H63" s="9">
        <f>_xll.BQL("ULCC US Equity", "PASSENGER_REVENUE_PER_ASM", "FPT=A", "FPO=2A", "ACT_EST_MAPPING=PRECISE", "FS=MRC", "CURRENCY=USD", "XLFILL=b")</f>
        <v>9.5573145520698723</v>
      </c>
      <c r="I63" s="9">
        <f>_xll.BQL("ULCC US Equity", "PASSENGER_REVENUE_PER_ASM", "FPT=A", "FPO=1A", "ACT_EST_MAPPING=PRECISE", "FS=MRC", "CURRENCY=USD", "XLFILL=b")</f>
        <v>9.1364081036279909</v>
      </c>
      <c r="J63" s="9">
        <f>_xll.BQL("ULCC US Equity", "PASSENGER_REVENUE_PER_ASM", "FPT=A", "FPO=0A", "ACT_EST_MAPPING=PRECISE", "FS=MRC", "CURRENCY=USD", "XLFILL=b")</f>
        <v>9.2776689999999995</v>
      </c>
      <c r="K63" s="9">
        <f>_xll.BQL("ULCC US Equity", "PASSENGER_REVENUE_PER_ASM", "FPT=A", "FPO=-1A", "ACT_EST_MAPPING=PRECISE", "FS=MRC", "CURRENCY=USD", "XLFILL=b")</f>
        <v>10.231210000000001</v>
      </c>
      <c r="L63" s="9">
        <f>_xll.BQL("ULCC US Equity", "PASSENGER_REVENUE_PER_ASM", "FPT=A", "FPO=-2A", "ACT_EST_MAPPING=PRECISE", "FS=MRC", "CURRENCY=USD", "XLFILL=b")</f>
        <v>7.4440759999999999</v>
      </c>
      <c r="M63" s="9">
        <f>_xll.BQL("ULCC US Equity", "PASSENGER_REVENUE_PER_ASM", "FPT=A", "FPO=-3A", "ACT_EST_MAPPING=PRECISE", "FS=MRC", "CURRENCY=USD", "XLFILL=b")</f>
        <v>7.1188440000000002</v>
      </c>
      <c r="N63" s="9">
        <f>_xll.BQL("ULCC US Equity", "PASSENGER_REVENUE_PER_ASM", "FPT=A", "FPO=-4A", "ACT_EST_MAPPING=PRECISE", "FS=MRC", "CURRENCY=USD", "XLFILL=b")</f>
        <v>8.6948790000000002</v>
      </c>
    </row>
    <row r="64" spans="1:14" x14ac:dyDescent="0.2">
      <c r="A64" s="8" t="s">
        <v>12</v>
      </c>
      <c r="B64" s="4" t="s">
        <v>32</v>
      </c>
      <c r="C64" s="4"/>
      <c r="D64" s="4"/>
      <c r="E64" s="9" t="str">
        <f>_xll.BQL("ULCC US Equity", "FA_GROWTH(PASSENGER_REVENUE_PER_ASM, YOY)", "FPT=A", "FPO=5A", "ACT_EST_MAPPING=PRECISE", "FS=MRC", "CURRENCY=USD", "XLFILL=b")</f>
        <v/>
      </c>
      <c r="F64" s="9" t="str">
        <f>_xll.BQL("ULCC US Equity", "FA_GROWTH(PASSENGER_REVENUE_PER_ASM, YOY)", "FPT=A", "FPO=4A", "ACT_EST_MAPPING=PRECISE", "FS=MRC", "CURRENCY=USD", "XLFILL=b")</f>
        <v/>
      </c>
      <c r="G64" s="9">
        <f>_xll.BQL("ULCC US Equity", "FA_GROWTH(PASSENGER_REVENUE_PER_ASM, YOY)", "FPT=A", "FPO=3A", "ACT_EST_MAPPING=PRECISE", "FS=MRC", "CURRENCY=USD", "XLFILL=b")</f>
        <v>4.1072318390691231</v>
      </c>
      <c r="H64" s="9">
        <f>_xll.BQL("ULCC US Equity", "FA_GROWTH(PASSENGER_REVENUE_PER_ASM, YOY)", "FPT=A", "FPO=2A", "ACT_EST_MAPPING=PRECISE", "FS=MRC", "CURRENCY=USD", "XLFILL=b")</f>
        <v>4.6069138294593364</v>
      </c>
      <c r="I64" s="9">
        <f>_xll.BQL("ULCC US Equity", "FA_GROWTH(PASSENGER_REVENUE_PER_ASM, YOY)", "FPT=A", "FPO=1A", "ACT_EST_MAPPING=PRECISE", "FS=MRC", "CURRENCY=USD", "XLFILL=b")</f>
        <v>-1.5225903874346947</v>
      </c>
      <c r="J64" s="9">
        <f>_xll.BQL("ULCC US Equity", "FA_GROWTH(PASSENGER_REVENUE_PER_ASM, YOY)", "FPT=A", "FPO=0A", "ACT_EST_MAPPING=PRECISE", "FS=MRC", "CURRENCY=USD", "XLFILL=b")</f>
        <v>-9.3199240363554381</v>
      </c>
      <c r="K64" s="9">
        <f>_xll.BQL("ULCC US Equity", "FA_GROWTH(PASSENGER_REVENUE_PER_ASM, YOY)", "FPT=A", "FPO=-1A", "ACT_EST_MAPPING=PRECISE", "FS=MRC", "CURRENCY=USD", "XLFILL=b")</f>
        <v>37.440966481266457</v>
      </c>
      <c r="L64" s="9">
        <f>_xll.BQL("ULCC US Equity", "FA_GROWTH(PASSENGER_REVENUE_PER_ASM, YOY)", "FPT=A", "FPO=-2A", "ACT_EST_MAPPING=PRECISE", "FS=MRC", "CURRENCY=USD", "XLFILL=b")</f>
        <v>4.5686069255064412</v>
      </c>
      <c r="M64" s="9">
        <f>_xll.BQL("ULCC US Equity", "FA_GROWTH(PASSENGER_REVENUE_PER_ASM, YOY)", "FPT=A", "FPO=-3A", "ACT_EST_MAPPING=PRECISE", "FS=MRC", "CURRENCY=USD", "XLFILL=b")</f>
        <v>-18.126014174550328</v>
      </c>
      <c r="N64" s="9">
        <f>_xll.BQL("ULCC US Equity", "FA_GROWTH(PASSENGER_REVENUE_PER_ASM, YOY)", "FPT=A", "FPO=-4A", "ACT_EST_MAPPING=PRECISE", "FS=MRC", "CURRENCY=USD", "XLFILL=b")</f>
        <v>1.8773461700966496</v>
      </c>
    </row>
    <row r="65" spans="1:14" x14ac:dyDescent="0.2">
      <c r="A65" s="8" t="s">
        <v>63</v>
      </c>
      <c r="B65" s="4" t="s">
        <v>37</v>
      </c>
      <c r="C65" s="4"/>
      <c r="D65" s="4"/>
      <c r="E65" s="9">
        <f>_xll.BQL("ULCC US Equity", "OP_EXP_PER_ASM_ASK", "FPT=A", "FPO=5A", "ACT_EST_MAPPING=PRECISE", "FS=MRC", "CURRENCY=USD", "XLFILL=b")</f>
        <v>10.010530874768266</v>
      </c>
      <c r="F65" s="9">
        <f>_xll.BQL("ULCC US Equity", "OP_EXP_PER_ASM_ASK", "FPT=A", "FPO=4A", "ACT_EST_MAPPING=PRECISE", "FS=MRC", "CURRENCY=USD", "XLFILL=b")</f>
        <v>9.9331772578368955</v>
      </c>
      <c r="G65" s="9">
        <f>_xll.BQL("ULCC US Equity", "OP_EXP_PER_ASM_ASK", "FPT=A", "FPO=3A", "ACT_EST_MAPPING=PRECISE", "FS=MRC", "CURRENCY=USD", "XLFILL=b")</f>
        <v>9.5629918988079368</v>
      </c>
      <c r="H65" s="9">
        <f>_xll.BQL("ULCC US Equity", "OP_EXP_PER_ASM_ASK", "FPT=A", "FPO=2A", "ACT_EST_MAPPING=PRECISE", "FS=MRC", "CURRENCY=USD", "XLFILL=b")</f>
        <v>9.5231382564045752</v>
      </c>
      <c r="I65" s="9">
        <f>_xll.BQL("ULCC US Equity", "OP_EXP_PER_ASM_ASK", "FPT=A", "FPO=1A", "ACT_EST_MAPPING=PRECISE", "FS=MRC", "CURRENCY=USD", "XLFILL=b")</f>
        <v>9.3208969844074865</v>
      </c>
      <c r="J65" s="9">
        <f>_xll.BQL("ULCC US Equity", "OP_EXP_PER_ASM_ASK", "FPT=A", "FPO=0A", "ACT_EST_MAPPING=PRECISE", "FS=MRC", "CURRENCY=USD", "XLFILL=b")</f>
        <v>9.5</v>
      </c>
      <c r="K65" s="9">
        <f>_xll.BQL("ULCC US Equity", "OP_EXP_PER_ASM_ASK", "FPT=A", "FPO=-1A", "ACT_EST_MAPPING=PRECISE", "FS=MRC", "CURRENCY=USD", "XLFILL=b")</f>
        <v>10.62</v>
      </c>
      <c r="L65" s="9">
        <f>_xll.BQL("ULCC US Equity", "OP_EXP_PER_ASM_ASK", "FPT=A", "FPO=-2A", "ACT_EST_MAPPING=PRECISE", "FS=MRC", "CURRENCY=USD", "XLFILL=b")</f>
        <v>8.1</v>
      </c>
      <c r="M65" s="9">
        <f>_xll.BQL("ULCC US Equity", "OP_EXP_PER_ASM_ASK", "FPT=A", "FPO=-3A", "ACT_EST_MAPPING=PRECISE", "FS=MRC", "CURRENCY=USD", "XLFILL=b")</f>
        <v>9.5299999999999994</v>
      </c>
      <c r="N65" s="9">
        <f>_xll.BQL("ULCC US Equity", "OP_EXP_PER_ASM_ASK", "FPT=A", "FPO=-4A", "ACT_EST_MAPPING=PRECISE", "FS=MRC", "CURRENCY=USD", "XLFILL=b")</f>
        <v>7.82</v>
      </c>
    </row>
    <row r="66" spans="1:14" x14ac:dyDescent="0.2">
      <c r="A66" s="8" t="s">
        <v>12</v>
      </c>
      <c r="B66" s="4" t="s">
        <v>37</v>
      </c>
      <c r="C66" s="4"/>
      <c r="D66" s="4"/>
      <c r="E66" s="9">
        <f>_xll.BQL("ULCC US Equity", "FA_GROWTH(OP_EXP_PER_ASM_ASK, YOY)", "FPT=A", "FPO=5A", "ACT_EST_MAPPING=PRECISE", "FS=MRC", "CURRENCY=USD", "XLFILL=b")</f>
        <v>0.77873992302252937</v>
      </c>
      <c r="F66" s="9">
        <f>_xll.BQL("ULCC US Equity", "FA_GROWTH(OP_EXP_PER_ASM_ASK, YOY)", "FPT=A", "FPO=4A", "ACT_EST_MAPPING=PRECISE", "FS=MRC", "CURRENCY=USD", "XLFILL=b")</f>
        <v>3.8710203139992596</v>
      </c>
      <c r="G66" s="9">
        <f>_xll.BQL("ULCC US Equity", "FA_GROWTH(OP_EXP_PER_ASM_ASK, YOY)", "FPT=A", "FPO=3A", "ACT_EST_MAPPING=PRECISE", "FS=MRC", "CURRENCY=USD", "XLFILL=b")</f>
        <v>0.41849274189166424</v>
      </c>
      <c r="H66" s="9">
        <f>_xll.BQL("ULCC US Equity", "FA_GROWTH(OP_EXP_PER_ASM_ASK, YOY)", "FPT=A", "FPO=2A", "ACT_EST_MAPPING=PRECISE", "FS=MRC", "CURRENCY=USD", "XLFILL=b")</f>
        <v>2.1697619052695161</v>
      </c>
      <c r="I66" s="9">
        <f>_xll.BQL("ULCC US Equity", "FA_GROWTH(OP_EXP_PER_ASM_ASK, YOY)", "FPT=A", "FPO=1A", "ACT_EST_MAPPING=PRECISE", "FS=MRC", "CURRENCY=USD", "XLFILL=b")</f>
        <v>-1.8852949009738265</v>
      </c>
      <c r="J66" s="9">
        <f>_xll.BQL("ULCC US Equity", "FA_GROWTH(OP_EXP_PER_ASM_ASK, YOY)", "FPT=A", "FPO=0A", "ACT_EST_MAPPING=PRECISE", "FS=MRC", "CURRENCY=USD", "XLFILL=b")</f>
        <v>-10.546139359698675</v>
      </c>
      <c r="K66" s="9">
        <f>_xll.BQL("ULCC US Equity", "FA_GROWTH(OP_EXP_PER_ASM_ASK, YOY)", "FPT=A", "FPO=-1A", "ACT_EST_MAPPING=PRECISE", "FS=MRC", "CURRENCY=USD", "XLFILL=b")</f>
        <v>31.111111111111107</v>
      </c>
      <c r="L66" s="9">
        <f>_xll.BQL("ULCC US Equity", "FA_GROWTH(OP_EXP_PER_ASM_ASK, YOY)", "FPT=A", "FPO=-2A", "ACT_EST_MAPPING=PRECISE", "FS=MRC", "CURRENCY=USD", "XLFILL=b")</f>
        <v>-15.005246589716682</v>
      </c>
      <c r="M66" s="9">
        <f>_xll.BQL("ULCC US Equity", "FA_GROWTH(OP_EXP_PER_ASM_ASK, YOY)", "FPT=A", "FPO=-3A", "ACT_EST_MAPPING=PRECISE", "FS=MRC", "CURRENCY=USD", "XLFILL=b")</f>
        <v>21.867007672634259</v>
      </c>
      <c r="N66" s="9">
        <f>_xll.BQL("ULCC US Equity", "FA_GROWTH(OP_EXP_PER_ASM_ASK, YOY)", "FPT=A", "FPO=-4A", "ACT_EST_MAPPING=PRECISE", "FS=MRC", "CURRENCY=USD", "XLFILL=b")</f>
        <v>-6.6825775656324637</v>
      </c>
    </row>
    <row r="67" spans="1:14" x14ac:dyDescent="0.2">
      <c r="A67" s="8" t="s">
        <v>64</v>
      </c>
      <c r="B67" s="4" t="s">
        <v>39</v>
      </c>
      <c r="C67" s="4"/>
      <c r="D67" s="4"/>
      <c r="E67" s="9">
        <f>_xll.BQL("ULCC US Equity", "CONS_COST_PER_ASM_EX_FUEL", "FPT=A", "FPO=5A", "ACT_EST_MAPPING=PRECISE", "FS=MRC", "CURRENCY=USD", "XLFILL=b")</f>
        <v>7.3862990826599129</v>
      </c>
      <c r="F67" s="9">
        <f>_xll.BQL("ULCC US Equity", "CONS_COST_PER_ASM_EX_FUEL", "FPT=A", "FPO=4A", "ACT_EST_MAPPING=PRECISE", "FS=MRC", "CURRENCY=USD", "XLFILL=b")</f>
        <v>7.2958243067680009</v>
      </c>
      <c r="G67" s="9">
        <f>_xll.BQL("ULCC US Equity", "CONS_COST_PER_ASM_EX_FUEL", "FPT=A", "FPO=3A", "ACT_EST_MAPPING=PRECISE", "FS=MRC", "CURRENCY=USD", "XLFILL=b")</f>
        <v>6.9931438291954491</v>
      </c>
      <c r="H67" s="9">
        <f>_xll.BQL("ULCC US Equity", "CONS_COST_PER_ASM_EX_FUEL", "FPT=A", "FPO=2A", "ACT_EST_MAPPING=PRECISE", "FS=MRC", "CURRENCY=USD", "XLFILL=b")</f>
        <v>6.8756548113444378</v>
      </c>
      <c r="I67" s="9">
        <f>_xll.BQL("ULCC US Equity", "CONS_COST_PER_ASM_EX_FUEL", "FPT=A", "FPO=1A", "ACT_EST_MAPPING=PRECISE", "FS=MRC", "CURRENCY=USD", "XLFILL=b")</f>
        <v>6.6585028787281804</v>
      </c>
      <c r="J67" s="9">
        <f>_xll.BQL("ULCC US Equity", "CONS_COST_PER_ASM_EX_FUEL", "FPT=A", "FPO=0A", "ACT_EST_MAPPING=PRECISE", "FS=MRC", "CURRENCY=USD", "XLFILL=b")</f>
        <v>6.51</v>
      </c>
      <c r="K67" s="9">
        <f>_xll.BQL("ULCC US Equity", "CONS_COST_PER_ASM_EX_FUEL", "FPT=A", "FPO=-1A", "ACT_EST_MAPPING=PRECISE", "FS=MRC", "CURRENCY=USD", "XLFILL=b")</f>
        <v>6.96</v>
      </c>
      <c r="L67" s="9">
        <f>_xll.BQL("ULCC US Equity", "CONS_COST_PER_ASM_EX_FUEL", "FPT=A", "FPO=-2A", "ACT_EST_MAPPING=PRECISE", "FS=MRC", "CURRENCY=USD", "XLFILL=b")</f>
        <v>5.96</v>
      </c>
      <c r="M67" s="9">
        <f>_xll.BQL("ULCC US Equity", "CONS_COST_PER_ASM_EX_FUEL", "FPT=A", "FPO=-3A", "ACT_EST_MAPPING=PRECISE", "FS=MRC", "CURRENCY=USD", "XLFILL=b")</f>
        <v>7.53</v>
      </c>
      <c r="N67" s="9">
        <f>_xll.BQL("ULCC US Equity", "CONS_COST_PER_ASM_EX_FUEL", "FPT=A", "FPO=-4A", "ACT_EST_MAPPING=PRECISE", "FS=MRC", "CURRENCY=USD", "XLFILL=b")</f>
        <v>5.55</v>
      </c>
    </row>
    <row r="68" spans="1:14" x14ac:dyDescent="0.2">
      <c r="A68" s="8" t="s">
        <v>12</v>
      </c>
      <c r="B68" s="4" t="s">
        <v>39</v>
      </c>
      <c r="C68" s="4"/>
      <c r="D68" s="4"/>
      <c r="E68" s="9">
        <f>_xll.BQL("ULCC US Equity", "FA_GROWTH(CONS_COST_PER_ASM_EX_FUEL, YOY)", "FPT=A", "FPO=5A", "ACT_EST_MAPPING=PRECISE", "FS=MRC", "CURRENCY=USD", "XLFILL=b")</f>
        <v>1.2400898388956914</v>
      </c>
      <c r="F68" s="9">
        <f>_xll.BQL("ULCC US Equity", "FA_GROWTH(CONS_COST_PER_ASM_EX_FUEL, YOY)", "FPT=A", "FPO=4A", "ACT_EST_MAPPING=PRECISE", "FS=MRC", "CURRENCY=USD", "XLFILL=b")</f>
        <v>4.3282461360068254</v>
      </c>
      <c r="G68" s="9">
        <f>_xll.BQL("ULCC US Equity", "FA_GROWTH(CONS_COST_PER_ASM_EX_FUEL, YOY)", "FPT=A", "FPO=3A", "ACT_EST_MAPPING=PRECISE", "FS=MRC", "CURRENCY=USD", "XLFILL=b")</f>
        <v>1.7087684166046428</v>
      </c>
      <c r="H68" s="9">
        <f>_xll.BQL("ULCC US Equity", "FA_GROWTH(CONS_COST_PER_ASM_EX_FUEL, YOY)", "FPT=A", "FPO=2A", "ACT_EST_MAPPING=PRECISE", "FS=MRC", "CURRENCY=USD", "XLFILL=b")</f>
        <v>3.2612726399802194</v>
      </c>
      <c r="I68" s="9">
        <f>_xll.BQL("ULCC US Equity", "FA_GROWTH(CONS_COST_PER_ASM_EX_FUEL, YOY)", "FPT=A", "FPO=1A", "ACT_EST_MAPPING=PRECISE", "FS=MRC", "CURRENCY=USD", "XLFILL=b")</f>
        <v>2.2811502108783501</v>
      </c>
      <c r="J68" s="9">
        <f>_xll.BQL("ULCC US Equity", "FA_GROWTH(CONS_COST_PER_ASM_EX_FUEL, YOY)", "FPT=A", "FPO=0A", "ACT_EST_MAPPING=PRECISE", "FS=MRC", "CURRENCY=USD", "XLFILL=b")</f>
        <v>-6.4655172413793123</v>
      </c>
      <c r="K68" s="9">
        <f>_xll.BQL("ULCC US Equity", "FA_GROWTH(CONS_COST_PER_ASM_EX_FUEL, YOY)", "FPT=A", "FPO=-1A", "ACT_EST_MAPPING=PRECISE", "FS=MRC", "CURRENCY=USD", "XLFILL=b")</f>
        <v>16.778523489932887</v>
      </c>
      <c r="L68" s="9">
        <f>_xll.BQL("ULCC US Equity", "FA_GROWTH(CONS_COST_PER_ASM_EX_FUEL, YOY)", "FPT=A", "FPO=-2A", "ACT_EST_MAPPING=PRECISE", "FS=MRC", "CURRENCY=USD", "XLFILL=b")</f>
        <v>-20.849933598937586</v>
      </c>
      <c r="M68" s="9">
        <f>_xll.BQL("ULCC US Equity", "FA_GROWTH(CONS_COST_PER_ASM_EX_FUEL, YOY)", "FPT=A", "FPO=-3A", "ACT_EST_MAPPING=PRECISE", "FS=MRC", "CURRENCY=USD", "XLFILL=b")</f>
        <v>35.675675675675684</v>
      </c>
      <c r="N68" s="9">
        <f>_xll.BQL("ULCC US Equity", "FA_GROWTH(CONS_COST_PER_ASM_EX_FUEL, YOY)", "FPT=A", "FPO=-4A", "ACT_EST_MAPPING=PRECISE", "FS=MRC", "CURRENCY=USD", "XLFILL=b")</f>
        <v>-7.3455759599332291</v>
      </c>
    </row>
    <row r="69" spans="1:14" x14ac:dyDescent="0.2">
      <c r="A69" s="8" t="s">
        <v>65</v>
      </c>
      <c r="B69" s="4" t="s">
        <v>41</v>
      </c>
      <c r="C69" s="4"/>
      <c r="D69" s="4"/>
      <c r="E69" s="9" t="str">
        <f>_xll.BQL("ULCC US Equity", "COST_PER_SEAT_EXCL_ABN_ITMS", "FPT=A", "FPO=5A", "ACT_EST_MAPPING=PRECISE", "FS=MRC", "CURRENCY=USD", "XLFILL=b")</f>
        <v/>
      </c>
      <c r="F69" s="9" t="str">
        <f>_xll.BQL("ULCC US Equity", "COST_PER_SEAT_EXCL_ABN_ITMS", "FPT=A", "FPO=4A", "ACT_EST_MAPPING=PRECISE", "FS=MRC", "CURRENCY=USD", "XLFILL=b")</f>
        <v/>
      </c>
      <c r="G69" s="9">
        <f>_xll.BQL("ULCC US Equity", "COST_PER_SEAT_EXCL_ABN_ITMS", "FPT=A", "FPO=3A", "ACT_EST_MAPPING=PRECISE", "FS=MRC", "CURRENCY=USD", "XLFILL=b")</f>
        <v>6.9323695498309759</v>
      </c>
      <c r="H69" s="9">
        <f>_xll.BQL("ULCC US Equity", "COST_PER_SEAT_EXCL_ABN_ITMS", "FPT=A", "FPO=2A", "ACT_EST_MAPPING=PRECISE", "FS=MRC", "CURRENCY=USD", "XLFILL=b")</f>
        <v>6.9748147580253743</v>
      </c>
      <c r="I69" s="9">
        <f>_xll.BQL("ULCC US Equity", "COST_PER_SEAT_EXCL_ABN_ITMS", "FPT=A", "FPO=1A", "ACT_EST_MAPPING=PRECISE", "FS=MRC", "CURRENCY=USD", "XLFILL=b")</f>
        <v>6.7223159136749473</v>
      </c>
      <c r="J69" s="9">
        <f>_xll.BQL("ULCC US Equity", "COST_PER_SEAT_EXCL_ABN_ITMS", "FPT=A", "FPO=0A", "ACT_EST_MAPPING=PRECISE", "FS=MRC", "CURRENCY=USD", "XLFILL=b")</f>
        <v>6.5</v>
      </c>
      <c r="K69" s="9">
        <f>_xll.BQL("ULCC US Equity", "COST_PER_SEAT_EXCL_ABN_ITMS", "FPT=A", "FPO=-1A", "ACT_EST_MAPPING=PRECISE", "FS=MRC", "CURRENCY=USD", "XLFILL=b")</f>
        <v>6.9</v>
      </c>
      <c r="L69" s="9">
        <f>_xll.BQL("ULCC US Equity", "COST_PER_SEAT_EXCL_ABN_ITMS", "FPT=A", "FPO=-2A", "ACT_EST_MAPPING=PRECISE", "FS=MRC", "CURRENCY=USD", "XLFILL=b")</f>
        <v>7.02</v>
      </c>
      <c r="M69" s="9">
        <f>_xll.BQL("ULCC US Equity", "COST_PER_SEAT_EXCL_ABN_ITMS", "FPT=A", "FPO=-3A", "ACT_EST_MAPPING=PRECISE", "FS=MRC", "CURRENCY=USD", "XLFILL=b")</f>
        <v>8.6300000000000008</v>
      </c>
      <c r="N69" s="9">
        <f>_xll.BQL("ULCC US Equity", "COST_PER_SEAT_EXCL_ABN_ITMS", "FPT=A", "FPO=-4A", "ACT_EST_MAPPING=PRECISE", "FS=MRC", "CURRENCY=USD", "XLFILL=b")</f>
        <v>5.44</v>
      </c>
    </row>
    <row r="70" spans="1:14" x14ac:dyDescent="0.2">
      <c r="A70" s="8" t="s">
        <v>12</v>
      </c>
      <c r="B70" s="4" t="s">
        <v>41</v>
      </c>
      <c r="C70" s="4"/>
      <c r="D70" s="4"/>
      <c r="E70" s="9" t="str">
        <f>_xll.BQL("ULCC US Equity", "FA_GROWTH(COST_PER_SEAT_EXCL_ABN_ITMS, YOY)", "FPT=A", "FPO=5A", "ACT_EST_MAPPING=PRECISE", "FS=MRC", "CURRENCY=USD", "XLFILL=b")</f>
        <v/>
      </c>
      <c r="F70" s="9" t="str">
        <f>_xll.BQL("ULCC US Equity", "FA_GROWTH(COST_PER_SEAT_EXCL_ABN_ITMS, YOY)", "FPT=A", "FPO=4A", "ACT_EST_MAPPING=PRECISE", "FS=MRC", "CURRENCY=USD", "XLFILL=b")</f>
        <v/>
      </c>
      <c r="G70" s="9">
        <f>_xll.BQL("ULCC US Equity", "FA_GROWTH(COST_PER_SEAT_EXCL_ABN_ITMS, YOY)", "FPT=A", "FPO=3A", "ACT_EST_MAPPING=PRECISE", "FS=MRC", "CURRENCY=USD", "XLFILL=b")</f>
        <v>-0.60854961266978558</v>
      </c>
      <c r="H70" s="9">
        <f>_xll.BQL("ULCC US Equity", "FA_GROWTH(COST_PER_SEAT_EXCL_ABN_ITMS, YOY)", "FPT=A", "FPO=2A", "ACT_EST_MAPPING=PRECISE", "FS=MRC", "CURRENCY=USD", "XLFILL=b")</f>
        <v>3.7561288043124899</v>
      </c>
      <c r="I70" s="9">
        <f>_xll.BQL("ULCC US Equity", "FA_GROWTH(COST_PER_SEAT_EXCL_ABN_ITMS, YOY)", "FPT=A", "FPO=1A", "ACT_EST_MAPPING=PRECISE", "FS=MRC", "CURRENCY=USD", "XLFILL=b")</f>
        <v>3.4202448257684201</v>
      </c>
      <c r="J70" s="9">
        <f>_xll.BQL("ULCC US Equity", "FA_GROWTH(COST_PER_SEAT_EXCL_ABN_ITMS, YOY)", "FPT=A", "FPO=0A", "ACT_EST_MAPPING=PRECISE", "FS=MRC", "CURRENCY=USD", "XLFILL=b")</f>
        <v>-5.7971014492753667</v>
      </c>
      <c r="K70" s="9">
        <f>_xll.BQL("ULCC US Equity", "FA_GROWTH(COST_PER_SEAT_EXCL_ABN_ITMS, YOY)", "FPT=A", "FPO=-1A", "ACT_EST_MAPPING=PRECISE", "FS=MRC", "CURRENCY=USD", "XLFILL=b")</f>
        <v>-1.7094017094016984</v>
      </c>
      <c r="L70" s="9">
        <f>_xll.BQL("ULCC US Equity", "FA_GROWTH(COST_PER_SEAT_EXCL_ABN_ITMS, YOY)", "FPT=A", "FPO=-2A", "ACT_EST_MAPPING=PRECISE", "FS=MRC", "CURRENCY=USD", "XLFILL=b")</f>
        <v>-18.65585168018541</v>
      </c>
      <c r="M70" s="9">
        <f>_xll.BQL("ULCC US Equity", "FA_GROWTH(COST_PER_SEAT_EXCL_ABN_ITMS, YOY)", "FPT=A", "FPO=-3A", "ACT_EST_MAPPING=PRECISE", "FS=MRC", "CURRENCY=USD", "XLFILL=b")</f>
        <v>58.639705882352949</v>
      </c>
      <c r="N70" s="9">
        <f>_xll.BQL("ULCC US Equity", "FA_GROWTH(COST_PER_SEAT_EXCL_ABN_ITMS, YOY)", "FPT=A", "FPO=-4A", "ACT_EST_MAPPING=PRECISE", "FS=MRC", "CURRENCY=USD", "XLFILL=b")</f>
        <v>0</v>
      </c>
    </row>
    <row r="71" spans="1:14" x14ac:dyDescent="0.2">
      <c r="A71" s="8" t="s">
        <v>42</v>
      </c>
      <c r="B71" s="4" t="s">
        <v>43</v>
      </c>
      <c r="C71" s="4"/>
      <c r="D71" s="4"/>
      <c r="E71" s="9" t="str">
        <f>_xll.BQL("ULCC US Equity", "REV_PASS_CARRIED/1K", "FPT=A", "FPO=5A", "ACT_EST_MAPPING=PRECISE", "FS=MRC", "CURRENCY=USD", "XLFILL=b")</f>
        <v/>
      </c>
      <c r="F71" s="9" t="str">
        <f>_xll.BQL("ULCC US Equity", "REV_PASS_CARRIED/1K", "FPT=A", "FPO=4A", "ACT_EST_MAPPING=PRECISE", "FS=MRC", "CURRENCY=USD", "XLFILL=b")</f>
        <v/>
      </c>
      <c r="G71" s="9">
        <f>_xll.BQL("ULCC US Equity", "REV_PASS_CARRIED/1K", "FPT=A", "FPO=3A", "ACT_EST_MAPPING=PRECISE", "FS=MRC", "CURRENCY=USD", "XLFILL=b")</f>
        <v>44333.249572591791</v>
      </c>
      <c r="H71" s="9">
        <f>_xll.BQL("ULCC US Equity", "REV_PASS_CARRIED/1K", "FPT=A", "FPO=2A", "ACT_EST_MAPPING=PRECISE", "FS=MRC", "CURRENCY=USD", "XLFILL=b")</f>
        <v>38307.184496847643</v>
      </c>
      <c r="I71" s="9">
        <f>_xll.BQL("ULCC US Equity", "REV_PASS_CARRIED/1K", "FPT=A", "FPO=1A", "ACT_EST_MAPPING=PRECISE", "FS=MRC", "CURRENCY=USD", "XLFILL=b")</f>
        <v>33747.130177812542</v>
      </c>
      <c r="J71" s="9">
        <f>_xll.BQL("ULCC US Equity", "REV_PASS_CARRIED/1K", "FPT=A", "FPO=0A", "ACT_EST_MAPPING=PRECISE", "FS=MRC", "CURRENCY=USD", "XLFILL=b")</f>
        <v>30218</v>
      </c>
      <c r="K71" s="9">
        <f>_xll.BQL("ULCC US Equity", "REV_PASS_CARRIED/1K", "FPT=A", "FPO=-1A", "ACT_EST_MAPPING=PRECISE", "FS=MRC", "CURRENCY=USD", "XLFILL=b")</f>
        <v>25486</v>
      </c>
      <c r="L71" s="9">
        <f>_xll.BQL("ULCC US Equity", "REV_PASS_CARRIED/1K", "FPT=A", "FPO=-2A", "ACT_EST_MAPPING=PRECISE", "FS=MRC", "CURRENCY=USD", "XLFILL=b")</f>
        <v>20709</v>
      </c>
      <c r="M71" s="9">
        <f>_xll.BQL("ULCC US Equity", "REV_PASS_CARRIED/1K", "FPT=A", "FPO=-3A", "ACT_EST_MAPPING=PRECISE", "FS=MRC", "CURRENCY=USD", "XLFILL=b")</f>
        <v>11238</v>
      </c>
      <c r="N71" s="9">
        <f>_xll.BQL("ULCC US Equity", "REV_PASS_CARRIED/1K", "FPT=A", "FPO=-4A", "ACT_EST_MAPPING=PRECISE", "FS=MRC", "CURRENCY=USD", "XLFILL=b")</f>
        <v>22823</v>
      </c>
    </row>
    <row r="72" spans="1:14" x14ac:dyDescent="0.2">
      <c r="A72" s="8" t="s">
        <v>12</v>
      </c>
      <c r="B72" s="4" t="s">
        <v>43</v>
      </c>
      <c r="C72" s="4"/>
      <c r="D72" s="4"/>
      <c r="E72" s="9" t="str">
        <f>_xll.BQL("ULCC US Equity", "FA_GROWTH(REV_PASS_CARRIED, YOY)", "FPT=A", "FPO=5A", "ACT_EST_MAPPING=PRECISE", "FS=MRC", "CURRENCY=USD", "XLFILL=b")</f>
        <v/>
      </c>
      <c r="F72" s="9" t="str">
        <f>_xll.BQL("ULCC US Equity", "FA_GROWTH(REV_PASS_CARRIED, YOY)", "FPT=A", "FPO=4A", "ACT_EST_MAPPING=PRECISE", "FS=MRC", "CURRENCY=USD", "XLFILL=b")</f>
        <v/>
      </c>
      <c r="G72" s="9">
        <f>_xll.BQL("ULCC US Equity", "FA_GROWTH(REV_PASS_CARRIED, YOY)", "FPT=A", "FPO=3A", "ACT_EST_MAPPING=PRECISE", "FS=MRC", "CURRENCY=USD", "XLFILL=b")</f>
        <v>15.730900495284478</v>
      </c>
      <c r="H72" s="9">
        <f>_xll.BQL("ULCC US Equity", "FA_GROWTH(REV_PASS_CARRIED, YOY)", "FPT=A", "FPO=2A", "ACT_EST_MAPPING=PRECISE", "FS=MRC", "CURRENCY=USD", "XLFILL=b")</f>
        <v>13.51242104145842</v>
      </c>
      <c r="I72" s="9">
        <f>_xll.BQL("ULCC US Equity", "FA_GROWTH(REV_PASS_CARRIED, YOY)", "FPT=A", "FPO=1A", "ACT_EST_MAPPING=PRECISE", "FS=MRC", "CURRENCY=USD", "XLFILL=b")</f>
        <v>11.67890058181395</v>
      </c>
      <c r="J72" s="9">
        <f>_xll.BQL("ULCC US Equity", "FA_GROWTH(REV_PASS_CARRIED, YOY)", "FPT=A", "FPO=0A", "ACT_EST_MAPPING=PRECISE", "FS=MRC", "CURRENCY=USD", "XLFILL=b")</f>
        <v>18.567056423134268</v>
      </c>
      <c r="K72" s="9">
        <f>_xll.BQL("ULCC US Equity", "FA_GROWTH(REV_PASS_CARRIED, YOY)", "FPT=A", "FPO=-1A", "ACT_EST_MAPPING=PRECISE", "FS=MRC", "CURRENCY=USD", "XLFILL=b")</f>
        <v>23.067265440146794</v>
      </c>
      <c r="L72" s="9">
        <f>_xll.BQL("ULCC US Equity", "FA_GROWTH(REV_PASS_CARRIED, YOY)", "FPT=A", "FPO=-2A", "ACT_EST_MAPPING=PRECISE", "FS=MRC", "CURRENCY=USD", "XLFILL=b")</f>
        <v>84.276561665776825</v>
      </c>
      <c r="M72" s="9">
        <f>_xll.BQL("ULCC US Equity", "FA_GROWTH(REV_PASS_CARRIED, YOY)", "FPT=A", "FPO=-3A", "ACT_EST_MAPPING=PRECISE", "FS=MRC", "CURRENCY=USD", "XLFILL=b")</f>
        <v>-50.760198045830961</v>
      </c>
      <c r="N72" s="9">
        <f>_xll.BQL("ULCC US Equity", "FA_GROWTH(REV_PASS_CARRIED, YOY)", "FPT=A", "FPO=-4A", "ACT_EST_MAPPING=PRECISE", "FS=MRC", "CURRENCY=USD", "XLFILL=b")</f>
        <v>15.017890439953636</v>
      </c>
    </row>
    <row r="73" spans="1:14" x14ac:dyDescent="0.2">
      <c r="A73" s="8" t="s">
        <v>16</v>
      </c>
      <c r="B73" s="4"/>
      <c r="C73" s="4"/>
      <c r="D73" s="4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x14ac:dyDescent="0.2">
      <c r="A74" s="8" t="s">
        <v>66</v>
      </c>
      <c r="B74" s="4"/>
      <c r="C74" s="4"/>
      <c r="D74" s="4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x14ac:dyDescent="0.2">
      <c r="A75" s="8" t="s">
        <v>67</v>
      </c>
      <c r="B75" s="4" t="s">
        <v>68</v>
      </c>
      <c r="C75" s="4"/>
      <c r="D75" s="4" t="s">
        <v>69</v>
      </c>
      <c r="E75" s="9" t="str">
        <f>_xll.BQL("SEG0000474277 Segment", "AVERAGE_PASSENGER_FARE", "FPT=A", "FPO=5A", "ACT_EST_MAPPING=PRECISE", "FS=MRC", "CURRENCY=USD", "XLFILL=b")</f>
        <v/>
      </c>
      <c r="F75" s="9" t="str">
        <f>_xll.BQL("SEG0000474277 Segment", "AVERAGE_PASSENGER_FARE", "FPT=A", "FPO=4A", "ACT_EST_MAPPING=PRECISE", "FS=MRC", "CURRENCY=USD", "XLFILL=b")</f>
        <v/>
      </c>
      <c r="G75" s="9">
        <f>_xll.BQL("SEG0000474277 Segment", "AVERAGE_PASSENGER_FARE", "FPT=A", "FPO=3A", "ACT_EST_MAPPING=PRECISE", "FS=MRC", "CURRENCY=USD", "XLFILL=b")</f>
        <v>108.4781659792733</v>
      </c>
      <c r="H75" s="9">
        <f>_xll.BQL("SEG0000474277 Segment", "AVERAGE_PASSENGER_FARE", "FPT=A", "FPO=2A", "ACT_EST_MAPPING=PRECISE", "FS=MRC", "CURRENCY=USD", "XLFILL=b")</f>
        <v>109.90294579474762</v>
      </c>
      <c r="I75" s="9">
        <f>_xll.BQL("SEG0000474277 Segment", "AVERAGE_PASSENGER_FARE", "FPT=A", "FPO=1A", "ACT_EST_MAPPING=PRECISE", "FS=MRC", "CURRENCY=USD", "XLFILL=b")</f>
        <v>110.38809397062342</v>
      </c>
      <c r="J75" s="9">
        <f>_xll.BQL("SEG0000474277 Segment", "AVERAGE_PASSENGER_FARE", "FPT=A", "FPO=0A", "ACT_EST_MAPPING=PRECISE", "FS=MRC", "CURRENCY=USD", "XLFILL=b")</f>
        <v>118.77</v>
      </c>
      <c r="K75" s="9">
        <f>_xll.BQL("SEG0000474277 Segment", "AVERAGE_PASSENGER_FARE", "FPT=A", "FPO=-1A", "ACT_EST_MAPPING=PRECISE", "FS=MRC", "CURRENCY=USD", "XLFILL=b")</f>
        <v>130.5</v>
      </c>
      <c r="L75" s="9">
        <f>_xll.BQL("SEG0000474277 Segment", "AVERAGE_PASSENGER_FARE", "FPT=A", "FPO=-2A", "ACT_EST_MAPPING=PRECISE", "FS=MRC", "CURRENCY=USD", "XLFILL=b")</f>
        <v>99.49</v>
      </c>
      <c r="M75" s="9">
        <f>_xll.BQL("SEG0000474277 Segment", "AVERAGE_PASSENGER_FARE", "FPT=A", "FPO=-3A", "ACT_EST_MAPPING=PRECISE", "FS=MRC", "CURRENCY=USD", "XLFILL=b")</f>
        <v>111.23</v>
      </c>
      <c r="N75" s="9">
        <f>_xll.BQL("SEG0000474277 Segment", "AVERAGE_PASSENGER_FARE", "FPT=A", "FPO=-4A", "ACT_EST_MAPPING=PRECISE", "FS=MRC", "CURRENCY=USD", "XLFILL=b")</f>
        <v>109.91</v>
      </c>
    </row>
    <row r="76" spans="1:14" x14ac:dyDescent="0.2">
      <c r="A76" s="8" t="s">
        <v>28</v>
      </c>
      <c r="B76" s="4" t="s">
        <v>68</v>
      </c>
      <c r="C76" s="4"/>
      <c r="D76" s="4" t="s">
        <v>69</v>
      </c>
      <c r="E76" s="9" t="str">
        <f>_xll.BQL("SEG0000474277 Segment", "FA_GROWTH(AVERAGE_PASSENGER_FARE, YOY)", "FPT=A", "FPO=5A", "ACT_EST_MAPPING=PRECISE", "FS=MRC", "CURRENCY=USD", "XLFILL=b")</f>
        <v/>
      </c>
      <c r="F76" s="9" t="str">
        <f>_xll.BQL("SEG0000474277 Segment", "FA_GROWTH(AVERAGE_PASSENGER_FARE, YOY)", "FPT=A", "FPO=4A", "ACT_EST_MAPPING=PRECISE", "FS=MRC", "CURRENCY=USD", "XLFILL=b")</f>
        <v/>
      </c>
      <c r="G76" s="9">
        <f>_xll.BQL("SEG0000474277 Segment", "FA_GROWTH(AVERAGE_PASSENGER_FARE, YOY)", "FPT=A", "FPO=3A", "ACT_EST_MAPPING=PRECISE", "FS=MRC", "CURRENCY=USD", "XLFILL=b")</f>
        <v>-1.2963982040437858</v>
      </c>
      <c r="H76" s="9">
        <f>_xll.BQL("SEG0000474277 Segment", "FA_GROWTH(AVERAGE_PASSENGER_FARE, YOY)", "FPT=A", "FPO=2A", "ACT_EST_MAPPING=PRECISE", "FS=MRC", "CURRENCY=USD", "XLFILL=b")</f>
        <v>-0.43949320839338057</v>
      </c>
      <c r="I76" s="9">
        <f>_xll.BQL("SEG0000474277 Segment", "FA_GROWTH(AVERAGE_PASSENGER_FARE, YOY)", "FPT=A", "FPO=1A", "ACT_EST_MAPPING=PRECISE", "FS=MRC", "CURRENCY=USD", "XLFILL=b")</f>
        <v>-7.0572585917122002</v>
      </c>
      <c r="J76" s="9">
        <f>_xll.BQL("SEG0000474277 Segment", "FA_GROWTH(AVERAGE_PASSENGER_FARE, YOY)", "FPT=A", "FPO=0A", "ACT_EST_MAPPING=PRECISE", "FS=MRC", "CURRENCY=USD", "XLFILL=b")</f>
        <v>-8.9885057471264407</v>
      </c>
      <c r="K76" s="9">
        <f>_xll.BQL("SEG0000474277 Segment", "FA_GROWTH(AVERAGE_PASSENGER_FARE, YOY)", "FPT=A", "FPO=-1A", "ACT_EST_MAPPING=PRECISE", "FS=MRC", "CURRENCY=USD", "XLFILL=b")</f>
        <v>31.168961704693945</v>
      </c>
      <c r="L76" s="9">
        <f>_xll.BQL("SEG0000474277 Segment", "FA_GROWTH(AVERAGE_PASSENGER_FARE, YOY)", "FPT=A", "FPO=-2A", "ACT_EST_MAPPING=PRECISE", "FS=MRC", "CURRENCY=USD", "XLFILL=b")</f>
        <v>-10.554706464083438</v>
      </c>
      <c r="M76" s="9">
        <f>_xll.BQL("SEG0000474277 Segment", "FA_GROWTH(AVERAGE_PASSENGER_FARE, YOY)", "FPT=A", "FPO=-3A", "ACT_EST_MAPPING=PRECISE", "FS=MRC", "CURRENCY=USD", "XLFILL=b")</f>
        <v>1.2009826221453985</v>
      </c>
      <c r="N76" s="9">
        <f>_xll.BQL("SEG0000474277 Segment", "FA_GROWTH(AVERAGE_PASSENGER_FARE, YOY)", "FPT=A", "FPO=-4A", "ACT_EST_MAPPING=PRECISE", "FS=MRC", "CURRENCY=USD", "XLFILL=b")</f>
        <v>1.1596870685687906</v>
      </c>
    </row>
    <row r="77" spans="1:14" x14ac:dyDescent="0.2">
      <c r="A77" s="8" t="s">
        <v>70</v>
      </c>
      <c r="B77" s="4" t="s">
        <v>68</v>
      </c>
      <c r="C77" s="4"/>
      <c r="D77" s="4" t="s">
        <v>27</v>
      </c>
      <c r="E77" s="9" t="str">
        <f>_xll.BQL("SEG0000474269 Segment", "AVERAGE_PASSENGER_FARE", "FPT=A", "FPO=5A", "ACT_EST_MAPPING=PRECISE", "FS=MRC", "CURRENCY=USD", "XLFILL=b")</f>
        <v/>
      </c>
      <c r="F77" s="9" t="str">
        <f>_xll.BQL("SEG0000474269 Segment", "AVERAGE_PASSENGER_FARE", "FPT=A", "FPO=4A", "ACT_EST_MAPPING=PRECISE", "FS=MRC", "CURRENCY=USD", "XLFILL=b")</f>
        <v/>
      </c>
      <c r="G77" s="9">
        <f>_xll.BQL("SEG0000474269 Segment", "AVERAGE_PASSENGER_FARE", "FPT=A", "FPO=3A", "ACT_EST_MAPPING=PRECISE", "FS=MRC", "CURRENCY=USD", "XLFILL=b")</f>
        <v>41.984240912370375</v>
      </c>
      <c r="H77" s="9">
        <f>_xll.BQL("SEG0000474269 Segment", "AVERAGE_PASSENGER_FARE", "FPT=A", "FPO=2A", "ACT_EST_MAPPING=PRECISE", "FS=MRC", "CURRENCY=USD", "XLFILL=b")</f>
        <v>41.744731399057841</v>
      </c>
      <c r="I77" s="9">
        <f>_xll.BQL("SEG0000474269 Segment", "AVERAGE_PASSENGER_FARE", "FPT=A", "FPO=1A", "ACT_EST_MAPPING=PRECISE", "FS=MRC", "CURRENCY=USD", "XLFILL=b")</f>
        <v>40.647028405034895</v>
      </c>
      <c r="J77" s="9">
        <f>_xll.BQL("SEG0000474269 Segment", "AVERAGE_PASSENGER_FARE", "FPT=A", "FPO=0A", "ACT_EST_MAPPING=PRECISE", "FS=MRC", "CURRENCY=USD", "XLFILL=b")</f>
        <v>42.26</v>
      </c>
      <c r="K77" s="9">
        <f>_xll.BQL("SEG0000474269 Segment", "AVERAGE_PASSENGER_FARE", "FPT=A", "FPO=-1A", "ACT_EST_MAPPING=PRECISE", "FS=MRC", "CURRENCY=USD", "XLFILL=b")</f>
        <v>54.22</v>
      </c>
      <c r="L77" s="9">
        <f>_xll.BQL("SEG0000474269 Segment", "AVERAGE_PASSENGER_FARE", "FPT=A", "FPO=-2A", "ACT_EST_MAPPING=PRECISE", "FS=MRC", "CURRENCY=USD", "XLFILL=b")</f>
        <v>38.94</v>
      </c>
      <c r="M77" s="9">
        <f>_xll.BQL("SEG0000474269 Segment", "AVERAGE_PASSENGER_FARE", "FPT=A", "FPO=-3A", "ACT_EST_MAPPING=PRECISE", "FS=MRC", "CURRENCY=USD", "XLFILL=b")</f>
        <v>48.78</v>
      </c>
      <c r="N77" s="9">
        <f>_xll.BQL("SEG0000474269 Segment", "AVERAGE_PASSENGER_FARE", "FPT=A", "FPO=-4A", "ACT_EST_MAPPING=PRECISE", "FS=MRC", "CURRENCY=USD", "XLFILL=b")</f>
        <v>52.8</v>
      </c>
    </row>
    <row r="78" spans="1:14" x14ac:dyDescent="0.2">
      <c r="A78" s="8" t="s">
        <v>71</v>
      </c>
      <c r="B78" s="4" t="s">
        <v>68</v>
      </c>
      <c r="C78" s="4"/>
      <c r="D78" s="4" t="s">
        <v>27</v>
      </c>
      <c r="E78" s="9" t="str">
        <f>_xll.BQL("SEG0000474269 Segment", "FA_GROWTH(AVERAGE_PASSENGER_FARE, YOY)", "FPT=A", "FPO=5A", "ACT_EST_MAPPING=PRECISE", "FS=MRC", "CURRENCY=USD", "XLFILL=b")</f>
        <v/>
      </c>
      <c r="F78" s="9" t="str">
        <f>_xll.BQL("SEG0000474269 Segment", "FA_GROWTH(AVERAGE_PASSENGER_FARE, YOY)", "FPT=A", "FPO=4A", "ACT_EST_MAPPING=PRECISE", "FS=MRC", "CURRENCY=USD", "XLFILL=b")</f>
        <v/>
      </c>
      <c r="G78" s="9">
        <f>_xll.BQL("SEG0000474269 Segment", "FA_GROWTH(AVERAGE_PASSENGER_FARE, YOY)", "FPT=A", "FPO=3A", "ACT_EST_MAPPING=PRECISE", "FS=MRC", "CURRENCY=USD", "XLFILL=b")</f>
        <v>0.57374788454846637</v>
      </c>
      <c r="H78" s="9">
        <f>_xll.BQL("SEG0000474269 Segment", "FA_GROWTH(AVERAGE_PASSENGER_FARE, YOY)", "FPT=A", "FPO=2A", "ACT_EST_MAPPING=PRECISE", "FS=MRC", "CURRENCY=USD", "XLFILL=b")</f>
        <v>2.7005737863163808</v>
      </c>
      <c r="I78" s="9">
        <f>_xll.BQL("SEG0000474269 Segment", "FA_GROWTH(AVERAGE_PASSENGER_FARE, YOY)", "FPT=A", "FPO=1A", "ACT_EST_MAPPING=PRECISE", "FS=MRC", "CURRENCY=USD", "XLFILL=b")</f>
        <v>-3.8167808683509299</v>
      </c>
      <c r="J78" s="9">
        <f>_xll.BQL("SEG0000474269 Segment", "FA_GROWTH(AVERAGE_PASSENGER_FARE, YOY)", "FPT=A", "FPO=0A", "ACT_EST_MAPPING=PRECISE", "FS=MRC", "CURRENCY=USD", "XLFILL=b")</f>
        <v>-22.058281077093323</v>
      </c>
      <c r="K78" s="9">
        <f>_xll.BQL("SEG0000474269 Segment", "FA_GROWTH(AVERAGE_PASSENGER_FARE, YOY)", "FPT=A", "FPO=-1A", "ACT_EST_MAPPING=PRECISE", "FS=MRC", "CURRENCY=USD", "XLFILL=b")</f>
        <v>39.239856189008734</v>
      </c>
      <c r="L78" s="9">
        <f>_xll.BQL("SEG0000474269 Segment", "FA_GROWTH(AVERAGE_PASSENGER_FARE, YOY)", "FPT=A", "FPO=-2A", "ACT_EST_MAPPING=PRECISE", "FS=MRC", "CURRENCY=USD", "XLFILL=b")</f>
        <v>-20.172201722017228</v>
      </c>
      <c r="M78" s="9">
        <f>_xll.BQL("SEG0000474269 Segment", "FA_GROWTH(AVERAGE_PASSENGER_FARE, YOY)", "FPT=A", "FPO=-3A", "ACT_EST_MAPPING=PRECISE", "FS=MRC", "CURRENCY=USD", "XLFILL=b")</f>
        <v>-7.6136363636363562</v>
      </c>
      <c r="N78" s="9">
        <f>_xll.BQL("SEG0000474269 Segment", "FA_GROWTH(AVERAGE_PASSENGER_FARE, YOY)", "FPT=A", "FPO=-4A", "ACT_EST_MAPPING=PRECISE", "FS=MRC", "CURRENCY=USD", "XLFILL=b")</f>
        <v>-3.5087719298245648</v>
      </c>
    </row>
    <row r="79" spans="1:14" x14ac:dyDescent="0.2">
      <c r="A79" s="8" t="s">
        <v>72</v>
      </c>
      <c r="B79" s="4" t="s">
        <v>68</v>
      </c>
      <c r="C79" s="4"/>
      <c r="D79" s="4" t="s">
        <v>30</v>
      </c>
      <c r="E79" s="9" t="str">
        <f>_xll.BQL("SEG0000474266 Segment", "AVERAGE_PASSENGER_FARE", "FPT=A", "FPO=5A", "ACT_EST_MAPPING=PRECISE", "FS=MRC", "CURRENCY=USD", "XLFILL=b")</f>
        <v/>
      </c>
      <c r="F79" s="9" t="str">
        <f>_xll.BQL("SEG0000474266 Segment", "AVERAGE_PASSENGER_FARE", "FPT=A", "FPO=4A", "ACT_EST_MAPPING=PRECISE", "FS=MRC", "CURRENCY=USD", "XLFILL=b")</f>
        <v/>
      </c>
      <c r="G79" s="9">
        <f>_xll.BQL("SEG0000474266 Segment", "AVERAGE_PASSENGER_FARE", "FPT=A", "FPO=3A", "ACT_EST_MAPPING=PRECISE", "FS=MRC", "CURRENCY=USD", "XLFILL=b")</f>
        <v>64.100462921369925</v>
      </c>
      <c r="H79" s="9">
        <f>_xll.BQL("SEG0000474266 Segment", "AVERAGE_PASSENGER_FARE", "FPT=A", "FPO=2A", "ACT_EST_MAPPING=PRECISE", "FS=MRC", "CURRENCY=USD", "XLFILL=b")</f>
        <v>66.106468958633499</v>
      </c>
      <c r="I79" s="9">
        <f>_xll.BQL("SEG0000474266 Segment", "AVERAGE_PASSENGER_FARE", "FPT=A", "FPO=1A", "ACT_EST_MAPPING=PRECISE", "FS=MRC", "CURRENCY=USD", "XLFILL=b")</f>
        <v>67.925530060667157</v>
      </c>
      <c r="J79" s="9">
        <f>_xll.BQL("SEG0000474266 Segment", "AVERAGE_PASSENGER_FARE", "FPT=A", "FPO=0A", "ACT_EST_MAPPING=PRECISE", "FS=MRC", "CURRENCY=USD", "XLFILL=b")</f>
        <v>73.849999999999994</v>
      </c>
      <c r="K79" s="9">
        <f>_xll.BQL("SEG0000474266 Segment", "AVERAGE_PASSENGER_FARE", "FPT=A", "FPO=-1A", "ACT_EST_MAPPING=PRECISE", "FS=MRC", "CURRENCY=USD", "XLFILL=b")</f>
        <v>73.209999999999994</v>
      </c>
      <c r="L79" s="9">
        <f>_xll.BQL("SEG0000474266 Segment", "AVERAGE_PASSENGER_FARE", "FPT=A", "FPO=-2A", "ACT_EST_MAPPING=PRECISE", "FS=MRC", "CURRENCY=USD", "XLFILL=b")</f>
        <v>57.65</v>
      </c>
      <c r="M79" s="9">
        <f>_xll.BQL("SEG0000474266 Segment", "AVERAGE_PASSENGER_FARE", "FPT=A", "FPO=-3A", "ACT_EST_MAPPING=PRECISE", "FS=MRC", "CURRENCY=USD", "XLFILL=b")</f>
        <v>58.66</v>
      </c>
      <c r="N79" s="9">
        <f>_xll.BQL("SEG0000474266 Segment", "AVERAGE_PASSENGER_FARE", "FPT=A", "FPO=-4A", "ACT_EST_MAPPING=PRECISE", "FS=MRC", "CURRENCY=USD", "XLFILL=b")</f>
        <v>54.33</v>
      </c>
    </row>
    <row r="80" spans="1:14" x14ac:dyDescent="0.2">
      <c r="A80" s="8" t="s">
        <v>71</v>
      </c>
      <c r="B80" s="4" t="s">
        <v>68</v>
      </c>
      <c r="C80" s="4"/>
      <c r="D80" s="4" t="s">
        <v>30</v>
      </c>
      <c r="E80" s="9" t="str">
        <f>_xll.BQL("SEG0000474266 Segment", "FA_GROWTH(AVERAGE_PASSENGER_FARE, YOY)", "FPT=A", "FPO=5A", "ACT_EST_MAPPING=PRECISE", "FS=MRC", "CURRENCY=USD", "XLFILL=b")</f>
        <v/>
      </c>
      <c r="F80" s="9" t="str">
        <f>_xll.BQL("SEG0000474266 Segment", "FA_GROWTH(AVERAGE_PASSENGER_FARE, YOY)", "FPT=A", "FPO=4A", "ACT_EST_MAPPING=PRECISE", "FS=MRC", "CURRENCY=USD", "XLFILL=b")</f>
        <v/>
      </c>
      <c r="G80" s="9">
        <f>_xll.BQL("SEG0000474266 Segment", "FA_GROWTH(AVERAGE_PASSENGER_FARE, YOY)", "FPT=A", "FPO=3A", "ACT_EST_MAPPING=PRECISE", "FS=MRC", "CURRENCY=USD", "XLFILL=b")</f>
        <v>-3.0345079216359965</v>
      </c>
      <c r="H80" s="9">
        <f>_xll.BQL("SEG0000474266 Segment", "FA_GROWTH(AVERAGE_PASSENGER_FARE, YOY)", "FPT=A", "FPO=2A", "ACT_EST_MAPPING=PRECISE", "FS=MRC", "CURRENCY=USD", "XLFILL=b")</f>
        <v>-2.6780226822064948</v>
      </c>
      <c r="I80" s="9">
        <f>_xll.BQL("SEG0000474266 Segment", "FA_GROWTH(AVERAGE_PASSENGER_FARE, YOY)", "FPT=A", "FPO=1A", "ACT_EST_MAPPING=PRECISE", "FS=MRC", "CURRENCY=USD", "XLFILL=b")</f>
        <v>-8.0223018812902342</v>
      </c>
      <c r="J80" s="9">
        <f>_xll.BQL("SEG0000474266 Segment", "FA_GROWTH(AVERAGE_PASSENGER_FARE, YOY)", "FPT=A", "FPO=0A", "ACT_EST_MAPPING=PRECISE", "FS=MRC", "CURRENCY=USD", "XLFILL=b")</f>
        <v>0.87419751400082046</v>
      </c>
      <c r="K80" s="9">
        <f>_xll.BQL("SEG0000474266 Segment", "FA_GROWTH(AVERAGE_PASSENGER_FARE, YOY)", "FPT=A", "FPO=-1A", "ACT_EST_MAPPING=PRECISE", "FS=MRC", "CURRENCY=USD", "XLFILL=b")</f>
        <v>26.990459670424972</v>
      </c>
      <c r="L80" s="9">
        <f>_xll.BQL("SEG0000474266 Segment", "FA_GROWTH(AVERAGE_PASSENGER_FARE, YOY)", "FPT=A", "FPO=-2A", "ACT_EST_MAPPING=PRECISE", "FS=MRC", "CURRENCY=USD", "XLFILL=b")</f>
        <v>-1.7217865666552985</v>
      </c>
      <c r="M80" s="9">
        <f>_xll.BQL("SEG0000474266 Segment", "FA_GROWTH(AVERAGE_PASSENGER_FARE, YOY)", "FPT=A", "FPO=-3A", "ACT_EST_MAPPING=PRECISE", "FS=MRC", "CURRENCY=USD", "XLFILL=b")</f>
        <v>7.969814099024477</v>
      </c>
      <c r="N80" s="9">
        <f>_xll.BQL("SEG0000474266 Segment", "FA_GROWTH(AVERAGE_PASSENGER_FARE, YOY)", "FPT=A", "FPO=-4A", "ACT_EST_MAPPING=PRECISE", "FS=MRC", "CURRENCY=USD", "XLFILL=b")</f>
        <v>6.1132812499999911</v>
      </c>
    </row>
    <row r="81" spans="1:14" x14ac:dyDescent="0.2">
      <c r="A81" s="8" t="s">
        <v>73</v>
      </c>
      <c r="B81" s="4" t="s">
        <v>68</v>
      </c>
      <c r="C81" s="4"/>
      <c r="D81" s="4" t="s">
        <v>74</v>
      </c>
      <c r="E81" s="9" t="str">
        <f>_xll.BQL("SEG0000474268 Segment", "AVERAGE_PASSENGER_FARE", "FPT=A", "FPO=5A", "ACT_EST_MAPPING=PRECISE", "FS=MRC", "CURRENCY=USD", "XLFILL=b")</f>
        <v/>
      </c>
      <c r="F81" s="9" t="str">
        <f>_xll.BQL("SEG0000474268 Segment", "AVERAGE_PASSENGER_FARE", "FPT=A", "FPO=4A", "ACT_EST_MAPPING=PRECISE", "FS=MRC", "CURRENCY=USD", "XLFILL=b")</f>
        <v/>
      </c>
      <c r="G81" s="9">
        <f>_xll.BQL("SEG0000474268 Segment", "AVERAGE_PASSENGER_FARE", "FPT=A", "FPO=3A", "ACT_EST_MAPPING=PRECISE", "FS=MRC", "CURRENCY=USD", "XLFILL=b")</f>
        <v>2.6434529392513912</v>
      </c>
      <c r="H81" s="9">
        <f>_xll.BQL("SEG0000474268 Segment", "AVERAGE_PASSENGER_FARE", "FPT=A", "FPO=2A", "ACT_EST_MAPPING=PRECISE", "FS=MRC", "CURRENCY=USD", "XLFILL=b")</f>
        <v>2.5897683917709955</v>
      </c>
      <c r="I81" s="9">
        <f>_xll.BQL("SEG0000474268 Segment", "AVERAGE_PASSENGER_FARE", "FPT=A", "FPO=1A", "ACT_EST_MAPPING=PRECISE", "FS=MRC", "CURRENCY=USD", "XLFILL=b")</f>
        <v>2.5877793769015005</v>
      </c>
      <c r="J81" s="9">
        <f>_xll.BQL("SEG0000474268 Segment", "AVERAGE_PASSENGER_FARE", "FPT=A", "FPO=0A", "ACT_EST_MAPPING=PRECISE", "FS=MRC", "CURRENCY=USD", "XLFILL=b")</f>
        <v>2.66</v>
      </c>
      <c r="K81" s="9">
        <f>_xll.BQL("SEG0000474268 Segment", "AVERAGE_PASSENGER_FARE", "FPT=A", "FPO=-1A", "ACT_EST_MAPPING=PRECISE", "FS=MRC", "CURRENCY=USD", "XLFILL=b")</f>
        <v>3.07</v>
      </c>
      <c r="L81" s="9">
        <f>_xll.BQL("SEG0000474268 Segment", "AVERAGE_PASSENGER_FARE", "FPT=A", "FPO=-2A", "ACT_EST_MAPPING=PRECISE", "FS=MRC", "CURRENCY=USD", "XLFILL=b")</f>
        <v>2.9</v>
      </c>
      <c r="M81" s="9">
        <f>_xll.BQL("SEG0000474268 Segment", "AVERAGE_PASSENGER_FARE", "FPT=A", "FPO=-3A", "ACT_EST_MAPPING=PRECISE", "FS=MRC", "CURRENCY=USD", "XLFILL=b")</f>
        <v>3.79</v>
      </c>
      <c r="N81" s="9">
        <f>_xll.BQL("SEG0000474268 Segment", "AVERAGE_PASSENGER_FARE", "FPT=A", "FPO=-4A", "ACT_EST_MAPPING=PRECISE", "FS=MRC", "CURRENCY=USD", "XLFILL=b")</f>
        <v>2.78</v>
      </c>
    </row>
    <row r="82" spans="1:14" x14ac:dyDescent="0.2">
      <c r="A82" s="8" t="s">
        <v>28</v>
      </c>
      <c r="B82" s="4" t="s">
        <v>68</v>
      </c>
      <c r="C82" s="4"/>
      <c r="D82" s="4" t="s">
        <v>74</v>
      </c>
      <c r="E82" s="9" t="str">
        <f>_xll.BQL("SEG0000474268 Segment", "FA_GROWTH(AVERAGE_PASSENGER_FARE, YOY)", "FPT=A", "FPO=5A", "ACT_EST_MAPPING=PRECISE", "FS=MRC", "CURRENCY=USD", "XLFILL=b")</f>
        <v/>
      </c>
      <c r="F82" s="9" t="str">
        <f>_xll.BQL("SEG0000474268 Segment", "FA_GROWTH(AVERAGE_PASSENGER_FARE, YOY)", "FPT=A", "FPO=4A", "ACT_EST_MAPPING=PRECISE", "FS=MRC", "CURRENCY=USD", "XLFILL=b")</f>
        <v/>
      </c>
      <c r="G82" s="9">
        <f>_xll.BQL("SEG0000474268 Segment", "FA_GROWTH(AVERAGE_PASSENGER_FARE, YOY)", "FPT=A", "FPO=3A", "ACT_EST_MAPPING=PRECISE", "FS=MRC", "CURRENCY=USD", "XLFILL=b")</f>
        <v>2.0729478223218232</v>
      </c>
      <c r="H82" s="9">
        <f>_xll.BQL("SEG0000474268 Segment", "FA_GROWTH(AVERAGE_PASSENGER_FARE, YOY)", "FPT=A", "FPO=2A", "ACT_EST_MAPPING=PRECISE", "FS=MRC", "CURRENCY=USD", "XLFILL=b")</f>
        <v>7.6861840976434045E-2</v>
      </c>
      <c r="I82" s="9">
        <f>_xll.BQL("SEG0000474268 Segment", "FA_GROWTH(AVERAGE_PASSENGER_FARE, YOY)", "FPT=A", "FPO=1A", "ACT_EST_MAPPING=PRECISE", "FS=MRC", "CURRENCY=USD", "XLFILL=b")</f>
        <v>-2.7150610187405877</v>
      </c>
      <c r="J82" s="9">
        <f>_xll.BQL("SEG0000474268 Segment", "FA_GROWTH(AVERAGE_PASSENGER_FARE, YOY)", "FPT=A", "FPO=0A", "ACT_EST_MAPPING=PRECISE", "FS=MRC", "CURRENCY=USD", "XLFILL=b")</f>
        <v>-13.355048859934845</v>
      </c>
      <c r="K82" s="9">
        <f>_xll.BQL("SEG0000474268 Segment", "FA_GROWTH(AVERAGE_PASSENGER_FARE, YOY)", "FPT=A", "FPO=-1A", "ACT_EST_MAPPING=PRECISE", "FS=MRC", "CURRENCY=USD", "XLFILL=b")</f>
        <v>5.8620689655172393</v>
      </c>
      <c r="L82" s="9">
        <f>_xll.BQL("SEG0000474268 Segment", "FA_GROWTH(AVERAGE_PASSENGER_FARE, YOY)", "FPT=A", "FPO=-2A", "ACT_EST_MAPPING=PRECISE", "FS=MRC", "CURRENCY=USD", "XLFILL=b")</f>
        <v>-23.482849604221638</v>
      </c>
      <c r="M82" s="9">
        <f>_xll.BQL("SEG0000474268 Segment", "FA_GROWTH(AVERAGE_PASSENGER_FARE, YOY)", "FPT=A", "FPO=-3A", "ACT_EST_MAPPING=PRECISE", "FS=MRC", "CURRENCY=USD", "XLFILL=b")</f>
        <v>36.330935251798572</v>
      </c>
      <c r="N82" s="9">
        <f>_xll.BQL("SEG0000474268 Segment", "FA_GROWTH(AVERAGE_PASSENGER_FARE, YOY)", "FPT=A", "FPO=-4A", "ACT_EST_MAPPING=PRECISE", "FS=MRC", "CURRENCY=USD", "XLFILL=b")</f>
        <v>1.831501831501825</v>
      </c>
    </row>
    <row r="83" spans="1:14" x14ac:dyDescent="0.2">
      <c r="A83" s="8" t="s">
        <v>16</v>
      </c>
      <c r="B83" s="4"/>
      <c r="C83" s="4"/>
      <c r="D83" s="4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 x14ac:dyDescent="0.2">
      <c r="A84" s="8" t="s">
        <v>75</v>
      </c>
      <c r="B84" s="4"/>
      <c r="C84" s="4"/>
      <c r="D84" s="4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x14ac:dyDescent="0.2">
      <c r="A85" s="8" t="s">
        <v>76</v>
      </c>
      <c r="B85" s="4" t="s">
        <v>47</v>
      </c>
      <c r="C85" s="4"/>
      <c r="D85" s="4"/>
      <c r="E85" s="9">
        <f>_xll.BQL("ULCC US Equity", "FUEL_PRICE_PER_GALLON_LITRE", "FPT=A", "FPO=5A", "ACT_EST_MAPPING=PRECISE", "FS=MRC", "CURRENCY=USD", "XLFILL=b")</f>
        <v>2.802</v>
      </c>
      <c r="F85" s="9">
        <f>_xll.BQL("ULCC US Equity", "FUEL_PRICE_PER_GALLON_LITRE", "FPT=A", "FPO=4A", "ACT_EST_MAPPING=PRECISE", "FS=MRC", "CURRENCY=USD", "XLFILL=b")</f>
        <v>2.802</v>
      </c>
      <c r="G85" s="9">
        <f>_xll.BQL("ULCC US Equity", "FUEL_PRICE_PER_GALLON_LITRE", "FPT=A", "FPO=3A", "ACT_EST_MAPPING=PRECISE", "FS=MRC", "CURRENCY=USD", "XLFILL=b")</f>
        <v>2.7497237653438793</v>
      </c>
      <c r="H85" s="9">
        <f>_xll.BQL("ULCC US Equity", "FUEL_PRICE_PER_GALLON_LITRE", "FPT=A", "FPO=2A", "ACT_EST_MAPPING=PRECISE", "FS=MRC", "CURRENCY=USD", "XLFILL=b")</f>
        <v>2.7611118371544001</v>
      </c>
      <c r="I85" s="9">
        <f>_xll.BQL("ULCC US Equity", "FUEL_PRICE_PER_GALLON_LITRE", "FPT=A", "FPO=1A", "ACT_EST_MAPPING=PRECISE", "FS=MRC", "CURRENCY=USD", "XLFILL=b")</f>
        <v>2.7694784777571715</v>
      </c>
      <c r="J85" s="9">
        <f>_xll.BQL("ULCC US Equity", "FUEL_PRICE_PER_GALLON_LITRE", "FPT=A", "FPO=0A", "ACT_EST_MAPPING=PRECISE", "FS=MRC", "CURRENCY=USD", "XLFILL=b")</f>
        <v>3.1</v>
      </c>
      <c r="K85" s="9">
        <f>_xll.BQL("ULCC US Equity", "FUEL_PRICE_PER_GALLON_LITRE", "FPT=A", "FPO=-1A", "ACT_EST_MAPPING=PRECISE", "FS=MRC", "CURRENCY=USD", "XLFILL=b")</f>
        <v>3.72</v>
      </c>
      <c r="L85" s="9">
        <f>_xll.BQL("ULCC US Equity", "FUEL_PRICE_PER_GALLON_LITRE", "FPT=A", "FPO=-2A", "ACT_EST_MAPPING=PRECISE", "FS=MRC", "CURRENCY=USD", "XLFILL=b")</f>
        <v>2.17</v>
      </c>
      <c r="M85" s="9">
        <f>_xll.BQL("ULCC US Equity", "FUEL_PRICE_PER_GALLON_LITRE", "FPT=A", "FPO=-3A", "ACT_EST_MAPPING=PRECISE", "FS=MRC", "CURRENCY=USD", "XLFILL=b")</f>
        <v>2.08</v>
      </c>
      <c r="N85" s="9">
        <f>_xll.BQL("ULCC US Equity", "FUEL_PRICE_PER_GALLON_LITRE", "FPT=A", "FPO=-4A", "ACT_EST_MAPPING=PRECISE", "FS=MRC", "CURRENCY=USD", "XLFILL=b")</f>
        <v>2.2200000000000002</v>
      </c>
    </row>
    <row r="86" spans="1:14" x14ac:dyDescent="0.2">
      <c r="A86" s="8" t="s">
        <v>28</v>
      </c>
      <c r="B86" s="4" t="s">
        <v>47</v>
      </c>
      <c r="C86" s="4"/>
      <c r="D86" s="4"/>
      <c r="E86" s="9">
        <f>_xll.BQL("ULCC US Equity", "FA_GROWTH(FUEL_PRICE_PER_GALLON_LITRE, YOY)", "FPT=A", "FPO=5A", "ACT_EST_MAPPING=PRECISE", "FS=MRC", "CURRENCY=USD", "XLFILL=b")</f>
        <v>0</v>
      </c>
      <c r="F86" s="9">
        <f>_xll.BQL("ULCC US Equity", "FA_GROWTH(FUEL_PRICE_PER_GALLON_LITRE, YOY)", "FPT=A", "FPO=4A", "ACT_EST_MAPPING=PRECISE", "FS=MRC", "CURRENCY=USD", "XLFILL=b")</f>
        <v>1.9011449555400377</v>
      </c>
      <c r="G86" s="9">
        <f>_xll.BQL("ULCC US Equity", "FA_GROWTH(FUEL_PRICE_PER_GALLON_LITRE, YOY)", "FPT=A", "FPO=3A", "ACT_EST_MAPPING=PRECISE", "FS=MRC", "CURRENCY=USD", "XLFILL=b")</f>
        <v>-0.41244514826524936</v>
      </c>
      <c r="H86" s="9">
        <f>_xll.BQL("ULCC US Equity", "FA_GROWTH(FUEL_PRICE_PER_GALLON_LITRE, YOY)", "FPT=A", "FPO=2A", "ACT_EST_MAPPING=PRECISE", "FS=MRC", "CURRENCY=USD", "XLFILL=b")</f>
        <v>-0.30210166534845184</v>
      </c>
      <c r="I86" s="9">
        <f>_xll.BQL("ULCC US Equity", "FA_GROWTH(FUEL_PRICE_PER_GALLON_LITRE, YOY)", "FPT=A", "FPO=1A", "ACT_EST_MAPPING=PRECISE", "FS=MRC", "CURRENCY=USD", "XLFILL=b")</f>
        <v>-10.661984588478344</v>
      </c>
      <c r="J86" s="9">
        <f>_xll.BQL("ULCC US Equity", "FA_GROWTH(FUEL_PRICE_PER_GALLON_LITRE, YOY)", "FPT=A", "FPO=0A", "ACT_EST_MAPPING=PRECISE", "FS=MRC", "CURRENCY=USD", "XLFILL=b")</f>
        <v>-16.666666666666668</v>
      </c>
      <c r="K86" s="9">
        <f>_xll.BQL("ULCC US Equity", "FA_GROWTH(FUEL_PRICE_PER_GALLON_LITRE, YOY)", "FPT=A", "FPO=-1A", "ACT_EST_MAPPING=PRECISE", "FS=MRC", "CURRENCY=USD", "XLFILL=b")</f>
        <v>71.428571428571445</v>
      </c>
      <c r="L86" s="9">
        <f>_xll.BQL("ULCC US Equity", "FA_GROWTH(FUEL_PRICE_PER_GALLON_LITRE, YOY)", "FPT=A", "FPO=-2A", "ACT_EST_MAPPING=PRECISE", "FS=MRC", "CURRENCY=USD", "XLFILL=b")</f>
        <v>4.3269230769230695</v>
      </c>
      <c r="M86" s="9">
        <f>_xll.BQL("ULCC US Equity", "FA_GROWTH(FUEL_PRICE_PER_GALLON_LITRE, YOY)", "FPT=A", "FPO=-3A", "ACT_EST_MAPPING=PRECISE", "FS=MRC", "CURRENCY=USD", "XLFILL=b")</f>
        <v>-6.3063063063063112</v>
      </c>
      <c r="N86" s="9">
        <f>_xll.BQL("ULCC US Equity", "FA_GROWTH(FUEL_PRICE_PER_GALLON_LITRE, YOY)", "FPT=A", "FPO=-4A", "ACT_EST_MAPPING=PRECISE", "FS=MRC", "CURRENCY=USD", "XLFILL=b")</f>
        <v>-1.3333333333333246</v>
      </c>
    </row>
    <row r="87" spans="1:14" x14ac:dyDescent="0.2">
      <c r="A87" s="8" t="s">
        <v>77</v>
      </c>
      <c r="B87" s="4" t="s">
        <v>45</v>
      </c>
      <c r="C87" s="4"/>
      <c r="D87" s="4"/>
      <c r="E87" s="9">
        <f>_xll.BQL("ULCC US Equity", "FUEL_GALLONS_LITRES/1M", "FPT=A", "FPO=5A", "ACT_EST_MAPPING=PRECISE", "FS=MRC", "CURRENCY=USD", "XLFILL=b")</f>
        <v>517.4022247282503</v>
      </c>
      <c r="F87" s="9">
        <f>_xll.BQL("ULCC US Equity", "FUEL_GALLONS_LITRES/1M", "FPT=A", "FPO=4A", "ACT_EST_MAPPING=PRECISE", "FS=MRC", "CURRENCY=USD", "XLFILL=b")</f>
        <v>472.71748713808307</v>
      </c>
      <c r="G87" s="9">
        <f>_xll.BQL("ULCC US Equity", "FUEL_GALLONS_LITRES/1M", "FPT=A", "FPO=3A", "ACT_EST_MAPPING=PRECISE", "FS=MRC", "CURRENCY=USD", "XLFILL=b")</f>
        <v>444.88108704871308</v>
      </c>
      <c r="H87" s="9">
        <f>_xll.BQL("ULCC US Equity", "FUEL_GALLONS_LITRES/1M", "FPT=A", "FPO=2A", "ACT_EST_MAPPING=PRECISE", "FS=MRC", "CURRENCY=USD", "XLFILL=b")</f>
        <v>411.89896789725287</v>
      </c>
      <c r="I87" s="9">
        <f>_xll.BQL("ULCC US Equity", "FUEL_GALLONS_LITRES/1M", "FPT=A", "FPO=1A", "ACT_EST_MAPPING=PRECISE", "FS=MRC", "CURRENCY=USD", "XLFILL=b")</f>
        <v>385.83104463001536</v>
      </c>
      <c r="J87" s="9">
        <f>_xll.BQL("ULCC US Equity", "FUEL_GALLONS_LITRES/1M", "FPT=A", "FPO=0A", "ACT_EST_MAPPING=PRECISE", "FS=MRC", "CURRENCY=USD", "XLFILL=b")</f>
        <v>364.60599999999999</v>
      </c>
      <c r="K87" s="9">
        <f>_xll.BQL("ULCC US Equity", "FUEL_GALLONS_LITRES/1M", "FPT=A", "FPO=-1A", "ACT_EST_MAPPING=PRECISE", "FS=MRC", "CURRENCY=USD", "XLFILL=b")</f>
        <v>312.11500000000001</v>
      </c>
      <c r="L87" s="9">
        <f>_xll.BQL("ULCC US Equity", "FUEL_GALLONS_LITRES/1M", "FPT=A", "FPO=-2A", "ACT_EST_MAPPING=PRECISE", "FS=MRC", "CURRENCY=USD", "XLFILL=b")</f>
        <v>265.55799999999999</v>
      </c>
      <c r="M87" s="9">
        <f>_xll.BQL("ULCC US Equity", "FUEL_GALLONS_LITRES/1M", "FPT=A", "FPO=-3A", "ACT_EST_MAPPING=PRECISE", "FS=MRC", "CURRENCY=USD", "XLFILL=b")</f>
        <v>162.24100000000001</v>
      </c>
      <c r="N87" s="9">
        <f>_xll.BQL("ULCC US Equity", "FUEL_GALLONS_LITRES/1M", "FPT=A", "FPO=-4A", "ACT_EST_MAPPING=PRECISE", "FS=MRC", "CURRENCY=USD", "XLFILL=b")</f>
        <v>288.51</v>
      </c>
    </row>
    <row r="88" spans="1:14" x14ac:dyDescent="0.2">
      <c r="A88" s="8" t="s">
        <v>28</v>
      </c>
      <c r="B88" s="4" t="s">
        <v>45</v>
      </c>
      <c r="C88" s="4"/>
      <c r="D88" s="4"/>
      <c r="E88" s="9">
        <f>_xll.BQL("ULCC US Equity", "FA_GROWTH(FUEL_GALLONS_LITRES, YOY)", "FPT=A", "FPO=5A", "ACT_EST_MAPPING=PRECISE", "FS=MRC", "CURRENCY=USD", "XLFILL=b")</f>
        <v>9.4527363184079949</v>
      </c>
      <c r="F88" s="9">
        <f>_xll.BQL("ULCC US Equity", "FA_GROWTH(FUEL_GALLONS_LITRES, YOY)", "FPT=A", "FPO=4A", "ACT_EST_MAPPING=PRECISE", "FS=MRC", "CURRENCY=USD", "XLFILL=b")</f>
        <v>6.2570428143019736</v>
      </c>
      <c r="G88" s="9">
        <f>_xll.BQL("ULCC US Equity", "FA_GROWTH(FUEL_GALLONS_LITRES, YOY)", "FPT=A", "FPO=3A", "ACT_EST_MAPPING=PRECISE", "FS=MRC", "CURRENCY=USD", "XLFILL=b")</f>
        <v>8.0073323125411502</v>
      </c>
      <c r="H88" s="9">
        <f>_xll.BQL("ULCC US Equity", "FA_GROWTH(FUEL_GALLONS_LITRES, YOY)", "FPT=A", "FPO=2A", "ACT_EST_MAPPING=PRECISE", "FS=MRC", "CURRENCY=USD", "XLFILL=b")</f>
        <v>6.7563052870032196</v>
      </c>
      <c r="I88" s="9">
        <f>_xll.BQL("ULCC US Equity", "FA_GROWTH(FUEL_GALLONS_LITRES, YOY)", "FPT=A", "FPO=1A", "ACT_EST_MAPPING=PRECISE", "FS=MRC", "CURRENCY=USD", "XLFILL=b")</f>
        <v>5.8213646045362317</v>
      </c>
      <c r="J88" s="9">
        <f>_xll.BQL("ULCC US Equity", "FA_GROWTH(FUEL_GALLONS_LITRES, YOY)", "FPT=A", "FPO=0A", "ACT_EST_MAPPING=PRECISE", "FS=MRC", "CURRENCY=USD", "XLFILL=b")</f>
        <v>16.817839578360541</v>
      </c>
      <c r="K88" s="9">
        <f>_xll.BQL("ULCC US Equity", "FA_GROWTH(FUEL_GALLONS_LITRES, YOY)", "FPT=A", "FPO=-1A", "ACT_EST_MAPPING=PRECISE", "FS=MRC", "CURRENCY=USD", "XLFILL=b")</f>
        <v>17.531763305944462</v>
      </c>
      <c r="L88" s="9">
        <f>_xll.BQL("ULCC US Equity", "FA_GROWTH(FUEL_GALLONS_LITRES, YOY)", "FPT=A", "FPO=-2A", "ACT_EST_MAPPING=PRECISE", "FS=MRC", "CURRENCY=USD", "XLFILL=b")</f>
        <v>63.681190327968885</v>
      </c>
      <c r="M88" s="9">
        <f>_xll.BQL("ULCC US Equity", "FA_GROWTH(FUEL_GALLONS_LITRES, YOY)", "FPT=A", "FPO=-3A", "ACT_EST_MAPPING=PRECISE", "FS=MRC", "CURRENCY=USD", "XLFILL=b")</f>
        <v>-43.765900662022112</v>
      </c>
      <c r="N88" s="9">
        <f>_xll.BQL("ULCC US Equity", "FA_GROWTH(FUEL_GALLONS_LITRES, YOY)", "FPT=A", "FPO=-4A", "ACT_EST_MAPPING=PRECISE", "FS=MRC", "CURRENCY=USD", "XLFILL=b")</f>
        <v>10.464470726972701</v>
      </c>
    </row>
    <row r="89" spans="1:14" x14ac:dyDescent="0.2">
      <c r="A89" s="8" t="s">
        <v>78</v>
      </c>
      <c r="B89" s="4" t="s">
        <v>79</v>
      </c>
      <c r="C89" s="4"/>
      <c r="D89" s="4"/>
      <c r="E89" s="9">
        <f>_xll.BQL("ULCC US Equity", "ASM_PER_GALLON_LITER", "FPT=A", "FPO=5A", "ACT_EST_MAPPING=PRECISE", "FS=MRC", "CURRENCY=USD", "XLFILL=b")</f>
        <v>106.7741046513587</v>
      </c>
      <c r="F89" s="9">
        <f>_xll.BQL("ULCC US Equity", "ASM_PER_GALLON_LITER", "FPT=A", "FPO=4A", "ACT_EST_MAPPING=PRECISE", "FS=MRC", "CURRENCY=USD", "XLFILL=b")</f>
        <v>106.24289020035692</v>
      </c>
      <c r="G89" s="9">
        <f>_xll.BQL("ULCC US Equity", "ASM_PER_GALLON_LITER", "FPT=A", "FPO=3A", "ACT_EST_MAPPING=PRECISE", "FS=MRC", "CURRENCY=USD", "XLFILL=b")</f>
        <v>106.2057111282448</v>
      </c>
      <c r="H89" s="9">
        <f>_xll.BQL("ULCC US Equity", "ASM_PER_GALLON_LITER", "FPT=A", "FPO=2A", "ACT_EST_MAPPING=PRECISE", "FS=MRC", "CURRENCY=USD", "XLFILL=b")</f>
        <v>105.06636695933962</v>
      </c>
      <c r="I89" s="9">
        <f>_xll.BQL("ULCC US Equity", "ASM_PER_GALLON_LITER", "FPT=A", "FPO=1A", "ACT_EST_MAPPING=PRECISE", "FS=MRC", "CURRENCY=USD", "XLFILL=b")</f>
        <v>104.4572005878675</v>
      </c>
      <c r="J89" s="9">
        <f>_xll.BQL("ULCC US Equity", "ASM_PER_GALLON_LITER", "FPT=A", "FPO=0A", "ACT_EST_MAPPING=PRECISE", "FS=MRC", "CURRENCY=USD", "XLFILL=b")</f>
        <v>103.73389357278816</v>
      </c>
      <c r="K89" s="9">
        <f>_xll.BQL("ULCC US Equity", "ASM_PER_GALLON_LITER", "FPT=A", "FPO=-1A", "ACT_EST_MAPPING=PRECISE", "FS=MRC", "CURRENCY=USD", "XLFILL=b")</f>
        <v>101.7125098120885</v>
      </c>
      <c r="L89" s="9">
        <f>_xll.BQL("ULCC US Equity", "ASM_PER_GALLON_LITER", "FPT=A", "FPO=-2A", "ACT_EST_MAPPING=PRECISE", "FS=MRC", "CURRENCY=USD", "XLFILL=b")</f>
        <v>101.17187205808148</v>
      </c>
      <c r="M89" s="9">
        <f>_xll.BQL("ULCC US Equity", "ASM_PER_GALLON_LITER", "FPT=A", "FPO=-3A", "ACT_EST_MAPPING=PRECISE", "FS=MRC", "CURRENCY=USD", "XLFILL=b")</f>
        <v>104.50502647296307</v>
      </c>
      <c r="N89" s="9">
        <f>_xll.BQL("ULCC US Equity", "ASM_PER_GALLON_LITER", "FPT=A", "FPO=-4A", "ACT_EST_MAPPING=PRECISE", "FS=MRC", "CURRENCY=USD", "XLFILL=b")</f>
        <v>97.466292329555301</v>
      </c>
    </row>
    <row r="90" spans="1:14" x14ac:dyDescent="0.2">
      <c r="A90" s="8" t="s">
        <v>28</v>
      </c>
      <c r="B90" s="4" t="s">
        <v>79</v>
      </c>
      <c r="C90" s="4"/>
      <c r="D90" s="4"/>
      <c r="E90" s="9">
        <f>_xll.BQL("ULCC US Equity", "FA_GROWTH(ASM_PER_GALLON_LITER, YOY)", "FPT=A", "FPO=5A", "ACT_EST_MAPPING=PRECISE", "FS=MRC", "CURRENCY=USD", "XLFILL=b")</f>
        <v>0.49999999999998918</v>
      </c>
      <c r="F90" s="9">
        <f>_xll.BQL("ULCC US Equity", "FA_GROWTH(ASM_PER_GALLON_LITER, YOY)", "FPT=A", "FPO=4A", "ACT_EST_MAPPING=PRECISE", "FS=MRC", "CURRENCY=USD", "XLFILL=b")</f>
        <v>3.5006659921734455E-2</v>
      </c>
      <c r="G90" s="9">
        <f>_xll.BQL("ULCC US Equity", "FA_GROWTH(ASM_PER_GALLON_LITER, YOY)", "FPT=A", "FPO=3A", "ACT_EST_MAPPING=PRECISE", "FS=MRC", "CURRENCY=USD", "XLFILL=b")</f>
        <v>1.0844042692997138</v>
      </c>
      <c r="H90" s="9">
        <f>_xll.BQL("ULCC US Equity", "FA_GROWTH(ASM_PER_GALLON_LITER, YOY)", "FPT=A", "FPO=2A", "ACT_EST_MAPPING=PRECISE", "FS=MRC", "CURRENCY=USD", "XLFILL=b")</f>
        <v>0.58317317336079089</v>
      </c>
      <c r="I90" s="9">
        <f>_xll.BQL("ULCC US Equity", "FA_GROWTH(ASM_PER_GALLON_LITER, YOY)", "FPT=A", "FPO=1A", "ACT_EST_MAPPING=PRECISE", "FS=MRC", "CURRENCY=USD", "XLFILL=b")</f>
        <v>0.69727163433985162</v>
      </c>
      <c r="J90" s="9">
        <f>_xll.BQL("ULCC US Equity", "FA_GROWTH(ASM_PER_GALLON_LITER, YOY)", "FPT=A", "FPO=0A", "ACT_EST_MAPPING=PRECISE", "FS=MRC", "CURRENCY=USD", "XLFILL=b")</f>
        <v>1.9873501936331361</v>
      </c>
      <c r="K90" s="9">
        <f>_xll.BQL("ULCC US Equity", "FA_GROWTH(ASM_PER_GALLON_LITER, YOY)", "FPT=A", "FPO=-1A", "ACT_EST_MAPPING=PRECISE", "FS=MRC", "CURRENCY=USD", "XLFILL=b")</f>
        <v>0.53437555617894383</v>
      </c>
      <c r="L90" s="9">
        <f>_xll.BQL("ULCC US Equity", "FA_GROWTH(ASM_PER_GALLON_LITER, YOY)", "FPT=A", "FPO=-2A", "ACT_EST_MAPPING=PRECISE", "FS=MRC", "CURRENCY=USD", "XLFILL=b")</f>
        <v>-3.1894680355340852</v>
      </c>
      <c r="M90" s="9">
        <f>_xll.BQL("ULCC US Equity", "FA_GROWTH(ASM_PER_GALLON_LITER, YOY)", "FPT=A", "FPO=-3A", "ACT_EST_MAPPING=PRECISE", "FS=MRC", "CURRENCY=USD", "XLFILL=b")</f>
        <v>7.2217111938640626</v>
      </c>
      <c r="N90" s="9">
        <f>_xll.BQL("ULCC US Equity", "FA_GROWTH(ASM_PER_GALLON_LITER, YOY)", "FPT=A", "FPO=-4A", "ACT_EST_MAPPING=PRECISE", "FS=MRC", "CURRENCY=USD", "XLFILL=b")</f>
        <v>3.3584342212063918</v>
      </c>
    </row>
    <row r="91" spans="1:14" x14ac:dyDescent="0.2">
      <c r="A91" s="8" t="s">
        <v>80</v>
      </c>
      <c r="B91" s="4" t="s">
        <v>81</v>
      </c>
      <c r="C91" s="4"/>
      <c r="D91" s="4"/>
      <c r="E91" s="9">
        <f>_xll.BQL("ULCC US Equity", "FUEL_COST_PER_AVAIL_SEAT_MILE", "FPT=A", "FPO=5A", "ACT_EST_MAPPING=PRECISE", "FS=MRC", "CURRENCY=USD", "XLFILL=b")</f>
        <v>2.624231792108354</v>
      </c>
      <c r="F91" s="9">
        <f>_xll.BQL("ULCC US Equity", "FUEL_COST_PER_AVAIL_SEAT_MILE", "FPT=A", "FPO=4A", "ACT_EST_MAPPING=PRECISE", "FS=MRC", "CURRENCY=USD", "XLFILL=b")</f>
        <v>2.6373529510688956</v>
      </c>
      <c r="G91" s="9">
        <f>_xll.BQL("ULCC US Equity", "FUEL_COST_PER_AVAIL_SEAT_MILE", "FPT=A", "FPO=3A", "ACT_EST_MAPPING=PRECISE", "FS=MRC", "CURRENCY=USD", "XLFILL=b")</f>
        <v>2.5069395296723473</v>
      </c>
      <c r="H91" s="9">
        <f>_xll.BQL("ULCC US Equity", "FUEL_COST_PER_AVAIL_SEAT_MILE", "FPT=A", "FPO=2A", "ACT_EST_MAPPING=PRECISE", "FS=MRC", "CURRENCY=USD", "XLFILL=b")</f>
        <v>2.5482210671047145</v>
      </c>
      <c r="I91" s="9">
        <f>_xll.BQL("ULCC US Equity", "FUEL_COST_PER_AVAIL_SEAT_MILE", "FPT=A", "FPO=1A", "ACT_EST_MAPPING=PRECISE", "FS=MRC", "CURRENCY=USD", "XLFILL=b")</f>
        <v>2.6352750455817326</v>
      </c>
      <c r="J91" s="9">
        <f>_xll.BQL("ULCC US Equity", "FUEL_COST_PER_AVAIL_SEAT_MILE", "FPT=A", "FPO=0A", "ACT_EST_MAPPING=PRECISE", "FS=MRC", "CURRENCY=USD", "XLFILL=b")</f>
        <v>2.9876791285495212</v>
      </c>
      <c r="K91" s="9">
        <f>_xll.BQL("ULCC US Equity", "FUEL_COST_PER_AVAIL_SEAT_MILE", "FPT=A", "FPO=-1A", "ACT_EST_MAPPING=PRECISE", "FS=MRC", "CURRENCY=USD", "XLFILL=b")</f>
        <v>3.6540036540036542</v>
      </c>
      <c r="L91" s="9">
        <f>_xll.BQL("ULCC US Equity", "FUEL_COST_PER_AVAIL_SEAT_MILE", "FPT=A", "FPO=-2A", "ACT_EST_MAPPING=PRECISE", "FS=MRC", "CURRENCY=USD", "XLFILL=b")</f>
        <v>2.1401719581642906</v>
      </c>
      <c r="M91" s="9">
        <f>_xll.BQL("ULCC US Equity", "FUEL_COST_PER_AVAIL_SEAT_MILE", "FPT=A", "FPO=-3A", "ACT_EST_MAPPING=PRECISE", "FS=MRC", "CURRENCY=USD", "XLFILL=b")</f>
        <v>1.9935122382777941</v>
      </c>
      <c r="N91" s="9">
        <f>_xll.BQL("ULCC US Equity", "FUEL_COST_PER_AVAIL_SEAT_MILE", "FPT=A", "FPO=-4A", "ACT_EST_MAPPING=PRECISE", "FS=MRC", "CURRENCY=USD", "XLFILL=b")</f>
        <v>2.275960170697013</v>
      </c>
    </row>
    <row r="92" spans="1:14" x14ac:dyDescent="0.2">
      <c r="A92" s="8" t="s">
        <v>28</v>
      </c>
      <c r="B92" s="4" t="s">
        <v>81</v>
      </c>
      <c r="C92" s="4"/>
      <c r="D92" s="4"/>
      <c r="E92" s="9">
        <f>_xll.BQL("ULCC US Equity", "FA_GROWTH(FUEL_COST_PER_AVAIL_SEAT_MILE, YOY)", "FPT=A", "FPO=5A", "ACT_EST_MAPPING=PRECISE", "FS=MRC", "CURRENCY=USD", "XLFILL=b")</f>
        <v>-0.49751243781093724</v>
      </c>
      <c r="F92" s="9">
        <f>_xll.BQL("ULCC US Equity", "FA_GROWTH(FUEL_COST_PER_AVAIL_SEAT_MILE, YOY)", "FPT=A", "FPO=4A", "ACT_EST_MAPPING=PRECISE", "FS=MRC", "CURRENCY=USD", "XLFILL=b")</f>
        <v>5.2020968137828607</v>
      </c>
      <c r="G92" s="9">
        <f>_xll.BQL("ULCC US Equity", "FA_GROWTH(FUEL_COST_PER_AVAIL_SEAT_MILE, YOY)", "FPT=A", "FPO=3A", "ACT_EST_MAPPING=PRECISE", "FS=MRC", "CURRENCY=USD", "XLFILL=b")</f>
        <v>-1.6200139762313168</v>
      </c>
      <c r="H92" s="9">
        <f>_xll.BQL("ULCC US Equity", "FA_GROWTH(FUEL_COST_PER_AVAIL_SEAT_MILE, YOY)", "FPT=A", "FPO=2A", "ACT_EST_MAPPING=PRECISE", "FS=MRC", "CURRENCY=USD", "XLFILL=b")</f>
        <v>-3.3034114834795583</v>
      </c>
      <c r="I92" s="9">
        <f>_xll.BQL("ULCC US Equity", "FA_GROWTH(FUEL_COST_PER_AVAIL_SEAT_MILE, YOY)", "FPT=A", "FPO=1A", "ACT_EST_MAPPING=PRECISE", "FS=MRC", "CURRENCY=USD", "XLFILL=b")</f>
        <v>-11.795245332750179</v>
      </c>
      <c r="J92" s="9">
        <f>_xll.BQL("ULCC US Equity", "FA_GROWTH(FUEL_COST_PER_AVAIL_SEAT_MILE, YOY)", "FPT=A", "FPO=0A", "ACT_EST_MAPPING=PRECISE", "FS=MRC", "CURRENCY=USD", "XLFILL=b")</f>
        <v>-18.235464125057678</v>
      </c>
      <c r="K92" s="9">
        <f>_xll.BQL("ULCC US Equity", "FA_GROWTH(FUEL_COST_PER_AVAIL_SEAT_MILE, YOY)", "FPT=A", "FPO=-1A", "ACT_EST_MAPPING=PRECISE", "FS=MRC", "CURRENCY=USD", "XLFILL=b")</f>
        <v>70.734115081941198</v>
      </c>
      <c r="L92" s="9">
        <f>_xll.BQL("ULCC US Equity", "FA_GROWTH(FUEL_COST_PER_AVAIL_SEAT_MILE, YOY)", "FPT=A", "FPO=-2A", "ACT_EST_MAPPING=PRECISE", "FS=MRC", "CURRENCY=USD", "XLFILL=b")</f>
        <v>7.3568507416436351</v>
      </c>
      <c r="M92" s="9">
        <f>_xll.BQL("ULCC US Equity", "FA_GROWTH(FUEL_COST_PER_AVAIL_SEAT_MILE, YOY)", "FPT=A", "FPO=-3A", "ACT_EST_MAPPING=PRECISE", "FS=MRC", "CURRENCY=USD", "XLFILL=b")</f>
        <v>-12.410056030669427</v>
      </c>
      <c r="N92" s="9">
        <f>_xll.BQL("ULCC US Equity", "FA_GROWTH(FUEL_COST_PER_AVAIL_SEAT_MILE, YOY)", "FPT=A", "FPO=-4A", "ACT_EST_MAPPING=PRECISE", "FS=MRC", "CURRENCY=USD", "XLFILL=b")</f>
        <v>-4.8308607061176128</v>
      </c>
    </row>
    <row r="93" spans="1:14" x14ac:dyDescent="0.2">
      <c r="A93" s="8" t="s">
        <v>16</v>
      </c>
      <c r="B93" s="4"/>
      <c r="C93" s="4"/>
      <c r="D93" s="4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2">
      <c r="A94" s="8" t="s">
        <v>82</v>
      </c>
      <c r="B94" s="4" t="s">
        <v>83</v>
      </c>
      <c r="C94" s="4"/>
      <c r="D94" s="4"/>
      <c r="E94" s="9">
        <f>_xll.BQL("ULCC US Equity", "SIZE_OF_FLEET", "FPT=A", "FPO=5A", "ACT_EST_MAPPING=PRECISE", "FS=MRC", "CURRENCY=USD", "XLFILL=b")</f>
        <v>287</v>
      </c>
      <c r="F94" s="9">
        <f>_xll.BQL("ULCC US Equity", "SIZE_OF_FLEET", "FPT=A", "FPO=4A", "ACT_EST_MAPPING=PRECISE", "FS=MRC", "CURRENCY=USD", "XLFILL=b")</f>
        <v>253</v>
      </c>
      <c r="G94" s="9">
        <f>_xll.BQL("ULCC US Equity", "SIZE_OF_FLEET", "FPT=A", "FPO=3A", "ACT_EST_MAPPING=PRECISE", "FS=MRC", "CURRENCY=USD", "XLFILL=b")</f>
        <v>197.33333333333334</v>
      </c>
      <c r="H94" s="9">
        <f>_xll.BQL("ULCC US Equity", "SIZE_OF_FLEET", "FPT=A", "FPO=2A", "ACT_EST_MAPPING=PRECISE", "FS=MRC", "CURRENCY=USD", "XLFILL=b")</f>
        <v>171.66666666666666</v>
      </c>
      <c r="I94" s="9">
        <f>_xll.BQL("ULCC US Equity", "SIZE_OF_FLEET", "FPT=A", "FPO=1A", "ACT_EST_MAPPING=PRECISE", "FS=MRC", "CURRENCY=USD", "XLFILL=b")</f>
        <v>153.33333333333334</v>
      </c>
      <c r="J94" s="9">
        <f>_xll.BQL("ULCC US Equity", "SIZE_OF_FLEET", "FPT=A", "FPO=0A", "ACT_EST_MAPPING=PRECISE", "FS=MRC", "CURRENCY=USD", "XLFILL=b")</f>
        <v>136</v>
      </c>
      <c r="K94" s="9">
        <f>_xll.BQL("ULCC US Equity", "SIZE_OF_FLEET", "FPT=A", "FPO=-1A", "ACT_EST_MAPPING=PRECISE", "FS=MRC", "CURRENCY=USD", "XLFILL=b")</f>
        <v>120</v>
      </c>
      <c r="L94" s="9">
        <f>_xll.BQL("ULCC US Equity", "SIZE_OF_FLEET", "FPT=A", "FPO=-2A", "ACT_EST_MAPPING=PRECISE", "FS=MRC", "CURRENCY=USD", "XLFILL=b")</f>
        <v>110</v>
      </c>
      <c r="M94" s="9">
        <f>_xll.BQL("ULCC US Equity", "SIZE_OF_FLEET", "FPT=A", "FPO=-3A", "ACT_EST_MAPPING=PRECISE", "FS=MRC", "CURRENCY=USD", "XLFILL=b")</f>
        <v>104</v>
      </c>
      <c r="N94" s="9">
        <f>_xll.BQL("ULCC US Equity", "SIZE_OF_FLEET", "FPT=A", "FPO=-4A", "ACT_EST_MAPPING=PRECISE", "FS=MRC", "CURRENCY=USD", "XLFILL=b")</f>
        <v>98</v>
      </c>
    </row>
    <row r="95" spans="1:14" x14ac:dyDescent="0.2">
      <c r="A95" s="8" t="s">
        <v>12</v>
      </c>
      <c r="B95" s="4" t="s">
        <v>83</v>
      </c>
      <c r="C95" s="4"/>
      <c r="D95" s="4"/>
      <c r="E95" s="9">
        <f>_xll.BQL("ULCC US Equity", "FA_GROWTH(SIZE_OF_FLEET, YOY)", "FPT=A", "FPO=5A", "ACT_EST_MAPPING=PRECISE", "FS=MRC", "CURRENCY=USD", "XLFILL=b")</f>
        <v>13.438735177865613</v>
      </c>
      <c r="F95" s="9">
        <f>_xll.BQL("ULCC US Equity", "FA_GROWTH(SIZE_OF_FLEET, YOY)", "FPT=A", "FPO=4A", "ACT_EST_MAPPING=PRECISE", "FS=MRC", "CURRENCY=USD", "XLFILL=b")</f>
        <v>28.209459459459456</v>
      </c>
      <c r="G95" s="9">
        <f>_xll.BQL("ULCC US Equity", "FA_GROWTH(SIZE_OF_FLEET, YOY)", "FPT=A", "FPO=3A", "ACT_EST_MAPPING=PRECISE", "FS=MRC", "CURRENCY=USD", "XLFILL=b")</f>
        <v>14.951456310679625</v>
      </c>
      <c r="H95" s="9">
        <f>_xll.BQL("ULCC US Equity", "FA_GROWTH(SIZE_OF_FLEET, YOY)", "FPT=A", "FPO=2A", "ACT_EST_MAPPING=PRECISE", "FS=MRC", "CURRENCY=USD", "XLFILL=b")</f>
        <v>11.956521739130421</v>
      </c>
      <c r="I95" s="9">
        <f>_xll.BQL("ULCC US Equity", "FA_GROWTH(SIZE_OF_FLEET, YOY)", "FPT=A", "FPO=1A", "ACT_EST_MAPPING=PRECISE", "FS=MRC", "CURRENCY=USD", "XLFILL=b")</f>
        <v>12.745098039215694</v>
      </c>
      <c r="J95" s="9">
        <f>_xll.BQL("ULCC US Equity", "FA_GROWTH(SIZE_OF_FLEET, YOY)", "FPT=A", "FPO=0A", "ACT_EST_MAPPING=PRECISE", "FS=MRC", "CURRENCY=USD", "XLFILL=b")</f>
        <v>13.333333333333334</v>
      </c>
      <c r="K95" s="9">
        <f>_xll.BQL("ULCC US Equity", "FA_GROWTH(SIZE_OF_FLEET, YOY)", "FPT=A", "FPO=-1A", "ACT_EST_MAPPING=PRECISE", "FS=MRC", "CURRENCY=USD", "XLFILL=b")</f>
        <v>9.0909090909090917</v>
      </c>
      <c r="L95" s="9">
        <f>_xll.BQL("ULCC US Equity", "FA_GROWTH(SIZE_OF_FLEET, YOY)", "FPT=A", "FPO=-2A", "ACT_EST_MAPPING=PRECISE", "FS=MRC", "CURRENCY=USD", "XLFILL=b")</f>
        <v>5.7692307692307692</v>
      </c>
      <c r="M95" s="9">
        <f>_xll.BQL("ULCC US Equity", "FA_GROWTH(SIZE_OF_FLEET, YOY)", "FPT=A", "FPO=-3A", "ACT_EST_MAPPING=PRECISE", "FS=MRC", "CURRENCY=USD", "XLFILL=b")</f>
        <v>6.1224489795918364</v>
      </c>
      <c r="N95" s="9">
        <f>_xll.BQL("ULCC US Equity", "FA_GROWTH(SIZE_OF_FLEET, YOY)", "FPT=A", "FPO=-4A", "ACT_EST_MAPPING=PRECISE", "FS=MRC", "CURRENCY=USD", "XLFILL=b")</f>
        <v>16.666666666666668</v>
      </c>
    </row>
    <row r="96" spans="1:14" x14ac:dyDescent="0.2">
      <c r="A96" s="8" t="s">
        <v>84</v>
      </c>
      <c r="B96" s="4" t="s">
        <v>85</v>
      </c>
      <c r="C96" s="4"/>
      <c r="D96" s="4"/>
      <c r="E96" s="9">
        <f>_xll.BQL("ULCC US Equity", "AVG_SIZE_OF_FLEET", "FPT=A", "FPO=5A", "ACT_EST_MAPPING=PRECISE", "FS=MRC", "CURRENCY=USD", "XLFILL=b")</f>
        <v>270</v>
      </c>
      <c r="F96" s="9">
        <f>_xll.BQL("ULCC US Equity", "AVG_SIZE_OF_FLEET", "FPT=A", "FPO=4A", "ACT_EST_MAPPING=PRECISE", "FS=MRC", "CURRENCY=USD", "XLFILL=b")</f>
        <v>236</v>
      </c>
      <c r="G96" s="9">
        <f>_xll.BQL("ULCC US Equity", "AVG_SIZE_OF_FLEET", "FPT=A", "FPO=3A", "ACT_EST_MAPPING=PRECISE", "FS=MRC", "CURRENCY=USD", "XLFILL=b")</f>
        <v>184.69444444444446</v>
      </c>
      <c r="H96" s="9">
        <f>_xll.BQL("ULCC US Equity", "AVG_SIZE_OF_FLEET", "FPT=A", "FPO=2A", "ACT_EST_MAPPING=PRECISE", "FS=MRC", "CURRENCY=USD", "XLFILL=b")</f>
        <v>162.61111111111111</v>
      </c>
      <c r="I96" s="9">
        <f>_xll.BQL("ULCC US Equity", "AVG_SIZE_OF_FLEET", "FPT=A", "FPO=1A", "ACT_EST_MAPPING=PRECISE", "FS=MRC", "CURRENCY=USD", "XLFILL=b")</f>
        <v>145.69444444444446</v>
      </c>
      <c r="J96" s="9">
        <f>_xll.BQL("ULCC US Equity", "AVG_SIZE_OF_FLEET", "FPT=A", "FPO=0A", "ACT_EST_MAPPING=PRECISE", "FS=MRC", "CURRENCY=USD", "XLFILL=b")</f>
        <v>126</v>
      </c>
      <c r="K96" s="9">
        <f>_xll.BQL("ULCC US Equity", "AVG_SIZE_OF_FLEET", "FPT=A", "FPO=-1A", "ACT_EST_MAPPING=PRECISE", "FS=MRC", "CURRENCY=USD", "XLFILL=b")</f>
        <v>112</v>
      </c>
      <c r="L96" s="9">
        <f>_xll.BQL("ULCC US Equity", "AVG_SIZE_OF_FLEET", "FPT=A", "FPO=-2A", "ACT_EST_MAPPING=PRECISE", "FS=MRC", "CURRENCY=USD", "XLFILL=b")</f>
        <v>106</v>
      </c>
      <c r="M96" s="9">
        <f>_xll.BQL("ULCC US Equity", "AVG_SIZE_OF_FLEET", "FPT=A", "FPO=-3A", "ACT_EST_MAPPING=PRECISE", "FS=MRC", "CURRENCY=USD", "XLFILL=b")</f>
        <v>81</v>
      </c>
      <c r="N96" s="9">
        <f>_xll.BQL("ULCC US Equity", "AVG_SIZE_OF_FLEET", "FPT=A", "FPO=-4A", "ACT_EST_MAPPING=PRECISE", "FS=MRC", "CURRENCY=USD", "XLFILL=b")</f>
        <v>88</v>
      </c>
    </row>
    <row r="97" spans="1:14" x14ac:dyDescent="0.2">
      <c r="A97" s="8" t="s">
        <v>12</v>
      </c>
      <c r="B97" s="4" t="s">
        <v>85</v>
      </c>
      <c r="C97" s="4"/>
      <c r="D97" s="4"/>
      <c r="E97" s="9">
        <f>_xll.BQL("ULCC US Equity", "FA_GROWTH(AVG_SIZE_OF_FLEET, YOY)", "FPT=A", "FPO=5A", "ACT_EST_MAPPING=PRECISE", "FS=MRC", "CURRENCY=USD", "XLFILL=b")</f>
        <v>14.40677966101695</v>
      </c>
      <c r="F97" s="9">
        <f>_xll.BQL("ULCC US Equity", "FA_GROWTH(AVG_SIZE_OF_FLEET, YOY)", "FPT=A", "FPO=4A", "ACT_EST_MAPPING=PRECISE", "FS=MRC", "CURRENCY=USD", "XLFILL=b")</f>
        <v>27.778613325312072</v>
      </c>
      <c r="G97" s="9">
        <f>_xll.BQL("ULCC US Equity", "FA_GROWTH(AVG_SIZE_OF_FLEET, YOY)", "FPT=A", "FPO=3A", "ACT_EST_MAPPING=PRECISE", "FS=MRC", "CURRENCY=USD", "XLFILL=b")</f>
        <v>13.580457806627953</v>
      </c>
      <c r="H97" s="9">
        <f>_xll.BQL("ULCC US Equity", "FA_GROWTH(AVG_SIZE_OF_FLEET, YOY)", "FPT=A", "FPO=2A", "ACT_EST_MAPPING=PRECISE", "FS=MRC", "CURRENCY=USD", "XLFILL=b")</f>
        <v>11.611058150619629</v>
      </c>
      <c r="I97" s="9">
        <f>_xll.BQL("ULCC US Equity", "FA_GROWTH(AVG_SIZE_OF_FLEET, YOY)", "FPT=A", "FPO=1A", "ACT_EST_MAPPING=PRECISE", "FS=MRC", "CURRENCY=USD", "XLFILL=b")</f>
        <v>15.630511463844806</v>
      </c>
      <c r="J97" s="9">
        <f>_xll.BQL("ULCC US Equity", "FA_GROWTH(AVG_SIZE_OF_FLEET, YOY)", "FPT=A", "FPO=0A", "ACT_EST_MAPPING=PRECISE", "FS=MRC", "CURRENCY=USD", "XLFILL=b")</f>
        <v>12.5</v>
      </c>
      <c r="K97" s="9">
        <f>_xll.BQL("ULCC US Equity", "FA_GROWTH(AVG_SIZE_OF_FLEET, YOY)", "FPT=A", "FPO=-1A", "ACT_EST_MAPPING=PRECISE", "FS=MRC", "CURRENCY=USD", "XLFILL=b")</f>
        <v>5.6603773584905657</v>
      </c>
      <c r="L97" s="9">
        <f>_xll.BQL("ULCC US Equity", "FA_GROWTH(AVG_SIZE_OF_FLEET, YOY)", "FPT=A", "FPO=-2A", "ACT_EST_MAPPING=PRECISE", "FS=MRC", "CURRENCY=USD", "XLFILL=b")</f>
        <v>30.864197530864196</v>
      </c>
      <c r="M97" s="9">
        <f>_xll.BQL("ULCC US Equity", "FA_GROWTH(AVG_SIZE_OF_FLEET, YOY)", "FPT=A", "FPO=-3A", "ACT_EST_MAPPING=PRECISE", "FS=MRC", "CURRENCY=USD", "XLFILL=b")</f>
        <v>-7.9545454545454541</v>
      </c>
      <c r="N97" s="9" t="str">
        <f>_xll.BQL("ULCC US Equity", "FA_GROWTH(AVG_SIZE_OF_FLEET, YOY)", "FPT=A", "FPO=-4A", "ACT_EST_MAPPING=PRECISE", "FS=MRC", "CURRENCY=USD", "XLFILL=b")</f>
        <v/>
      </c>
    </row>
    <row r="98" spans="1:14" x14ac:dyDescent="0.2">
      <c r="A98" s="8" t="s">
        <v>86</v>
      </c>
      <c r="B98" s="4" t="s">
        <v>87</v>
      </c>
      <c r="C98" s="4"/>
      <c r="D98" s="4"/>
      <c r="E98" s="9">
        <f>_xll.BQL("ULCC US Equity", "AVG_LENGTH_OF_PASSENGER_HAUL", "FPT=A", "FPO=5A", "ACT_EST_MAPPING=PRECISE", "FS=MRC", "CURRENCY=USD", "XLFILL=b")</f>
        <v>991</v>
      </c>
      <c r="F98" s="9">
        <f>_xll.BQL("ULCC US Equity", "AVG_LENGTH_OF_PASSENGER_HAUL", "FPT=A", "FPO=4A", "ACT_EST_MAPPING=PRECISE", "FS=MRC", "CURRENCY=USD", "XLFILL=b")</f>
        <v>991</v>
      </c>
      <c r="G98" s="9">
        <f>_xll.BQL("ULCC US Equity", "AVG_LENGTH_OF_PASSENGER_HAUL", "FPT=A", "FPO=3A", "ACT_EST_MAPPING=PRECISE", "FS=MRC", "CURRENCY=USD", "XLFILL=b")</f>
        <v>890.09258906868399</v>
      </c>
      <c r="H98" s="9">
        <f>_xll.BQL("ULCC US Equity", "AVG_LENGTH_OF_PASSENGER_HAUL", "FPT=A", "FPO=2A", "ACT_EST_MAPPING=PRECISE", "FS=MRC", "CURRENCY=USD", "XLFILL=b")</f>
        <v>890.07738492025055</v>
      </c>
      <c r="I98" s="9">
        <f>_xll.BQL("ULCC US Equity", "AVG_LENGTH_OF_PASSENGER_HAUL", "FPT=A", "FPO=1A", "ACT_EST_MAPPING=PRECISE", "FS=MRC", "CURRENCY=USD", "XLFILL=b")</f>
        <v>909.95550585700914</v>
      </c>
      <c r="J98" s="9">
        <f>_xll.BQL("ULCC US Equity", "AVG_LENGTH_OF_PASSENGER_HAUL", "FPT=A", "FPO=0A", "ACT_EST_MAPPING=PRECISE", "FS=MRC", "CURRENCY=USD", "XLFILL=b")</f>
        <v>1007</v>
      </c>
      <c r="K98" s="9">
        <f>_xll.BQL("ULCC US Equity", "AVG_LENGTH_OF_PASSENGER_HAUL", "FPT=A", "FPO=-1A", "ACT_EST_MAPPING=PRECISE", "FS=MRC", "CURRENCY=USD", "XLFILL=b")</f>
        <v>991</v>
      </c>
      <c r="L98" s="9">
        <f>_xll.BQL("ULCC US Equity", "AVG_LENGTH_OF_PASSENGER_HAUL", "FPT=A", "FPO=-2A", "ACT_EST_MAPPING=PRECISE", "FS=MRC", "CURRENCY=USD", "XLFILL=b")</f>
        <v>968</v>
      </c>
      <c r="M98" s="9">
        <f>_xll.BQL("ULCC US Equity", "AVG_LENGTH_OF_PASSENGER_HAUL", "FPT=A", "FPO=-3A", "ACT_EST_MAPPING=PRECISE", "FS=MRC", "CURRENCY=USD", "XLFILL=b")</f>
        <v>999</v>
      </c>
      <c r="N98" s="9">
        <f>_xll.BQL("ULCC US Equity", "AVG_LENGTH_OF_PASSENGER_HAUL", "FPT=A", "FPO=-4A", "ACT_EST_MAPPING=PRECISE", "FS=MRC", "CURRENCY=USD", "XLFILL=b")</f>
        <v>1051</v>
      </c>
    </row>
    <row r="99" spans="1:14" x14ac:dyDescent="0.2">
      <c r="A99" s="8" t="s">
        <v>12</v>
      </c>
      <c r="B99" s="4" t="s">
        <v>87</v>
      </c>
      <c r="C99" s="4"/>
      <c r="D99" s="4"/>
      <c r="E99" s="9">
        <f>_xll.BQL("ULCC US Equity", "FA_GROWTH(AVG_LENGTH_OF_PASSENGER_HAUL, YOY)", "FPT=A", "FPO=5A", "ACT_EST_MAPPING=PRECISE", "FS=MRC", "CURRENCY=USD", "XLFILL=b")</f>
        <v>0</v>
      </c>
      <c r="F99" s="9">
        <f>_xll.BQL("ULCC US Equity", "FA_GROWTH(AVG_LENGTH_OF_PASSENGER_HAUL, YOY)", "FPT=A", "FPO=4A", "ACT_EST_MAPPING=PRECISE", "FS=MRC", "CURRENCY=USD", "XLFILL=b")</f>
        <v>11.336731950200463</v>
      </c>
      <c r="G99" s="9">
        <f>_xll.BQL("ULCC US Equity", "FA_GROWTH(AVG_LENGTH_OF_PASSENGER_HAUL, YOY)", "FPT=A", "FPO=3A", "ACT_EST_MAPPING=PRECISE", "FS=MRC", "CURRENCY=USD", "XLFILL=b")</f>
        <v>1.7081827592780249E-3</v>
      </c>
      <c r="H99" s="9">
        <f>_xll.BQL("ULCC US Equity", "FA_GROWTH(AVG_LENGTH_OF_PASSENGER_HAUL, YOY)", "FPT=A", "FPO=2A", "ACT_EST_MAPPING=PRECISE", "FS=MRC", "CURRENCY=USD", "XLFILL=b")</f>
        <v>-2.1845157053077107</v>
      </c>
      <c r="I99" s="9">
        <f>_xll.BQL("ULCC US Equity", "FA_GROWTH(AVG_LENGTH_OF_PASSENGER_HAUL, YOY)", "FPT=A", "FPO=1A", "ACT_EST_MAPPING=PRECISE", "FS=MRC", "CURRENCY=USD", "XLFILL=b")</f>
        <v>-9.6369904809325586</v>
      </c>
      <c r="J99" s="9">
        <f>_xll.BQL("ULCC US Equity", "FA_GROWTH(AVG_LENGTH_OF_PASSENGER_HAUL, YOY)", "FPT=A", "FPO=0A", "ACT_EST_MAPPING=PRECISE", "FS=MRC", "CURRENCY=USD", "XLFILL=b")</f>
        <v>1.6145307769929365</v>
      </c>
      <c r="K99" s="9">
        <f>_xll.BQL("ULCC US Equity", "FA_GROWTH(AVG_LENGTH_OF_PASSENGER_HAUL, YOY)", "FPT=A", "FPO=-1A", "ACT_EST_MAPPING=PRECISE", "FS=MRC", "CURRENCY=USD", "XLFILL=b")</f>
        <v>2.3760330578512399</v>
      </c>
      <c r="L99" s="9">
        <f>_xll.BQL("ULCC US Equity", "FA_GROWTH(AVG_LENGTH_OF_PASSENGER_HAUL, YOY)", "FPT=A", "FPO=-2A", "ACT_EST_MAPPING=PRECISE", "FS=MRC", "CURRENCY=USD", "XLFILL=b")</f>
        <v>-3.1031031031031029</v>
      </c>
      <c r="M99" s="9">
        <f>_xll.BQL("ULCC US Equity", "FA_GROWTH(AVG_LENGTH_OF_PASSENGER_HAUL, YOY)", "FPT=A", "FPO=-3A", "ACT_EST_MAPPING=PRECISE", "FS=MRC", "CURRENCY=USD", "XLFILL=b")</f>
        <v>-4.9476688867745002</v>
      </c>
      <c r="N99" s="9">
        <f>_xll.BQL("ULCC US Equity", "FA_GROWTH(AVG_LENGTH_OF_PASSENGER_HAUL, YOY)", "FPT=A", "FPO=-4A", "ACT_EST_MAPPING=PRECISE", "FS=MRC", "CURRENCY=USD", "XLFILL=b")</f>
        <v>-9.5057034220532313E-2</v>
      </c>
    </row>
    <row r="100" spans="1:14" x14ac:dyDescent="0.2">
      <c r="A100" s="8" t="s">
        <v>88</v>
      </c>
      <c r="B100" s="4" t="s">
        <v>89</v>
      </c>
      <c r="C100" s="4"/>
      <c r="D100" s="4"/>
      <c r="E100" s="9" t="str">
        <f>_xll.BQL("ULCC US Equity", "NUMBER_OF_DEPARTURES", "FPT=A", "FPO=5A", "ACT_EST_MAPPING=PRECISE", "FS=MRC", "CURRENCY=USD", "XLFILL=b")</f>
        <v/>
      </c>
      <c r="F100" s="9" t="str">
        <f>_xll.BQL("ULCC US Equity", "NUMBER_OF_DEPARTURES", "FPT=A", "FPO=4A", "ACT_EST_MAPPING=PRECISE", "FS=MRC", "CURRENCY=USD", "XLFILL=b")</f>
        <v/>
      </c>
      <c r="G100" s="9">
        <f>_xll.BQL("ULCC US Equity", "NUMBER_OF_DEPARTURES", "FPT=A", "FPO=3A", "ACT_EST_MAPPING=PRECISE", "FS=MRC", "CURRENCY=USD", "XLFILL=b")</f>
        <v>274655.18425297993</v>
      </c>
      <c r="H100" s="9">
        <f>_xll.BQL("ULCC US Equity", "NUMBER_OF_DEPARTURES", "FPT=A", "FPO=2A", "ACT_EST_MAPPING=PRECISE", "FS=MRC", "CURRENCY=USD", "XLFILL=b")</f>
        <v>244759.74064638946</v>
      </c>
      <c r="I100" s="9">
        <f>_xll.BQL("ULCC US Equity", "NUMBER_OF_DEPARTURES", "FPT=A", "FPO=1A", "ACT_EST_MAPPING=PRECISE", "FS=MRC", "CURRENCY=USD", "XLFILL=b")</f>
        <v>221009.09444771556</v>
      </c>
      <c r="J100" s="9">
        <f>_xll.BQL("ULCC US Equity", "NUMBER_OF_DEPARTURES", "FPT=A", "FPO=0A", "ACT_EST_MAPPING=PRECISE", "FS=MRC", "CURRENCY=USD", "XLFILL=b")</f>
        <v>188841</v>
      </c>
      <c r="K100" s="9">
        <f>_xll.BQL("ULCC US Equity", "NUMBER_OF_DEPARTURES", "FPT=A", "FPO=-1A", "ACT_EST_MAPPING=PRECISE", "FS=MRC", "CURRENCY=USD", "XLFILL=b")</f>
        <v>165447</v>
      </c>
      <c r="L100" s="9">
        <f>_xll.BQL("ULCC US Equity", "NUMBER_OF_DEPARTURES", "FPT=A", "FPO=-2A", "ACT_EST_MAPPING=PRECISE", "FS=MRC", "CURRENCY=USD", "XLFILL=b")</f>
        <v>143476</v>
      </c>
      <c r="M100" s="9">
        <f>_xll.BQL("ULCC US Equity", "NUMBER_OF_DEPARTURES", "FPT=A", "FPO=-3A", "ACT_EST_MAPPING=PRECISE", "FS=MRC", "CURRENCY=USD", "XLFILL=b")</f>
        <v>88642</v>
      </c>
      <c r="N100" s="9">
        <f>_xll.BQL("ULCC US Equity", "NUMBER_OF_DEPARTURES", "FPT=A", "FPO=-4A", "ACT_EST_MAPPING=PRECISE", "FS=MRC", "CURRENCY=USD", "XLFILL=b")</f>
        <v>138570</v>
      </c>
    </row>
    <row r="101" spans="1:14" x14ac:dyDescent="0.2">
      <c r="A101" s="8" t="s">
        <v>12</v>
      </c>
      <c r="B101" s="4" t="s">
        <v>89</v>
      </c>
      <c r="C101" s="4"/>
      <c r="D101" s="4"/>
      <c r="E101" s="9" t="str">
        <f>_xll.BQL("ULCC US Equity", "FA_GROWTH(NUMBER_OF_DEPARTURES, YOY)", "FPT=A", "FPO=5A", "ACT_EST_MAPPING=PRECISE", "FS=MRC", "CURRENCY=USD", "XLFILL=b")</f>
        <v/>
      </c>
      <c r="F101" s="9" t="str">
        <f>_xll.BQL("ULCC US Equity", "FA_GROWTH(NUMBER_OF_DEPARTURES, YOY)", "FPT=A", "FPO=4A", "ACT_EST_MAPPING=PRECISE", "FS=MRC", "CURRENCY=USD", "XLFILL=b")</f>
        <v/>
      </c>
      <c r="G101" s="9">
        <f>_xll.BQL("ULCC US Equity", "FA_GROWTH(NUMBER_OF_DEPARTURES, YOY)", "FPT=A", "FPO=3A", "ACT_EST_MAPPING=PRECISE", "FS=MRC", "CURRENCY=USD", "XLFILL=b")</f>
        <v>12.214199740381803</v>
      </c>
      <c r="H101" s="9">
        <f>_xll.BQL("ULCC US Equity", "FA_GROWTH(NUMBER_OF_DEPARTURES, YOY)", "FPT=A", "FPO=2A", "ACT_EST_MAPPING=PRECISE", "FS=MRC", "CURRENCY=USD", "XLFILL=b")</f>
        <v>10.746456501269737</v>
      </c>
      <c r="I101" s="9">
        <f>_xll.BQL("ULCC US Equity", "FA_GROWTH(NUMBER_OF_DEPARTURES, YOY)", "FPT=A", "FPO=1A", "ACT_EST_MAPPING=PRECISE", "FS=MRC", "CURRENCY=USD", "XLFILL=b")</f>
        <v>17.034486392105293</v>
      </c>
      <c r="J101" s="9">
        <f>_xll.BQL("ULCC US Equity", "FA_GROWTH(NUMBER_OF_DEPARTURES, YOY)", "FPT=A", "FPO=0A", "ACT_EST_MAPPING=PRECISE", "FS=MRC", "CURRENCY=USD", "XLFILL=b")</f>
        <v>14.139875609711872</v>
      </c>
      <c r="K101" s="9">
        <f>_xll.BQL("ULCC US Equity", "FA_GROWTH(NUMBER_OF_DEPARTURES, YOY)", "FPT=A", "FPO=-1A", "ACT_EST_MAPPING=PRECISE", "FS=MRC", "CURRENCY=USD", "XLFILL=b")</f>
        <v>15.313362513591123</v>
      </c>
      <c r="L101" s="9">
        <f>_xll.BQL("ULCC US Equity", "FA_GROWTH(NUMBER_OF_DEPARTURES, YOY)", "FPT=A", "FPO=-2A", "ACT_EST_MAPPING=PRECISE", "FS=MRC", "CURRENCY=USD", "XLFILL=b")</f>
        <v>61.860066334243363</v>
      </c>
      <c r="M101" s="9">
        <f>_xll.BQL("ULCC US Equity", "FA_GROWTH(NUMBER_OF_DEPARTURES, YOY)", "FPT=A", "FPO=-3A", "ACT_EST_MAPPING=PRECISE", "FS=MRC", "CURRENCY=USD", "XLFILL=b")</f>
        <v>-36.030886916359961</v>
      </c>
      <c r="N101" s="9" t="str">
        <f>_xll.BQL("ULCC US Equity", "FA_GROWTH(NUMBER_OF_DEPARTURES, YOY)", "FPT=A", "FPO=-4A", "ACT_EST_MAPPING=PRECISE", "FS=MRC", "CURRENCY=USD", "XLFILL=b")</f>
        <v/>
      </c>
    </row>
    <row r="102" spans="1:14" x14ac:dyDescent="0.2">
      <c r="A102" s="8" t="s">
        <v>90</v>
      </c>
      <c r="B102" s="4" t="s">
        <v>91</v>
      </c>
      <c r="C102" s="4"/>
      <c r="D102" s="4"/>
      <c r="E102" s="9" t="str">
        <f>_xll.BQL("ULCC US Equity", "NUM_OF_FLIGHT_HOURS", "FPT=A", "FPO=5A", "ACT_EST_MAPPING=PRECISE", "FS=MRC", "CURRENCY=USD", "XLFILL=b")</f>
        <v/>
      </c>
      <c r="F102" s="9" t="str">
        <f>_xll.BQL("ULCC US Equity", "NUM_OF_FLIGHT_HOURS", "FPT=A", "FPO=4A", "ACT_EST_MAPPING=PRECISE", "FS=MRC", "CURRENCY=USD", "XLFILL=b")</f>
        <v/>
      </c>
      <c r="G102" s="9">
        <f>_xll.BQL("ULCC US Equity", "NUM_OF_FLIGHT_HOURS", "FPT=A", "FPO=3A", "ACT_EST_MAPPING=PRECISE", "FS=MRC", "CURRENCY=USD", "XLFILL=b")</f>
        <v>748611.78309842385</v>
      </c>
      <c r="H102" s="9">
        <f>_xll.BQL("ULCC US Equity", "NUM_OF_FLIGHT_HOURS", "FPT=A", "FPO=2A", "ACT_EST_MAPPING=PRECISE", "FS=MRC", "CURRENCY=USD", "XLFILL=b")</f>
        <v>659521.54304634838</v>
      </c>
      <c r="I102" s="9">
        <f>_xll.BQL("ULCC US Equity", "NUM_OF_FLIGHT_HOURS", "FPT=A", "FPO=1A", "ACT_EST_MAPPING=PRECISE", "FS=MRC", "CURRENCY=USD", "XLFILL=b")</f>
        <v>589429.54485288379</v>
      </c>
      <c r="J102" s="9">
        <f>_xll.BQL("ULCC US Equity", "NUM_OF_FLIGHT_HOURS", "FPT=A", "FPO=0A", "ACT_EST_MAPPING=PRECISE", "FS=MRC", "CURRENCY=USD", "XLFILL=b")</f>
        <v>523440</v>
      </c>
      <c r="K102" s="9">
        <f>_xll.BQL("ULCC US Equity", "NUM_OF_FLIGHT_HOURS", "FPT=A", "FPO=-1A", "ACT_EST_MAPPING=PRECISE", "FS=MRC", "CURRENCY=USD", "XLFILL=b")</f>
        <v>451156</v>
      </c>
      <c r="L102" s="9">
        <f>_xll.BQL("ULCC US Equity", "NUM_OF_FLIGHT_HOURS", "FPT=A", "FPO=-2A", "ACT_EST_MAPPING=PRECISE", "FS=MRC", "CURRENCY=USD", "XLFILL=b")</f>
        <v>381018</v>
      </c>
      <c r="M102" s="9">
        <f>_xll.BQL("ULCC US Equity", "NUM_OF_FLIGHT_HOURS", "FPT=A", "FPO=-3A", "ACT_EST_MAPPING=PRECISE", "FS=MRC", "CURRENCY=USD", "XLFILL=b")</f>
        <v>235974</v>
      </c>
      <c r="N102" s="9">
        <f>_xll.BQL("ULCC US Equity", "NUM_OF_FLIGHT_HOURS", "FPT=A", "FPO=-4A", "ACT_EST_MAPPING=PRECISE", "FS=MRC", "CURRENCY=USD", "XLFILL=b")</f>
        <v>389476</v>
      </c>
    </row>
    <row r="103" spans="1:14" x14ac:dyDescent="0.2">
      <c r="A103" s="8" t="s">
        <v>12</v>
      </c>
      <c r="B103" s="4" t="s">
        <v>91</v>
      </c>
      <c r="C103" s="4"/>
      <c r="D103" s="4"/>
      <c r="E103" s="9" t="str">
        <f>_xll.BQL("ULCC US Equity", "FA_GROWTH(NUM_OF_FLIGHT_HOURS, YOY)", "FPT=A", "FPO=5A", "ACT_EST_MAPPING=PRECISE", "FS=MRC", "CURRENCY=USD", "XLFILL=b")</f>
        <v/>
      </c>
      <c r="F103" s="9" t="str">
        <f>_xll.BQL("ULCC US Equity", "FA_GROWTH(NUM_OF_FLIGHT_HOURS, YOY)", "FPT=A", "FPO=4A", "ACT_EST_MAPPING=PRECISE", "FS=MRC", "CURRENCY=USD", "XLFILL=b")</f>
        <v/>
      </c>
      <c r="G103" s="9">
        <f>_xll.BQL("ULCC US Equity", "FA_GROWTH(NUM_OF_FLIGHT_HOURS, YOY)", "FPT=A", "FPO=3A", "ACT_EST_MAPPING=PRECISE", "FS=MRC", "CURRENCY=USD", "XLFILL=b")</f>
        <v>13.508313866528935</v>
      </c>
      <c r="H103" s="9">
        <f>_xll.BQL("ULCC US Equity", "FA_GROWTH(NUM_OF_FLIGHT_HOURS, YOY)", "FPT=A", "FPO=2A", "ACT_EST_MAPPING=PRECISE", "FS=MRC", "CURRENCY=USD", "XLFILL=b")</f>
        <v>11.891497262995006</v>
      </c>
      <c r="I103" s="9">
        <f>_xll.BQL("ULCC US Equity", "FA_GROWTH(NUM_OF_FLIGHT_HOURS, YOY)", "FPT=A", "FPO=1A", "ACT_EST_MAPPING=PRECISE", "FS=MRC", "CURRENCY=USD", "XLFILL=b")</f>
        <v>12.606897610592195</v>
      </c>
      <c r="J103" s="9">
        <f>_xll.BQL("ULCC US Equity", "FA_GROWTH(NUM_OF_FLIGHT_HOURS, YOY)", "FPT=A", "FPO=0A", "ACT_EST_MAPPING=PRECISE", "FS=MRC", "CURRENCY=USD", "XLFILL=b")</f>
        <v>16.021952495367454</v>
      </c>
      <c r="K103" s="9">
        <f>_xll.BQL("ULCC US Equity", "FA_GROWTH(NUM_OF_FLIGHT_HOURS, YOY)", "FPT=A", "FPO=-1A", "ACT_EST_MAPPING=PRECISE", "FS=MRC", "CURRENCY=USD", "XLFILL=b")</f>
        <v>18.40805421266187</v>
      </c>
      <c r="L103" s="9">
        <f>_xll.BQL("ULCC US Equity", "FA_GROWTH(NUM_OF_FLIGHT_HOURS, YOY)", "FPT=A", "FPO=-2A", "ACT_EST_MAPPING=PRECISE", "FS=MRC", "CURRENCY=USD", "XLFILL=b")</f>
        <v>61.466093722189733</v>
      </c>
      <c r="M103" s="9">
        <f>_xll.BQL("ULCC US Equity", "FA_GROWTH(NUM_OF_FLIGHT_HOURS, YOY)", "FPT=A", "FPO=-3A", "ACT_EST_MAPPING=PRECISE", "FS=MRC", "CURRENCY=USD", "XLFILL=b")</f>
        <v>-39.412441331429925</v>
      </c>
      <c r="N103" s="9" t="str">
        <f>_xll.BQL("ULCC US Equity", "FA_GROWTH(NUM_OF_FLIGHT_HOURS, YOY)", "FPT=A", "FPO=-4A", "ACT_EST_MAPPING=PRECISE", "FS=MRC", "CURRENCY=USD", "XLFILL=b")</f>
        <v/>
      </c>
    </row>
    <row r="104" spans="1:14" x14ac:dyDescent="0.2">
      <c r="A104" s="8" t="s">
        <v>92</v>
      </c>
      <c r="B104" s="4" t="s">
        <v>93</v>
      </c>
      <c r="C104" s="4"/>
      <c r="D104" s="4"/>
      <c r="E104" s="9" t="str">
        <f>_xll.BQL("ULCC US Equity", "SEATS_PER_AIRCRAFT_MOVEMENT", "FPT=A", "FPO=5A", "ACT_EST_MAPPING=PRECISE", "FS=MRC", "CURRENCY=USD", "XLFILL=b")</f>
        <v/>
      </c>
      <c r="F104" s="9" t="str">
        <f>_xll.BQL("ULCC US Equity", "SEATS_PER_AIRCRAFT_MOVEMENT", "FPT=A", "FPO=4A", "ACT_EST_MAPPING=PRECISE", "FS=MRC", "CURRENCY=USD", "XLFILL=b")</f>
        <v/>
      </c>
      <c r="G104" s="9">
        <f>_xll.BQL("ULCC US Equity", "SEATS_PER_AIRCRAFT_MOVEMENT", "FPT=A", "FPO=3A", "ACT_EST_MAPPING=PRECISE", "FS=MRC", "CURRENCY=USD", "XLFILL=b")</f>
        <v>208.10848851388886</v>
      </c>
      <c r="H104" s="9">
        <f>_xll.BQL("ULCC US Equity", "SEATS_PER_AIRCRAFT_MOVEMENT", "FPT=A", "FPO=2A", "ACT_EST_MAPPING=PRECISE", "FS=MRC", "CURRENCY=USD", "XLFILL=b")</f>
        <v>206.13207242149235</v>
      </c>
      <c r="I104" s="9">
        <f>_xll.BQL("ULCC US Equity", "SEATS_PER_AIRCRAFT_MOVEMENT", "FPT=A", "FPO=1A", "ACT_EST_MAPPING=PRECISE", "FS=MRC", "CURRENCY=USD", "XLFILL=b")</f>
        <v>205.03771165940978</v>
      </c>
      <c r="J104" s="9">
        <f>_xll.BQL("ULCC US Equity", "SEATS_PER_AIRCRAFT_MOVEMENT", "FPT=A", "FPO=0A", "ACT_EST_MAPPING=PRECISE", "FS=MRC", "CURRENCY=USD", "XLFILL=b")</f>
        <v>199</v>
      </c>
      <c r="K104" s="9">
        <f>_xll.BQL("ULCC US Equity", "SEATS_PER_AIRCRAFT_MOVEMENT", "FPT=A", "FPO=-1A", "ACT_EST_MAPPING=PRECISE", "FS=MRC", "CURRENCY=USD", "XLFILL=b")</f>
        <v>193</v>
      </c>
      <c r="L104" s="9">
        <f>_xll.BQL("ULCC US Equity", "SEATS_PER_AIRCRAFT_MOVEMENT", "FPT=A", "FPO=-2A", "ACT_EST_MAPPING=PRECISE", "FS=MRC", "CURRENCY=USD", "XLFILL=b")</f>
        <v>193</v>
      </c>
      <c r="M104" s="9">
        <f>_xll.BQL("ULCC US Equity", "SEATS_PER_AIRCRAFT_MOVEMENT", "FPT=A", "FPO=-3A", "ACT_EST_MAPPING=PRECISE", "FS=MRC", "CURRENCY=USD", "XLFILL=b")</f>
        <v>191</v>
      </c>
      <c r="N104" s="9">
        <f>_xll.BQL("ULCC US Equity", "SEATS_PER_AIRCRAFT_MOVEMENT", "FPT=A", "FPO=-4A", "ACT_EST_MAPPING=PRECISE", "FS=MRC", "CURRENCY=USD", "XLFILL=b")</f>
        <v>192</v>
      </c>
    </row>
    <row r="105" spans="1:14" x14ac:dyDescent="0.2">
      <c r="A105" s="8" t="s">
        <v>12</v>
      </c>
      <c r="B105" s="4" t="s">
        <v>93</v>
      </c>
      <c r="C105" s="4"/>
      <c r="D105" s="4"/>
      <c r="E105" s="9" t="str">
        <f>_xll.BQL("ULCC US Equity", "FA_GROWTH(SEATS_PER_AIRCRAFT_MOVEMENT, YOY)", "FPT=A", "FPO=5A", "ACT_EST_MAPPING=PRECISE", "FS=MRC", "CURRENCY=USD", "XLFILL=b")</f>
        <v/>
      </c>
      <c r="F105" s="9" t="str">
        <f>_xll.BQL("ULCC US Equity", "FA_GROWTH(SEATS_PER_AIRCRAFT_MOVEMENT, YOY)", "FPT=A", "FPO=4A", "ACT_EST_MAPPING=PRECISE", "FS=MRC", "CURRENCY=USD", "XLFILL=b")</f>
        <v/>
      </c>
      <c r="G105" s="9">
        <f>_xll.BQL("ULCC US Equity", "FA_GROWTH(SEATS_PER_AIRCRAFT_MOVEMENT, YOY)", "FPT=A", "FPO=3A", "ACT_EST_MAPPING=PRECISE", "FS=MRC", "CURRENCY=USD", "XLFILL=b")</f>
        <v>0.95881056702093004</v>
      </c>
      <c r="H105" s="9">
        <f>_xll.BQL("ULCC US Equity", "FA_GROWTH(SEATS_PER_AIRCRAFT_MOVEMENT, YOY)", "FPT=A", "FPO=2A", "ACT_EST_MAPPING=PRECISE", "FS=MRC", "CURRENCY=USD", "XLFILL=b")</f>
        <v>0.53373633231940609</v>
      </c>
      <c r="I105" s="9">
        <f>_xll.BQL("ULCC US Equity", "FA_GROWTH(SEATS_PER_AIRCRAFT_MOVEMENT, YOY)", "FPT=A", "FPO=1A", "ACT_EST_MAPPING=PRECISE", "FS=MRC", "CURRENCY=USD", "XLFILL=b")</f>
        <v>3.0340259595024022</v>
      </c>
      <c r="J105" s="9">
        <f>_xll.BQL("ULCC US Equity", "FA_GROWTH(SEATS_PER_AIRCRAFT_MOVEMENT, YOY)", "FPT=A", "FPO=0A", "ACT_EST_MAPPING=PRECISE", "FS=MRC", "CURRENCY=USD", "XLFILL=b")</f>
        <v>3.1088082901554404</v>
      </c>
      <c r="K105" s="9">
        <f>_xll.BQL("ULCC US Equity", "FA_GROWTH(SEATS_PER_AIRCRAFT_MOVEMENT, YOY)", "FPT=A", "FPO=-1A", "ACT_EST_MAPPING=PRECISE", "FS=MRC", "CURRENCY=USD", "XLFILL=b")</f>
        <v>0</v>
      </c>
      <c r="L105" s="9">
        <f>_xll.BQL("ULCC US Equity", "FA_GROWTH(SEATS_PER_AIRCRAFT_MOVEMENT, YOY)", "FPT=A", "FPO=-2A", "ACT_EST_MAPPING=PRECISE", "FS=MRC", "CURRENCY=USD", "XLFILL=b")</f>
        <v>1.0471204188481675</v>
      </c>
      <c r="M105" s="9">
        <f>_xll.BQL("ULCC US Equity", "FA_GROWTH(SEATS_PER_AIRCRAFT_MOVEMENT, YOY)", "FPT=A", "FPO=-3A", "ACT_EST_MAPPING=PRECISE", "FS=MRC", "CURRENCY=USD", "XLFILL=b")</f>
        <v>-0.52083333333333337</v>
      </c>
      <c r="N105" s="9" t="str">
        <f>_xll.BQL("ULCC US Equity", "FA_GROWTH(SEATS_PER_AIRCRAFT_MOVEMENT, YOY)", "FPT=A", "FPO=-4A", "ACT_EST_MAPPING=PRECISE", "FS=MRC", "CURRENCY=USD", "XLFILL=b")</f>
        <v/>
      </c>
    </row>
    <row r="106" spans="1:14" x14ac:dyDescent="0.2">
      <c r="A106" s="8" t="s">
        <v>94</v>
      </c>
      <c r="B106" s="4" t="s">
        <v>95</v>
      </c>
      <c r="C106" s="4"/>
      <c r="D106" s="4"/>
      <c r="E106" s="9" t="str">
        <f>_xll.BQL("ULCC US Equity", "AVG_AIRCRAFT_UTIL", "FPT=A", "FPO=5A", "ACT_EST_MAPPING=PRECISE", "FS=MRC", "CURRENCY=USD", "XLFILL=b")</f>
        <v/>
      </c>
      <c r="F106" s="9" t="str">
        <f>_xll.BQL("ULCC US Equity", "AVG_AIRCRAFT_UTIL", "FPT=A", "FPO=4A", "ACT_EST_MAPPING=PRECISE", "FS=MRC", "CURRENCY=USD", "XLFILL=b")</f>
        <v/>
      </c>
      <c r="G106" s="9">
        <f>_xll.BQL("ULCC US Equity", "AVG_AIRCRAFT_UTIL", "FPT=A", "FPO=3A", "ACT_EST_MAPPING=PRECISE", "FS=MRC", "CURRENCY=USD", "XLFILL=b")</f>
        <v>11.539322895213576</v>
      </c>
      <c r="H106" s="9">
        <f>_xll.BQL("ULCC US Equity", "AVG_AIRCRAFT_UTIL", "FPT=A", "FPO=2A", "ACT_EST_MAPPING=PRECISE", "FS=MRC", "CURRENCY=USD", "XLFILL=b")</f>
        <v>11.281006936945342</v>
      </c>
      <c r="I106" s="9">
        <f>_xll.BQL("ULCC US Equity", "AVG_AIRCRAFT_UTIL", "FPT=A", "FPO=1A", "ACT_EST_MAPPING=PRECISE", "FS=MRC", "CURRENCY=USD", "XLFILL=b")</f>
        <v>11.084316702215347</v>
      </c>
      <c r="J106" s="9">
        <f>_xll.BQL("ULCC US Equity", "AVG_AIRCRAFT_UTIL", "FPT=A", "FPO=0A", "ACT_EST_MAPPING=PRECISE", "FS=MRC", "CURRENCY=USD", "XLFILL=b")</f>
        <v>11.3</v>
      </c>
      <c r="K106" s="9">
        <f>_xll.BQL("ULCC US Equity", "AVG_AIRCRAFT_UTIL", "FPT=A", "FPO=-1A", "ACT_EST_MAPPING=PRECISE", "FS=MRC", "CURRENCY=USD", "XLFILL=b")</f>
        <v>11.1</v>
      </c>
      <c r="L106" s="9">
        <f>_xll.BQL("ULCC US Equity", "AVG_AIRCRAFT_UTIL", "FPT=A", "FPO=-2A", "ACT_EST_MAPPING=PRECISE", "FS=MRC", "CURRENCY=USD", "XLFILL=b")</f>
        <v>9.8000000000000007</v>
      </c>
      <c r="M106" s="9">
        <f>_xll.BQL("ULCC US Equity", "AVG_AIRCRAFT_UTIL", "FPT=A", "FPO=-3A", "ACT_EST_MAPPING=PRECISE", "FS=MRC", "CURRENCY=USD", "XLFILL=b")</f>
        <v>8</v>
      </c>
      <c r="N106" s="9">
        <f>_xll.BQL("ULCC US Equity", "AVG_AIRCRAFT_UTIL", "FPT=A", "FPO=-4A", "ACT_EST_MAPPING=PRECISE", "FS=MRC", "CURRENCY=USD", "XLFILL=b")</f>
        <v>12.2</v>
      </c>
    </row>
    <row r="107" spans="1:14" x14ac:dyDescent="0.2">
      <c r="A107" s="8" t="s">
        <v>12</v>
      </c>
      <c r="B107" s="4" t="s">
        <v>95</v>
      </c>
      <c r="C107" s="4"/>
      <c r="D107" s="4"/>
      <c r="E107" s="9" t="str">
        <f>_xll.BQL("ULCC US Equity", "FA_GROWTH(AVG_AIRCRAFT_UTIL, YOY)", "FPT=A", "FPO=5A", "ACT_EST_MAPPING=PRECISE", "FS=MRC", "CURRENCY=USD", "XLFILL=b")</f>
        <v/>
      </c>
      <c r="F107" s="9" t="str">
        <f>_xll.BQL("ULCC US Equity", "FA_GROWTH(AVG_AIRCRAFT_UTIL, YOY)", "FPT=A", "FPO=4A", "ACT_EST_MAPPING=PRECISE", "FS=MRC", "CURRENCY=USD", "XLFILL=b")</f>
        <v/>
      </c>
      <c r="G107" s="9">
        <f>_xll.BQL("ULCC US Equity", "FA_GROWTH(AVG_AIRCRAFT_UTIL, YOY)", "FPT=A", "FPO=3A", "ACT_EST_MAPPING=PRECISE", "FS=MRC", "CURRENCY=USD", "XLFILL=b")</f>
        <v>2.2898306836621862</v>
      </c>
      <c r="H107" s="9">
        <f>_xll.BQL("ULCC US Equity", "FA_GROWTH(AVG_AIRCRAFT_UTIL, YOY)", "FPT=A", "FPO=2A", "ACT_EST_MAPPING=PRECISE", "FS=MRC", "CURRENCY=USD", "XLFILL=b")</f>
        <v>1.7744912926449004</v>
      </c>
      <c r="I107" s="9">
        <f>_xll.BQL("ULCC US Equity", "FA_GROWTH(AVG_AIRCRAFT_UTIL, YOY)", "FPT=A", "FPO=1A", "ACT_EST_MAPPING=PRECISE", "FS=MRC", "CURRENCY=USD", "XLFILL=b")</f>
        <v>-1.9087017503066734</v>
      </c>
      <c r="J107" s="9">
        <f>_xll.BQL("ULCC US Equity", "FA_GROWTH(AVG_AIRCRAFT_UTIL, YOY)", "FPT=A", "FPO=0A", "ACT_EST_MAPPING=PRECISE", "FS=MRC", "CURRENCY=USD", "XLFILL=b")</f>
        <v>1.8018018018018114</v>
      </c>
      <c r="K107" s="9">
        <f>_xll.BQL("ULCC US Equity", "FA_GROWTH(AVG_AIRCRAFT_UTIL, YOY)", "FPT=A", "FPO=-1A", "ACT_EST_MAPPING=PRECISE", "FS=MRC", "CURRENCY=USD", "XLFILL=b")</f>
        <v>13.265306122448967</v>
      </c>
      <c r="L107" s="9">
        <f>_xll.BQL("ULCC US Equity", "FA_GROWTH(AVG_AIRCRAFT_UTIL, YOY)", "FPT=A", "FPO=-2A", "ACT_EST_MAPPING=PRECISE", "FS=MRC", "CURRENCY=USD", "XLFILL=b")</f>
        <v>22.500000000000007</v>
      </c>
      <c r="M107" s="9">
        <f>_xll.BQL("ULCC US Equity", "FA_GROWTH(AVG_AIRCRAFT_UTIL, YOY)", "FPT=A", "FPO=-3A", "ACT_EST_MAPPING=PRECISE", "FS=MRC", "CURRENCY=USD", "XLFILL=b")</f>
        <v>-34.42622950819672</v>
      </c>
      <c r="N107" s="9" t="str">
        <f>_xll.BQL("ULCC US Equity", "FA_GROWTH(AVG_AIRCRAFT_UTIL, YOY)", "FPT=A", "FPO=-4A", "ACT_EST_MAPPING=PRECISE", "FS=MRC", "CURRENCY=USD", "XLFILL=b")</f>
        <v/>
      </c>
    </row>
    <row r="108" spans="1:14" x14ac:dyDescent="0.2">
      <c r="A108" s="8" t="s">
        <v>16</v>
      </c>
      <c r="B108" s="4"/>
      <c r="C108" s="4"/>
      <c r="D108" s="4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1:14" x14ac:dyDescent="0.2">
      <c r="A109" s="8" t="s">
        <v>96</v>
      </c>
      <c r="B109" s="4"/>
      <c r="C109" s="4" t="s">
        <v>97</v>
      </c>
      <c r="D109" s="4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1:14" x14ac:dyDescent="0.2">
      <c r="A110" s="8" t="s">
        <v>13</v>
      </c>
      <c r="B110" s="4"/>
      <c r="C110" s="4"/>
      <c r="D110" s="4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 x14ac:dyDescent="0.2">
      <c r="A111" s="8" t="s">
        <v>67</v>
      </c>
      <c r="B111" s="4" t="s">
        <v>24</v>
      </c>
      <c r="C111" s="4"/>
      <c r="D111" s="4"/>
      <c r="E111" s="9" t="str">
        <f>_xll.BQL("ULCC US Equity", "TOTAL_PASSENGER_REVENUE/1M", "FPT=A", "FPO=5A", "ACT_EST_MAPPING=PRECISE", "FS=MRC", "CURRENCY=USD", "XLFILL=b")</f>
        <v/>
      </c>
      <c r="F111" s="9" t="str">
        <f>_xll.BQL("ULCC US Equity", "TOTAL_PASSENGER_REVENUE/1M", "FPT=A", "FPO=4A", "ACT_EST_MAPPING=PRECISE", "FS=MRC", "CURRENCY=USD", "XLFILL=b")</f>
        <v/>
      </c>
      <c r="G111" s="9">
        <f>_xll.BQL("ULCC US Equity", "TOTAL_PASSENGER_REVENUE/1M", "FPT=A", "FPO=3A", "ACT_EST_MAPPING=PRECISE", "FS=MRC", "CURRENCY=USD", "XLFILL=b")</f>
        <v>4698.6693555460542</v>
      </c>
      <c r="H111" s="9">
        <f>_xll.BQL("ULCC US Equity", "TOTAL_PASSENGER_REVENUE/1M", "FPT=A", "FPO=2A", "ACT_EST_MAPPING=PRECISE", "FS=MRC", "CURRENCY=USD", "XLFILL=b")</f>
        <v>4084.4483483361764</v>
      </c>
      <c r="I111" s="9">
        <f>_xll.BQL("ULCC US Equity", "TOTAL_PASSENGER_REVENUE/1M", "FPT=A", "FPO=1A", "ACT_EST_MAPPING=PRECISE", "FS=MRC", "CURRENCY=USD", "XLFILL=b")</f>
        <v>3636.0412942078615</v>
      </c>
      <c r="J111" s="9">
        <f>_xll.BQL("ULCC US Equity", "TOTAL_PASSENGER_REVENUE/1M", "FPT=A", "FPO=0A", "ACT_EST_MAPPING=PRECISE", "FS=MRC", "CURRENCY=USD", "XLFILL=b")</f>
        <v>3509</v>
      </c>
      <c r="K111" s="9">
        <f>_xll.BQL("ULCC US Equity", "TOTAL_PASSENGER_REVENUE/1M", "FPT=A", "FPO=-1A", "ACT_EST_MAPPING=PRECISE", "FS=MRC", "CURRENCY=USD", "XLFILL=b")</f>
        <v>3248</v>
      </c>
      <c r="L111" s="9">
        <f>_xll.BQL("ULCC US Equity", "TOTAL_PASSENGER_REVENUE/1M", "FPT=A", "FPO=-2A", "ACT_EST_MAPPING=PRECISE", "FS=MRC", "CURRENCY=USD", "XLFILL=b")</f>
        <v>2000</v>
      </c>
      <c r="M111" s="9">
        <f>_xll.BQL("ULCC US Equity", "TOTAL_PASSENGER_REVENUE/1M", "FPT=A", "FPO=-3A", "ACT_EST_MAPPING=PRECISE", "FS=MRC", "CURRENCY=USD", "XLFILL=b")</f>
        <v>1207</v>
      </c>
      <c r="N111" s="9">
        <f>_xll.BQL("ULCC US Equity", "TOTAL_PASSENGER_REVENUE/1M", "FPT=A", "FPO=-4A", "ACT_EST_MAPPING=PRECISE", "FS=MRC", "CURRENCY=USD", "XLFILL=b")</f>
        <v>2445</v>
      </c>
    </row>
    <row r="112" spans="1:14" x14ac:dyDescent="0.2">
      <c r="A112" s="8" t="s">
        <v>28</v>
      </c>
      <c r="B112" s="4" t="s">
        <v>24</v>
      </c>
      <c r="C112" s="4"/>
      <c r="D112" s="4"/>
      <c r="E112" s="9" t="str">
        <f>_xll.BQL("ULCC US Equity", "FA_GROWTH(TOTAL_PASSENGER_REVENUE, YOY)", "FPT=A", "FPO=5A", "ACT_EST_MAPPING=PRECISE", "FS=MRC", "CURRENCY=USD", "XLFILL=b")</f>
        <v/>
      </c>
      <c r="F112" s="9" t="str">
        <f>_xll.BQL("ULCC US Equity", "FA_GROWTH(TOTAL_PASSENGER_REVENUE, YOY)", "FPT=A", "FPO=4A", "ACT_EST_MAPPING=PRECISE", "FS=MRC", "CURRENCY=USD", "XLFILL=b")</f>
        <v/>
      </c>
      <c r="G112" s="9">
        <f>_xll.BQL("ULCC US Equity", "FA_GROWTH(TOTAL_PASSENGER_REVENUE, YOY)", "FPT=A", "FPO=3A", "ACT_EST_MAPPING=PRECISE", "FS=MRC", "CURRENCY=USD", "XLFILL=b")</f>
        <v>15.038040754269398</v>
      </c>
      <c r="H112" s="9">
        <f>_xll.BQL("ULCC US Equity", "FA_GROWTH(TOTAL_PASSENGER_REVENUE, YOY)", "FPT=A", "FPO=2A", "ACT_EST_MAPPING=PRECISE", "FS=MRC", "CURRENCY=USD", "XLFILL=b")</f>
        <v>12.332287172937725</v>
      </c>
      <c r="I112" s="9">
        <f>_xll.BQL("ULCC US Equity", "FA_GROWTH(TOTAL_PASSENGER_REVENUE, YOY)", "FPT=A", "FPO=1A", "ACT_EST_MAPPING=PRECISE", "FS=MRC", "CURRENCY=USD", "XLFILL=b")</f>
        <v>3.6204415562228962</v>
      </c>
      <c r="J112" s="9">
        <f>_xll.BQL("ULCC US Equity", "FA_GROWTH(TOTAL_PASSENGER_REVENUE, YOY)", "FPT=A", "FPO=0A", "ACT_EST_MAPPING=PRECISE", "FS=MRC", "CURRENCY=USD", "XLFILL=b")</f>
        <v>8.0357142857142865</v>
      </c>
      <c r="K112" s="9">
        <f>_xll.BQL("ULCC US Equity", "FA_GROWTH(TOTAL_PASSENGER_REVENUE, YOY)", "FPT=A", "FPO=-1A", "ACT_EST_MAPPING=PRECISE", "FS=MRC", "CURRENCY=USD", "XLFILL=b")</f>
        <v>62.4</v>
      </c>
      <c r="L112" s="9">
        <f>_xll.BQL("ULCC US Equity", "FA_GROWTH(TOTAL_PASSENGER_REVENUE, YOY)", "FPT=A", "FPO=-2A", "ACT_EST_MAPPING=PRECISE", "FS=MRC", "CURRENCY=USD", "XLFILL=b")</f>
        <v>65.700082850041426</v>
      </c>
      <c r="M112" s="9">
        <f>_xll.BQL("ULCC US Equity", "FA_GROWTH(TOTAL_PASSENGER_REVENUE, YOY)", "FPT=A", "FPO=-3A", "ACT_EST_MAPPING=PRECISE", "FS=MRC", "CURRENCY=USD", "XLFILL=b")</f>
        <v>-50.633946830265849</v>
      </c>
      <c r="N112" s="9">
        <f>_xll.BQL("ULCC US Equity", "FA_GROWTH(TOTAL_PASSENGER_REVENUE, YOY)", "FPT=A", "FPO=-4A", "ACT_EST_MAPPING=PRECISE", "FS=MRC", "CURRENCY=USD", "XLFILL=b")</f>
        <v>16.317792578496668</v>
      </c>
    </row>
    <row r="113" spans="1:14" x14ac:dyDescent="0.2">
      <c r="A113" s="8" t="s">
        <v>98</v>
      </c>
      <c r="B113" s="4" t="s">
        <v>26</v>
      </c>
      <c r="C113" s="4" t="s">
        <v>99</v>
      </c>
      <c r="D113" s="4" t="s">
        <v>27</v>
      </c>
      <c r="E113" s="9" t="str">
        <f>_xll.BQL("SEG0000474269 Segment", "SALES_REV_TURN/1M", "FPT=A", "FPO=5A", "ACT_EST_MAPPING=PRECISE", "FS=MRC", "CURRENCY=USD", "XLFILL=b")</f>
        <v/>
      </c>
      <c r="F113" s="9" t="str">
        <f>_xll.BQL("SEG0000474269 Segment", "SALES_REV_TURN/1M", "FPT=A", "FPO=4A", "ACT_EST_MAPPING=PRECISE", "FS=MRC", "CURRENCY=USD", "XLFILL=b")</f>
        <v/>
      </c>
      <c r="G113" s="9">
        <f>_xll.BQL("SEG0000474269 Segment", "SALES_REV_TURN/1M", "FPT=A", "FPO=3A", "ACT_EST_MAPPING=PRECISE", "FS=MRC", "CURRENCY=USD", "XLFILL=b")</f>
        <v>2544.9304271847764</v>
      </c>
      <c r="H113" s="9">
        <f>_xll.BQL("SEG0000474269 Segment", "SALES_REV_TURN/1M", "FPT=A", "FPO=2A", "ACT_EST_MAPPING=PRECISE", "FS=MRC", "CURRENCY=USD", "XLFILL=b")</f>
        <v>1587.6030323092486</v>
      </c>
      <c r="I113" s="9">
        <f>_xll.BQL("SEG0000474269 Segment", "SALES_REV_TURN/1M", "FPT=A", "FPO=1A", "ACT_EST_MAPPING=PRECISE", "FS=MRC", "CURRENCY=USD", "XLFILL=b")</f>
        <v>1743.7875250873124</v>
      </c>
      <c r="J113" s="9">
        <f>_xll.BQL("SEG0000474269 Segment", "SALES_REV_TURN/1M", "FPT=A", "FPO=0A", "ACT_EST_MAPPING=PRECISE", "FS=MRC", "CURRENCY=USD", "XLFILL=b")</f>
        <v>1277</v>
      </c>
      <c r="K113" s="9">
        <f>_xll.BQL("SEG0000474269 Segment", "SALES_REV_TURN/1M", "FPT=A", "FPO=-1A", "ACT_EST_MAPPING=PRECISE", "FS=MRC", "CURRENCY=USD", "XLFILL=b")</f>
        <v>1382</v>
      </c>
      <c r="L113" s="9">
        <f>_xll.BQL("SEG0000474269 Segment", "SALES_REV_TURN/1M", "FPT=A", "FPO=-2A", "ACT_EST_MAPPING=PRECISE", "FS=MRC", "CURRENCY=USD", "XLFILL=b")</f>
        <v>806</v>
      </c>
      <c r="M113" s="9">
        <f>_xll.BQL("SEG0000474269 Segment", "SALES_REV_TURN/1M", "FPT=A", "FPO=-3A", "ACT_EST_MAPPING=PRECISE", "FS=MRC", "CURRENCY=USD", "XLFILL=b")</f>
        <v>548</v>
      </c>
      <c r="N113" s="9">
        <f>_xll.BQL("SEG0000474269 Segment", "SALES_REV_TURN/1M", "FPT=A", "FPO=-4A", "ACT_EST_MAPPING=PRECISE", "FS=MRC", "CURRENCY=USD", "XLFILL=b")</f>
        <v>1205</v>
      </c>
    </row>
    <row r="114" spans="1:14" x14ac:dyDescent="0.2">
      <c r="A114" s="8" t="s">
        <v>71</v>
      </c>
      <c r="B114" s="4" t="s">
        <v>26</v>
      </c>
      <c r="C114" s="4" t="s">
        <v>99</v>
      </c>
      <c r="D114" s="4" t="s">
        <v>27</v>
      </c>
      <c r="E114" s="9" t="str">
        <f>_xll.BQL("SEG0000474269 Segment", "FA_GROWTH(SALES_REV_TURN, YOY)", "FPT=A", "FPO=5A", "ACT_EST_MAPPING=PRECISE", "FS=MRC", "CURRENCY=USD", "XLFILL=b")</f>
        <v/>
      </c>
      <c r="F114" s="9" t="str">
        <f>_xll.BQL("SEG0000474269 Segment", "FA_GROWTH(SALES_REV_TURN, YOY)", "FPT=A", "FPO=4A", "ACT_EST_MAPPING=PRECISE", "FS=MRC", "CURRENCY=USD", "XLFILL=b")</f>
        <v/>
      </c>
      <c r="G114" s="9">
        <f>_xll.BQL("SEG0000474269 Segment", "FA_GROWTH(SALES_REV_TURN, YOY)", "FPT=A", "FPO=3A", "ACT_EST_MAPPING=PRECISE", "FS=MRC", "CURRENCY=USD", "XLFILL=b")</f>
        <v>60.300174249670377</v>
      </c>
      <c r="H114" s="9">
        <f>_xll.BQL("SEG0000474269 Segment", "FA_GROWTH(SALES_REV_TURN, YOY)", "FPT=A", "FPO=2A", "ACT_EST_MAPPING=PRECISE", "FS=MRC", "CURRENCY=USD", "XLFILL=b")</f>
        <v>-8.9566240457101287</v>
      </c>
      <c r="I114" s="9">
        <f>_xll.BQL("SEG0000474269 Segment", "FA_GROWTH(SALES_REV_TURN, YOY)", "FPT=A", "FPO=1A", "ACT_EST_MAPPING=PRECISE", "FS=MRC", "CURRENCY=USD", "XLFILL=b")</f>
        <v>36.553447540118441</v>
      </c>
      <c r="J114" s="9">
        <f>_xll.BQL("SEG0000474269 Segment", "FA_GROWTH(SALES_REV_TURN, YOY)", "FPT=A", "FPO=0A", "ACT_EST_MAPPING=PRECISE", "FS=MRC", "CURRENCY=USD", "XLFILL=b")</f>
        <v>-7.5976845151953691</v>
      </c>
      <c r="K114" s="9">
        <f>_xll.BQL("SEG0000474269 Segment", "FA_GROWTH(SALES_REV_TURN, YOY)", "FPT=A", "FPO=-1A", "ACT_EST_MAPPING=PRECISE", "FS=MRC", "CURRENCY=USD", "XLFILL=b")</f>
        <v>71.464019851116632</v>
      </c>
      <c r="L114" s="9">
        <f>_xll.BQL("SEG0000474269 Segment", "FA_GROWTH(SALES_REV_TURN, YOY)", "FPT=A", "FPO=-2A", "ACT_EST_MAPPING=PRECISE", "FS=MRC", "CURRENCY=USD", "XLFILL=b")</f>
        <v>47.080291970802918</v>
      </c>
      <c r="M114" s="9">
        <f>_xll.BQL("SEG0000474269 Segment", "FA_GROWTH(SALES_REV_TURN, YOY)", "FPT=A", "FPO=-3A", "ACT_EST_MAPPING=PRECISE", "FS=MRC", "CURRENCY=USD", "XLFILL=b")</f>
        <v>-54.522821576763484</v>
      </c>
      <c r="N114" s="9">
        <f>_xll.BQL("SEG0000474269 Segment", "FA_GROWTH(SALES_REV_TURN, YOY)", "FPT=A", "FPO=-4A", "ACT_EST_MAPPING=PRECISE", "FS=MRC", "CURRENCY=USD", "XLFILL=b")</f>
        <v>10.957642725598527</v>
      </c>
    </row>
    <row r="115" spans="1:14" x14ac:dyDescent="0.2">
      <c r="A115" s="8" t="s">
        <v>100</v>
      </c>
      <c r="B115" s="4" t="s">
        <v>26</v>
      </c>
      <c r="C115" s="4" t="s">
        <v>101</v>
      </c>
      <c r="D115" s="4" t="s">
        <v>30</v>
      </c>
      <c r="E115" s="9" t="str">
        <f>_xll.BQL("SEG0000474266 Segment", "SALES_REV_TURN/1M", "FPT=A", "FPO=5A", "ACT_EST_MAPPING=PRECISE", "FS=MRC", "CURRENCY=USD", "XLFILL=b")</f>
        <v/>
      </c>
      <c r="F115" s="9" t="str">
        <f>_xll.BQL("SEG0000474266 Segment", "SALES_REV_TURN/1M", "FPT=A", "FPO=4A", "ACT_EST_MAPPING=PRECISE", "FS=MRC", "CURRENCY=USD", "XLFILL=b")</f>
        <v/>
      </c>
      <c r="G115" s="9">
        <f>_xll.BQL("SEG0000474266 Segment", "SALES_REV_TURN/1M", "FPT=A", "FPO=3A", "ACT_EST_MAPPING=PRECISE", "FS=MRC", "CURRENCY=USD", "XLFILL=b")</f>
        <v>2885.2340540622831</v>
      </c>
      <c r="H115" s="9">
        <f>_xll.BQL("SEG0000474266 Segment", "SALES_REV_TURN/1M", "FPT=A", "FPO=2A", "ACT_EST_MAPPING=PRECISE", "FS=MRC", "CURRENCY=USD", "XLFILL=b")</f>
        <v>2539.2869255564506</v>
      </c>
      <c r="I115" s="9">
        <f>_xll.BQL("SEG0000474266 Segment", "SALES_REV_TURN/1M", "FPT=A", "FPO=1A", "ACT_EST_MAPPING=PRECISE", "FS=MRC", "CURRENCY=USD", "XLFILL=b")</f>
        <v>2289.1083636865319</v>
      </c>
      <c r="J115" s="9">
        <f>_xll.BQL("SEG0000474266 Segment", "SALES_REV_TURN/1M", "FPT=A", "FPO=0A", "ACT_EST_MAPPING=PRECISE", "FS=MRC", "CURRENCY=USD", "XLFILL=b")</f>
        <v>2232</v>
      </c>
      <c r="K115" s="9">
        <f>_xll.BQL("SEG0000474266 Segment", "SALES_REV_TURN/1M", "FPT=A", "FPO=-1A", "ACT_EST_MAPPING=PRECISE", "FS=MRC", "CURRENCY=USD", "XLFILL=b")</f>
        <v>1866</v>
      </c>
      <c r="L115" s="9">
        <f>_xll.BQL("SEG0000474266 Segment", "SALES_REV_TURN/1M", "FPT=A", "FPO=-2A", "ACT_EST_MAPPING=PRECISE", "FS=MRC", "CURRENCY=USD", "XLFILL=b")</f>
        <v>1194</v>
      </c>
      <c r="M115" s="9">
        <f>_xll.BQL("SEG0000474266 Segment", "SALES_REV_TURN/1M", "FPT=A", "FPO=-3A", "ACT_EST_MAPPING=PRECISE", "FS=MRC", "CURRENCY=USD", "XLFILL=b")</f>
        <v>659</v>
      </c>
      <c r="N115" s="9">
        <f>_xll.BQL("SEG0000474266 Segment", "SALES_REV_TURN/1M", "FPT=A", "FPO=-4A", "ACT_EST_MAPPING=PRECISE", "FS=MRC", "CURRENCY=USD", "XLFILL=b")</f>
        <v>1240</v>
      </c>
    </row>
    <row r="116" spans="1:14" x14ac:dyDescent="0.2">
      <c r="A116" s="8" t="s">
        <v>71</v>
      </c>
      <c r="B116" s="4" t="s">
        <v>26</v>
      </c>
      <c r="C116" s="4" t="s">
        <v>101</v>
      </c>
      <c r="D116" s="4" t="s">
        <v>30</v>
      </c>
      <c r="E116" s="9" t="str">
        <f>_xll.BQL("SEG0000474266 Segment", "FA_GROWTH(SALES_REV_TURN, YOY)", "FPT=A", "FPO=5A", "ACT_EST_MAPPING=PRECISE", "FS=MRC", "CURRENCY=USD", "XLFILL=b")</f>
        <v/>
      </c>
      <c r="F116" s="9" t="str">
        <f>_xll.BQL("SEG0000474266 Segment", "FA_GROWTH(SALES_REV_TURN, YOY)", "FPT=A", "FPO=4A", "ACT_EST_MAPPING=PRECISE", "FS=MRC", "CURRENCY=USD", "XLFILL=b")</f>
        <v/>
      </c>
      <c r="G116" s="9">
        <f>_xll.BQL("SEG0000474266 Segment", "FA_GROWTH(SALES_REV_TURN, YOY)", "FPT=A", "FPO=3A", "ACT_EST_MAPPING=PRECISE", "FS=MRC", "CURRENCY=USD", "XLFILL=b")</f>
        <v>13.623790404466524</v>
      </c>
      <c r="H116" s="9">
        <f>_xll.BQL("SEG0000474266 Segment", "FA_GROWTH(SALES_REV_TURN, YOY)", "FPT=A", "FPO=2A", "ACT_EST_MAPPING=PRECISE", "FS=MRC", "CURRENCY=USD", "XLFILL=b")</f>
        <v>10.929083386293438</v>
      </c>
      <c r="I116" s="9">
        <f>_xll.BQL("SEG0000474266 Segment", "FA_GROWTH(SALES_REV_TURN, YOY)", "FPT=A", "FPO=1A", "ACT_EST_MAPPING=PRECISE", "FS=MRC", "CURRENCY=USD", "XLFILL=b")</f>
        <v>2.5586184447370979</v>
      </c>
      <c r="J116" s="9">
        <f>_xll.BQL("SEG0000474266 Segment", "FA_GROWTH(SALES_REV_TURN, YOY)", "FPT=A", "FPO=0A", "ACT_EST_MAPPING=PRECISE", "FS=MRC", "CURRENCY=USD", "XLFILL=b")</f>
        <v>19.614147909967844</v>
      </c>
      <c r="K116" s="9">
        <f>_xll.BQL("SEG0000474266 Segment", "FA_GROWTH(SALES_REV_TURN, YOY)", "FPT=A", "FPO=-1A", "ACT_EST_MAPPING=PRECISE", "FS=MRC", "CURRENCY=USD", "XLFILL=b")</f>
        <v>56.281407035175882</v>
      </c>
      <c r="L116" s="9">
        <f>_xll.BQL("SEG0000474266 Segment", "FA_GROWTH(SALES_REV_TURN, YOY)", "FPT=A", "FPO=-2A", "ACT_EST_MAPPING=PRECISE", "FS=MRC", "CURRENCY=USD", "XLFILL=b")</f>
        <v>81.183611532625193</v>
      </c>
      <c r="M116" s="9">
        <f>_xll.BQL("SEG0000474266 Segment", "FA_GROWTH(SALES_REV_TURN, YOY)", "FPT=A", "FPO=-3A", "ACT_EST_MAPPING=PRECISE", "FS=MRC", "CURRENCY=USD", "XLFILL=b")</f>
        <v>-46.854838709677416</v>
      </c>
      <c r="N116" s="9">
        <f>_xll.BQL("SEG0000474266 Segment", "FA_GROWTH(SALES_REV_TURN, YOY)", "FPT=A", "FPO=-4A", "ACT_EST_MAPPING=PRECISE", "FS=MRC", "CURRENCY=USD", "XLFILL=b")</f>
        <v>22.047244094488189</v>
      </c>
    </row>
    <row r="117" spans="1:14" x14ac:dyDescent="0.2">
      <c r="A117" s="8" t="s">
        <v>73</v>
      </c>
      <c r="B117" s="4" t="s">
        <v>26</v>
      </c>
      <c r="C117" s="4" t="s">
        <v>102</v>
      </c>
      <c r="D117" s="4" t="s">
        <v>74</v>
      </c>
      <c r="E117" s="9" t="str">
        <f>_xll.BQL("SEG0000474268 Segment", "SALES_REV_TURN/1M", "FPT=A", "FPO=5A", "ACT_EST_MAPPING=PRECISE", "FS=MRC", "CURRENCY=USD", "XLFILL=b")</f>
        <v/>
      </c>
      <c r="F117" s="9" t="str">
        <f>_xll.BQL("SEG0000474268 Segment", "SALES_REV_TURN/1M", "FPT=A", "FPO=4A", "ACT_EST_MAPPING=PRECISE", "FS=MRC", "CURRENCY=USD", "XLFILL=b")</f>
        <v/>
      </c>
      <c r="G117" s="9">
        <f>_xll.BQL("SEG0000474268 Segment", "SALES_REV_TURN/1M", "FPT=A", "FPO=3A", "ACT_EST_MAPPING=PRECISE", "FS=MRC", "CURRENCY=USD", "XLFILL=b")</f>
        <v>119.54661680480535</v>
      </c>
      <c r="H117" s="9">
        <f>_xll.BQL("SEG0000474268 Segment", "SALES_REV_TURN/1M", "FPT=A", "FPO=2A", "ACT_EST_MAPPING=PRECISE", "FS=MRC", "CURRENCY=USD", "XLFILL=b")</f>
        <v>101.04015326869421</v>
      </c>
      <c r="I117" s="9">
        <f>_xll.BQL("SEG0000474268 Segment", "SALES_REV_TURN/1M", "FPT=A", "FPO=1A", "ACT_EST_MAPPING=PRECISE", "FS=MRC", "CURRENCY=USD", "XLFILL=b")</f>
        <v>86.845771281667623</v>
      </c>
      <c r="J117" s="9">
        <f>_xll.BQL("SEG0000474268 Segment", "SALES_REV_TURN/1M", "FPT=A", "FPO=0A", "ACT_EST_MAPPING=PRECISE", "FS=MRC", "CURRENCY=USD", "XLFILL=b")</f>
        <v>80</v>
      </c>
      <c r="K117" s="9">
        <f>_xll.BQL("SEG0000474268 Segment", "SALES_REV_TURN/1M", "FPT=A", "FPO=-1A", "ACT_EST_MAPPING=PRECISE", "FS=MRC", "CURRENCY=USD", "XLFILL=b")</f>
        <v>78</v>
      </c>
      <c r="L117" s="9">
        <f>_xll.BQL("SEG0000474268 Segment", "SALES_REV_TURN/1M", "FPT=A", "FPO=-2A", "ACT_EST_MAPPING=PRECISE", "FS=MRC", "CURRENCY=USD", "XLFILL=b")</f>
        <v>60</v>
      </c>
      <c r="M117" s="9">
        <f>_xll.BQL("SEG0000474268 Segment", "SALES_REV_TURN/1M", "FPT=A", "FPO=-3A", "ACT_EST_MAPPING=PRECISE", "FS=MRC", "CURRENCY=USD", "XLFILL=b")</f>
        <v>43</v>
      </c>
      <c r="N117" s="9">
        <f>_xll.BQL("SEG0000474268 Segment", "SALES_REV_TURN/1M", "FPT=A", "FPO=-4A", "ACT_EST_MAPPING=PRECISE", "FS=MRC", "CURRENCY=USD", "XLFILL=b")</f>
        <v>63</v>
      </c>
    </row>
    <row r="118" spans="1:14" x14ac:dyDescent="0.2">
      <c r="A118" s="8" t="s">
        <v>28</v>
      </c>
      <c r="B118" s="4" t="s">
        <v>26</v>
      </c>
      <c r="C118" s="4" t="s">
        <v>102</v>
      </c>
      <c r="D118" s="4" t="s">
        <v>74</v>
      </c>
      <c r="E118" s="9" t="str">
        <f>_xll.BQL("SEG0000474268 Segment", "FA_GROWTH(SALES_REV_TURN, YOY)", "FPT=A", "FPO=5A", "ACT_EST_MAPPING=PRECISE", "FS=MRC", "CURRENCY=USD", "XLFILL=b")</f>
        <v/>
      </c>
      <c r="F118" s="9" t="str">
        <f>_xll.BQL("SEG0000474268 Segment", "FA_GROWTH(SALES_REV_TURN, YOY)", "FPT=A", "FPO=4A", "ACT_EST_MAPPING=PRECISE", "FS=MRC", "CURRENCY=USD", "XLFILL=b")</f>
        <v/>
      </c>
      <c r="G118" s="9">
        <f>_xll.BQL("SEG0000474268 Segment", "FA_GROWTH(SALES_REV_TURN, YOY)", "FPT=A", "FPO=3A", "ACT_EST_MAPPING=PRECISE", "FS=MRC", "CURRENCY=USD", "XLFILL=b")</f>
        <v>18.315949587781454</v>
      </c>
      <c r="H118" s="9">
        <f>_xll.BQL("SEG0000474268 Segment", "FA_GROWTH(SALES_REV_TURN, YOY)", "FPT=A", "FPO=2A", "ACT_EST_MAPPING=PRECISE", "FS=MRC", "CURRENCY=USD", "XLFILL=b")</f>
        <v>16.344355951413949</v>
      </c>
      <c r="I118" s="9">
        <f>_xll.BQL("SEG0000474268 Segment", "FA_GROWTH(SALES_REV_TURN, YOY)", "FPT=A", "FPO=1A", "ACT_EST_MAPPING=PRECISE", "FS=MRC", "CURRENCY=USD", "XLFILL=b")</f>
        <v>8.557214102084524</v>
      </c>
      <c r="J118" s="9">
        <f>_xll.BQL("SEG0000474268 Segment", "FA_GROWTH(SALES_REV_TURN, YOY)", "FPT=A", "FPO=0A", "ACT_EST_MAPPING=PRECISE", "FS=MRC", "CURRENCY=USD", "XLFILL=b")</f>
        <v>2.5641025641025643</v>
      </c>
      <c r="K118" s="9">
        <f>_xll.BQL("SEG0000474268 Segment", "FA_GROWTH(SALES_REV_TURN, YOY)", "FPT=A", "FPO=-1A", "ACT_EST_MAPPING=PRECISE", "FS=MRC", "CURRENCY=USD", "XLFILL=b")</f>
        <v>30</v>
      </c>
      <c r="L118" s="9">
        <f>_xll.BQL("SEG0000474268 Segment", "FA_GROWTH(SALES_REV_TURN, YOY)", "FPT=A", "FPO=-2A", "ACT_EST_MAPPING=PRECISE", "FS=MRC", "CURRENCY=USD", "XLFILL=b")</f>
        <v>39.534883720930232</v>
      </c>
      <c r="M118" s="9">
        <f>_xll.BQL("SEG0000474268 Segment", "FA_GROWTH(SALES_REV_TURN, YOY)", "FPT=A", "FPO=-3A", "ACT_EST_MAPPING=PRECISE", "FS=MRC", "CURRENCY=USD", "XLFILL=b")</f>
        <v>-31.746031746031747</v>
      </c>
      <c r="N118" s="9">
        <f>_xll.BQL("SEG0000474268 Segment", "FA_GROWTH(SALES_REV_TURN, YOY)", "FPT=A", "FPO=-4A", "ACT_EST_MAPPING=PRECISE", "FS=MRC", "CURRENCY=USD", "XLFILL=b")</f>
        <v>16.666666666666668</v>
      </c>
    </row>
    <row r="119" spans="1:14" x14ac:dyDescent="0.2">
      <c r="A119" s="8" t="s">
        <v>16</v>
      </c>
      <c r="B119" s="4"/>
      <c r="C119" s="4"/>
      <c r="D119" s="4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 x14ac:dyDescent="0.2">
      <c r="A120" s="8" t="s">
        <v>103</v>
      </c>
      <c r="B120" s="4"/>
      <c r="C120" s="4"/>
      <c r="D120" s="4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4" x14ac:dyDescent="0.2">
      <c r="A121" s="8" t="s">
        <v>13</v>
      </c>
      <c r="B121" s="4"/>
      <c r="C121" s="4"/>
      <c r="D121" s="4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1:14" x14ac:dyDescent="0.2">
      <c r="A122" s="8" t="s">
        <v>104</v>
      </c>
      <c r="B122" s="4" t="s">
        <v>26</v>
      </c>
      <c r="C122" s="4"/>
      <c r="D122" s="4" t="s">
        <v>105</v>
      </c>
      <c r="E122" s="9" t="str">
        <f>_xll.BQL("SEG0000474267 Segment", "SALES_REV_TURN/1M", "FPT=A", "FPO=5A", "ACT_EST_MAPPING=PRECISE", "FS=MRC", "CURRENCY=USD", "XLFILL=b")</f>
        <v/>
      </c>
      <c r="F122" s="9" t="str">
        <f>_xll.BQL("SEG0000474267 Segment", "SALES_REV_TURN/1M", "FPT=A", "FPO=4A", "ACT_EST_MAPPING=PRECISE", "FS=MRC", "CURRENCY=USD", "XLFILL=b")</f>
        <v/>
      </c>
      <c r="G122" s="9">
        <f>_xll.BQL("SEG0000474267 Segment", "SALES_REV_TURN/1M", "FPT=A", "FPO=3A", "ACT_EST_MAPPING=PRECISE", "FS=MRC", "CURRENCY=USD", "XLFILL=b")</f>
        <v>4788.5920351950117</v>
      </c>
      <c r="H122" s="9">
        <f>_xll.BQL("SEG0000474267 Segment", "SALES_REV_TURN/1M", "FPT=A", "FPO=2A", "ACT_EST_MAPPING=PRECISE", "FS=MRC", "CURRENCY=USD", "XLFILL=b")</f>
        <v>4215.6048346213101</v>
      </c>
      <c r="I122" s="9">
        <f>_xll.BQL("SEG0000474267 Segment", "SALES_REV_TURN/1M", "FPT=A", "FPO=1A", "ACT_EST_MAPPING=PRECISE", "FS=MRC", "CURRENCY=USD", "XLFILL=b")</f>
        <v>3722.9025483707201</v>
      </c>
      <c r="J122" s="9">
        <f>_xll.BQL("SEG0000474267 Segment", "SALES_REV_TURN/1M", "FPT=A", "FPO=0A", "ACT_EST_MAPPING=PRECISE", "FS=MRC", "CURRENCY=USD", "XLFILL=b")</f>
        <v>3315</v>
      </c>
      <c r="K122" s="9">
        <f>_xll.BQL("SEG0000474267 Segment", "SALES_REV_TURN/1M", "FPT=A", "FPO=-1A", "ACT_EST_MAPPING=PRECISE", "FS=MRC", "CURRENCY=USD", "XLFILL=b")</f>
        <v>3051</v>
      </c>
      <c r="L122" s="9">
        <f>_xll.BQL("SEG0000474267 Segment", "SALES_REV_TURN/1M", "FPT=A", "FPO=-2A", "ACT_EST_MAPPING=PRECISE", "FS=MRC", "CURRENCY=USD", "XLFILL=b")</f>
        <v>1950</v>
      </c>
      <c r="M122" s="9">
        <f>_xll.BQL("SEG0000474267 Segment", "SALES_REV_TURN/1M", "FPT=A", "FPO=-3A", "ACT_EST_MAPPING=PRECISE", "FS=MRC", "CURRENCY=USD", "XLFILL=b")</f>
        <v>1201</v>
      </c>
      <c r="N122" s="9">
        <f>_xll.BQL("SEG0000474267 Segment", "SALES_REV_TURN/1M", "FPT=A", "FPO=-4A", "ACT_EST_MAPPING=PRECISE", "FS=MRC", "CURRENCY=USD", "XLFILL=b")</f>
        <v>2362</v>
      </c>
    </row>
    <row r="123" spans="1:14" x14ac:dyDescent="0.2">
      <c r="A123" s="8" t="s">
        <v>28</v>
      </c>
      <c r="B123" s="4" t="s">
        <v>26</v>
      </c>
      <c r="C123" s="4"/>
      <c r="D123" s="4" t="s">
        <v>105</v>
      </c>
      <c r="E123" s="9" t="str">
        <f>_xll.BQL("SEG0000474267 Segment", "FA_GROWTH(SALES_REV_TURN, YOY)", "FPT=A", "FPO=5A", "ACT_EST_MAPPING=PRECISE", "FS=MRC", "CURRENCY=USD", "XLFILL=b")</f>
        <v/>
      </c>
      <c r="F123" s="9" t="str">
        <f>_xll.BQL("SEG0000474267 Segment", "FA_GROWTH(SALES_REV_TURN, YOY)", "FPT=A", "FPO=4A", "ACT_EST_MAPPING=PRECISE", "FS=MRC", "CURRENCY=USD", "XLFILL=b")</f>
        <v/>
      </c>
      <c r="G123" s="9">
        <f>_xll.BQL("SEG0000474267 Segment", "FA_GROWTH(SALES_REV_TURN, YOY)", "FPT=A", "FPO=3A", "ACT_EST_MAPPING=PRECISE", "FS=MRC", "CURRENCY=USD", "XLFILL=b")</f>
        <v>13.592051984283616</v>
      </c>
      <c r="H123" s="9">
        <f>_xll.BQL("SEG0000474267 Segment", "FA_GROWTH(SALES_REV_TURN, YOY)", "FPT=A", "FPO=2A", "ACT_EST_MAPPING=PRECISE", "FS=MRC", "CURRENCY=USD", "XLFILL=b")</f>
        <v>13.234358940343876</v>
      </c>
      <c r="I123" s="9">
        <f>_xll.BQL("SEG0000474267 Segment", "FA_GROWTH(SALES_REV_TURN, YOY)", "FPT=A", "FPO=1A", "ACT_EST_MAPPING=PRECISE", "FS=MRC", "CURRENCY=USD", "XLFILL=b")</f>
        <v>12.304752590368624</v>
      </c>
      <c r="J123" s="9">
        <f>_xll.BQL("SEG0000474267 Segment", "FA_GROWTH(SALES_REV_TURN, YOY)", "FPT=A", "FPO=0A", "ACT_EST_MAPPING=PRECISE", "FS=MRC", "CURRENCY=USD", "XLFILL=b")</f>
        <v>8.652900688298919</v>
      </c>
      <c r="K123" s="9">
        <f>_xll.BQL("SEG0000474267 Segment", "FA_GROWTH(SALES_REV_TURN, YOY)", "FPT=A", "FPO=-1A", "ACT_EST_MAPPING=PRECISE", "FS=MRC", "CURRENCY=USD", "XLFILL=b")</f>
        <v>56.46153846153846</v>
      </c>
      <c r="L123" s="9">
        <f>_xll.BQL("SEG0000474267 Segment", "FA_GROWTH(SALES_REV_TURN, YOY)", "FPT=A", "FPO=-2A", "ACT_EST_MAPPING=PRECISE", "FS=MRC", "CURRENCY=USD", "XLFILL=b")</f>
        <v>62.364696086594506</v>
      </c>
      <c r="M123" s="9">
        <f>_xll.BQL("SEG0000474267 Segment", "FA_GROWTH(SALES_REV_TURN, YOY)", "FPT=A", "FPO=-3A", "ACT_EST_MAPPING=PRECISE", "FS=MRC", "CURRENCY=USD", "XLFILL=b")</f>
        <v>-49.153259949195593</v>
      </c>
      <c r="N123" s="9">
        <f>_xll.BQL("SEG0000474267 Segment", "FA_GROWTH(SALES_REV_TURN, YOY)", "FPT=A", "FPO=-4A", "ACT_EST_MAPPING=PRECISE", "FS=MRC", "CURRENCY=USD", "XLFILL=b")</f>
        <v>15.784313725490197</v>
      </c>
    </row>
    <row r="124" spans="1:14" x14ac:dyDescent="0.2">
      <c r="A124" s="8" t="s">
        <v>106</v>
      </c>
      <c r="B124" s="4" t="s">
        <v>26</v>
      </c>
      <c r="C124" s="4"/>
      <c r="D124" s="4" t="s">
        <v>107</v>
      </c>
      <c r="E124" s="9" t="str">
        <f>_xll.BQL("SEG0000474273 Segment", "SALES_REV_TURN/1M", "FPT=A", "FPO=5A", "ACT_EST_MAPPING=PRECISE", "FS=MRC", "CURRENCY=USD", "XLFILL=b")</f>
        <v/>
      </c>
      <c r="F124" s="9" t="str">
        <f>_xll.BQL("SEG0000474273 Segment", "SALES_REV_TURN/1M", "FPT=A", "FPO=4A", "ACT_EST_MAPPING=PRECISE", "FS=MRC", "CURRENCY=USD", "XLFILL=b")</f>
        <v/>
      </c>
      <c r="G124" s="9" t="str">
        <f>_xll.BQL("SEG0000474273 Segment", "SALES_REV_TURN/1M", "FPT=A", "FPO=3A", "ACT_EST_MAPPING=PRECISE", "FS=MRC", "CURRENCY=USD", "XLFILL=b")</f>
        <v/>
      </c>
      <c r="H124" s="9" t="str">
        <f>_xll.BQL("SEG0000474273 Segment", "SALES_REV_TURN/1M", "FPT=A", "FPO=2A", "ACT_EST_MAPPING=PRECISE", "FS=MRC", "CURRENCY=USD", "XLFILL=b")</f>
        <v/>
      </c>
      <c r="I124" s="9" t="str">
        <f>_xll.BQL("SEG0000474273 Segment", "SALES_REV_TURN/1M", "FPT=A", "FPO=1A", "ACT_EST_MAPPING=PRECISE", "FS=MRC", "CURRENCY=USD", "XLFILL=b")</f>
        <v/>
      </c>
      <c r="J124" s="9">
        <f>_xll.BQL("SEG0000474273 Segment", "SALES_REV_TURN/1M", "FPT=A", "FPO=0A", "ACT_EST_MAPPING=PRECISE", "FS=MRC", "CURRENCY=USD", "XLFILL=b")</f>
        <v>274</v>
      </c>
      <c r="K124" s="9">
        <f>_xll.BQL("SEG0000474273 Segment", "SALES_REV_TURN/1M", "FPT=A", "FPO=-1A", "ACT_EST_MAPPING=PRECISE", "FS=MRC", "CURRENCY=USD", "XLFILL=b")</f>
        <v>275</v>
      </c>
      <c r="L124" s="9">
        <f>_xll.BQL("SEG0000474273 Segment", "SALES_REV_TURN/1M", "FPT=A", "FPO=-2A", "ACT_EST_MAPPING=PRECISE", "FS=MRC", "CURRENCY=USD", "XLFILL=b")</f>
        <v>110</v>
      </c>
      <c r="M124" s="9">
        <f>_xll.BQL("SEG0000474273 Segment", "SALES_REV_TURN/1M", "FPT=A", "FPO=-3A", "ACT_EST_MAPPING=PRECISE", "FS=MRC", "CURRENCY=USD", "XLFILL=b")</f>
        <v>49</v>
      </c>
      <c r="N124" s="9">
        <f>_xll.BQL("SEG0000474273 Segment", "SALES_REV_TURN/1M", "FPT=A", "FPO=-4A", "ACT_EST_MAPPING=PRECISE", "FS=MRC", "CURRENCY=USD", "XLFILL=b")</f>
        <v>146</v>
      </c>
    </row>
    <row r="125" spans="1:14" x14ac:dyDescent="0.2">
      <c r="A125" s="8" t="s">
        <v>28</v>
      </c>
      <c r="B125" s="4" t="s">
        <v>26</v>
      </c>
      <c r="C125" s="4"/>
      <c r="D125" s="4" t="s">
        <v>107</v>
      </c>
      <c r="E125" s="9" t="str">
        <f>_xll.BQL("SEG0000474273 Segment", "FA_GROWTH(SALES_REV_TURN, YOY)", "FPT=A", "FPO=5A", "ACT_EST_MAPPING=PRECISE", "FS=MRC", "CURRENCY=USD", "XLFILL=b")</f>
        <v/>
      </c>
      <c r="F125" s="9" t="str">
        <f>_xll.BQL("SEG0000474273 Segment", "FA_GROWTH(SALES_REV_TURN, YOY)", "FPT=A", "FPO=4A", "ACT_EST_MAPPING=PRECISE", "FS=MRC", "CURRENCY=USD", "XLFILL=b")</f>
        <v/>
      </c>
      <c r="G125" s="9" t="str">
        <f>_xll.BQL("SEG0000474273 Segment", "FA_GROWTH(SALES_REV_TURN, YOY)", "FPT=A", "FPO=3A", "ACT_EST_MAPPING=PRECISE", "FS=MRC", "CURRENCY=USD", "XLFILL=b")</f>
        <v/>
      </c>
      <c r="H125" s="9" t="str">
        <f>_xll.BQL("SEG0000474273 Segment", "FA_GROWTH(SALES_REV_TURN, YOY)", "FPT=A", "FPO=2A", "ACT_EST_MAPPING=PRECISE", "FS=MRC", "CURRENCY=USD", "XLFILL=b")</f>
        <v/>
      </c>
      <c r="I125" s="9" t="str">
        <f>_xll.BQL("SEG0000474273 Segment", "FA_GROWTH(SALES_REV_TURN, YOY)", "FPT=A", "FPO=1A", "ACT_EST_MAPPING=PRECISE", "FS=MRC", "CURRENCY=USD", "XLFILL=b")</f>
        <v/>
      </c>
      <c r="J125" s="9">
        <f>_xll.BQL("SEG0000474273 Segment", "FA_GROWTH(SALES_REV_TURN, YOY)", "FPT=A", "FPO=0A", "ACT_EST_MAPPING=PRECISE", "FS=MRC", "CURRENCY=USD", "XLFILL=b")</f>
        <v>-0.36363636363636365</v>
      </c>
      <c r="K125" s="9">
        <f>_xll.BQL("SEG0000474273 Segment", "FA_GROWTH(SALES_REV_TURN, YOY)", "FPT=A", "FPO=-1A", "ACT_EST_MAPPING=PRECISE", "FS=MRC", "CURRENCY=USD", "XLFILL=b")</f>
        <v>150</v>
      </c>
      <c r="L125" s="9">
        <f>_xll.BQL("SEG0000474273 Segment", "FA_GROWTH(SALES_REV_TURN, YOY)", "FPT=A", "FPO=-2A", "ACT_EST_MAPPING=PRECISE", "FS=MRC", "CURRENCY=USD", "XLFILL=b")</f>
        <v>124.48979591836735</v>
      </c>
      <c r="M125" s="9">
        <f>_xll.BQL("SEG0000474273 Segment", "FA_GROWTH(SALES_REV_TURN, YOY)", "FPT=A", "FPO=-3A", "ACT_EST_MAPPING=PRECISE", "FS=MRC", "CURRENCY=USD", "XLFILL=b")</f>
        <v>-66.438356164383563</v>
      </c>
      <c r="N125" s="9">
        <f>_xll.BQL("SEG0000474273 Segment", "FA_GROWTH(SALES_REV_TURN, YOY)", "FPT=A", "FPO=-4A", "ACT_EST_MAPPING=PRECISE", "FS=MRC", "CURRENCY=USD", "XLFILL=b")</f>
        <v>25.862068965517242</v>
      </c>
    </row>
    <row r="126" spans="1:14" x14ac:dyDescent="0.2">
      <c r="A126" s="8" t="s">
        <v>16</v>
      </c>
      <c r="B126" s="4"/>
      <c r="C126" s="4"/>
      <c r="D126" s="4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spans="1:14" x14ac:dyDescent="0.2">
      <c r="A127" s="8" t="s">
        <v>108</v>
      </c>
      <c r="B127" s="4"/>
      <c r="C127" s="4" t="s">
        <v>109</v>
      </c>
      <c r="D127" s="4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14" x14ac:dyDescent="0.2">
      <c r="A128" s="8" t="s">
        <v>110</v>
      </c>
      <c r="B128" s="4" t="s">
        <v>14</v>
      </c>
      <c r="C128" s="4" t="s">
        <v>111</v>
      </c>
      <c r="D128" s="4"/>
      <c r="E128" s="9">
        <f>_xll.BQL("ULCC US Equity", "IS_COMP_SALES/1M", "FPT=A", "FPO=5A", "ACT_EST_MAPPING=PRECISE", "FS=MRC", "CURRENCY=USD", "XLFILL=b")</f>
        <v>6016</v>
      </c>
      <c r="F128" s="9">
        <f>_xll.BQL("ULCC US Equity", "IS_COMP_SALES/1M", "FPT=A", "FPO=4A", "ACT_EST_MAPPING=PRECISE", "FS=MRC", "CURRENCY=USD", "XLFILL=b")</f>
        <v>5362</v>
      </c>
      <c r="G128" s="9">
        <f>_xll.BQL("ULCC US Equity", "IS_COMP_SALES/1M", "FPT=A", "FPO=3A", "ACT_EST_MAPPING=PRECISE", "FS=MRC", "CURRENCY=USD", "XLFILL=b")</f>
        <v>4839.4285714285716</v>
      </c>
      <c r="H128" s="9">
        <f>_xll.BQL("ULCC US Equity", "IS_COMP_SALES/1M", "FPT=A", "FPO=2A", "ACT_EST_MAPPING=PRECISE", "FS=MRC", "CURRENCY=USD", "XLFILL=b")</f>
        <v>4238.25</v>
      </c>
      <c r="I128" s="9">
        <f>_xll.BQL("ULCC US Equity", "IS_COMP_SALES/1M", "FPT=A", "FPO=1A", "ACT_EST_MAPPING=PRECISE", "FS=MRC", "CURRENCY=USD", "XLFILL=b")</f>
        <v>3726.5833333333335</v>
      </c>
      <c r="J128" s="9">
        <f>_xll.BQL("ULCC US Equity", "IS_COMP_SALES/1M", "FPT=A", "FPO=0A", "ACT_EST_MAPPING=PRECISE", "FS=MRC", "CURRENCY=USD", "XLFILL=b")</f>
        <v>3589</v>
      </c>
      <c r="K128" s="9">
        <f>_xll.BQL("ULCC US Equity", "IS_COMP_SALES/1M", "FPT=A", "FPO=-1A", "ACT_EST_MAPPING=PRECISE", "FS=MRC", "CURRENCY=USD", "XLFILL=b")</f>
        <v>3326</v>
      </c>
      <c r="L128" s="9">
        <f>_xll.BQL("ULCC US Equity", "IS_COMP_SALES/1M", "FPT=A", "FPO=-2A", "ACT_EST_MAPPING=PRECISE", "FS=MRC", "CURRENCY=USD", "XLFILL=b")</f>
        <v>2060</v>
      </c>
      <c r="M128" s="9" t="str">
        <f>_xll.BQL("ULCC US Equity", "IS_COMP_SALES/1M", "FPT=A", "FPO=-3A", "ACT_EST_MAPPING=PRECISE", "FS=MRC", "CURRENCY=USD", "XLFILL=b")</f>
        <v/>
      </c>
      <c r="N128" s="9" t="str">
        <f>_xll.BQL("ULCC US Equity", "IS_COMP_SALES/1M", "FPT=A", "FPO=-4A", "ACT_EST_MAPPING=PRECISE", "FS=MRC", "CURRENCY=USD", "XLFILL=b")</f>
        <v/>
      </c>
    </row>
    <row r="129" spans="1:14" x14ac:dyDescent="0.2">
      <c r="A129" s="8" t="s">
        <v>12</v>
      </c>
      <c r="B129" s="4" t="s">
        <v>14</v>
      </c>
      <c r="C129" s="4" t="s">
        <v>111</v>
      </c>
      <c r="D129" s="4"/>
      <c r="E129" s="9">
        <f>_xll.BQL("ULCC US Equity", "FA_GROWTH(IS_COMP_SALES, YOY)", "FPT=A", "FPO=5A", "ACT_EST_MAPPING=PRECISE", "FS=MRC", "CURRENCY=USD", "XLFILL=b")</f>
        <v>12.196941439761282</v>
      </c>
      <c r="F129" s="9">
        <f>_xll.BQL("ULCC US Equity", "FA_GROWTH(IS_COMP_SALES, YOY)", "FPT=A", "FPO=4A", "ACT_EST_MAPPING=PRECISE", "FS=MRC", "CURRENCY=USD", "XLFILL=b")</f>
        <v>10.798205219034118</v>
      </c>
      <c r="G129" s="9">
        <f>_xll.BQL("ULCC US Equity", "FA_GROWTH(IS_COMP_SALES, YOY)", "FPT=A", "FPO=3A", "ACT_EST_MAPPING=PRECISE", "FS=MRC", "CURRENCY=USD", "XLFILL=b")</f>
        <v>14.184594382789399</v>
      </c>
      <c r="H129" s="9">
        <f>_xll.BQL("ULCC US Equity", "FA_GROWTH(IS_COMP_SALES, YOY)", "FPT=A", "FPO=2A", "ACT_EST_MAPPING=PRECISE", "FS=MRC", "CURRENCY=USD", "XLFILL=b")</f>
        <v>13.730181801918642</v>
      </c>
      <c r="I129" s="9">
        <f>_xll.BQL("ULCC US Equity", "FA_GROWTH(IS_COMP_SALES, YOY)", "FPT=A", "FPO=1A", "ACT_EST_MAPPING=PRECISE", "FS=MRC", "CURRENCY=USD", "XLFILL=b")</f>
        <v>3.833472647905642</v>
      </c>
      <c r="J129" s="9">
        <f>_xll.BQL("ULCC US Equity", "FA_GROWTH(IS_COMP_SALES, YOY)", "FPT=A", "FPO=0A", "ACT_EST_MAPPING=PRECISE", "FS=MRC", "CURRENCY=USD", "XLFILL=b")</f>
        <v>7.9073962717979551</v>
      </c>
      <c r="K129" s="9">
        <f>_xll.BQL("ULCC US Equity", "FA_GROWTH(IS_COMP_SALES, YOY)", "FPT=A", "FPO=-1A", "ACT_EST_MAPPING=PRECISE", "FS=MRC", "CURRENCY=USD", "XLFILL=b")</f>
        <v>61.456310679611647</v>
      </c>
      <c r="L129" s="9" t="str">
        <f>_xll.BQL("ULCC US Equity", "FA_GROWTH(IS_COMP_SALES, YOY)", "FPT=A", "FPO=-2A", "ACT_EST_MAPPING=PRECISE", "FS=MRC", "CURRENCY=USD", "XLFILL=b")</f>
        <v/>
      </c>
      <c r="M129" s="9" t="str">
        <f>_xll.BQL("ULCC US Equity", "FA_GROWTH(IS_COMP_SALES, YOY)", "FPT=A", "FPO=-3A", "ACT_EST_MAPPING=PRECISE", "FS=MRC", "CURRENCY=USD", "XLFILL=b")</f>
        <v/>
      </c>
      <c r="N129" s="9" t="str">
        <f>_xll.BQL("ULCC US Equity", "FA_GROWTH(IS_COMP_SALES, YOY)", "FPT=A", "FPO=-4A", "ACT_EST_MAPPING=PRECISE", "FS=MRC", "CURRENCY=USD", "XLFILL=b")</f>
        <v/>
      </c>
    </row>
    <row r="130" spans="1:14" x14ac:dyDescent="0.2">
      <c r="A130" s="8" t="s">
        <v>16</v>
      </c>
      <c r="B130" s="4"/>
      <c r="C130" s="4"/>
      <c r="D130" s="4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 x14ac:dyDescent="0.2">
      <c r="A131" s="8" t="s">
        <v>112</v>
      </c>
      <c r="B131" s="4" t="s">
        <v>113</v>
      </c>
      <c r="C131" s="4"/>
      <c r="D131" s="4"/>
      <c r="E131" s="9">
        <f>_xll.BQL("ULCC US Equity", "IS_TOT_OPER_EXP/1M", "FPT=A", "FPO=5A", "ACT_EST_MAPPING=PRECISE", "FS=MRC", "CURRENCY=USD", "XLFILL=b")</f>
        <v>5530.3337275383574</v>
      </c>
      <c r="F131" s="9">
        <f>_xll.BQL("ULCC US Equity", "IS_TOT_OPER_EXP/1M", "FPT=A", "FPO=4A", "ACT_EST_MAPPING=PRECISE", "FS=MRC", "CURRENCY=USD", "XLFILL=b")</f>
        <v>4988.7269078618738</v>
      </c>
      <c r="G131" s="9">
        <f>_xll.BQL("ULCC US Equity", "IS_TOT_OPER_EXP/1M", "FPT=A", "FPO=3A", "ACT_EST_MAPPING=PRECISE", "FS=MRC", "CURRENCY=USD", "XLFILL=b")</f>
        <v>4511.3149139410198</v>
      </c>
      <c r="H131" s="9">
        <f>_xll.BQL("ULCC US Equity", "IS_TOT_OPER_EXP/1M", "FPT=A", "FPO=2A", "ACT_EST_MAPPING=PRECISE", "FS=MRC", "CURRENCY=USD", "XLFILL=b")</f>
        <v>4122.3606686905941</v>
      </c>
      <c r="I131" s="9">
        <f>_xll.BQL("ULCC US Equity", "IS_TOT_OPER_EXP/1M", "FPT=A", "FPO=1A", "ACT_EST_MAPPING=PRECISE", "FS=MRC", "CURRENCY=USD", "XLFILL=b")</f>
        <v>3755.4411037517443</v>
      </c>
      <c r="J131" s="9">
        <f>_xll.BQL("ULCC US Equity", "IS_TOT_OPER_EXP/1M", "FPT=A", "FPO=0A", "ACT_EST_MAPPING=PRECISE", "FS=MRC", "CURRENCY=USD", "XLFILL=b")</f>
        <v>3592</v>
      </c>
      <c r="K131" s="9">
        <f>_xll.BQL("ULCC US Equity", "IS_TOT_OPER_EXP/1M", "FPT=A", "FPO=-1A", "ACT_EST_MAPPING=PRECISE", "FS=MRC", "CURRENCY=USD", "XLFILL=b")</f>
        <v>3371</v>
      </c>
      <c r="L131" s="9">
        <f>_xll.BQL("ULCC US Equity", "IS_TOT_OPER_EXP/1M", "FPT=A", "FPO=-2A", "ACT_EST_MAPPING=PRECISE", "FS=MRC", "CURRENCY=USD", "XLFILL=b")</f>
        <v>2177</v>
      </c>
      <c r="M131" s="9">
        <f>_xll.BQL("ULCC US Equity", "IS_TOT_OPER_EXP/1M", "FPT=A", "FPO=-3A", "ACT_EST_MAPPING=PRECISE", "FS=MRC", "CURRENCY=USD", "XLFILL=b")</f>
        <v>1615</v>
      </c>
      <c r="N131" s="9">
        <f>_xll.BQL("ULCC US Equity", "IS_TOT_OPER_EXP/1M", "FPT=A", "FPO=-4A", "ACT_EST_MAPPING=PRECISE", "FS=MRC", "CURRENCY=USD", "XLFILL=b")</f>
        <v>2199</v>
      </c>
    </row>
    <row r="132" spans="1:14" x14ac:dyDescent="0.2">
      <c r="A132" s="8" t="s">
        <v>12</v>
      </c>
      <c r="B132" s="4" t="s">
        <v>113</v>
      </c>
      <c r="C132" s="4"/>
      <c r="D132" s="4"/>
      <c r="E132" s="9">
        <f>_xll.BQL("ULCC US Equity", "FA_GROWTH(IS_TOT_OPER_EXP, YOY)", "FPT=A", "FPO=5A", "ACT_EST_MAPPING=PRECISE", "FS=MRC", "CURRENCY=USD", "XLFILL=b")</f>
        <v>10.856613915324786</v>
      </c>
      <c r="F132" s="9">
        <f>_xll.BQL("ULCC US Equity", "FA_GROWTH(IS_TOT_OPER_EXP, YOY)", "FPT=A", "FPO=4A", "ACT_EST_MAPPING=PRECISE", "FS=MRC", "CURRENCY=USD", "XLFILL=b")</f>
        <v>10.582546397848191</v>
      </c>
      <c r="G132" s="9">
        <f>_xll.BQL("ULCC US Equity", "FA_GROWTH(IS_TOT_OPER_EXP, YOY)", "FPT=A", "FPO=3A", "ACT_EST_MAPPING=PRECISE", "FS=MRC", "CURRENCY=USD", "XLFILL=b")</f>
        <v>9.4352308424767664</v>
      </c>
      <c r="H132" s="9">
        <f>_xll.BQL("ULCC US Equity", "FA_GROWTH(IS_TOT_OPER_EXP, YOY)", "FPT=A", "FPO=2A", "ACT_EST_MAPPING=PRECISE", "FS=MRC", "CURRENCY=USD", "XLFILL=b")</f>
        <v>9.7703453416508417</v>
      </c>
      <c r="I132" s="9">
        <f>_xll.BQL("ULCC US Equity", "FA_GROWTH(IS_TOT_OPER_EXP, YOY)", "FPT=A", "FPO=1A", "ACT_EST_MAPPING=PRECISE", "FS=MRC", "CURRENCY=USD", "XLFILL=b")</f>
        <v>4.5501420866298519</v>
      </c>
      <c r="J132" s="9">
        <f>_xll.BQL("ULCC US Equity", "FA_GROWTH(IS_TOT_OPER_EXP, YOY)", "FPT=A", "FPO=0A", "ACT_EST_MAPPING=PRECISE", "FS=MRC", "CURRENCY=USD", "XLFILL=b")</f>
        <v>6.5559181251854053</v>
      </c>
      <c r="K132" s="9">
        <f>_xll.BQL("ULCC US Equity", "FA_GROWTH(IS_TOT_OPER_EXP, YOY)", "FPT=A", "FPO=-1A", "ACT_EST_MAPPING=PRECISE", "FS=MRC", "CURRENCY=USD", "XLFILL=b")</f>
        <v>54.846118511713364</v>
      </c>
      <c r="L132" s="9">
        <f>_xll.BQL("ULCC US Equity", "FA_GROWTH(IS_TOT_OPER_EXP, YOY)", "FPT=A", "FPO=-2A", "ACT_EST_MAPPING=PRECISE", "FS=MRC", "CURRENCY=USD", "XLFILL=b")</f>
        <v>34.798761609907118</v>
      </c>
      <c r="M132" s="9">
        <f>_xll.BQL("ULCC US Equity", "FA_GROWTH(IS_TOT_OPER_EXP, YOY)", "FPT=A", "FPO=-3A", "ACT_EST_MAPPING=PRECISE", "FS=MRC", "CURRENCY=USD", "XLFILL=b")</f>
        <v>-26.557526148249202</v>
      </c>
      <c r="N132" s="9">
        <f>_xll.BQL("ULCC US Equity", "FA_GROWTH(IS_TOT_OPER_EXP, YOY)", "FPT=A", "FPO=-4A", "ACT_EST_MAPPING=PRECISE", "FS=MRC", "CURRENCY=USD", "XLFILL=b")</f>
        <v>6.5406976744186043</v>
      </c>
    </row>
    <row r="133" spans="1:14" x14ac:dyDescent="0.2">
      <c r="A133" s="8" t="s">
        <v>114</v>
      </c>
      <c r="B133" s="4" t="s">
        <v>115</v>
      </c>
      <c r="C133" s="4" t="s">
        <v>116</v>
      </c>
      <c r="D133" s="4"/>
      <c r="E133" s="9">
        <f>_xll.BQL("ULCC US Equity", "FUEL_EXPENSES/1M", "FPT=A", "FPO=5A", "ACT_EST_MAPPING=PRECISE", "FS=MRC", "CURRENCY=USD", "XLFILL=b")</f>
        <v>1449.7610336885573</v>
      </c>
      <c r="F133" s="9">
        <f>_xll.BQL("ULCC US Equity", "FUEL_EXPENSES/1M", "FPT=A", "FPO=4A", "ACT_EST_MAPPING=PRECISE", "FS=MRC", "CURRENCY=USD", "XLFILL=b")</f>
        <v>1324.5543989609089</v>
      </c>
      <c r="G133" s="9">
        <f>_xll.BQL("ULCC US Equity", "FUEL_EXPENSES/1M", "FPT=A", "FPO=3A", "ACT_EST_MAPPING=PRECISE", "FS=MRC", "CURRENCY=USD", "XLFILL=b")</f>
        <v>1222.4510700455357</v>
      </c>
      <c r="H133" s="9">
        <f>_xll.BQL("ULCC US Equity", "FUEL_EXPENSES/1M", "FPT=A", "FPO=2A", "ACT_EST_MAPPING=PRECISE", "FS=MRC", "CURRENCY=USD", "XLFILL=b")</f>
        <v>1137.4557170674934</v>
      </c>
      <c r="I133" s="9">
        <f>_xll.BQL("ULCC US Equity", "FUEL_EXPENSES/1M", "FPT=A", "FPO=1A", "ACT_EST_MAPPING=PRECISE", "FS=MRC", "CURRENCY=USD", "XLFILL=b")</f>
        <v>1068.3852810352441</v>
      </c>
      <c r="J133" s="9">
        <f>_xll.BQL("ULCC US Equity", "FUEL_EXPENSES/1M", "FPT=A", "FPO=0A", "ACT_EST_MAPPING=PRECISE", "FS=MRC", "CURRENCY=USD", "XLFILL=b")</f>
        <v>1130</v>
      </c>
      <c r="K133" s="9">
        <f>_xll.BQL("ULCC US Equity", "FUEL_EXPENSES/1M", "FPT=A", "FPO=-1A", "ACT_EST_MAPPING=PRECISE", "FS=MRC", "CURRENCY=USD", "XLFILL=b")</f>
        <v>1160</v>
      </c>
      <c r="L133" s="9">
        <f>_xll.BQL("ULCC US Equity", "FUEL_EXPENSES/1M", "FPT=A", "FPO=-2A", "ACT_EST_MAPPING=PRECISE", "FS=MRC", "CURRENCY=USD", "XLFILL=b")</f>
        <v>575</v>
      </c>
      <c r="M133" s="9">
        <f>_xll.BQL("ULCC US Equity", "FUEL_EXPENSES/1M", "FPT=A", "FPO=-3A", "ACT_EST_MAPPING=PRECISE", "FS=MRC", "CURRENCY=USD", "XLFILL=b")</f>
        <v>338</v>
      </c>
      <c r="N133" s="9">
        <f>_xll.BQL("ULCC US Equity", "FUEL_EXPENSES/1M", "FPT=A", "FPO=-4A", "ACT_EST_MAPPING=PRECISE", "FS=MRC", "CURRENCY=USD", "XLFILL=b")</f>
        <v>640</v>
      </c>
    </row>
    <row r="134" spans="1:14" x14ac:dyDescent="0.2">
      <c r="A134" s="8" t="s">
        <v>28</v>
      </c>
      <c r="B134" s="4" t="s">
        <v>115</v>
      </c>
      <c r="C134" s="4" t="s">
        <v>116</v>
      </c>
      <c r="D134" s="4"/>
      <c r="E134" s="9">
        <f>_xll.BQL("ULCC US Equity", "FA_GROWTH(FUEL_EXPENSES, YOY)", "FPT=A", "FPO=5A", "ACT_EST_MAPPING=PRECISE", "FS=MRC", "CURRENCY=USD", "XLFILL=b")</f>
        <v>9.4527363184079913</v>
      </c>
      <c r="F134" s="9">
        <f>_xll.BQL("ULCC US Equity", "FA_GROWTH(FUEL_EXPENSES, YOY)", "FPT=A", "FPO=4A", "ACT_EST_MAPPING=PRECISE", "FS=MRC", "CURRENCY=USD", "XLFILL=b")</f>
        <v>8.3523448436729471</v>
      </c>
      <c r="G134" s="9">
        <f>_xll.BQL("ULCC US Equity", "FA_GROWTH(FUEL_EXPENSES, YOY)", "FPT=A", "FPO=3A", "ACT_EST_MAPPING=PRECISE", "FS=MRC", "CURRENCY=USD", "XLFILL=b")</f>
        <v>7.4724098444176157</v>
      </c>
      <c r="H134" s="9">
        <f>_xll.BQL("ULCC US Equity", "FA_GROWTH(FUEL_EXPENSES, YOY)", "FPT=A", "FPO=2A", "ACT_EST_MAPPING=PRECISE", "FS=MRC", "CURRENCY=USD", "XLFILL=b")</f>
        <v>6.4649370651495053</v>
      </c>
      <c r="I134" s="9">
        <f>_xll.BQL("ULCC US Equity", "FA_GROWTH(FUEL_EXPENSES, YOY)", "FPT=A", "FPO=1A", "ACT_EST_MAPPING=PRECISE", "FS=MRC", "CURRENCY=USD", "XLFILL=b")</f>
        <v>-5.4526299968810417</v>
      </c>
      <c r="J134" s="9">
        <f>_xll.BQL("ULCC US Equity", "FA_GROWTH(FUEL_EXPENSES, YOY)", "FPT=A", "FPO=0A", "ACT_EST_MAPPING=PRECISE", "FS=MRC", "CURRENCY=USD", "XLFILL=b")</f>
        <v>-2.5862068965517242</v>
      </c>
      <c r="K134" s="9">
        <f>_xll.BQL("ULCC US Equity", "FA_GROWTH(FUEL_EXPENSES, YOY)", "FPT=A", "FPO=-1A", "ACT_EST_MAPPING=PRECISE", "FS=MRC", "CURRENCY=USD", "XLFILL=b")</f>
        <v>101.73913043478261</v>
      </c>
      <c r="L134" s="9">
        <f>_xll.BQL("ULCC US Equity", "FA_GROWTH(FUEL_EXPENSES, YOY)", "FPT=A", "FPO=-2A", "ACT_EST_MAPPING=PRECISE", "FS=MRC", "CURRENCY=USD", "XLFILL=b")</f>
        <v>70.118343195266277</v>
      </c>
      <c r="M134" s="9">
        <f>_xll.BQL("ULCC US Equity", "FA_GROWTH(FUEL_EXPENSES, YOY)", "FPT=A", "FPO=-3A", "ACT_EST_MAPPING=PRECISE", "FS=MRC", "CURRENCY=USD", "XLFILL=b")</f>
        <v>-47.1875</v>
      </c>
      <c r="N134" s="9">
        <f>_xll.BQL("ULCC US Equity", "FA_GROWTH(FUEL_EXPENSES, YOY)", "FPT=A", "FPO=-4A", "ACT_EST_MAPPING=PRECISE", "FS=MRC", "CURRENCY=USD", "XLFILL=b")</f>
        <v>8.6587436332767407</v>
      </c>
    </row>
    <row r="135" spans="1:14" x14ac:dyDescent="0.2">
      <c r="A135" s="8" t="s">
        <v>117</v>
      </c>
      <c r="B135" s="4" t="s">
        <v>118</v>
      </c>
      <c r="C135" s="4" t="s">
        <v>119</v>
      </c>
      <c r="D135" s="4"/>
      <c r="E135" s="9">
        <f>_xll.BQL("ULCC US Equity", "IS_PERSONNEL_EXP/1M", "FPT=A", "FPO=5A", "ACT_EST_MAPPING=PRECISE", "FS=MRC", "CURRENCY=USD", "XLFILL=b")</f>
        <v>1414.4387216927603</v>
      </c>
      <c r="F135" s="9">
        <f>_xll.BQL("ULCC US Equity", "IS_PERSONNEL_EXP/1M", "FPT=A", "FPO=4A", "ACT_EST_MAPPING=PRECISE", "FS=MRC", "CURRENCY=USD", "XLFILL=b")</f>
        <v>1280.4877522185081</v>
      </c>
      <c r="G135" s="9">
        <f>_xll.BQL("ULCC US Equity", "IS_PERSONNEL_EXP/1M", "FPT=A", "FPO=3A", "ACT_EST_MAPPING=PRECISE", "FS=MRC", "CURRENCY=USD", "XLFILL=b")</f>
        <v>1174.4856202150211</v>
      </c>
      <c r="H135" s="9">
        <f>_xll.BQL("ULCC US Equity", "IS_PERSONNEL_EXP/1M", "FPT=A", "FPO=2A", "ACT_EST_MAPPING=PRECISE", "FS=MRC", "CURRENCY=USD", "XLFILL=b")</f>
        <v>1092.5221285645262</v>
      </c>
      <c r="I135" s="9">
        <f>_xll.BQL("ULCC US Equity", "IS_PERSONNEL_EXP/1M", "FPT=A", "FPO=1A", "ACT_EST_MAPPING=PRECISE", "FS=MRC", "CURRENCY=USD", "XLFILL=b")</f>
        <v>980.46030716296286</v>
      </c>
      <c r="J135" s="9">
        <f>_xll.BQL("ULCC US Equity", "IS_PERSONNEL_EXP/1M", "FPT=A", "FPO=0A", "ACT_EST_MAPPING=PRECISE", "FS=MRC", "CURRENCY=USD", "XLFILL=b")</f>
        <v>858</v>
      </c>
      <c r="K135" s="9">
        <f>_xll.BQL("ULCC US Equity", "IS_PERSONNEL_EXP/1M", "FPT=A", "FPO=-1A", "ACT_EST_MAPPING=PRECISE", "FS=MRC", "CURRENCY=USD", "XLFILL=b")</f>
        <v>715</v>
      </c>
      <c r="L135" s="9">
        <f>_xll.BQL("ULCC US Equity", "IS_PERSONNEL_EXP/1M", "FPT=A", "FPO=-2A", "ACT_EST_MAPPING=PRECISE", "FS=MRC", "CURRENCY=USD", "XLFILL=b")</f>
        <v>616</v>
      </c>
      <c r="M135" s="9">
        <f>_xll.BQL("ULCC US Equity", "IS_PERSONNEL_EXP/1M", "FPT=A", "FPO=-3A", "ACT_EST_MAPPING=PRECISE", "FS=MRC", "CURRENCY=USD", "XLFILL=b")</f>
        <v>533</v>
      </c>
      <c r="N135" s="9">
        <f>_xll.BQL("ULCC US Equity", "IS_PERSONNEL_EXP/1M", "FPT=A", "FPO=-4A", "ACT_EST_MAPPING=PRECISE", "FS=MRC", "CURRENCY=USD", "XLFILL=b")</f>
        <v>529</v>
      </c>
    </row>
    <row r="136" spans="1:14" x14ac:dyDescent="0.2">
      <c r="A136" s="8" t="s">
        <v>28</v>
      </c>
      <c r="B136" s="4" t="s">
        <v>118</v>
      </c>
      <c r="C136" s="4" t="s">
        <v>119</v>
      </c>
      <c r="D136" s="4"/>
      <c r="E136" s="9">
        <f>_xll.BQL("ULCC US Equity", "FA_GROWTH(IS_PERSONNEL_EXP, YOY)", "FPT=A", "FPO=5A", "ACT_EST_MAPPING=PRECISE", "FS=MRC", "CURRENCY=USD", "XLFILL=b")</f>
        <v>10.460933284381309</v>
      </c>
      <c r="F136" s="9">
        <f>_xll.BQL("ULCC US Equity", "FA_GROWTH(IS_PERSONNEL_EXP, YOY)", "FPT=A", "FPO=4A", "ACT_EST_MAPPING=PRECISE", "FS=MRC", "CURRENCY=USD", "XLFILL=b")</f>
        <v>9.0254090964588034</v>
      </c>
      <c r="G136" s="9">
        <f>_xll.BQL("ULCC US Equity", "FA_GROWTH(IS_PERSONNEL_EXP, YOY)", "FPT=A", "FPO=3A", "ACT_EST_MAPPING=PRECISE", "FS=MRC", "CURRENCY=USD", "XLFILL=b")</f>
        <v>7.502227140990505</v>
      </c>
      <c r="H136" s="9">
        <f>_xll.BQL("ULCC US Equity", "FA_GROWTH(IS_PERSONNEL_EXP, YOY)", "FPT=A", "FPO=2A", "ACT_EST_MAPPING=PRECISE", "FS=MRC", "CURRENCY=USD", "XLFILL=b")</f>
        <v>11.429511279841877</v>
      </c>
      <c r="I136" s="9">
        <f>_xll.BQL("ULCC US Equity", "FA_GROWTH(IS_PERSONNEL_EXP, YOY)", "FPT=A", "FPO=1A", "ACT_EST_MAPPING=PRECISE", "FS=MRC", "CURRENCY=USD", "XLFILL=b")</f>
        <v>14.2727630726064</v>
      </c>
      <c r="J136" s="9">
        <f>_xll.BQL("ULCC US Equity", "FA_GROWTH(IS_PERSONNEL_EXP, YOY)", "FPT=A", "FPO=0A", "ACT_EST_MAPPING=PRECISE", "FS=MRC", "CURRENCY=USD", "XLFILL=b")</f>
        <v>20</v>
      </c>
      <c r="K136" s="9">
        <f>_xll.BQL("ULCC US Equity", "FA_GROWTH(IS_PERSONNEL_EXP, YOY)", "FPT=A", "FPO=-1A", "ACT_EST_MAPPING=PRECISE", "FS=MRC", "CURRENCY=USD", "XLFILL=b")</f>
        <v>16.071428571428573</v>
      </c>
      <c r="L136" s="9">
        <f>_xll.BQL("ULCC US Equity", "FA_GROWTH(IS_PERSONNEL_EXP, YOY)", "FPT=A", "FPO=-2A", "ACT_EST_MAPPING=PRECISE", "FS=MRC", "CURRENCY=USD", "XLFILL=b")</f>
        <v>15.572232645403377</v>
      </c>
      <c r="M136" s="9">
        <f>_xll.BQL("ULCC US Equity", "FA_GROWTH(IS_PERSONNEL_EXP, YOY)", "FPT=A", "FPO=-3A", "ACT_EST_MAPPING=PRECISE", "FS=MRC", "CURRENCY=USD", "XLFILL=b")</f>
        <v>0.75614366729678639</v>
      </c>
      <c r="N136" s="9">
        <f>_xll.BQL("ULCC US Equity", "FA_GROWTH(IS_PERSONNEL_EXP, YOY)", "FPT=A", "FPO=-4A", "ACT_EST_MAPPING=PRECISE", "FS=MRC", "CURRENCY=USD", "XLFILL=b")</f>
        <v>19.954648526077097</v>
      </c>
    </row>
    <row r="137" spans="1:14" x14ac:dyDescent="0.2">
      <c r="A137" s="8" t="s">
        <v>120</v>
      </c>
      <c r="B137" s="4" t="s">
        <v>121</v>
      </c>
      <c r="C137" s="4" t="s">
        <v>122</v>
      </c>
      <c r="D137" s="4"/>
      <c r="E137" s="9">
        <f>_xll.BQL("ULCC US Equity", "AIRCRAFT_RENTALS/1M", "FPT=A", "FPO=5A", "ACT_EST_MAPPING=PRECISE", "FS=MRC", "CURRENCY=USD", "XLFILL=b")</f>
        <v>1068.1380559176</v>
      </c>
      <c r="F137" s="9">
        <f>_xll.BQL("ULCC US Equity", "AIRCRAFT_RENTALS/1M", "FPT=A", "FPO=4A", "ACT_EST_MAPPING=PRECISE", "FS=MRC", "CURRENCY=USD", "XLFILL=b")</f>
        <v>934.47492437919288</v>
      </c>
      <c r="G137" s="9">
        <f>_xll.BQL("ULCC US Equity", "AIRCRAFT_RENTALS/1M", "FPT=A", "FPO=3A", "ACT_EST_MAPPING=PRECISE", "FS=MRC", "CURRENCY=USD", "XLFILL=b")</f>
        <v>825.2516421591464</v>
      </c>
      <c r="H137" s="9">
        <f>_xll.BQL("ULCC US Equity", "AIRCRAFT_RENTALS/1M", "FPT=A", "FPO=2A", "ACT_EST_MAPPING=PRECISE", "FS=MRC", "CURRENCY=USD", "XLFILL=b")</f>
        <v>703.65011005316921</v>
      </c>
      <c r="I137" s="9">
        <f>_xll.BQL("ULCC US Equity", "AIRCRAFT_RENTALS/1M", "FPT=A", "FPO=1A", "ACT_EST_MAPPING=PRECISE", "FS=MRC", "CURRENCY=USD", "XLFILL=b")</f>
        <v>633.96624071207009</v>
      </c>
      <c r="J137" s="9">
        <f>_xll.BQL("ULCC US Equity", "AIRCRAFT_RENTALS/1M", "FPT=A", "FPO=0A", "ACT_EST_MAPPING=PRECISE", "FS=MRC", "CURRENCY=USD", "XLFILL=b")</f>
        <v>554</v>
      </c>
      <c r="K137" s="9">
        <f>_xll.BQL("ULCC US Equity", "AIRCRAFT_RENTALS/1M", "FPT=A", "FPO=-1A", "ACT_EST_MAPPING=PRECISE", "FS=MRC", "CURRENCY=USD", "XLFILL=b")</f>
        <v>556</v>
      </c>
      <c r="L137" s="9">
        <f>_xll.BQL("ULCC US Equity", "AIRCRAFT_RENTALS/1M", "FPT=A", "FPO=-2A", "ACT_EST_MAPPING=PRECISE", "FS=MRC", "CURRENCY=USD", "XLFILL=b")</f>
        <v>530</v>
      </c>
      <c r="M137" s="9">
        <f>_xll.BQL("ULCC US Equity", "AIRCRAFT_RENTALS/1M", "FPT=A", "FPO=-3A", "ACT_EST_MAPPING=PRECISE", "FS=MRC", "CURRENCY=USD", "XLFILL=b")</f>
        <v>396</v>
      </c>
      <c r="N137" s="9">
        <f>_xll.BQL("ULCC US Equity", "AIRCRAFT_RENTALS/1M", "FPT=A", "FPO=-4A", "ACT_EST_MAPPING=PRECISE", "FS=MRC", "CURRENCY=USD", "XLFILL=b")</f>
        <v>368</v>
      </c>
    </row>
    <row r="138" spans="1:14" x14ac:dyDescent="0.2">
      <c r="A138" s="8" t="s">
        <v>28</v>
      </c>
      <c r="B138" s="4" t="s">
        <v>121</v>
      </c>
      <c r="C138" s="4" t="s">
        <v>122</v>
      </c>
      <c r="D138" s="4"/>
      <c r="E138" s="9">
        <f>_xll.BQL("ULCC US Equity", "FA_GROWTH(AIRCRAFT_RENTALS, YOY)", "FPT=A", "FPO=5A", "ACT_EST_MAPPING=PRECISE", "FS=MRC", "CURRENCY=USD", "XLFILL=b")</f>
        <v>14.303554654203772</v>
      </c>
      <c r="F138" s="9">
        <f>_xll.BQL("ULCC US Equity", "FA_GROWTH(AIRCRAFT_RENTALS, YOY)", "FPT=A", "FPO=4A", "ACT_EST_MAPPING=PRECISE", "FS=MRC", "CURRENCY=USD", "XLFILL=b")</f>
        <v>13.235148728002548</v>
      </c>
      <c r="G138" s="9">
        <f>_xll.BQL("ULCC US Equity", "FA_GROWTH(AIRCRAFT_RENTALS, YOY)", "FPT=A", "FPO=3A", "ACT_EST_MAPPING=PRECISE", "FS=MRC", "CURRENCY=USD", "XLFILL=b")</f>
        <v>17.281533871541455</v>
      </c>
      <c r="H138" s="9">
        <f>_xll.BQL("ULCC US Equity", "FA_GROWTH(AIRCRAFT_RENTALS, YOY)", "FPT=A", "FPO=2A", "ACT_EST_MAPPING=PRECISE", "FS=MRC", "CURRENCY=USD", "XLFILL=b")</f>
        <v>10.99173187247799</v>
      </c>
      <c r="I138" s="9">
        <f>_xll.BQL("ULCC US Equity", "FA_GROWTH(AIRCRAFT_RENTALS, YOY)", "FPT=A", "FPO=1A", "ACT_EST_MAPPING=PRECISE", "FS=MRC", "CURRENCY=USD", "XLFILL=b")</f>
        <v>14.434339478713015</v>
      </c>
      <c r="J138" s="9">
        <f>_xll.BQL("ULCC US Equity", "FA_GROWTH(AIRCRAFT_RENTALS, YOY)", "FPT=A", "FPO=0A", "ACT_EST_MAPPING=PRECISE", "FS=MRC", "CURRENCY=USD", "XLFILL=b")</f>
        <v>-0.35971223021582732</v>
      </c>
      <c r="K138" s="9">
        <f>_xll.BQL("ULCC US Equity", "FA_GROWTH(AIRCRAFT_RENTALS, YOY)", "FPT=A", "FPO=-1A", "ACT_EST_MAPPING=PRECISE", "FS=MRC", "CURRENCY=USD", "XLFILL=b")</f>
        <v>4.9056603773584904</v>
      </c>
      <c r="L138" s="9">
        <f>_xll.BQL("ULCC US Equity", "FA_GROWTH(AIRCRAFT_RENTALS, YOY)", "FPT=A", "FPO=-2A", "ACT_EST_MAPPING=PRECISE", "FS=MRC", "CURRENCY=USD", "XLFILL=b")</f>
        <v>33.838383838383841</v>
      </c>
      <c r="M138" s="9">
        <f>_xll.BQL("ULCC US Equity", "FA_GROWTH(AIRCRAFT_RENTALS, YOY)", "FPT=A", "FPO=-3A", "ACT_EST_MAPPING=PRECISE", "FS=MRC", "CURRENCY=USD", "XLFILL=b")</f>
        <v>7.6086956521739131</v>
      </c>
      <c r="N138" s="9">
        <f>_xll.BQL("ULCC US Equity", "FA_GROWTH(AIRCRAFT_RENTALS, YOY)", "FPT=A", "FPO=-4A", "ACT_EST_MAPPING=PRECISE", "FS=MRC", "CURRENCY=USD", "XLFILL=b")</f>
        <v>32.851985559566785</v>
      </c>
    </row>
    <row r="139" spans="1:14" x14ac:dyDescent="0.2">
      <c r="A139" s="8" t="s">
        <v>123</v>
      </c>
      <c r="B139" s="4" t="s">
        <v>124</v>
      </c>
      <c r="C139" s="4" t="s">
        <v>125</v>
      </c>
      <c r="D139" s="4"/>
      <c r="E139" s="9">
        <f>_xll.BQL("ULCC US Equity", "OTHER_RENTALS_LANDING_FEES/1M", "FPT=A", "FPO=5A", "ACT_EST_MAPPING=PRECISE", "FS=MRC", "CURRENCY=USD", "XLFILL=b")</f>
        <v>798.55963945689746</v>
      </c>
      <c r="F139" s="9">
        <f>_xll.BQL("ULCC US Equity", "OTHER_RENTALS_LANDING_FEES/1M", "FPT=A", "FPO=4A", "ACT_EST_MAPPING=PRECISE", "FS=MRC", "CURRENCY=USD", "XLFILL=b")</f>
        <v>733.29627131028235</v>
      </c>
      <c r="G139" s="9">
        <f>_xll.BQL("ULCC US Equity", "OTHER_RENTALS_LANDING_FEES/1M", "FPT=A", "FPO=3A", "ACT_EST_MAPPING=PRECISE", "FS=MRC", "CURRENCY=USD", "XLFILL=b")</f>
        <v>708.02355331340141</v>
      </c>
      <c r="H139" s="9">
        <f>_xll.BQL("ULCC US Equity", "OTHER_RENTALS_LANDING_FEES/1M", "FPT=A", "FPO=2A", "ACT_EST_MAPPING=PRECISE", "FS=MRC", "CURRENCY=USD", "XLFILL=b")</f>
        <v>667.79817666639156</v>
      </c>
      <c r="I139" s="9">
        <f>_xll.BQL("ULCC US Equity", "OTHER_RENTALS_LANDING_FEES/1M", "FPT=A", "FPO=1A", "ACT_EST_MAPPING=PRECISE", "FS=MRC", "CURRENCY=USD", "XLFILL=b")</f>
        <v>627.90927808484673</v>
      </c>
      <c r="J139" s="9">
        <f>_xll.BQL("ULCC US Equity", "OTHER_RENTALS_LANDING_FEES/1M", "FPT=A", "FPO=0A", "ACT_EST_MAPPING=PRECISE", "FS=MRC", "CURRENCY=USD", "XLFILL=b")</f>
        <v>516</v>
      </c>
      <c r="K139" s="9">
        <f>_xll.BQL("ULCC US Equity", "OTHER_RENTALS_LANDING_FEES/1M", "FPT=A", "FPO=-1A", "ACT_EST_MAPPING=PRECISE", "FS=MRC", "CURRENCY=USD", "XLFILL=b")</f>
        <v>422</v>
      </c>
      <c r="L139" s="9">
        <f>_xll.BQL("ULCC US Equity", "OTHER_RENTALS_LANDING_FEES/1M", "FPT=A", "FPO=-2A", "ACT_EST_MAPPING=PRECISE", "FS=MRC", "CURRENCY=USD", "XLFILL=b")</f>
        <v>384</v>
      </c>
      <c r="M139" s="9">
        <f>_xll.BQL("ULCC US Equity", "OTHER_RENTALS_LANDING_FEES/1M", "FPT=A", "FPO=-3A", "ACT_EST_MAPPING=PRECISE", "FS=MRC", "CURRENCY=USD", "XLFILL=b")</f>
        <v>257</v>
      </c>
      <c r="N139" s="9">
        <f>_xll.BQL("ULCC US Equity", "OTHER_RENTALS_LANDING_FEES/1M", "FPT=A", "FPO=-4A", "ACT_EST_MAPPING=PRECISE", "FS=MRC", "CURRENCY=USD", "XLFILL=b")</f>
        <v>336</v>
      </c>
    </row>
    <row r="140" spans="1:14" x14ac:dyDescent="0.2">
      <c r="A140" s="8" t="s">
        <v>28</v>
      </c>
      <c r="B140" s="4" t="s">
        <v>124</v>
      </c>
      <c r="C140" s="4" t="s">
        <v>125</v>
      </c>
      <c r="D140" s="4"/>
      <c r="E140" s="9">
        <f>_xll.BQL("ULCC US Equity", "FA_GROWTH(OTHER_RENTALS_LANDING_FEES, YOY)", "FPT=A", "FPO=5A", "ACT_EST_MAPPING=PRECISE", "FS=MRC", "CURRENCY=USD", "XLFILL=b")</f>
        <v>8.9000000000000021</v>
      </c>
      <c r="F140" s="9">
        <f>_xll.BQL("ULCC US Equity", "FA_GROWTH(OTHER_RENTALS_LANDING_FEES, YOY)", "FPT=A", "FPO=4A", "ACT_EST_MAPPING=PRECISE", "FS=MRC", "CURRENCY=USD", "XLFILL=b")</f>
        <v>3.56947419031611</v>
      </c>
      <c r="G140" s="9">
        <f>_xll.BQL("ULCC US Equity", "FA_GROWTH(OTHER_RENTALS_LANDING_FEES, YOY)", "FPT=A", "FPO=3A", "ACT_EST_MAPPING=PRECISE", "FS=MRC", "CURRENCY=USD", "XLFILL=b")</f>
        <v>6.0235828806560257</v>
      </c>
      <c r="H140" s="9">
        <f>_xll.BQL("ULCC US Equity", "FA_GROWTH(OTHER_RENTALS_LANDING_FEES, YOY)", "FPT=A", "FPO=2A", "ACT_EST_MAPPING=PRECISE", "FS=MRC", "CURRENCY=USD", "XLFILL=b")</f>
        <v>6.3526531576676044</v>
      </c>
      <c r="I140" s="9">
        <f>_xll.BQL("ULCC US Equity", "FA_GROWTH(OTHER_RENTALS_LANDING_FEES, YOY)", "FPT=A", "FPO=1A", "ACT_EST_MAPPING=PRECISE", "FS=MRC", "CURRENCY=USD", "XLFILL=b")</f>
        <v>21.687844590086574</v>
      </c>
      <c r="J140" s="9">
        <f>_xll.BQL("ULCC US Equity", "FA_GROWTH(OTHER_RENTALS_LANDING_FEES, YOY)", "FPT=A", "FPO=0A", "ACT_EST_MAPPING=PRECISE", "FS=MRC", "CURRENCY=USD", "XLFILL=b")</f>
        <v>22.274881516587676</v>
      </c>
      <c r="K140" s="9">
        <f>_xll.BQL("ULCC US Equity", "FA_GROWTH(OTHER_RENTALS_LANDING_FEES, YOY)", "FPT=A", "FPO=-1A", "ACT_EST_MAPPING=PRECISE", "FS=MRC", "CURRENCY=USD", "XLFILL=b")</f>
        <v>9.8958333333333339</v>
      </c>
      <c r="L140" s="9">
        <f>_xll.BQL("ULCC US Equity", "FA_GROWTH(OTHER_RENTALS_LANDING_FEES, YOY)", "FPT=A", "FPO=-2A", "ACT_EST_MAPPING=PRECISE", "FS=MRC", "CURRENCY=USD", "XLFILL=b")</f>
        <v>49.416342412451364</v>
      </c>
      <c r="M140" s="9">
        <f>_xll.BQL("ULCC US Equity", "FA_GROWTH(OTHER_RENTALS_LANDING_FEES, YOY)", "FPT=A", "FPO=-3A", "ACT_EST_MAPPING=PRECISE", "FS=MRC", "CURRENCY=USD", "XLFILL=b")</f>
        <v>-23.511904761904763</v>
      </c>
      <c r="N140" s="9" t="str">
        <f>_xll.BQL("ULCC US Equity", "FA_GROWTH(OTHER_RENTALS_LANDING_FEES, YOY)", "FPT=A", "FPO=-4A", "ACT_EST_MAPPING=PRECISE", "FS=MRC", "CURRENCY=USD", "XLFILL=b")</f>
        <v/>
      </c>
    </row>
    <row r="141" spans="1:14" x14ac:dyDescent="0.2">
      <c r="A141" s="8" t="s">
        <v>126</v>
      </c>
      <c r="B141" s="4" t="s">
        <v>127</v>
      </c>
      <c r="C141" s="4" t="s">
        <v>128</v>
      </c>
      <c r="D141" s="4"/>
      <c r="E141" s="9">
        <f>_xll.BQL("ULCC US Equity", "CB_IS_REPAIR_AND_MAINTENANCE_EXP/1M", "FPT=A", "FPO=5A", "ACT_EST_MAPPING=PRECISE", "FS=MRC", "CURRENCY=USD", "XLFILL=b")</f>
        <v>269.46549012140554</v>
      </c>
      <c r="F141" s="9">
        <f>_xll.BQL("ULCC US Equity", "CB_IS_REPAIR_AND_MAINTENANCE_EXP/1M", "FPT=A", "FPO=4A", "ACT_EST_MAPPING=PRECISE", "FS=MRC", "CURRENCY=USD", "XLFILL=b")</f>
        <v>247.23808728415574</v>
      </c>
      <c r="G141" s="9">
        <f>_xll.BQL("ULCC US Equity", "CB_IS_REPAIR_AND_MAINTENANCE_EXP/1M", "FPT=A", "FPO=3A", "ACT_EST_MAPPING=PRECISE", "FS=MRC", "CURRENCY=USD", "XLFILL=b")</f>
        <v>211.54937226969338</v>
      </c>
      <c r="H141" s="9">
        <f>_xll.BQL("ULCC US Equity", "CB_IS_REPAIR_AND_MAINTENANCE_EXP/1M", "FPT=A", "FPO=2A", "ACT_EST_MAPPING=PRECISE", "FS=MRC", "CURRENCY=USD", "XLFILL=b")</f>
        <v>194.22418749258227</v>
      </c>
      <c r="I141" s="9">
        <f>_xll.BQL("ULCC US Equity", "CB_IS_REPAIR_AND_MAINTENANCE_EXP/1M", "FPT=A", "FPO=1A", "ACT_EST_MAPPING=PRECISE", "FS=MRC", "CURRENCY=USD", "XLFILL=b")</f>
        <v>183.33511534171129</v>
      </c>
      <c r="J141" s="9">
        <f>_xll.BQL("ULCC US Equity", "CB_IS_REPAIR_AND_MAINTENANCE_EXP/1M", "FPT=A", "FPO=0A", "ACT_EST_MAPPING=PRECISE", "FS=MRC", "CURRENCY=USD", "XLFILL=b")</f>
        <v>179</v>
      </c>
      <c r="K141" s="9">
        <f>_xll.BQL("ULCC US Equity", "CB_IS_REPAIR_AND_MAINTENANCE_EXP/1M", "FPT=A", "FPO=-1A", "ACT_EST_MAPPING=PRECISE", "FS=MRC", "CURRENCY=USD", "XLFILL=b")</f>
        <v>146</v>
      </c>
      <c r="L141" s="9">
        <f>_xll.BQL("ULCC US Equity", "CB_IS_REPAIR_AND_MAINTENANCE_EXP/1M", "FPT=A", "FPO=-2A", "ACT_EST_MAPPING=PRECISE", "FS=MRC", "CURRENCY=USD", "XLFILL=b")</f>
        <v>119</v>
      </c>
      <c r="M141" s="9">
        <f>_xll.BQL("ULCC US Equity", "CB_IS_REPAIR_AND_MAINTENANCE_EXP/1M", "FPT=A", "FPO=-3A", "ACT_EST_MAPPING=PRECISE", "FS=MRC", "CURRENCY=USD", "XLFILL=b")</f>
        <v>83</v>
      </c>
      <c r="N141" s="9">
        <f>_xll.BQL("ULCC US Equity", "CB_IS_REPAIR_AND_MAINTENANCE_EXP/1M", "FPT=A", "FPO=-4A", "ACT_EST_MAPPING=PRECISE", "FS=MRC", "CURRENCY=USD", "XLFILL=b")</f>
        <v>86</v>
      </c>
    </row>
    <row r="142" spans="1:14" x14ac:dyDescent="0.2">
      <c r="A142" s="8" t="s">
        <v>28</v>
      </c>
      <c r="B142" s="4" t="s">
        <v>127</v>
      </c>
      <c r="C142" s="4" t="s">
        <v>128</v>
      </c>
      <c r="D142" s="4"/>
      <c r="E142" s="9">
        <f>_xll.BQL("ULCC US Equity", "FA_GROWTH(CB_IS_REPAIR_AND_MAINTENANCE_EXP, YOY)", "FPT=A", "FPO=5A", "ACT_EST_MAPPING=PRECISE", "FS=MRC", "CURRENCY=USD", "XLFILL=b")</f>
        <v>8.9902826386548647</v>
      </c>
      <c r="F142" s="9">
        <f>_xll.BQL("ULCC US Equity", "FA_GROWTH(CB_IS_REPAIR_AND_MAINTENANCE_EXP, YOY)", "FPT=A", "FPO=4A", "ACT_EST_MAPPING=PRECISE", "FS=MRC", "CURRENCY=USD", "XLFILL=b")</f>
        <v>16.870158786840857</v>
      </c>
      <c r="G142" s="9">
        <f>_xll.BQL("ULCC US Equity", "FA_GROWTH(CB_IS_REPAIR_AND_MAINTENANCE_EXP, YOY)", "FPT=A", "FPO=3A", "ACT_EST_MAPPING=PRECISE", "FS=MRC", "CURRENCY=USD", "XLFILL=b")</f>
        <v>8.9201993844215668</v>
      </c>
      <c r="H142" s="9">
        <f>_xll.BQL("ULCC US Equity", "FA_GROWTH(CB_IS_REPAIR_AND_MAINTENANCE_EXP, YOY)", "FPT=A", "FPO=2A", "ACT_EST_MAPPING=PRECISE", "FS=MRC", "CURRENCY=USD", "XLFILL=b")</f>
        <v>5.9394361688840984</v>
      </c>
      <c r="I142" s="9">
        <f>_xll.BQL("ULCC US Equity", "FA_GROWTH(CB_IS_REPAIR_AND_MAINTENANCE_EXP, YOY)", "FPT=A", "FPO=1A", "ACT_EST_MAPPING=PRECISE", "FS=MRC", "CURRENCY=USD", "XLFILL=b")</f>
        <v>2.4218521462074207</v>
      </c>
      <c r="J142" s="9">
        <f>_xll.BQL("ULCC US Equity", "FA_GROWTH(CB_IS_REPAIR_AND_MAINTENANCE_EXP, YOY)", "FPT=A", "FPO=0A", "ACT_EST_MAPPING=PRECISE", "FS=MRC", "CURRENCY=USD", "XLFILL=b")</f>
        <v>22.602739726027398</v>
      </c>
      <c r="K142" s="9">
        <f>_xll.BQL("ULCC US Equity", "FA_GROWTH(CB_IS_REPAIR_AND_MAINTENANCE_EXP, YOY)", "FPT=A", "FPO=-1A", "ACT_EST_MAPPING=PRECISE", "FS=MRC", "CURRENCY=USD", "XLFILL=b")</f>
        <v>22.689075630252102</v>
      </c>
      <c r="L142" s="9">
        <f>_xll.BQL("ULCC US Equity", "FA_GROWTH(CB_IS_REPAIR_AND_MAINTENANCE_EXP, YOY)", "FPT=A", "FPO=-2A", "ACT_EST_MAPPING=PRECISE", "FS=MRC", "CURRENCY=USD", "XLFILL=b")</f>
        <v>43.373493975903614</v>
      </c>
      <c r="M142" s="9">
        <f>_xll.BQL("ULCC US Equity", "FA_GROWTH(CB_IS_REPAIR_AND_MAINTENANCE_EXP, YOY)", "FPT=A", "FPO=-3A", "ACT_EST_MAPPING=PRECISE", "FS=MRC", "CURRENCY=USD", "XLFILL=b")</f>
        <v>-3.4883720930232558</v>
      </c>
      <c r="N142" s="9">
        <f>_xll.BQL("ULCC US Equity", "FA_GROWTH(CB_IS_REPAIR_AND_MAINTENANCE_EXP, YOY)", "FPT=A", "FPO=-4A", "ACT_EST_MAPPING=PRECISE", "FS=MRC", "CURRENCY=USD", "XLFILL=b")</f>
        <v>14.666666666666666</v>
      </c>
    </row>
    <row r="143" spans="1:14" x14ac:dyDescent="0.2">
      <c r="A143" s="8" t="s">
        <v>129</v>
      </c>
      <c r="B143" s="4" t="s">
        <v>130</v>
      </c>
      <c r="C143" s="4" t="s">
        <v>131</v>
      </c>
      <c r="D143" s="4"/>
      <c r="E143" s="9">
        <f>_xll.BQL("ULCC US Equity", "IS_SELLING_EXPENSES/1M", "FPT=A", "FPO=5A", "ACT_EST_MAPPING=PRECISE", "FS=MRC", "CURRENCY=USD", "XLFILL=b")</f>
        <v>211.68884865079121</v>
      </c>
      <c r="F143" s="9">
        <f>_xll.BQL("ULCC US Equity", "IS_SELLING_EXPENSES/1M", "FPT=A", "FPO=4A", "ACT_EST_MAPPING=PRECISE", "FS=MRC", "CURRENCY=USD", "XLFILL=b")</f>
        <v>192.06028728977608</v>
      </c>
      <c r="G143" s="9">
        <f>_xll.BQL("ULCC US Equity", "IS_SELLING_EXPENSES/1M", "FPT=A", "FPO=3A", "ACT_EST_MAPPING=PRECISE", "FS=MRC", "CURRENCY=USD", "XLFILL=b")</f>
        <v>208.60006168755154</v>
      </c>
      <c r="H143" s="9">
        <f>_xll.BQL("ULCC US Equity", "IS_SELLING_EXPENSES/1M", "FPT=A", "FPO=2A", "ACT_EST_MAPPING=PRECISE", "FS=MRC", "CURRENCY=USD", "XLFILL=b")</f>
        <v>191.8023503373899</v>
      </c>
      <c r="I143" s="9">
        <f>_xll.BQL("ULCC US Equity", "IS_SELLING_EXPENSES/1M", "FPT=A", "FPO=1A", "ACT_EST_MAPPING=PRECISE", "FS=MRC", "CURRENCY=USD", "XLFILL=b")</f>
        <v>177.02583501756709</v>
      </c>
      <c r="J143" s="9">
        <f>_xll.BQL("ULCC US Equity", "IS_SELLING_EXPENSES/1M", "FPT=A", "FPO=0A", "ACT_EST_MAPPING=PRECISE", "FS=MRC", "CURRENCY=USD", "XLFILL=b")</f>
        <v>164</v>
      </c>
      <c r="K143" s="9">
        <f>_xll.BQL("ULCC US Equity", "IS_SELLING_EXPENSES/1M", "FPT=A", "FPO=-1A", "ACT_EST_MAPPING=PRECISE", "FS=MRC", "CURRENCY=USD", "XLFILL=b")</f>
        <v>164</v>
      </c>
      <c r="L143" s="9">
        <f>_xll.BQL("ULCC US Equity", "IS_SELLING_EXPENSES/1M", "FPT=A", "FPO=-2A", "ACT_EST_MAPPING=PRECISE", "FS=MRC", "CURRENCY=USD", "XLFILL=b")</f>
        <v>109</v>
      </c>
      <c r="M143" s="9">
        <f>_xll.BQL("ULCC US Equity", "IS_SELLING_EXPENSES/1M", "FPT=A", "FPO=-3A", "ACT_EST_MAPPING=PRECISE", "FS=MRC", "CURRENCY=USD", "XLFILL=b")</f>
        <v>78</v>
      </c>
      <c r="N143" s="9">
        <f>_xll.BQL("ULCC US Equity", "IS_SELLING_EXPENSES/1M", "FPT=A", "FPO=-4A", "ACT_EST_MAPPING=PRECISE", "FS=MRC", "CURRENCY=USD", "XLFILL=b")</f>
        <v>130</v>
      </c>
    </row>
    <row r="144" spans="1:14" x14ac:dyDescent="0.2">
      <c r="A144" s="8" t="s">
        <v>28</v>
      </c>
      <c r="B144" s="4" t="s">
        <v>130</v>
      </c>
      <c r="C144" s="4" t="s">
        <v>131</v>
      </c>
      <c r="D144" s="4"/>
      <c r="E144" s="9">
        <f>_xll.BQL("ULCC US Equity", "FA_GROWTH(IS_SELLING_EXPENSES, YOY)", "FPT=A", "FPO=5A", "ACT_EST_MAPPING=PRECISE", "FS=MRC", "CURRENCY=USD", "XLFILL=b")</f>
        <v>10.220000000000013</v>
      </c>
      <c r="F144" s="9">
        <f>_xll.BQL("ULCC US Equity", "FA_GROWTH(IS_SELLING_EXPENSES, YOY)", "FPT=A", "FPO=4A", "ACT_EST_MAPPING=PRECISE", "FS=MRC", "CURRENCY=USD", "XLFILL=b")</f>
        <v>-7.9289403195619963</v>
      </c>
      <c r="G144" s="9">
        <f>_xll.BQL("ULCC US Equity", "FA_GROWTH(IS_SELLING_EXPENSES, YOY)", "FPT=A", "FPO=3A", "ACT_EST_MAPPING=PRECISE", "FS=MRC", "CURRENCY=USD", "XLFILL=b")</f>
        <v>8.7578235202090386</v>
      </c>
      <c r="H144" s="9">
        <f>_xll.BQL("ULCC US Equity", "FA_GROWTH(IS_SELLING_EXPENSES, YOY)", "FPT=A", "FPO=2A", "ACT_EST_MAPPING=PRECISE", "FS=MRC", "CURRENCY=USD", "XLFILL=b")</f>
        <v>8.347095393368118</v>
      </c>
      <c r="I144" s="9">
        <f>_xll.BQL("ULCC US Equity", "FA_GROWTH(IS_SELLING_EXPENSES, YOY)", "FPT=A", "FPO=1A", "ACT_EST_MAPPING=PRECISE", "FS=MRC", "CURRENCY=USD", "XLFILL=b")</f>
        <v>7.942582327784816</v>
      </c>
      <c r="J144" s="9">
        <f>_xll.BQL("ULCC US Equity", "FA_GROWTH(IS_SELLING_EXPENSES, YOY)", "FPT=A", "FPO=0A", "ACT_EST_MAPPING=PRECISE", "FS=MRC", "CURRENCY=USD", "XLFILL=b")</f>
        <v>0</v>
      </c>
      <c r="K144" s="9">
        <f>_xll.BQL("ULCC US Equity", "FA_GROWTH(IS_SELLING_EXPENSES, YOY)", "FPT=A", "FPO=-1A", "ACT_EST_MAPPING=PRECISE", "FS=MRC", "CURRENCY=USD", "XLFILL=b")</f>
        <v>50.458715596330272</v>
      </c>
      <c r="L144" s="9">
        <f>_xll.BQL("ULCC US Equity", "FA_GROWTH(IS_SELLING_EXPENSES, YOY)", "FPT=A", "FPO=-2A", "ACT_EST_MAPPING=PRECISE", "FS=MRC", "CURRENCY=USD", "XLFILL=b")</f>
        <v>39.743589743589745</v>
      </c>
      <c r="M144" s="9">
        <f>_xll.BQL("ULCC US Equity", "FA_GROWTH(IS_SELLING_EXPENSES, YOY)", "FPT=A", "FPO=-3A", "ACT_EST_MAPPING=PRECISE", "FS=MRC", "CURRENCY=USD", "XLFILL=b")</f>
        <v>-40</v>
      </c>
      <c r="N144" s="9">
        <f>_xll.BQL("ULCC US Equity", "FA_GROWTH(IS_SELLING_EXPENSES, YOY)", "FPT=A", "FPO=-4A", "ACT_EST_MAPPING=PRECISE", "FS=MRC", "CURRENCY=USD", "XLFILL=b")</f>
        <v>18.181818181818183</v>
      </c>
    </row>
    <row r="145" spans="1:14" x14ac:dyDescent="0.2">
      <c r="A145" s="8" t="s">
        <v>132</v>
      </c>
      <c r="B145" s="4" t="s">
        <v>133</v>
      </c>
      <c r="C145" s="4" t="s">
        <v>134</v>
      </c>
      <c r="D145" s="4"/>
      <c r="E145" s="9">
        <f>_xll.BQL("ULCC US Equity", "IS_D_AND_A_GAAP/1M", "FPT=A", "FPO=5A", "ACT_EST_MAPPING=PRECISE", "FS=MRC", "CURRENCY=USD", "XLFILL=b")</f>
        <v>200</v>
      </c>
      <c r="F145" s="9">
        <f>_xll.BQL("ULCC US Equity", "IS_D_AND_A_GAAP/1M", "FPT=A", "FPO=4A", "ACT_EST_MAPPING=PRECISE", "FS=MRC", "CURRENCY=USD", "XLFILL=b")</f>
        <v>168</v>
      </c>
      <c r="G145" s="9">
        <f>_xll.BQL("ULCC US Equity", "IS_D_AND_A_GAAP/1M", "FPT=A", "FPO=3A", "ACT_EST_MAPPING=PRECISE", "FS=MRC", "CURRENCY=USD", "XLFILL=b")</f>
        <v>102.26289450883999</v>
      </c>
      <c r="H145" s="9">
        <f>_xll.BQL("ULCC US Equity", "IS_D_AND_A_GAAP/1M", "FPT=A", "FPO=2A", "ACT_EST_MAPPING=PRECISE", "FS=MRC", "CURRENCY=USD", "XLFILL=b")</f>
        <v>83.995371489999997</v>
      </c>
      <c r="I145" s="9">
        <f>_xll.BQL("ULCC US Equity", "IS_D_AND_A_GAAP/1M", "FPT=A", "FPO=1A", "ACT_EST_MAPPING=PRECISE", "FS=MRC", "CURRENCY=USD", "XLFILL=b")</f>
        <v>71.993094874999997</v>
      </c>
      <c r="J145" s="9">
        <f>_xll.BQL("ULCC US Equity", "IS_D_AND_A_GAAP/1M", "FPT=A", "FPO=0A", "ACT_EST_MAPPING=PRECISE", "FS=MRC", "CURRENCY=USD", "XLFILL=b")</f>
        <v>50</v>
      </c>
      <c r="K145" s="9">
        <f>_xll.BQL("ULCC US Equity", "IS_D_AND_A_GAAP/1M", "FPT=A", "FPO=-1A", "ACT_EST_MAPPING=PRECISE", "FS=MRC", "CURRENCY=USD", "XLFILL=b")</f>
        <v>45</v>
      </c>
      <c r="L145" s="9">
        <f>_xll.BQL("ULCC US Equity", "IS_D_AND_A_GAAP/1M", "FPT=A", "FPO=-2A", "ACT_EST_MAPPING=PRECISE", "FS=MRC", "CURRENCY=USD", "XLFILL=b")</f>
        <v>38</v>
      </c>
      <c r="M145" s="9">
        <f>_xll.BQL("ULCC US Equity", "IS_D_AND_A_GAAP/1M", "FPT=A", "FPO=-3A", "ACT_EST_MAPPING=PRECISE", "FS=MRC", "CURRENCY=USD", "XLFILL=b")</f>
        <v>33</v>
      </c>
      <c r="N145" s="9">
        <f>_xll.BQL("ULCC US Equity", "IS_D_AND_A_GAAP/1M", "FPT=A", "FPO=-4A", "ACT_EST_MAPPING=PRECISE", "FS=MRC", "CURRENCY=USD", "XLFILL=b")</f>
        <v>46</v>
      </c>
    </row>
    <row r="146" spans="1:14" x14ac:dyDescent="0.2">
      <c r="A146" s="8" t="s">
        <v>28</v>
      </c>
      <c r="B146" s="4" t="s">
        <v>133</v>
      </c>
      <c r="C146" s="4" t="s">
        <v>134</v>
      </c>
      <c r="D146" s="4"/>
      <c r="E146" s="9">
        <f>_xll.BQL("ULCC US Equity", "FA_GROWTH(IS_D_AND_A_GAAP, YOY)", "FPT=A", "FPO=5A", "ACT_EST_MAPPING=PRECISE", "FS=MRC", "CURRENCY=USD", "XLFILL=b")</f>
        <v>19.047619047619047</v>
      </c>
      <c r="F146" s="9">
        <f>_xll.BQL("ULCC US Equity", "FA_GROWTH(IS_D_AND_A_GAAP, YOY)", "FPT=A", "FPO=4A", "ACT_EST_MAPPING=PRECISE", "FS=MRC", "CURRENCY=USD", "XLFILL=b")</f>
        <v>64.282461206373767</v>
      </c>
      <c r="G146" s="9">
        <f>_xll.BQL("ULCC US Equity", "FA_GROWTH(IS_D_AND_A_GAAP, YOY)", "FPT=A", "FPO=3A", "ACT_EST_MAPPING=PRECISE", "FS=MRC", "CURRENCY=USD", "XLFILL=b")</f>
        <v>21.748249569935918</v>
      </c>
      <c r="H146" s="9">
        <f>_xll.BQL("ULCC US Equity", "FA_GROWTH(IS_D_AND_A_GAAP, YOY)", "FPT=A", "FPO=2A", "ACT_EST_MAPPING=PRECISE", "FS=MRC", "CURRENCY=USD", "XLFILL=b")</f>
        <v>16.671427497094381</v>
      </c>
      <c r="I146" s="9">
        <f>_xll.BQL("ULCC US Equity", "FA_GROWTH(IS_D_AND_A_GAAP, YOY)", "FPT=A", "FPO=1A", "ACT_EST_MAPPING=PRECISE", "FS=MRC", "CURRENCY=USD", "XLFILL=b")</f>
        <v>43.986189750000001</v>
      </c>
      <c r="J146" s="9">
        <f>_xll.BQL("ULCC US Equity", "FA_GROWTH(IS_D_AND_A_GAAP, YOY)", "FPT=A", "FPO=0A", "ACT_EST_MAPPING=PRECISE", "FS=MRC", "CURRENCY=USD", "XLFILL=b")</f>
        <v>11.111111111111111</v>
      </c>
      <c r="K146" s="9">
        <f>_xll.BQL("ULCC US Equity", "FA_GROWTH(IS_D_AND_A_GAAP, YOY)", "FPT=A", "FPO=-1A", "ACT_EST_MAPPING=PRECISE", "FS=MRC", "CURRENCY=USD", "XLFILL=b")</f>
        <v>18.421052631578949</v>
      </c>
      <c r="L146" s="9">
        <f>_xll.BQL("ULCC US Equity", "FA_GROWTH(IS_D_AND_A_GAAP, YOY)", "FPT=A", "FPO=-2A", "ACT_EST_MAPPING=PRECISE", "FS=MRC", "CURRENCY=USD", "XLFILL=b")</f>
        <v>15.151515151515152</v>
      </c>
      <c r="M146" s="9">
        <f>_xll.BQL("ULCC US Equity", "FA_GROWTH(IS_D_AND_A_GAAP, YOY)", "FPT=A", "FPO=-3A", "ACT_EST_MAPPING=PRECISE", "FS=MRC", "CURRENCY=USD", "XLFILL=b")</f>
        <v>-28.260869565217391</v>
      </c>
      <c r="N146" s="9">
        <f>_xll.BQL("ULCC US Equity", "FA_GROWTH(IS_D_AND_A_GAAP, YOY)", "FPT=A", "FPO=-4A", "ACT_EST_MAPPING=PRECISE", "FS=MRC", "CURRENCY=USD", "XLFILL=b")</f>
        <v>-41.025641025641029</v>
      </c>
    </row>
    <row r="147" spans="1:14" x14ac:dyDescent="0.2">
      <c r="A147" s="8" t="s">
        <v>73</v>
      </c>
      <c r="B147" s="4" t="s">
        <v>135</v>
      </c>
      <c r="C147" s="4" t="s">
        <v>136</v>
      </c>
      <c r="D147" s="4"/>
      <c r="E147" s="9">
        <f>_xll.BQL("ULCC US Equity", "CB_IS_OTHER_OPEX/1M", "FPT=A", "FPO=5A", "ACT_EST_MAPPING=PRECISE", "FS=MRC", "CURRENCY=USD", "XLFILL=b")</f>
        <v>118.28193801034554</v>
      </c>
      <c r="F147" s="9">
        <f>_xll.BQL("ULCC US Equity", "CB_IS_OTHER_OPEX/1M", "FPT=A", "FPO=4A", "ACT_EST_MAPPING=PRECISE", "FS=MRC", "CURRENCY=USD", "XLFILL=b")</f>
        <v>108.61518641905008</v>
      </c>
      <c r="G147" s="9">
        <f>_xll.BQL("ULCC US Equity", "CB_IS_OTHER_OPEX/1M", "FPT=A", "FPO=3A", "ACT_EST_MAPPING=PRECISE", "FS=MRC", "CURRENCY=USD", "XLFILL=b")</f>
        <v>74.950907506290008</v>
      </c>
      <c r="H147" s="9">
        <f>_xll.BQL("ULCC US Equity", "CB_IS_OTHER_OPEX/1M", "FPT=A", "FPO=2A", "ACT_EST_MAPPING=PRECISE", "FS=MRC", "CURRENCY=USD", "XLFILL=b")</f>
        <v>65.893646626999995</v>
      </c>
      <c r="I147" s="9">
        <f>_xll.BQL("ULCC US Equity", "CB_IS_OTHER_OPEX/1M", "FPT=A", "FPO=1A", "ACT_EST_MAPPING=PRECISE", "FS=MRC", "CURRENCY=USD", "XLFILL=b")</f>
        <v>29.709320000000002</v>
      </c>
      <c r="J147" s="9">
        <f>_xll.BQL("ULCC US Equity", "CB_IS_OTHER_OPEX/1M", "FPT=A", "FPO=0A", "ACT_EST_MAPPING=PRECISE", "FS=MRC", "CURRENCY=USD", "XLFILL=b")</f>
        <v>140</v>
      </c>
      <c r="K147" s="9">
        <f>_xll.BQL("ULCC US Equity", "CB_IS_OTHER_OPEX/1M", "FPT=A", "FPO=-1A", "ACT_EST_MAPPING=PRECISE", "FS=MRC", "CURRENCY=USD", "XLFILL=b")</f>
        <v>153</v>
      </c>
      <c r="L147" s="9">
        <f>_xll.BQL("ULCC US Equity", "CB_IS_OTHER_OPEX/1M", "FPT=A", "FPO=-2A", "ACT_EST_MAPPING=PRECISE", "FS=MRC", "CURRENCY=USD", "XLFILL=b")</f>
        <v>101</v>
      </c>
      <c r="M147" s="9">
        <f>_xll.BQL("ULCC US Equity", "CB_IS_OTHER_OPEX/1M", "FPT=A", "FPO=-3A", "ACT_EST_MAPPING=PRECISE", "FS=MRC", "CURRENCY=USD", "XLFILL=b")</f>
        <v>90</v>
      </c>
      <c r="N147" s="9">
        <f>_xll.BQL("ULCC US Equity", "CB_IS_OTHER_OPEX/1M", "FPT=A", "FPO=-4A", "ACT_EST_MAPPING=PRECISE", "FS=MRC", "CURRENCY=USD", "XLFILL=b")</f>
        <v>64</v>
      </c>
    </row>
    <row r="148" spans="1:14" x14ac:dyDescent="0.2">
      <c r="A148" s="8" t="s">
        <v>28</v>
      </c>
      <c r="B148" s="4" t="s">
        <v>135</v>
      </c>
      <c r="C148" s="4" t="s">
        <v>136</v>
      </c>
      <c r="D148" s="4"/>
      <c r="E148" s="9">
        <f>_xll.BQL("ULCC US Equity", "FA_GROWTH(CB_IS_OTHER_OPEX, YOY)", "FPT=A", "FPO=5A", "ACT_EST_MAPPING=PRECISE", "FS=MRC", "CURRENCY=USD", "XLFILL=b")</f>
        <v>8.9000000000000092</v>
      </c>
      <c r="F148" s="9">
        <f>_xll.BQL("ULCC US Equity", "FA_GROWTH(CB_IS_OTHER_OPEX, YOY)", "FPT=A", "FPO=4A", "ACT_EST_MAPPING=PRECISE", "FS=MRC", "CURRENCY=USD", "XLFILL=b")</f>
        <v>44.915105143903581</v>
      </c>
      <c r="G148" s="9">
        <f>_xll.BQL("ULCC US Equity", "FA_GROWTH(CB_IS_OTHER_OPEX, YOY)", "FPT=A", "FPO=3A", "ACT_EST_MAPPING=PRECISE", "FS=MRC", "CURRENCY=USD", "XLFILL=b")</f>
        <v>13.745271878121835</v>
      </c>
      <c r="H148" s="9">
        <f>_xll.BQL("ULCC US Equity", "FA_GROWTH(CB_IS_OTHER_OPEX, YOY)", "FPT=A", "FPO=2A", "ACT_EST_MAPPING=PRECISE", "FS=MRC", "CURRENCY=USD", "XLFILL=b")</f>
        <v>121.79452988826401</v>
      </c>
      <c r="I148" s="9">
        <f>_xll.BQL("ULCC US Equity", "FA_GROWTH(CB_IS_OTHER_OPEX, YOY)", "FPT=A", "FPO=1A", "ACT_EST_MAPPING=PRECISE", "FS=MRC", "CURRENCY=USD", "XLFILL=b")</f>
        <v>-78.779057142857141</v>
      </c>
      <c r="J148" s="9">
        <f>_xll.BQL("ULCC US Equity", "FA_GROWTH(CB_IS_OTHER_OPEX, YOY)", "FPT=A", "FPO=0A", "ACT_EST_MAPPING=PRECISE", "FS=MRC", "CURRENCY=USD", "XLFILL=b")</f>
        <v>-8.4967320261437909</v>
      </c>
      <c r="K148" s="9">
        <f>_xll.BQL("ULCC US Equity", "FA_GROWTH(CB_IS_OTHER_OPEX, YOY)", "FPT=A", "FPO=-1A", "ACT_EST_MAPPING=PRECISE", "FS=MRC", "CURRENCY=USD", "XLFILL=b")</f>
        <v>51.485148514851488</v>
      </c>
      <c r="L148" s="9">
        <f>_xll.BQL("ULCC US Equity", "FA_GROWTH(CB_IS_OTHER_OPEX, YOY)", "FPT=A", "FPO=-2A", "ACT_EST_MAPPING=PRECISE", "FS=MRC", "CURRENCY=USD", "XLFILL=b")</f>
        <v>12.222222222222221</v>
      </c>
      <c r="M148" s="9">
        <f>_xll.BQL("ULCC US Equity", "FA_GROWTH(CB_IS_OTHER_OPEX, YOY)", "FPT=A", "FPO=-3A", "ACT_EST_MAPPING=PRECISE", "FS=MRC", "CURRENCY=USD", "XLFILL=b")</f>
        <v>40.625</v>
      </c>
      <c r="N148" s="9">
        <f>_xll.BQL("ULCC US Equity", "FA_GROWTH(CB_IS_OTHER_OPEX, YOY)", "FPT=A", "FPO=-4A", "ACT_EST_MAPPING=PRECISE", "FS=MRC", "CURRENCY=USD", "XLFILL=b")</f>
        <v>-62.57309941520468</v>
      </c>
    </row>
    <row r="149" spans="1:14" x14ac:dyDescent="0.2">
      <c r="A149" s="8" t="s">
        <v>137</v>
      </c>
      <c r="B149" s="4" t="s">
        <v>49</v>
      </c>
      <c r="C149" s="4" t="s">
        <v>138</v>
      </c>
      <c r="D149" s="4"/>
      <c r="E149" s="9">
        <f>_xll.BQL("ULCC US Equity", "IS_COMPARABLE_EBIT/1M", "FPT=A", "FPO=5A", "ACT_EST_MAPPING=PRECISE", "FS=MRC", "CURRENCY=USD", "XLFILL=b")</f>
        <v>486</v>
      </c>
      <c r="F149" s="9">
        <f>_xll.BQL("ULCC US Equity", "IS_COMPARABLE_EBIT/1M", "FPT=A", "FPO=4A", "ACT_EST_MAPPING=PRECISE", "FS=MRC", "CURRENCY=USD", "XLFILL=b")</f>
        <v>373</v>
      </c>
      <c r="G149" s="9">
        <f>_xll.BQL("ULCC US Equity", "IS_COMPARABLE_EBIT/1M", "FPT=A", "FPO=3A", "ACT_EST_MAPPING=PRECISE", "FS=MRC", "CURRENCY=USD", "XLFILL=b")</f>
        <v>321.25</v>
      </c>
      <c r="H149" s="9">
        <f>_xll.BQL("ULCC US Equity", "IS_COMPARABLE_EBIT/1M", "FPT=A", "FPO=2A", "ACT_EST_MAPPING=PRECISE", "FS=MRC", "CURRENCY=USD", "XLFILL=b")</f>
        <v>121.45454545454545</v>
      </c>
      <c r="I149" s="9">
        <f>_xll.BQL("ULCC US Equity", "IS_COMPARABLE_EBIT/1M", "FPT=A", "FPO=1A", "ACT_EST_MAPPING=PRECISE", "FS=MRC", "CURRENCY=USD", "XLFILL=b")</f>
        <v>-36.052727272727275</v>
      </c>
      <c r="J149" s="9">
        <f>_xll.BQL("ULCC US Equity", "IS_COMPARABLE_EBIT/1M", "FPT=A", "FPO=0A", "ACT_EST_MAPPING=PRECISE", "FS=MRC", "CURRENCY=USD", "XLFILL=b")</f>
        <v>-1</v>
      </c>
      <c r="K149" s="9">
        <f>_xll.BQL("ULCC US Equity", "IS_COMPARABLE_EBIT/1M", "FPT=A", "FPO=-1A", "ACT_EST_MAPPING=PRECISE", "FS=MRC", "CURRENCY=USD", "XLFILL=b")</f>
        <v>-33</v>
      </c>
      <c r="L149" s="9">
        <f>_xll.BQL("ULCC US Equity", "IS_COMPARABLE_EBIT/1M", "FPT=A", "FPO=-2A", "ACT_EST_MAPPING=PRECISE", "FS=MRC", "CURRENCY=USD", "XLFILL=b")</f>
        <v>-400</v>
      </c>
      <c r="M149" s="9" t="str">
        <f>_xll.BQL("ULCC US Equity", "IS_COMPARABLE_EBIT/1M", "FPT=A", "FPO=-3A", "ACT_EST_MAPPING=PRECISE", "FS=MRC", "CURRENCY=USD", "XLFILL=b")</f>
        <v/>
      </c>
      <c r="N149" s="9" t="str">
        <f>_xll.BQL("ULCC US Equity", "IS_COMPARABLE_EBIT/1M", "FPT=A", "FPO=-4A", "ACT_EST_MAPPING=PRECISE", "FS=MRC", "CURRENCY=USD", "XLFILL=b")</f>
        <v/>
      </c>
    </row>
    <row r="150" spans="1:14" x14ac:dyDescent="0.2">
      <c r="A150" s="8" t="s">
        <v>12</v>
      </c>
      <c r="B150" s="4" t="s">
        <v>49</v>
      </c>
      <c r="C150" s="4" t="s">
        <v>138</v>
      </c>
      <c r="D150" s="4"/>
      <c r="E150" s="9">
        <f>_xll.BQL("ULCC US Equity", "FA_GROWTH(IS_COMPARABLE_EBIT, YOY)", "FPT=A", "FPO=5A", "ACT_EST_MAPPING=PRECISE", "FS=MRC", "CURRENCY=USD", "XLFILL=b")</f>
        <v>30.294906166219839</v>
      </c>
      <c r="F150" s="9">
        <f>_xll.BQL("ULCC US Equity", "FA_GROWTH(IS_COMPARABLE_EBIT, YOY)", "FPT=A", "FPO=4A", "ACT_EST_MAPPING=PRECISE", "FS=MRC", "CURRENCY=USD", "XLFILL=b")</f>
        <v>16.108949416342412</v>
      </c>
      <c r="G150" s="9">
        <f>_xll.BQL("ULCC US Equity", "FA_GROWTH(IS_COMPARABLE_EBIT, YOY)", "FPT=A", "FPO=3A", "ACT_EST_MAPPING=PRECISE", "FS=MRC", "CURRENCY=USD", "XLFILL=b")</f>
        <v>164.50224550898204</v>
      </c>
      <c r="H150" s="9">
        <f>_xll.BQL("ULCC US Equity", "FA_GROWTH(IS_COMPARABLE_EBIT, YOY)", "FPT=A", "FPO=2A", "ACT_EST_MAPPING=PRECISE", "FS=MRC", "CURRENCY=USD", "XLFILL=b")</f>
        <v>436.88032679408946</v>
      </c>
      <c r="I150" s="9">
        <f>_xll.BQL("ULCC US Equity", "FA_GROWTH(IS_COMPARABLE_EBIT, YOY)", "FPT=A", "FPO=1A", "ACT_EST_MAPPING=PRECISE", "FS=MRC", "CURRENCY=USD", "XLFILL=b")</f>
        <v>-3505.2727272727275</v>
      </c>
      <c r="J150" s="9">
        <f>_xll.BQL("ULCC US Equity", "FA_GROWTH(IS_COMPARABLE_EBIT, YOY)", "FPT=A", "FPO=0A", "ACT_EST_MAPPING=PRECISE", "FS=MRC", "CURRENCY=USD", "XLFILL=b")</f>
        <v>96.969696969696969</v>
      </c>
      <c r="K150" s="9">
        <f>_xll.BQL("ULCC US Equity", "FA_GROWTH(IS_COMPARABLE_EBIT, YOY)", "FPT=A", "FPO=-1A", "ACT_EST_MAPPING=PRECISE", "FS=MRC", "CURRENCY=USD", "XLFILL=b")</f>
        <v>91.75</v>
      </c>
      <c r="L150" s="9" t="str">
        <f>_xll.BQL("ULCC US Equity", "FA_GROWTH(IS_COMPARABLE_EBIT, YOY)", "FPT=A", "FPO=-2A", "ACT_EST_MAPPING=PRECISE", "FS=MRC", "CURRENCY=USD", "XLFILL=b")</f>
        <v/>
      </c>
      <c r="M150" s="9" t="str">
        <f>_xll.BQL("ULCC US Equity", "FA_GROWTH(IS_COMPARABLE_EBIT, YOY)", "FPT=A", "FPO=-3A", "ACT_EST_MAPPING=PRECISE", "FS=MRC", "CURRENCY=USD", "XLFILL=b")</f>
        <v/>
      </c>
      <c r="N150" s="9" t="str">
        <f>_xll.BQL("ULCC US Equity", "FA_GROWTH(IS_COMPARABLE_EBIT, YOY)", "FPT=A", "FPO=-4A", "ACT_EST_MAPPING=PRECISE", "FS=MRC", "CURRENCY=USD", "XLFILL=b")</f>
        <v/>
      </c>
    </row>
    <row r="151" spans="1:14" x14ac:dyDescent="0.2">
      <c r="A151" s="8" t="s">
        <v>139</v>
      </c>
      <c r="B151" s="4" t="s">
        <v>140</v>
      </c>
      <c r="C151" s="4"/>
      <c r="D151" s="4"/>
      <c r="E151" s="9">
        <f>_xll.BQL("ULCC US Equity", "OPER_MARGIN", "FPT=A", "FPO=5A", "ACT_EST_MAPPING=PRECISE", "FS=MRC", "CURRENCY=USD", "XLFILL=b")</f>
        <v>8.0783588146109366</v>
      </c>
      <c r="F151" s="9">
        <f>_xll.BQL("ULCC US Equity", "OPER_MARGIN", "FPT=A", "FPO=4A", "ACT_EST_MAPPING=PRECISE", "FS=MRC", "CURRENCY=USD", "XLFILL=b")</f>
        <v>6.9644311084725921</v>
      </c>
      <c r="G151" s="9">
        <f>_xll.BQL("ULCC US Equity", "OPER_MARGIN", "FPT=A", "FPO=3A", "ACT_EST_MAPPING=PRECISE", "FS=MRC", "CURRENCY=USD", "XLFILL=b")</f>
        <v>5.879786644344958</v>
      </c>
      <c r="H151" s="9">
        <f>_xll.BQL("ULCC US Equity", "OPER_MARGIN", "FPT=A", "FPO=2A", "ACT_EST_MAPPING=PRECISE", "FS=MRC", "CURRENCY=USD", "XLFILL=b")</f>
        <v>1.3897494046609971</v>
      </c>
      <c r="I151" s="9">
        <f>_xll.BQL("ULCC US Equity", "OPER_MARGIN", "FPT=A", "FPO=1A", "ACT_EST_MAPPING=PRECISE", "FS=MRC", "CURRENCY=USD", "XLFILL=b")</f>
        <v>-0.89308502650571087</v>
      </c>
      <c r="J151" s="9">
        <f>_xll.BQL("ULCC US Equity", "OPER_MARGIN", "FPT=A", "FPO=0A", "ACT_EST_MAPPING=PRECISE", "FS=MRC", "CURRENCY=USD", "XLFILL=b")</f>
        <v>-8.3588743382557812E-2</v>
      </c>
      <c r="K151" s="9">
        <f>_xll.BQL("ULCC US Equity", "OPER_MARGIN", "FPT=A", "FPO=-1A", "ACT_EST_MAPPING=PRECISE", "FS=MRC", "CURRENCY=USD", "XLFILL=b")</f>
        <v>-1.3529765484064944</v>
      </c>
      <c r="L151" s="9">
        <f>_xll.BQL("ULCC US Equity", "OPER_MARGIN", "FPT=A", "FPO=-2A", "ACT_EST_MAPPING=PRECISE", "FS=MRC", "CURRENCY=USD", "XLFILL=b")</f>
        <v>-5.6796116504854366</v>
      </c>
      <c r="M151" s="9">
        <f>_xll.BQL("ULCC US Equity", "OPER_MARGIN", "FPT=A", "FPO=-3A", "ACT_EST_MAPPING=PRECISE", "FS=MRC", "CURRENCY=USD", "XLFILL=b")</f>
        <v>-29.2</v>
      </c>
      <c r="N151" s="9">
        <f>_xll.BQL("ULCC US Equity", "OPER_MARGIN", "FPT=A", "FPO=-4A", "ACT_EST_MAPPING=PRECISE", "FS=MRC", "CURRENCY=USD", "XLFILL=b")</f>
        <v>12.320574162679426</v>
      </c>
    </row>
    <row r="152" spans="1:14" x14ac:dyDescent="0.2">
      <c r="A152" s="8" t="s">
        <v>28</v>
      </c>
      <c r="B152" s="4" t="s">
        <v>140</v>
      </c>
      <c r="C152" s="4"/>
      <c r="D152" s="4"/>
      <c r="E152" s="9">
        <f>_xll.BQL("ULCC US Equity", "FA_GROWTH(OPER_MARGIN, YOY)", "FPT=A", "FPO=5A", "ACT_EST_MAPPING=PRECISE", "FS=MRC", "CURRENCY=USD", "XLFILL=b")</f>
        <v>15.994525450660193</v>
      </c>
      <c r="F152" s="9">
        <f>_xll.BQL("ULCC US Equity", "FA_GROWTH(OPER_MARGIN, YOY)", "FPT=A", "FPO=4A", "ACT_EST_MAPPING=PRECISE", "FS=MRC", "CURRENCY=USD", "XLFILL=b")</f>
        <v>18.44700377301649</v>
      </c>
      <c r="G152" s="9">
        <f>_xll.BQL("ULCC US Equity", "FA_GROWTH(OPER_MARGIN, YOY)", "FPT=A", "FPO=3A", "ACT_EST_MAPPING=PRECISE", "FS=MRC", "CURRENCY=USD", "XLFILL=b")</f>
        <v>323.08250858932513</v>
      </c>
      <c r="H152" s="9">
        <f>_xll.BQL("ULCC US Equity", "FA_GROWTH(OPER_MARGIN, YOY)", "FPT=A", "FPO=2A", "ACT_EST_MAPPING=PRECISE", "FS=MRC", "CURRENCY=USD", "XLFILL=b")</f>
        <v>255.61221646482392</v>
      </c>
      <c r="I152" s="9">
        <f>_xll.BQL("ULCC US Equity", "FA_GROWTH(OPER_MARGIN, YOY)", "FPT=A", "FPO=1A", "ACT_EST_MAPPING=PRECISE", "FS=MRC", "CURRENCY=USD", "XLFILL=b")</f>
        <v>-968.42738670966537</v>
      </c>
      <c r="J152" s="9">
        <f>_xll.BQL("ULCC US Equity", "FA_GROWTH(OPER_MARGIN, YOY)", "FPT=A", "FPO=0A", "ACT_EST_MAPPING=PRECISE", "FS=MRC", "CURRENCY=USD", "XLFILL=b")</f>
        <v>93.821863100213619</v>
      </c>
      <c r="K152" s="9">
        <f>_xll.BQL("ULCC US Equity", "FA_GROWTH(OPER_MARGIN, YOY)", "FPT=A", "FPO=-1A", "ACT_EST_MAPPING=PRECISE", "FS=MRC", "CURRENCY=USD", "XLFILL=b")</f>
        <v>76.178361626347183</v>
      </c>
      <c r="L152" s="9">
        <f>_xll.BQL("ULCC US Equity", "FA_GROWTH(OPER_MARGIN, YOY)", "FPT=A", "FPO=-2A", "ACT_EST_MAPPING=PRECISE", "FS=MRC", "CURRENCY=USD", "XLFILL=b")</f>
        <v>80.549275169570407</v>
      </c>
      <c r="M152" s="9">
        <f>_xll.BQL("ULCC US Equity", "FA_GROWTH(OPER_MARGIN, YOY)", "FPT=A", "FPO=-3A", "ACT_EST_MAPPING=PRECISE", "FS=MRC", "CURRENCY=USD", "XLFILL=b")</f>
        <v>-337.0019417475728</v>
      </c>
      <c r="N152" s="9">
        <f>_xll.BQL("ULCC US Equity", "FA_GROWTH(OPER_MARGIN, YOY)", "FPT=A", "FPO=-4A", "ACT_EST_MAPPING=PRECISE", "FS=MRC", "CURRENCY=USD", "XLFILL=b")</f>
        <v>188.72997711670479</v>
      </c>
    </row>
    <row r="153" spans="1:14" x14ac:dyDescent="0.2">
      <c r="A153" s="8" t="s">
        <v>16</v>
      </c>
      <c r="B153" s="4"/>
      <c r="C153" s="4"/>
      <c r="D153" s="4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1:14" x14ac:dyDescent="0.2">
      <c r="A154" s="8" t="s">
        <v>141</v>
      </c>
      <c r="B154" s="4" t="s">
        <v>51</v>
      </c>
      <c r="C154" s="4"/>
      <c r="D154" s="4"/>
      <c r="E154" s="9">
        <f>_xll.BQL("ULCC US Equity", "AIRLINE_EBITDAR/1M", "FPT=A", "FPO=5A", "ACT_EST_MAPPING=PRECISE", "FS=MRC", "CURRENCY=USD", "XLFILL=b")</f>
        <v>1754.1609297422342</v>
      </c>
      <c r="F154" s="9">
        <f>_xll.BQL("ULCC US Equity", "AIRLINE_EBITDAR/1M", "FPT=A", "FPO=4A", "ACT_EST_MAPPING=PRECISE", "FS=MRC", "CURRENCY=USD", "XLFILL=b")</f>
        <v>1475.9196754861168</v>
      </c>
      <c r="G154" s="9">
        <f>_xll.BQL("ULCC US Equity", "AIRLINE_EBITDAR/1M", "FPT=A", "FPO=3A", "ACT_EST_MAPPING=PRECISE", "FS=MRC", "CURRENCY=USD", "XLFILL=b")</f>
        <v>1214.1807057533613</v>
      </c>
      <c r="H154" s="9">
        <f>_xll.BQL("ULCC US Equity", "AIRLINE_EBITDAR/1M", "FPT=A", "FPO=2A", "ACT_EST_MAPPING=PRECISE", "FS=MRC", "CURRENCY=USD", "XLFILL=b")</f>
        <v>867.65093027049352</v>
      </c>
      <c r="I154" s="9">
        <f>_xll.BQL("ULCC US Equity", "AIRLINE_EBITDAR/1M", "FPT=A", "FPO=1A", "ACT_EST_MAPPING=PRECISE", "FS=MRC", "CURRENCY=USD", "XLFILL=b")</f>
        <v>676.4224629463663</v>
      </c>
      <c r="J154" s="9">
        <f>_xll.BQL("ULCC US Equity", "AIRLINE_EBITDAR/1M", "FPT=A", "FPO=0A", "ACT_EST_MAPPING=PRECISE", "FS=MRC", "CURRENCY=USD", "XLFILL=b")</f>
        <v>601</v>
      </c>
      <c r="K154" s="9">
        <f>_xll.BQL("ULCC US Equity", "AIRLINE_EBITDAR/1M", "FPT=A", "FPO=-1A", "ACT_EST_MAPPING=PRECISE", "FS=MRC", "CURRENCY=USD", "XLFILL=b")</f>
        <v>556</v>
      </c>
      <c r="L154" s="9">
        <f>_xll.BQL("ULCC US Equity", "AIRLINE_EBITDAR/1M", "FPT=A", "FPO=-2A", "ACT_EST_MAPPING=PRECISE", "FS=MRC", "CURRENCY=USD", "XLFILL=b")</f>
        <v>451</v>
      </c>
      <c r="M154" s="9">
        <f>_xll.BQL("ULCC US Equity", "AIRLINE_EBITDAR/1M", "FPT=A", "FPO=-3A", "ACT_EST_MAPPING=PRECISE", "FS=MRC", "CURRENCY=USD", "XLFILL=b")</f>
        <v>64</v>
      </c>
      <c r="N154" s="9">
        <f>_xll.BQL("ULCC US Equity", "AIRLINE_EBITDAR/1M", "FPT=A", "FPO=-4A", "ACT_EST_MAPPING=PRECISE", "FS=MRC", "CURRENCY=USD", "XLFILL=b")</f>
        <v>723</v>
      </c>
    </row>
    <row r="155" spans="1:14" x14ac:dyDescent="0.2">
      <c r="A155" s="8" t="s">
        <v>12</v>
      </c>
      <c r="B155" s="4" t="s">
        <v>51</v>
      </c>
      <c r="C155" s="4"/>
      <c r="D155" s="4"/>
      <c r="E155" s="9">
        <f>_xll.BQL("ULCC US Equity", "FA_GROWTH(AIRLINE_EBITDAR, YOY)", "FPT=A", "FPO=5A", "ACT_EST_MAPPING=PRECISE", "FS=MRC", "CURRENCY=USD", "XLFILL=b")</f>
        <v>18.852059422845912</v>
      </c>
      <c r="F155" s="9">
        <f>_xll.BQL("ULCC US Equity", "FA_GROWTH(AIRLINE_EBITDAR, YOY)", "FPT=A", "FPO=4A", "ACT_EST_MAPPING=PRECISE", "FS=MRC", "CURRENCY=USD", "XLFILL=b")</f>
        <v>21.55683816194022</v>
      </c>
      <c r="G155" s="9">
        <f>_xll.BQL("ULCC US Equity", "FA_GROWTH(AIRLINE_EBITDAR, YOY)", "FPT=A", "FPO=3A", "ACT_EST_MAPPING=PRECISE", "FS=MRC", "CURRENCY=USD", "XLFILL=b")</f>
        <v>39.93884676350612</v>
      </c>
      <c r="H155" s="9">
        <f>_xll.BQL("ULCC US Equity", "FA_GROWTH(AIRLINE_EBITDAR, YOY)", "FPT=A", "FPO=2A", "ACT_EST_MAPPING=PRECISE", "FS=MRC", "CURRENCY=USD", "XLFILL=b")</f>
        <v>28.270567256322732</v>
      </c>
      <c r="I155" s="9">
        <f>_xll.BQL("ULCC US Equity", "FA_GROWTH(AIRLINE_EBITDAR, YOY)", "FPT=A", "FPO=1A", "ACT_EST_MAPPING=PRECISE", "FS=MRC", "CURRENCY=USD", "XLFILL=b")</f>
        <v>12.54949466661669</v>
      </c>
      <c r="J155" s="9">
        <f>_xll.BQL("ULCC US Equity", "FA_GROWTH(AIRLINE_EBITDAR, YOY)", "FPT=A", "FPO=0A", "ACT_EST_MAPPING=PRECISE", "FS=MRC", "CURRENCY=USD", "XLFILL=b")</f>
        <v>8.0935251798561154</v>
      </c>
      <c r="K155" s="9">
        <f>_xll.BQL("ULCC US Equity", "FA_GROWTH(AIRLINE_EBITDAR, YOY)", "FPT=A", "FPO=-1A", "ACT_EST_MAPPING=PRECISE", "FS=MRC", "CURRENCY=USD", "XLFILL=b")</f>
        <v>23.281596452328159</v>
      </c>
      <c r="L155" s="9">
        <f>_xll.BQL("ULCC US Equity", "FA_GROWTH(AIRLINE_EBITDAR, YOY)", "FPT=A", "FPO=-2A", "ACT_EST_MAPPING=PRECISE", "FS=MRC", "CURRENCY=USD", "XLFILL=b")</f>
        <v>604.6875</v>
      </c>
      <c r="M155" s="9">
        <f>_xll.BQL("ULCC US Equity", "FA_GROWTH(AIRLINE_EBITDAR, YOY)", "FPT=A", "FPO=-3A", "ACT_EST_MAPPING=PRECISE", "FS=MRC", "CURRENCY=USD", "XLFILL=b")</f>
        <v>-91.147994467496545</v>
      </c>
      <c r="N155" s="9" t="str">
        <f>_xll.BQL("ULCC US Equity", "FA_GROWTH(AIRLINE_EBITDAR, YOY)", "FPT=A", "FPO=-4A", "ACT_EST_MAPPING=PRECISE", "FS=MRC", "CURRENCY=USD", "XLFILL=b")</f>
        <v/>
      </c>
    </row>
    <row r="156" spans="1:14" x14ac:dyDescent="0.2">
      <c r="A156" s="8" t="s">
        <v>142</v>
      </c>
      <c r="B156" s="4" t="s">
        <v>143</v>
      </c>
      <c r="C156" s="4"/>
      <c r="D156" s="4"/>
      <c r="E156" s="9">
        <f>_xll.BQL("ULCC US Equity", "EBITDA_AS_REPORTED_TO_SALES_PCT", "FPT=A", "FPO=5A", "ACT_EST_MAPPING=PRECISE", "FS=MRC", "CURRENCY=USD", "XLFILL=b")</f>
        <v>11.402629851914318</v>
      </c>
      <c r="F156" s="9">
        <f>_xll.BQL("ULCC US Equity", "EBITDA_AS_REPORTED_TO_SALES_PCT", "FPT=A", "FPO=4A", "ACT_EST_MAPPING=PRECISE", "FS=MRC", "CURRENCY=USD", "XLFILL=b")</f>
        <v>10.097490075710285</v>
      </c>
      <c r="G156" s="9">
        <f>_xll.BQL("ULCC US Equity", "EBITDA_AS_REPORTED_TO_SALES_PCT", "FPT=A", "FPO=3A", "ACT_EST_MAPPING=PRECISE", "FS=MRC", "CURRENCY=USD", "XLFILL=b")</f>
        <v>8.0728182595929407</v>
      </c>
      <c r="H156" s="9">
        <f>_xll.BQL("ULCC US Equity", "EBITDA_AS_REPORTED_TO_SALES_PCT", "FPT=A", "FPO=2A", "ACT_EST_MAPPING=PRECISE", "FS=MRC", "CURRENCY=USD", "XLFILL=b")</f>
        <v>4.2281636508941443</v>
      </c>
      <c r="I156" s="9">
        <f>_xll.BQL("ULCC US Equity", "EBITDA_AS_REPORTED_TO_SALES_PCT", "FPT=A", "FPO=1A", "ACT_EST_MAPPING=PRECISE", "FS=MRC", "CURRENCY=USD", "XLFILL=b")</f>
        <v>1.3141660572420091</v>
      </c>
      <c r="J156" s="9">
        <f>_xll.BQL("ULCC US Equity", "EBITDA_AS_REPORTED_TO_SALES_PCT", "FPT=A", "FPO=0A", "ACT_EST_MAPPING=PRECISE", "FS=MRC", "CURRENCY=USD", "XLFILL=b")</f>
        <v>1.3095569796600723</v>
      </c>
      <c r="K156" s="9">
        <f>_xll.BQL("ULCC US Equity", "EBITDA_AS_REPORTED_TO_SALES_PCT", "FPT=A", "FPO=-1A", "ACT_EST_MAPPING=PRECISE", "FS=MRC", "CURRENCY=USD", "XLFILL=b")</f>
        <v>0</v>
      </c>
      <c r="L156" s="9">
        <f>_xll.BQL("ULCC US Equity", "EBITDA_AS_REPORTED_TO_SALES_PCT", "FPT=A", "FPO=-2A", "ACT_EST_MAPPING=PRECISE", "FS=MRC", "CURRENCY=USD", "XLFILL=b")</f>
        <v>-3.8349514563106797</v>
      </c>
      <c r="M156" s="9" t="str">
        <f>_xll.BQL("ULCC US Equity", "EBITDA_AS_REPORTED_TO_SALES_PCT", "FPT=A", "FPO=-3A", "ACT_EST_MAPPING=PRECISE", "FS=MRC", "CURRENCY=USD", "XLFILL=b")</f>
        <v/>
      </c>
      <c r="N156" s="9" t="str">
        <f>_xll.BQL("ULCC US Equity", "EBITDA_AS_REPORTED_TO_SALES_PCT", "FPT=A", "FPO=-4A", "ACT_EST_MAPPING=PRECISE", "FS=MRC", "CURRENCY=USD", "XLFILL=b")</f>
        <v/>
      </c>
    </row>
    <row r="157" spans="1:14" x14ac:dyDescent="0.2">
      <c r="A157" s="8" t="s">
        <v>28</v>
      </c>
      <c r="B157" s="4" t="s">
        <v>143</v>
      </c>
      <c r="C157" s="4"/>
      <c r="D157" s="4"/>
      <c r="E157" s="9">
        <f>_xll.BQL("ULCC US Equity", "FA_GROWTH(EBITDA_AS_REPORTED_TO_SALES_PCT, YOY)", "FPT=A", "FPO=5A", "ACT_EST_MAPPING=PRECISE", "FS=MRC", "CURRENCY=USD", "XLFILL=b")</f>
        <v>12.925388056023674</v>
      </c>
      <c r="F157" s="9">
        <f>_xll.BQL("ULCC US Equity", "FA_GROWTH(EBITDA_AS_REPORTED_TO_SALES_PCT, YOY)", "FPT=A", "FPO=4A", "ACT_EST_MAPPING=PRECISE", "FS=MRC", "CURRENCY=USD", "XLFILL=b")</f>
        <v>25.08011144325495</v>
      </c>
      <c r="G157" s="9">
        <f>_xll.BQL("ULCC US Equity", "FA_GROWTH(EBITDA_AS_REPORTED_TO_SALES_PCT, YOY)", "FPT=A", "FPO=3A", "ACT_EST_MAPPING=PRECISE", "FS=MRC", "CURRENCY=USD", "XLFILL=b")</f>
        <v>90.929654718680382</v>
      </c>
      <c r="H157" s="9">
        <f>_xll.BQL("ULCC US Equity", "FA_GROWTH(EBITDA_AS_REPORTED_TO_SALES_PCT, YOY)", "FPT=A", "FPO=2A", "ACT_EST_MAPPING=PRECISE", "FS=MRC", "CURRENCY=USD", "XLFILL=b")</f>
        <v>221.73739593972107</v>
      </c>
      <c r="I157" s="9">
        <f>_xll.BQL("ULCC US Equity", "FA_GROWTH(EBITDA_AS_REPORTED_TO_SALES_PCT, YOY)", "FPT=A", "FPO=1A", "ACT_EST_MAPPING=PRECISE", "FS=MRC", "CURRENCY=USD", "XLFILL=b")</f>
        <v>0.3519570093951267</v>
      </c>
      <c r="J157" s="9" t="str">
        <f>_xll.BQL("ULCC US Equity", "FA_GROWTH(EBITDA_AS_REPORTED_TO_SALES_PCT, YOY)", "FPT=A", "FPO=0A", "ACT_EST_MAPPING=PRECISE", "FS=MRC", "CURRENCY=USD", "XLFILL=b")</f>
        <v/>
      </c>
      <c r="K157" s="9">
        <f>_xll.BQL("ULCC US Equity", "FA_GROWTH(EBITDA_AS_REPORTED_TO_SALES_PCT, YOY)", "FPT=A", "FPO=-1A", "ACT_EST_MAPPING=PRECISE", "FS=MRC", "CURRENCY=USD", "XLFILL=b")</f>
        <v>100</v>
      </c>
      <c r="L157" s="9" t="str">
        <f>_xll.BQL("ULCC US Equity", "FA_GROWTH(EBITDA_AS_REPORTED_TO_SALES_PCT, YOY)", "FPT=A", "FPO=-2A", "ACT_EST_MAPPING=PRECISE", "FS=MRC", "CURRENCY=USD", "XLFILL=b")</f>
        <v/>
      </c>
      <c r="M157" s="9" t="str">
        <f>_xll.BQL("ULCC US Equity", "FA_GROWTH(EBITDA_AS_REPORTED_TO_SALES_PCT, YOY)", "FPT=A", "FPO=-3A", "ACT_EST_MAPPING=PRECISE", "FS=MRC", "CURRENCY=USD", "XLFILL=b")</f>
        <v/>
      </c>
      <c r="N157" s="9" t="str">
        <f>_xll.BQL("ULCC US Equity", "FA_GROWTH(EBITDA_AS_REPORTED_TO_SALES_PCT, YOY)", "FPT=A", "FPO=-4A", "ACT_EST_MAPPING=PRECISE", "FS=MRC", "CURRENCY=USD", "XLFILL=b")</f>
        <v/>
      </c>
    </row>
    <row r="158" spans="1:14" x14ac:dyDescent="0.2">
      <c r="A158" s="8" t="s">
        <v>16</v>
      </c>
      <c r="B158" s="4"/>
      <c r="C158" s="4"/>
      <c r="D158" s="4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1:14" x14ac:dyDescent="0.2">
      <c r="A159" s="8" t="s">
        <v>144</v>
      </c>
      <c r="B159" s="4"/>
      <c r="C159" s="4" t="s">
        <v>145</v>
      </c>
      <c r="D159" s="4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1:14" x14ac:dyDescent="0.2">
      <c r="A160" s="8" t="s">
        <v>146</v>
      </c>
      <c r="B160" s="4" t="s">
        <v>147</v>
      </c>
      <c r="C160" s="4" t="s">
        <v>148</v>
      </c>
      <c r="D160" s="4"/>
      <c r="E160" s="9">
        <f>_xll.BQL("ULCC US Equity", "CB_IS_INTEREST_EXPENSE/1M", "FPT=A", "FPO=5A", "ACT_EST_MAPPING=PRECISE", "FS=MRC", "CURRENCY=USD", "XLFILL=b")</f>
        <v>61.489999999999995</v>
      </c>
      <c r="F160" s="9">
        <f>_xll.BQL("ULCC US Equity", "CB_IS_INTEREST_EXPENSE/1M", "FPT=A", "FPO=4A", "ACT_EST_MAPPING=PRECISE", "FS=MRC", "CURRENCY=USD", "XLFILL=b")</f>
        <v>50.49</v>
      </c>
      <c r="G160" s="9">
        <f>_xll.BQL("ULCC US Equity", "CB_IS_INTEREST_EXPENSE/1M", "FPT=A", "FPO=3A", "ACT_EST_MAPPING=PRECISE", "FS=MRC", "CURRENCY=USD", "XLFILL=b")</f>
        <v>34.02967141441075</v>
      </c>
      <c r="H160" s="9">
        <f>_xll.BQL("ULCC US Equity", "CB_IS_INTEREST_EXPENSE/1M", "FPT=A", "FPO=2A", "ACT_EST_MAPPING=PRECISE", "FS=MRC", "CURRENCY=USD", "XLFILL=b")</f>
        <v>31.431105341717949</v>
      </c>
      <c r="I160" s="9">
        <f>_xll.BQL("ULCC US Equity", "CB_IS_INTEREST_EXPENSE/1M", "FPT=A", "FPO=1A", "ACT_EST_MAPPING=PRECISE", "FS=MRC", "CURRENCY=USD", "XLFILL=b")</f>
        <v>32.09222332805399</v>
      </c>
      <c r="J160" s="9">
        <f>_xll.BQL("ULCC US Equity", "CB_IS_INTEREST_EXPENSE/1M", "FPT=A", "FPO=0A", "ACT_EST_MAPPING=PRECISE", "FS=MRC", "CURRENCY=USD", "XLFILL=b")</f>
        <v>29</v>
      </c>
      <c r="K160" s="9">
        <f>_xll.BQL("ULCC US Equity", "CB_IS_INTEREST_EXPENSE/1M", "FPT=A", "FPO=-1A", "ACT_EST_MAPPING=PRECISE", "FS=MRC", "CURRENCY=USD", "XLFILL=b")</f>
        <v>21</v>
      </c>
      <c r="L160" s="9">
        <f>_xll.BQL("ULCC US Equity", "CB_IS_INTEREST_EXPENSE/1M", "FPT=A", "FPO=-2A", "ACT_EST_MAPPING=PRECISE", "FS=MRC", "CURRENCY=USD", "XLFILL=b")</f>
        <v>33</v>
      </c>
      <c r="M160" s="9">
        <f>_xll.BQL("ULCC US Equity", "CB_IS_INTEREST_EXPENSE/1M", "FPT=A", "FPO=-3A", "ACT_EST_MAPPING=PRECISE", "FS=MRC", "CURRENCY=USD", "XLFILL=b")</f>
        <v>18</v>
      </c>
      <c r="N160" s="9">
        <f>_xll.BQL("ULCC US Equity", "CB_IS_INTEREST_EXPENSE/1M", "FPT=A", "FPO=-4A", "ACT_EST_MAPPING=PRECISE", "FS=MRC", "CURRENCY=USD", "XLFILL=b")</f>
        <v>11</v>
      </c>
    </row>
    <row r="161" spans="1:14" x14ac:dyDescent="0.2">
      <c r="A161" s="8" t="s">
        <v>28</v>
      </c>
      <c r="B161" s="4" t="s">
        <v>147</v>
      </c>
      <c r="C161" s="4" t="s">
        <v>148</v>
      </c>
      <c r="D161" s="4"/>
      <c r="E161" s="9">
        <f>_xll.BQL("ULCC US Equity", "FA_GROWTH(CB_IS_INTEREST_EXPENSE, YOY)", "FPT=A", "FPO=5A", "ACT_EST_MAPPING=PRECISE", "FS=MRC", "CURRENCY=USD", "XLFILL=b")</f>
        <v>21.786492374727654</v>
      </c>
      <c r="F161" s="9">
        <f>_xll.BQL("ULCC US Equity", "FA_GROWTH(CB_IS_INTEREST_EXPENSE, YOY)", "FPT=A", "FPO=4A", "ACT_EST_MAPPING=PRECISE", "FS=MRC", "CURRENCY=USD", "XLFILL=b")</f>
        <v>48.370518730952831</v>
      </c>
      <c r="G161" s="9">
        <f>_xll.BQL("ULCC US Equity", "FA_GROWTH(CB_IS_INTEREST_EXPENSE, YOY)", "FPT=A", "FPO=3A", "ACT_EST_MAPPING=PRECISE", "FS=MRC", "CURRENCY=USD", "XLFILL=b")</f>
        <v>8.267498213763961</v>
      </c>
      <c r="H161" s="9">
        <f>_xll.BQL("ULCC US Equity", "FA_GROWTH(CB_IS_INTEREST_EXPENSE, YOY)", "FPT=A", "FPO=2A", "ACT_EST_MAPPING=PRECISE", "FS=MRC", "CURRENCY=USD", "XLFILL=b")</f>
        <v>-2.0600566672428609</v>
      </c>
      <c r="I161" s="9">
        <f>_xll.BQL("ULCC US Equity", "FA_GROWTH(CB_IS_INTEREST_EXPENSE, YOY)", "FPT=A", "FPO=1A", "ACT_EST_MAPPING=PRECISE", "FS=MRC", "CURRENCY=USD", "XLFILL=b")</f>
        <v>10.662839062255147</v>
      </c>
      <c r="J161" s="9">
        <f>_xll.BQL("ULCC US Equity", "FA_GROWTH(CB_IS_INTEREST_EXPENSE, YOY)", "FPT=A", "FPO=0A", "ACT_EST_MAPPING=PRECISE", "FS=MRC", "CURRENCY=USD", "XLFILL=b")</f>
        <v>38.095238095238095</v>
      </c>
      <c r="K161" s="9">
        <f>_xll.BQL("ULCC US Equity", "FA_GROWTH(CB_IS_INTEREST_EXPENSE, YOY)", "FPT=A", "FPO=-1A", "ACT_EST_MAPPING=PRECISE", "FS=MRC", "CURRENCY=USD", "XLFILL=b")</f>
        <v>-36.363636363636367</v>
      </c>
      <c r="L161" s="9">
        <f>_xll.BQL("ULCC US Equity", "FA_GROWTH(CB_IS_INTEREST_EXPENSE, YOY)", "FPT=A", "FPO=-2A", "ACT_EST_MAPPING=PRECISE", "FS=MRC", "CURRENCY=USD", "XLFILL=b")</f>
        <v>83.333333333333329</v>
      </c>
      <c r="M161" s="9">
        <f>_xll.BQL("ULCC US Equity", "FA_GROWTH(CB_IS_INTEREST_EXPENSE, YOY)", "FPT=A", "FPO=-3A", "ACT_EST_MAPPING=PRECISE", "FS=MRC", "CURRENCY=USD", "XLFILL=b")</f>
        <v>63.636363636363633</v>
      </c>
      <c r="N161" s="9">
        <f>_xll.BQL("ULCC US Equity", "FA_GROWTH(CB_IS_INTEREST_EXPENSE, YOY)", "FPT=A", "FPO=-4A", "ACT_EST_MAPPING=PRECISE", "FS=MRC", "CURRENCY=USD", "XLFILL=b")</f>
        <v>-15.384615384615385</v>
      </c>
    </row>
    <row r="162" spans="1:14" x14ac:dyDescent="0.2">
      <c r="A162" s="8" t="s">
        <v>149</v>
      </c>
      <c r="B162" s="4" t="s">
        <v>150</v>
      </c>
      <c r="C162" s="4" t="s">
        <v>151</v>
      </c>
      <c r="D162" s="4"/>
      <c r="E162" s="9">
        <f>_xll.BQL("ULCC US Equity", "IS_CAP_INT_EXP/1M", "FPT=A", "FPO=5A", "ACT_EST_MAPPING=PRECISE", "FS=MRC", "CURRENCY=USD", "XLFILL=b")</f>
        <v>16</v>
      </c>
      <c r="F162" s="9">
        <f>_xll.BQL("ULCC US Equity", "IS_CAP_INT_EXP/1M", "FPT=A", "FPO=4A", "ACT_EST_MAPPING=PRECISE", "FS=MRC", "CURRENCY=USD", "XLFILL=b")</f>
        <v>20</v>
      </c>
      <c r="G162" s="9">
        <f>_xll.BQL("ULCC US Equity", "IS_CAP_INT_EXP/1M", "FPT=A", "FPO=3A", "ACT_EST_MAPPING=PRECISE", "FS=MRC", "CURRENCY=USD", "XLFILL=b")</f>
        <v>24.75</v>
      </c>
      <c r="H162" s="9">
        <f>_xll.BQL("ULCC US Equity", "IS_CAP_INT_EXP/1M", "FPT=A", "FPO=2A", "ACT_EST_MAPPING=PRECISE", "FS=MRC", "CURRENCY=USD", "XLFILL=b")</f>
        <v>27.5</v>
      </c>
      <c r="I162" s="9">
        <f>_xll.BQL("ULCC US Equity", "IS_CAP_INT_EXP/1M", "FPT=A", "FPO=1A", "ACT_EST_MAPPING=PRECISE", "FS=MRC", "CURRENCY=USD", "XLFILL=b")</f>
        <v>30.833333333333332</v>
      </c>
      <c r="J162" s="9">
        <f>_xll.BQL("ULCC US Equity", "IS_CAP_INT_EXP/1M", "FPT=A", "FPO=0A", "ACT_EST_MAPPING=PRECISE", "FS=MRC", "CURRENCY=USD", "XLFILL=b")</f>
        <v>28</v>
      </c>
      <c r="K162" s="9">
        <f>_xll.BQL("ULCC US Equity", "IS_CAP_INT_EXP/1M", "FPT=A", "FPO=-1A", "ACT_EST_MAPPING=PRECISE", "FS=MRC", "CURRENCY=USD", "XLFILL=b")</f>
        <v>11</v>
      </c>
      <c r="L162" s="9">
        <f>_xll.BQL("ULCC US Equity", "IS_CAP_INT_EXP/1M", "FPT=A", "FPO=-2A", "ACT_EST_MAPPING=PRECISE", "FS=MRC", "CURRENCY=USD", "XLFILL=b")</f>
        <v>4</v>
      </c>
      <c r="M162" s="9">
        <f>_xll.BQL("ULCC US Equity", "IS_CAP_INT_EXP/1M", "FPT=A", "FPO=-3A", "ACT_EST_MAPPING=PRECISE", "FS=MRC", "CURRENCY=USD", "XLFILL=b")</f>
        <v>6</v>
      </c>
      <c r="N162" s="9">
        <f>_xll.BQL("ULCC US Equity", "IS_CAP_INT_EXP/1M", "FPT=A", "FPO=-4A", "ACT_EST_MAPPING=PRECISE", "FS=MRC", "CURRENCY=USD", "XLFILL=b")</f>
        <v>11</v>
      </c>
    </row>
    <row r="163" spans="1:14" x14ac:dyDescent="0.2">
      <c r="A163" s="8" t="s">
        <v>28</v>
      </c>
      <c r="B163" s="4" t="s">
        <v>150</v>
      </c>
      <c r="C163" s="4" t="s">
        <v>151</v>
      </c>
      <c r="D163" s="4"/>
      <c r="E163" s="9">
        <f>_xll.BQL("ULCC US Equity", "FA_GROWTH(IS_CAP_INT_EXP, YOY)", "FPT=A", "FPO=5A", "ACT_EST_MAPPING=PRECISE", "FS=MRC", "CURRENCY=USD", "XLFILL=b")</f>
        <v>-20</v>
      </c>
      <c r="F163" s="9">
        <f>_xll.BQL("ULCC US Equity", "FA_GROWTH(IS_CAP_INT_EXP, YOY)", "FPT=A", "FPO=4A", "ACT_EST_MAPPING=PRECISE", "FS=MRC", "CURRENCY=USD", "XLFILL=b")</f>
        <v>-19.19191919191919</v>
      </c>
      <c r="G163" s="9">
        <f>_xll.BQL("ULCC US Equity", "FA_GROWTH(IS_CAP_INT_EXP, YOY)", "FPT=A", "FPO=3A", "ACT_EST_MAPPING=PRECISE", "FS=MRC", "CURRENCY=USD", "XLFILL=b")</f>
        <v>-10</v>
      </c>
      <c r="H163" s="9">
        <f>_xll.BQL("ULCC US Equity", "FA_GROWTH(IS_CAP_INT_EXP, YOY)", "FPT=A", "FPO=2A", "ACT_EST_MAPPING=PRECISE", "FS=MRC", "CURRENCY=USD", "XLFILL=b")</f>
        <v>-10.810810810810807</v>
      </c>
      <c r="I163" s="9">
        <f>_xll.BQL("ULCC US Equity", "FA_GROWTH(IS_CAP_INT_EXP, YOY)", "FPT=A", "FPO=1A", "ACT_EST_MAPPING=PRECISE", "FS=MRC", "CURRENCY=USD", "XLFILL=b")</f>
        <v>10.119047619047613</v>
      </c>
      <c r="J163" s="9">
        <f>_xll.BQL("ULCC US Equity", "FA_GROWTH(IS_CAP_INT_EXP, YOY)", "FPT=A", "FPO=0A", "ACT_EST_MAPPING=PRECISE", "FS=MRC", "CURRENCY=USD", "XLFILL=b")</f>
        <v>154.54545454545453</v>
      </c>
      <c r="K163" s="9">
        <f>_xll.BQL("ULCC US Equity", "FA_GROWTH(IS_CAP_INT_EXP, YOY)", "FPT=A", "FPO=-1A", "ACT_EST_MAPPING=PRECISE", "FS=MRC", "CURRENCY=USD", "XLFILL=b")</f>
        <v>175</v>
      </c>
      <c r="L163" s="9">
        <f>_xll.BQL("ULCC US Equity", "FA_GROWTH(IS_CAP_INT_EXP, YOY)", "FPT=A", "FPO=-2A", "ACT_EST_MAPPING=PRECISE", "FS=MRC", "CURRENCY=USD", "XLFILL=b")</f>
        <v>-33.333333333333336</v>
      </c>
      <c r="M163" s="9">
        <f>_xll.BQL("ULCC US Equity", "FA_GROWTH(IS_CAP_INT_EXP, YOY)", "FPT=A", "FPO=-3A", "ACT_EST_MAPPING=PRECISE", "FS=MRC", "CURRENCY=USD", "XLFILL=b")</f>
        <v>-45.454545454545453</v>
      </c>
      <c r="N163" s="9">
        <f>_xll.BQL("ULCC US Equity", "FA_GROWTH(IS_CAP_INT_EXP, YOY)", "FPT=A", "FPO=-4A", "ACT_EST_MAPPING=PRECISE", "FS=MRC", "CURRENCY=USD", "XLFILL=b")</f>
        <v>22.222222222222221</v>
      </c>
    </row>
    <row r="164" spans="1:14" x14ac:dyDescent="0.2">
      <c r="A164" s="8" t="s">
        <v>152</v>
      </c>
      <c r="B164" s="4" t="s">
        <v>153</v>
      </c>
      <c r="C164" s="4" t="s">
        <v>154</v>
      </c>
      <c r="D164" s="4"/>
      <c r="E164" s="9">
        <f>_xll.BQL("ULCC US Equity", "IS_INT_INC/1M", "FPT=A", "FPO=5A", "ACT_EST_MAPPING=PRECISE", "FS=MRC", "CURRENCY=USD", "XLFILL=b")</f>
        <v>6.8</v>
      </c>
      <c r="F164" s="9">
        <f>_xll.BQL("ULCC US Equity", "IS_INT_INC/1M", "FPT=A", "FPO=4A", "ACT_EST_MAPPING=PRECISE", "FS=MRC", "CURRENCY=USD", "XLFILL=b")</f>
        <v>11.2</v>
      </c>
      <c r="G164" s="9">
        <f>_xll.BQL("ULCC US Equity", "IS_INT_INC/1M", "FPT=A", "FPO=3A", "ACT_EST_MAPPING=PRECISE", "FS=MRC", "CURRENCY=USD", "XLFILL=b")</f>
        <v>19.121552775684176</v>
      </c>
      <c r="H164" s="9">
        <f>_xll.BQL("ULCC US Equity", "IS_INT_INC/1M", "FPT=A", "FPO=2A", "ACT_EST_MAPPING=PRECISE", "FS=MRC", "CURRENCY=USD", "XLFILL=b")</f>
        <v>24.020928380969913</v>
      </c>
      <c r="I164" s="9">
        <f>_xll.BQL("ULCC US Equity", "IS_INT_INC/1M", "FPT=A", "FPO=1A", "ACT_EST_MAPPING=PRECISE", "FS=MRC", "CURRENCY=USD", "XLFILL=b")</f>
        <v>30.697963487867131</v>
      </c>
      <c r="J164" s="9">
        <f>_xll.BQL("ULCC US Equity", "IS_INT_INC/1M", "FPT=A", "FPO=0A", "ACT_EST_MAPPING=PRECISE", "FS=MRC", "CURRENCY=USD", "XLFILL=b")</f>
        <v>36</v>
      </c>
      <c r="K164" s="9">
        <f>_xll.BQL("ULCC US Equity", "IS_INT_INC/1M", "FPT=A", "FPO=-1A", "ACT_EST_MAPPING=PRECISE", "FS=MRC", "CURRENCY=USD", "XLFILL=b")</f>
        <v>10</v>
      </c>
      <c r="L164" s="9">
        <f>_xll.BQL("ULCC US Equity", "IS_INT_INC/1M", "FPT=A", "FPO=-2A", "ACT_EST_MAPPING=PRECISE", "FS=MRC", "CURRENCY=USD", "XLFILL=b")</f>
        <v>2</v>
      </c>
      <c r="M164" s="9">
        <f>_xll.BQL("ULCC US Equity", "IS_INT_INC/1M", "FPT=A", "FPO=-3A", "ACT_EST_MAPPING=PRECISE", "FS=MRC", "CURRENCY=USD", "XLFILL=b")</f>
        <v>5</v>
      </c>
      <c r="N164" s="9">
        <f>_xll.BQL("ULCC US Equity", "IS_INT_INC/1M", "FPT=A", "FPO=-4A", "ACT_EST_MAPPING=PRECISE", "FS=MRC", "CURRENCY=USD", "XLFILL=b")</f>
        <v>16</v>
      </c>
    </row>
    <row r="165" spans="1:14" x14ac:dyDescent="0.2">
      <c r="A165" s="8" t="s">
        <v>28</v>
      </c>
      <c r="B165" s="4" t="s">
        <v>153</v>
      </c>
      <c r="C165" s="4" t="s">
        <v>154</v>
      </c>
      <c r="D165" s="4"/>
      <c r="E165" s="9">
        <f>_xll.BQL("ULCC US Equity", "FA_GROWTH(IS_INT_INC, YOY)", "FPT=A", "FPO=5A", "ACT_EST_MAPPING=PRECISE", "FS=MRC", "CURRENCY=USD", "XLFILL=b")</f>
        <v>-39.285714285714285</v>
      </c>
      <c r="F165" s="9">
        <f>_xll.BQL("ULCC US Equity", "FA_GROWTH(IS_INT_INC, YOY)", "FPT=A", "FPO=4A", "ACT_EST_MAPPING=PRECISE", "FS=MRC", "CURRENCY=USD", "XLFILL=b")</f>
        <v>-41.427350951108828</v>
      </c>
      <c r="G165" s="9">
        <f>_xll.BQL("ULCC US Equity", "FA_GROWTH(IS_INT_INC, YOY)", "FPT=A", "FPO=3A", "ACT_EST_MAPPING=PRECISE", "FS=MRC", "CURRENCY=USD", "XLFILL=b")</f>
        <v>-20.396279142845984</v>
      </c>
      <c r="H165" s="9">
        <f>_xll.BQL("ULCC US Equity", "FA_GROWTH(IS_INT_INC, YOY)", "FPT=A", "FPO=2A", "ACT_EST_MAPPING=PRECISE", "FS=MRC", "CURRENCY=USD", "XLFILL=b")</f>
        <v>-21.750742877573</v>
      </c>
      <c r="I165" s="9">
        <f>_xll.BQL("ULCC US Equity", "FA_GROWTH(IS_INT_INC, YOY)", "FPT=A", "FPO=1A", "ACT_EST_MAPPING=PRECISE", "FS=MRC", "CURRENCY=USD", "XLFILL=b")</f>
        <v>-14.727879200369077</v>
      </c>
      <c r="J165" s="9">
        <f>_xll.BQL("ULCC US Equity", "FA_GROWTH(IS_INT_INC, YOY)", "FPT=A", "FPO=0A", "ACT_EST_MAPPING=PRECISE", "FS=MRC", "CURRENCY=USD", "XLFILL=b")</f>
        <v>260</v>
      </c>
      <c r="K165" s="9">
        <f>_xll.BQL("ULCC US Equity", "FA_GROWTH(IS_INT_INC, YOY)", "FPT=A", "FPO=-1A", "ACT_EST_MAPPING=PRECISE", "FS=MRC", "CURRENCY=USD", "XLFILL=b")</f>
        <v>400</v>
      </c>
      <c r="L165" s="9">
        <f>_xll.BQL("ULCC US Equity", "FA_GROWTH(IS_INT_INC, YOY)", "FPT=A", "FPO=-2A", "ACT_EST_MAPPING=PRECISE", "FS=MRC", "CURRENCY=USD", "XLFILL=b")</f>
        <v>-60</v>
      </c>
      <c r="M165" s="9">
        <f>_xll.BQL("ULCC US Equity", "FA_GROWTH(IS_INT_INC, YOY)", "FPT=A", "FPO=-3A", "ACT_EST_MAPPING=PRECISE", "FS=MRC", "CURRENCY=USD", "XLFILL=b")</f>
        <v>-68.75</v>
      </c>
      <c r="N165" s="9">
        <f>_xll.BQL("ULCC US Equity", "FA_GROWTH(IS_INT_INC, YOY)", "FPT=A", "FPO=-4A", "ACT_EST_MAPPING=PRECISE", "FS=MRC", "CURRENCY=USD", "XLFILL=b")</f>
        <v>-5.882352941176471</v>
      </c>
    </row>
    <row r="166" spans="1:14" x14ac:dyDescent="0.2">
      <c r="A166" s="8" t="s">
        <v>155</v>
      </c>
      <c r="B166" s="4" t="s">
        <v>156</v>
      </c>
      <c r="C166" s="4" t="s">
        <v>157</v>
      </c>
      <c r="D166" s="4"/>
      <c r="E166" s="9">
        <f>_xll.BQL("ULCC US Equity", "IS_NET_INTEREST_EXPENSE/1M", "FPT=A", "FPO=5A", "ACT_EST_MAPPING=PRECISE", "FS=MRC", "CURRENCY=USD", "XLFILL=b")</f>
        <v>38.69</v>
      </c>
      <c r="F166" s="9">
        <f>_xll.BQL("ULCC US Equity", "IS_NET_INTEREST_EXPENSE/1M", "FPT=A", "FPO=4A", "ACT_EST_MAPPING=PRECISE", "FS=MRC", "CURRENCY=USD", "XLFILL=b")</f>
        <v>19.290000000000003</v>
      </c>
      <c r="G166" s="9">
        <f>_xll.BQL("ULCC US Equity", "IS_NET_INTEREST_EXPENSE/1M", "FPT=A", "FPO=3A", "ACT_EST_MAPPING=PRECISE", "FS=MRC", "CURRENCY=USD", "XLFILL=b")</f>
        <v>-17.819199262587187</v>
      </c>
      <c r="H166" s="9">
        <f>_xll.BQL("ULCC US Equity", "IS_NET_INTEREST_EXPENSE/1M", "FPT=A", "FPO=2A", "ACT_EST_MAPPING=PRECISE", "FS=MRC", "CURRENCY=USD", "XLFILL=b")</f>
        <v>-23.561066444990225</v>
      </c>
      <c r="I166" s="9">
        <f>_xll.BQL("ULCC US Equity", "IS_NET_INTEREST_EXPENSE/1M", "FPT=A", "FPO=1A", "ACT_EST_MAPPING=PRECISE", "FS=MRC", "CURRENCY=USD", "XLFILL=b")</f>
        <v>-29.093597760426551</v>
      </c>
      <c r="J166" s="9">
        <f>_xll.BQL("ULCC US Equity", "IS_NET_INTEREST_EXPENSE/1M", "FPT=A", "FPO=0A", "ACT_EST_MAPPING=PRECISE", "FS=MRC", "CURRENCY=USD", "XLFILL=b")</f>
        <v>-35</v>
      </c>
      <c r="K166" s="9">
        <f>_xll.BQL("ULCC US Equity", "IS_NET_INTEREST_EXPENSE/1M", "FPT=A", "FPO=-1A", "ACT_EST_MAPPING=PRECISE", "FS=MRC", "CURRENCY=USD", "XLFILL=b")</f>
        <v>0</v>
      </c>
      <c r="L166" s="9">
        <f>_xll.BQL("ULCC US Equity", "IS_NET_INTEREST_EXPENSE/1M", "FPT=A", "FPO=-2A", "ACT_EST_MAPPING=PRECISE", "FS=MRC", "CURRENCY=USD", "XLFILL=b")</f>
        <v>27</v>
      </c>
      <c r="M166" s="9">
        <f>_xll.BQL("ULCC US Equity", "IS_NET_INTEREST_EXPENSE/1M", "FPT=A", "FPO=-3A", "ACT_EST_MAPPING=PRECISE", "FS=MRC", "CURRENCY=USD", "XLFILL=b")</f>
        <v>7</v>
      </c>
      <c r="N166" s="9">
        <f>_xll.BQL("ULCC US Equity", "IS_NET_INTEREST_EXPENSE/1M", "FPT=A", "FPO=-4A", "ACT_EST_MAPPING=PRECISE", "FS=MRC", "CURRENCY=USD", "XLFILL=b")</f>
        <v>-16</v>
      </c>
    </row>
    <row r="167" spans="1:14" x14ac:dyDescent="0.2">
      <c r="A167" s="8" t="s">
        <v>12</v>
      </c>
      <c r="B167" s="4" t="s">
        <v>156</v>
      </c>
      <c r="C167" s="4" t="s">
        <v>157</v>
      </c>
      <c r="D167" s="4"/>
      <c r="E167" s="9">
        <f>_xll.BQL("ULCC US Equity", "FA_GROWTH(IS_NET_INTEREST_EXPENSE, YOY)", "FPT=A", "FPO=5A", "ACT_EST_MAPPING=PRECISE", "FS=MRC", "CURRENCY=USD", "XLFILL=b")</f>
        <v>100.57024364955932</v>
      </c>
      <c r="F167" s="9">
        <f>_xll.BQL("ULCC US Equity", "FA_GROWTH(IS_NET_INTEREST_EXPENSE, YOY)", "FPT=A", "FPO=4A", "ACT_EST_MAPPING=PRECISE", "FS=MRC", "CURRENCY=USD", "XLFILL=b")</f>
        <v>208.25402261762054</v>
      </c>
      <c r="G167" s="9">
        <f>_xll.BQL("ULCC US Equity", "FA_GROWTH(IS_NET_INTEREST_EXPENSE, YOY)", "FPT=A", "FPO=3A", "ACT_EST_MAPPING=PRECISE", "FS=MRC", "CURRENCY=USD", "XLFILL=b")</f>
        <v>24.370149779972834</v>
      </c>
      <c r="H167" s="9">
        <f>_xll.BQL("ULCC US Equity", "FA_GROWTH(IS_NET_INTEREST_EXPENSE, YOY)", "FPT=A", "FPO=2A", "ACT_EST_MAPPING=PRECISE", "FS=MRC", "CURRENCY=USD", "XLFILL=b")</f>
        <v>19.016318851296347</v>
      </c>
      <c r="I167" s="9">
        <f>_xll.BQL("ULCC US Equity", "FA_GROWTH(IS_NET_INTEREST_EXPENSE, YOY)", "FPT=A", "FPO=1A", "ACT_EST_MAPPING=PRECISE", "FS=MRC", "CURRENCY=USD", "XLFILL=b")</f>
        <v>16.875434970209852</v>
      </c>
      <c r="J167" s="9" t="str">
        <f>_xll.BQL("ULCC US Equity", "FA_GROWTH(IS_NET_INTEREST_EXPENSE, YOY)", "FPT=A", "FPO=0A", "ACT_EST_MAPPING=PRECISE", "FS=MRC", "CURRENCY=USD", "XLFILL=b")</f>
        <v/>
      </c>
      <c r="K167" s="9">
        <f>_xll.BQL("ULCC US Equity", "FA_GROWTH(IS_NET_INTEREST_EXPENSE, YOY)", "FPT=A", "FPO=-1A", "ACT_EST_MAPPING=PRECISE", "FS=MRC", "CURRENCY=USD", "XLFILL=b")</f>
        <v>-100</v>
      </c>
      <c r="L167" s="9">
        <f>_xll.BQL("ULCC US Equity", "FA_GROWTH(IS_NET_INTEREST_EXPENSE, YOY)", "FPT=A", "FPO=-2A", "ACT_EST_MAPPING=PRECISE", "FS=MRC", "CURRENCY=USD", "XLFILL=b")</f>
        <v>285.71428571428572</v>
      </c>
      <c r="M167" s="9">
        <f>_xll.BQL("ULCC US Equity", "FA_GROWTH(IS_NET_INTEREST_EXPENSE, YOY)", "FPT=A", "FPO=-3A", "ACT_EST_MAPPING=PRECISE", "FS=MRC", "CURRENCY=USD", "XLFILL=b")</f>
        <v>143.75</v>
      </c>
      <c r="N167" s="9">
        <f>_xll.BQL("ULCC US Equity", "FA_GROWTH(IS_NET_INTEREST_EXPENSE, YOY)", "FPT=A", "FPO=-4A", "ACT_EST_MAPPING=PRECISE", "FS=MRC", "CURRENCY=USD", "XLFILL=b")</f>
        <v>-23.076923076923077</v>
      </c>
    </row>
    <row r="168" spans="1:14" x14ac:dyDescent="0.2">
      <c r="A168" s="8" t="s">
        <v>158</v>
      </c>
      <c r="B168" s="4" t="s">
        <v>159</v>
      </c>
      <c r="C168" s="4" t="s">
        <v>160</v>
      </c>
      <c r="D168" s="4"/>
      <c r="E168" s="9" t="str">
        <f>_xll.BQL("ULCC US Equity", "PRETAX_INC/1M", "FPT=A", "FPO=5A", "ACT_EST_MAPPING=PRECISE", "FS=MRC", "CURRENCY=USD", "XLFILL=b")</f>
        <v/>
      </c>
      <c r="F168" s="9" t="str">
        <f>_xll.BQL("ULCC US Equity", "PRETAX_INC/1M", "FPT=A", "FPO=4A", "ACT_EST_MAPPING=PRECISE", "FS=MRC", "CURRENCY=USD", "XLFILL=b")</f>
        <v/>
      </c>
      <c r="G168" s="9">
        <f>_xll.BQL("ULCC US Equity", "PRETAX_INC/1M", "FPT=A", "FPO=3A", "ACT_EST_MAPPING=PRECISE", "FS=MRC", "CURRENCY=USD", "XLFILL=b")</f>
        <v>295.86993397654885</v>
      </c>
      <c r="H168" s="9">
        <f>_xll.BQL("ULCC US Equity", "PRETAX_INC/1M", "FPT=A", "FPO=2A", "ACT_EST_MAPPING=PRECISE", "FS=MRC", "CURRENCY=USD", "XLFILL=b")</f>
        <v>177.96213723687541</v>
      </c>
      <c r="I168" s="9">
        <f>_xll.BQL("ULCC US Equity", "PRETAX_INC/1M", "FPT=A", "FPO=1A", "ACT_EST_MAPPING=PRECISE", "FS=MRC", "CURRENCY=USD", "XLFILL=b")</f>
        <v>9.4733215131093811</v>
      </c>
      <c r="J168" s="9">
        <f>_xll.BQL("ULCC US Equity", "PRETAX_INC/1M", "FPT=A", "FPO=0A", "ACT_EST_MAPPING=PRECISE", "FS=MRC", "CURRENCY=USD", "XLFILL=b")</f>
        <v>32</v>
      </c>
      <c r="K168" s="9">
        <f>_xll.BQL("ULCC US Equity", "PRETAX_INC/1M", "FPT=A", "FPO=-1A", "ACT_EST_MAPPING=PRECISE", "FS=MRC", "CURRENCY=USD", "XLFILL=b")</f>
        <v>-45</v>
      </c>
      <c r="L168" s="9">
        <f>_xll.BQL("ULCC US Equity", "PRETAX_INC/1M", "FPT=A", "FPO=-2A", "ACT_EST_MAPPING=PRECISE", "FS=MRC", "CURRENCY=USD", "XLFILL=b")</f>
        <v>-144</v>
      </c>
      <c r="M168" s="9">
        <f>_xll.BQL("ULCC US Equity", "PRETAX_INC/1M", "FPT=A", "FPO=-3A", "ACT_EST_MAPPING=PRECISE", "FS=MRC", "CURRENCY=USD", "XLFILL=b")</f>
        <v>-372</v>
      </c>
      <c r="N168" s="9">
        <f>_xll.BQL("ULCC US Equity", "PRETAX_INC/1M", "FPT=A", "FPO=-4A", "ACT_EST_MAPPING=PRECISE", "FS=MRC", "CURRENCY=USD", "XLFILL=b")</f>
        <v>325</v>
      </c>
    </row>
    <row r="169" spans="1:14" x14ac:dyDescent="0.2">
      <c r="A169" s="8" t="s">
        <v>12</v>
      </c>
      <c r="B169" s="4" t="s">
        <v>159</v>
      </c>
      <c r="C169" s="4" t="s">
        <v>160</v>
      </c>
      <c r="D169" s="4"/>
      <c r="E169" s="9" t="str">
        <f>_xll.BQL("ULCC US Equity", "FA_GROWTH(PRETAX_INC, YOY)", "FPT=A", "FPO=5A", "ACT_EST_MAPPING=PRECISE", "FS=MRC", "CURRENCY=USD", "XLFILL=b")</f>
        <v/>
      </c>
      <c r="F169" s="9" t="str">
        <f>_xll.BQL("ULCC US Equity", "FA_GROWTH(PRETAX_INC, YOY)", "FPT=A", "FPO=4A", "ACT_EST_MAPPING=PRECISE", "FS=MRC", "CURRENCY=USD", "XLFILL=b")</f>
        <v/>
      </c>
      <c r="G169" s="9">
        <f>_xll.BQL("ULCC US Equity", "FA_GROWTH(PRETAX_INC, YOY)", "FPT=A", "FPO=3A", "ACT_EST_MAPPING=PRECISE", "FS=MRC", "CURRENCY=USD", "XLFILL=b")</f>
        <v>66.254428369070993</v>
      </c>
      <c r="H169" s="9">
        <f>_xll.BQL("ULCC US Equity", "FA_GROWTH(PRETAX_INC, YOY)", "FPT=A", "FPO=2A", "ACT_EST_MAPPING=PRECISE", "FS=MRC", "CURRENCY=USD", "XLFILL=b")</f>
        <v>1778.5611465905351</v>
      </c>
      <c r="I169" s="9">
        <f>_xll.BQL("ULCC US Equity", "FA_GROWTH(PRETAX_INC, YOY)", "FPT=A", "FPO=1A", "ACT_EST_MAPPING=PRECISE", "FS=MRC", "CURRENCY=USD", "XLFILL=b")</f>
        <v>-70.395870271533198</v>
      </c>
      <c r="J169" s="9">
        <f>_xll.BQL("ULCC US Equity", "FA_GROWTH(PRETAX_INC, YOY)", "FPT=A", "FPO=0A", "ACT_EST_MAPPING=PRECISE", "FS=MRC", "CURRENCY=USD", "XLFILL=b")</f>
        <v>171.11111111111111</v>
      </c>
      <c r="K169" s="9">
        <f>_xll.BQL("ULCC US Equity", "FA_GROWTH(PRETAX_INC, YOY)", "FPT=A", "FPO=-1A", "ACT_EST_MAPPING=PRECISE", "FS=MRC", "CURRENCY=USD", "XLFILL=b")</f>
        <v>68.75</v>
      </c>
      <c r="L169" s="9">
        <f>_xll.BQL("ULCC US Equity", "FA_GROWTH(PRETAX_INC, YOY)", "FPT=A", "FPO=-2A", "ACT_EST_MAPPING=PRECISE", "FS=MRC", "CURRENCY=USD", "XLFILL=b")</f>
        <v>61.29032258064516</v>
      </c>
      <c r="M169" s="9">
        <f>_xll.BQL("ULCC US Equity", "FA_GROWTH(PRETAX_INC, YOY)", "FPT=A", "FPO=-3A", "ACT_EST_MAPPING=PRECISE", "FS=MRC", "CURRENCY=USD", "XLFILL=b")</f>
        <v>-214.46153846153845</v>
      </c>
      <c r="N169" s="9">
        <f>_xll.BQL("ULCC US Equity", "FA_GROWTH(PRETAX_INC, YOY)", "FPT=A", "FPO=-4A", "ACT_EST_MAPPING=PRECISE", "FS=MRC", "CURRENCY=USD", "XLFILL=b")</f>
        <v>209.52380952380952</v>
      </c>
    </row>
    <row r="170" spans="1:14" x14ac:dyDescent="0.2">
      <c r="A170" s="8" t="s">
        <v>161</v>
      </c>
      <c r="B170" s="4" t="s">
        <v>162</v>
      </c>
      <c r="C170" s="4"/>
      <c r="D170" s="4"/>
      <c r="E170" s="9">
        <f>_xll.BQL("ULCC US Equity", "PRETAX_MARGIN", "FPT=A", "FPO=5A", "ACT_EST_MAPPING=PRECISE", "FS=MRC", "CURRENCY=USD", "XLFILL=b")</f>
        <v>7.4352785824445977</v>
      </c>
      <c r="F170" s="9">
        <f>_xll.BQL("ULCC US Equity", "PRETAX_MARGIN", "FPT=A", "FPO=4A", "ACT_EST_MAPPING=PRECISE", "FS=MRC", "CURRENCY=USD", "XLFILL=b")</f>
        <v>6.6046888020558363</v>
      </c>
      <c r="G170" s="9">
        <f>_xll.BQL("ULCC US Equity", "PRETAX_MARGIN", "FPT=A", "FPO=3A", "ACT_EST_MAPPING=PRECISE", "FS=MRC", "CURRENCY=USD", "XLFILL=b")</f>
        <v>6.1426127155305323</v>
      </c>
      <c r="H170" s="9">
        <f>_xll.BQL("ULCC US Equity", "PRETAX_MARGIN", "FPT=A", "FPO=2A", "ACT_EST_MAPPING=PRECISE", "FS=MRC", "CURRENCY=USD", "XLFILL=b")</f>
        <v>1.9275361506541302</v>
      </c>
      <c r="I170" s="9">
        <f>_xll.BQL("ULCC US Equity", "PRETAX_MARGIN", "FPT=A", "FPO=1A", "ACT_EST_MAPPING=PRECISE", "FS=MRC", "CURRENCY=USD", "XLFILL=b")</f>
        <v>0.17381522000391797</v>
      </c>
      <c r="J170" s="9">
        <f>_xll.BQL("ULCC US Equity", "PRETAX_MARGIN", "FPT=A", "FPO=0A", "ACT_EST_MAPPING=PRECISE", "FS=MRC", "CURRENCY=USD", "XLFILL=b")</f>
        <v>0.89161326274728336</v>
      </c>
      <c r="K170" s="9">
        <f>_xll.BQL("ULCC US Equity", "PRETAX_MARGIN", "FPT=A", "FPO=-1A", "ACT_EST_MAPPING=PRECISE", "FS=MRC", "CURRENCY=USD", "XLFILL=b")</f>
        <v>-1.3529765484064944</v>
      </c>
      <c r="L170" s="9">
        <f>_xll.BQL("ULCC US Equity", "PRETAX_MARGIN", "FPT=A", "FPO=-2A", "ACT_EST_MAPPING=PRECISE", "FS=MRC", "CURRENCY=USD", "XLFILL=b")</f>
        <v>-6.9902912621359219</v>
      </c>
      <c r="M170" s="9">
        <f>_xll.BQL("ULCC US Equity", "PRETAX_MARGIN", "FPT=A", "FPO=-3A", "ACT_EST_MAPPING=PRECISE", "FS=MRC", "CURRENCY=USD", "XLFILL=b")</f>
        <v>-29.76</v>
      </c>
      <c r="N170" s="9">
        <f>_xll.BQL("ULCC US Equity", "PRETAX_MARGIN", "FPT=A", "FPO=-4A", "ACT_EST_MAPPING=PRECISE", "FS=MRC", "CURRENCY=USD", "XLFILL=b")</f>
        <v>12.958532695374801</v>
      </c>
    </row>
    <row r="171" spans="1:14" x14ac:dyDescent="0.2">
      <c r="A171" s="8" t="s">
        <v>28</v>
      </c>
      <c r="B171" s="4" t="s">
        <v>162</v>
      </c>
      <c r="C171" s="4"/>
      <c r="D171" s="4"/>
      <c r="E171" s="9">
        <f>_xll.BQL("ULCC US Equity", "FA_GROWTH(PRETAX_MARGIN, YOY)", "FPT=A", "FPO=5A", "ACT_EST_MAPPING=PRECISE", "FS=MRC", "CURRENCY=USD", "XLFILL=b")</f>
        <v>12.575759513911155</v>
      </c>
      <c r="F171" s="9">
        <f>_xll.BQL("ULCC US Equity", "FA_GROWTH(PRETAX_MARGIN, YOY)", "FPT=A", "FPO=4A", "ACT_EST_MAPPING=PRECISE", "FS=MRC", "CURRENCY=USD", "XLFILL=b")</f>
        <v>7.5224681731443788</v>
      </c>
      <c r="G171" s="9">
        <f>_xll.BQL("ULCC US Equity", "FA_GROWTH(PRETAX_MARGIN, YOY)", "FPT=A", "FPO=3A", "ACT_EST_MAPPING=PRECISE", "FS=MRC", "CURRENCY=USD", "XLFILL=b")</f>
        <v>218.6769137090358</v>
      </c>
      <c r="H171" s="9">
        <f>_xll.BQL("ULCC US Equity", "FA_GROWTH(PRETAX_MARGIN, YOY)", "FPT=A", "FPO=2A", "ACT_EST_MAPPING=PRECISE", "FS=MRC", "CURRENCY=USD", "XLFILL=b")</f>
        <v>1008.9570583120865</v>
      </c>
      <c r="I171" s="9">
        <f>_xll.BQL("ULCC US Equity", "FA_GROWTH(PRETAX_MARGIN, YOY)", "FPT=A", "FPO=1A", "ACT_EST_MAPPING=PRECISE", "FS=MRC", "CURRENCY=USD", "XLFILL=b")</f>
        <v>-80.505536731435583</v>
      </c>
      <c r="J171" s="9">
        <f>_xll.BQL("ULCC US Equity", "FA_GROWTH(PRETAX_MARGIN, YOY)", "FPT=A", "FPO=0A", "ACT_EST_MAPPING=PRECISE", "FS=MRC", "CURRENCY=USD", "XLFILL=b")</f>
        <v>165.90012693105476</v>
      </c>
      <c r="K171" s="9">
        <f>_xll.BQL("ULCC US Equity", "FA_GROWTH(PRETAX_MARGIN, YOY)", "FPT=A", "FPO=-1A", "ACT_EST_MAPPING=PRECISE", "FS=MRC", "CURRENCY=USD", "XLFILL=b")</f>
        <v>80.644918821407103</v>
      </c>
      <c r="L171" s="9">
        <f>_xll.BQL("ULCC US Equity", "FA_GROWTH(PRETAX_MARGIN, YOY)", "FPT=A", "FPO=-2A", "ACT_EST_MAPPING=PRECISE", "FS=MRC", "CURRENCY=USD", "XLFILL=b")</f>
        <v>76.51111807077983</v>
      </c>
      <c r="M171" s="9">
        <f>_xll.BQL("ULCC US Equity", "FA_GROWTH(PRETAX_MARGIN, YOY)", "FPT=A", "FPO=-3A", "ACT_EST_MAPPING=PRECISE", "FS=MRC", "CURRENCY=USD", "XLFILL=b")</f>
        <v>-329.65563076923081</v>
      </c>
      <c r="N171" s="9">
        <f>_xll.BQL("ULCC US Equity", "FA_GROWTH(PRETAX_MARGIN, YOY)", "FPT=A", "FPO=-4A", "ACT_EST_MAPPING=PRECISE", "FS=MRC", "CURRENCY=USD", "XLFILL=b")</f>
        <v>166.08187134502927</v>
      </c>
    </row>
    <row r="172" spans="1:14" x14ac:dyDescent="0.2">
      <c r="A172" s="8" t="s">
        <v>16</v>
      </c>
      <c r="B172" s="4"/>
      <c r="C172" s="4"/>
      <c r="D172" s="4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1:14" x14ac:dyDescent="0.2">
      <c r="A173" s="8" t="s">
        <v>163</v>
      </c>
      <c r="B173" s="4" t="s">
        <v>164</v>
      </c>
      <c r="C173" s="4"/>
      <c r="D173" s="4"/>
      <c r="E173" s="9" t="str">
        <f>_xll.BQL("ULCC US Equity", "IS_INC_TAX_EXP/1M", "FPT=A", "FPO=5A", "ACT_EST_MAPPING=PRECISE", "FS=MRC", "CURRENCY=USD", "XLFILL=b")</f>
        <v/>
      </c>
      <c r="F173" s="9" t="str">
        <f>_xll.BQL("ULCC US Equity", "IS_INC_TAX_EXP/1M", "FPT=A", "FPO=4A", "ACT_EST_MAPPING=PRECISE", "FS=MRC", "CURRENCY=USD", "XLFILL=b")</f>
        <v/>
      </c>
      <c r="G173" s="9">
        <f>_xll.BQL("ULCC US Equity", "IS_INC_TAX_EXP/1M", "FPT=A", "FPO=3A", "ACT_EST_MAPPING=PRECISE", "FS=MRC", "CURRENCY=USD", "XLFILL=b")</f>
        <v>70.008784154371725</v>
      </c>
      <c r="H173" s="9">
        <f>_xll.BQL("ULCC US Equity", "IS_INC_TAX_EXP/1M", "FPT=A", "FPO=2A", "ACT_EST_MAPPING=PRECISE", "FS=MRC", "CURRENCY=USD", "XLFILL=b")</f>
        <v>42.055303404850562</v>
      </c>
      <c r="I173" s="9">
        <f>_xll.BQL("ULCC US Equity", "IS_INC_TAX_EXP/1M", "FPT=A", "FPO=1A", "ACT_EST_MAPPING=PRECISE", "FS=MRC", "CURRENCY=USD", "XLFILL=b")</f>
        <v>3.1829193696100182</v>
      </c>
      <c r="J173" s="9">
        <f>_xll.BQL("ULCC US Equity", "IS_INC_TAX_EXP/1M", "FPT=A", "FPO=0A", "ACT_EST_MAPPING=PRECISE", "FS=MRC", "CURRENCY=USD", "XLFILL=b")</f>
        <v>43</v>
      </c>
      <c r="K173" s="9">
        <f>_xll.BQL("ULCC US Equity", "IS_INC_TAX_EXP/1M", "FPT=A", "FPO=-1A", "ACT_EST_MAPPING=PRECISE", "FS=MRC", "CURRENCY=USD", "XLFILL=b")</f>
        <v>-8</v>
      </c>
      <c r="L173" s="9">
        <f>_xll.BQL("ULCC US Equity", "IS_INC_TAX_EXP/1M", "FPT=A", "FPO=-2A", "ACT_EST_MAPPING=PRECISE", "FS=MRC", "CURRENCY=USD", "XLFILL=b")</f>
        <v>-42</v>
      </c>
      <c r="M173" s="9">
        <f>_xll.BQL("ULCC US Equity", "IS_INC_TAX_EXP/1M", "FPT=A", "FPO=-3A", "ACT_EST_MAPPING=PRECISE", "FS=MRC", "CURRENCY=USD", "XLFILL=b")</f>
        <v>-147</v>
      </c>
      <c r="N173" s="9">
        <f>_xll.BQL("ULCC US Equity", "IS_INC_TAX_EXP/1M", "FPT=A", "FPO=-4A", "ACT_EST_MAPPING=PRECISE", "FS=MRC", "CURRENCY=USD", "XLFILL=b")</f>
        <v>74</v>
      </c>
    </row>
    <row r="174" spans="1:14" x14ac:dyDescent="0.2">
      <c r="A174" s="8" t="s">
        <v>12</v>
      </c>
      <c r="B174" s="4" t="s">
        <v>164</v>
      </c>
      <c r="C174" s="4"/>
      <c r="D174" s="4"/>
      <c r="E174" s="9" t="str">
        <f>_xll.BQL("ULCC US Equity", "FA_GROWTH(IS_INC_TAX_EXP, YOY)", "FPT=A", "FPO=5A", "ACT_EST_MAPPING=PRECISE", "FS=MRC", "CURRENCY=USD", "XLFILL=b")</f>
        <v/>
      </c>
      <c r="F174" s="9" t="str">
        <f>_xll.BQL("ULCC US Equity", "FA_GROWTH(IS_INC_TAX_EXP, YOY)", "FPT=A", "FPO=4A", "ACT_EST_MAPPING=PRECISE", "FS=MRC", "CURRENCY=USD", "XLFILL=b")</f>
        <v/>
      </c>
      <c r="G174" s="9">
        <f>_xll.BQL("ULCC US Equity", "FA_GROWTH(IS_INC_TAX_EXP, YOY)", "FPT=A", "FPO=3A", "ACT_EST_MAPPING=PRECISE", "FS=MRC", "CURRENCY=USD", "XLFILL=b")</f>
        <v>66.468384451833643</v>
      </c>
      <c r="H174" s="9">
        <f>_xll.BQL("ULCC US Equity", "FA_GROWTH(IS_INC_TAX_EXP, YOY)", "FPT=A", "FPO=2A", "ACT_EST_MAPPING=PRECISE", "FS=MRC", "CURRENCY=USD", "XLFILL=b")</f>
        <v>1221.2808281098028</v>
      </c>
      <c r="I174" s="9">
        <f>_xll.BQL("ULCC US Equity", "FA_GROWTH(IS_INC_TAX_EXP, YOY)", "FPT=A", "FPO=1A", "ACT_EST_MAPPING=PRECISE", "FS=MRC", "CURRENCY=USD", "XLFILL=b")</f>
        <v>-92.597861931139491</v>
      </c>
      <c r="J174" s="9">
        <f>_xll.BQL("ULCC US Equity", "FA_GROWTH(IS_INC_TAX_EXP, YOY)", "FPT=A", "FPO=0A", "ACT_EST_MAPPING=PRECISE", "FS=MRC", "CURRENCY=USD", "XLFILL=b")</f>
        <v>637.5</v>
      </c>
      <c r="K174" s="9">
        <f>_xll.BQL("ULCC US Equity", "FA_GROWTH(IS_INC_TAX_EXP, YOY)", "FPT=A", "FPO=-1A", "ACT_EST_MAPPING=PRECISE", "FS=MRC", "CURRENCY=USD", "XLFILL=b")</f>
        <v>80.952380952380949</v>
      </c>
      <c r="L174" s="9">
        <f>_xll.BQL("ULCC US Equity", "FA_GROWTH(IS_INC_TAX_EXP, YOY)", "FPT=A", "FPO=-2A", "ACT_EST_MAPPING=PRECISE", "FS=MRC", "CURRENCY=USD", "XLFILL=b")</f>
        <v>71.428571428571431</v>
      </c>
      <c r="M174" s="9">
        <f>_xll.BQL("ULCC US Equity", "FA_GROWTH(IS_INC_TAX_EXP, YOY)", "FPT=A", "FPO=-3A", "ACT_EST_MAPPING=PRECISE", "FS=MRC", "CURRENCY=USD", "XLFILL=b")</f>
        <v>-298.64864864864865</v>
      </c>
      <c r="N174" s="9">
        <f>_xll.BQL("ULCC US Equity", "FA_GROWTH(IS_INC_TAX_EXP, YOY)", "FPT=A", "FPO=-4A", "ACT_EST_MAPPING=PRECISE", "FS=MRC", "CURRENCY=USD", "XLFILL=b")</f>
        <v>196</v>
      </c>
    </row>
    <row r="175" spans="1:14" x14ac:dyDescent="0.2">
      <c r="A175" s="8" t="s">
        <v>165</v>
      </c>
      <c r="B175" s="4" t="s">
        <v>166</v>
      </c>
      <c r="C175" s="4"/>
      <c r="D175" s="4"/>
      <c r="E175" s="9" t="str">
        <f>_xll.BQL("ULCC US Equity", "CB_IS_ETR_PCT", "FPT=A", "FPO=5A", "ACT_EST_MAPPING=PRECISE", "FS=MRC", "CURRENCY=USD", "XLFILL=b")</f>
        <v/>
      </c>
      <c r="F175" s="9" t="str">
        <f>_xll.BQL("ULCC US Equity", "CB_IS_ETR_PCT", "FPT=A", "FPO=4A", "ACT_EST_MAPPING=PRECISE", "FS=MRC", "CURRENCY=USD", "XLFILL=b")</f>
        <v/>
      </c>
      <c r="G175" s="9">
        <f>_xll.BQL("ULCC US Equity", "CB_IS_ETR_PCT", "FPT=A", "FPO=3A", "ACT_EST_MAPPING=PRECISE", "FS=MRC", "CURRENCY=USD", "XLFILL=b")</f>
        <v>23.5</v>
      </c>
      <c r="H175" s="9">
        <f>_xll.BQL("ULCC US Equity", "CB_IS_ETR_PCT", "FPT=A", "FPO=2A", "ACT_EST_MAPPING=PRECISE", "FS=MRC", "CURRENCY=USD", "XLFILL=b")</f>
        <v>23.5</v>
      </c>
      <c r="I175" s="9">
        <f>_xll.BQL("ULCC US Equity", "CB_IS_ETR_PCT", "FPT=A", "FPO=1A", "ACT_EST_MAPPING=PRECISE", "FS=MRC", "CURRENCY=USD", "XLFILL=b")</f>
        <v>12.453600115077423</v>
      </c>
      <c r="J175" s="9">
        <f>_xll.BQL("ULCC US Equity", "CB_IS_ETR_PCT", "FPT=A", "FPO=0A", "ACT_EST_MAPPING=PRECISE", "FS=MRC", "CURRENCY=USD", "XLFILL=b")</f>
        <v>134.4</v>
      </c>
      <c r="K175" s="9">
        <f>_xll.BQL("ULCC US Equity", "CB_IS_ETR_PCT", "FPT=A", "FPO=-1A", "ACT_EST_MAPPING=PRECISE", "FS=MRC", "CURRENCY=USD", "XLFILL=b")</f>
        <v>17.8</v>
      </c>
      <c r="L175" s="9">
        <f>_xll.BQL("ULCC US Equity", "CB_IS_ETR_PCT", "FPT=A", "FPO=-2A", "ACT_EST_MAPPING=PRECISE", "FS=MRC", "CURRENCY=USD", "XLFILL=b")</f>
        <v>29.2</v>
      </c>
      <c r="M175" s="9">
        <f>_xll.BQL("ULCC US Equity", "CB_IS_ETR_PCT", "FPT=A", "FPO=-3A", "ACT_EST_MAPPING=PRECISE", "FS=MRC", "CURRENCY=USD", "XLFILL=b")</f>
        <v>39.5</v>
      </c>
      <c r="N175" s="9">
        <f>_xll.BQL("ULCC US Equity", "CB_IS_ETR_PCT", "FPT=A", "FPO=-4A", "ACT_EST_MAPPING=PRECISE", "FS=MRC", "CURRENCY=USD", "XLFILL=b")</f>
        <v>22.8</v>
      </c>
    </row>
    <row r="176" spans="1:14" x14ac:dyDescent="0.2">
      <c r="A176" s="8" t="s">
        <v>28</v>
      </c>
      <c r="B176" s="4" t="s">
        <v>166</v>
      </c>
      <c r="C176" s="4"/>
      <c r="D176" s="4"/>
      <c r="E176" s="9" t="str">
        <f>_xll.BQL("ULCC US Equity", "FA_GROWTH(CB_IS_ETR_PCT, YOY)", "FPT=A", "FPO=5A", "ACT_EST_MAPPING=PRECISE", "FS=MRC", "CURRENCY=USD", "XLFILL=b")</f>
        <v/>
      </c>
      <c r="F176" s="9" t="str">
        <f>_xll.BQL("ULCC US Equity", "FA_GROWTH(CB_IS_ETR_PCT, YOY)", "FPT=A", "FPO=4A", "ACT_EST_MAPPING=PRECISE", "FS=MRC", "CURRENCY=USD", "XLFILL=b")</f>
        <v/>
      </c>
      <c r="G176" s="9">
        <f>_xll.BQL("ULCC US Equity", "FA_GROWTH(CB_IS_ETR_PCT, YOY)", "FPT=A", "FPO=3A", "ACT_EST_MAPPING=PRECISE", "FS=MRC", "CURRENCY=USD", "XLFILL=b")</f>
        <v>0</v>
      </c>
      <c r="H176" s="9">
        <f>_xll.BQL("ULCC US Equity", "FA_GROWTH(CB_IS_ETR_PCT, YOY)", "FPT=A", "FPO=2A", "ACT_EST_MAPPING=PRECISE", "FS=MRC", "CURRENCY=USD", "XLFILL=b")</f>
        <v>88.700454349331764</v>
      </c>
      <c r="I176" s="9">
        <f>_xll.BQL("ULCC US Equity", "FA_GROWTH(CB_IS_ETR_PCT, YOY)", "FPT=A", "FPO=1A", "ACT_EST_MAPPING=PRECISE", "FS=MRC", "CURRENCY=USD", "XLFILL=b")</f>
        <v>-90.733928485805478</v>
      </c>
      <c r="J176" s="9">
        <f>_xll.BQL("ULCC US Equity", "FA_GROWTH(CB_IS_ETR_PCT, YOY)", "FPT=A", "FPO=0A", "ACT_EST_MAPPING=PRECISE", "FS=MRC", "CURRENCY=USD", "XLFILL=b")</f>
        <v>655.05617977528084</v>
      </c>
      <c r="K176" s="9">
        <f>_xll.BQL("ULCC US Equity", "FA_GROWTH(CB_IS_ETR_PCT, YOY)", "FPT=A", "FPO=-1A", "ACT_EST_MAPPING=PRECISE", "FS=MRC", "CURRENCY=USD", "XLFILL=b")</f>
        <v>-39.041095890410951</v>
      </c>
      <c r="L176" s="9">
        <f>_xll.BQL("ULCC US Equity", "FA_GROWTH(CB_IS_ETR_PCT, YOY)", "FPT=A", "FPO=-2A", "ACT_EST_MAPPING=PRECISE", "FS=MRC", "CURRENCY=USD", "XLFILL=b")</f>
        <v>-26.075949367088608</v>
      </c>
      <c r="M176" s="9">
        <f>_xll.BQL("ULCC US Equity", "FA_GROWTH(CB_IS_ETR_PCT, YOY)", "FPT=A", "FPO=-3A", "ACT_EST_MAPPING=PRECISE", "FS=MRC", "CURRENCY=USD", "XLFILL=b")</f>
        <v>73.245614035087712</v>
      </c>
      <c r="N176" s="9">
        <f>_xll.BQL("ULCC US Equity", "FA_GROWTH(CB_IS_ETR_PCT, YOY)", "FPT=A", "FPO=-4A", "ACT_EST_MAPPING=PRECISE", "FS=MRC", "CURRENCY=USD", "XLFILL=b")</f>
        <v>-3.7974683544303738</v>
      </c>
    </row>
    <row r="177" spans="1:14" x14ac:dyDescent="0.2">
      <c r="A177" s="8" t="s">
        <v>16</v>
      </c>
      <c r="B177" s="4"/>
      <c r="C177" s="4"/>
      <c r="D177" s="4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1:14" x14ac:dyDescent="0.2">
      <c r="A178" s="8" t="s">
        <v>167</v>
      </c>
      <c r="B178" s="4" t="s">
        <v>168</v>
      </c>
      <c r="C178" s="4" t="s">
        <v>169</v>
      </c>
      <c r="D178" s="4"/>
      <c r="E178" s="9">
        <f>_xll.BQL("ULCC US Equity", "IS_COMP_NET_INCOME_GAAP/1M", "FPT=A", "FPO=5A", "ACT_EST_MAPPING=PRECISE", "FS=MRC", "CURRENCY=USD", "XLFILL=b")</f>
        <v>344</v>
      </c>
      <c r="F178" s="9">
        <f>_xll.BQL("ULCC US Equity", "IS_COMP_NET_INCOME_GAAP/1M", "FPT=A", "FPO=4A", "ACT_EST_MAPPING=PRECISE", "FS=MRC", "CURRENCY=USD", "XLFILL=b")</f>
        <v>273</v>
      </c>
      <c r="G178" s="9">
        <f>_xll.BQL("ULCC US Equity", "IS_COMP_NET_INCOME_GAAP/1M", "FPT=A", "FPO=3A", "ACT_EST_MAPPING=PRECISE", "FS=MRC", "CURRENCY=USD", "XLFILL=b")</f>
        <v>235</v>
      </c>
      <c r="H178" s="9">
        <f>_xll.BQL("ULCC US Equity", "IS_COMP_NET_INCOME_GAAP/1M", "FPT=A", "FPO=2A", "ACT_EST_MAPPING=PRECISE", "FS=MRC", "CURRENCY=USD", "XLFILL=b")</f>
        <v>96.3</v>
      </c>
      <c r="I178" s="9">
        <f>_xll.BQL("ULCC US Equity", "IS_COMP_NET_INCOME_GAAP/1M", "FPT=A", "FPO=1A", "ACT_EST_MAPPING=PRECISE", "FS=MRC", "CURRENCY=USD", "XLFILL=b")</f>
        <v>-1.9207777777777773</v>
      </c>
      <c r="J178" s="9">
        <f>_xll.BQL("ULCC US Equity", "IS_COMP_NET_INCOME_GAAP/1M", "FPT=A", "FPO=0A", "ACT_EST_MAPPING=PRECISE", "FS=MRC", "CURRENCY=USD", "XLFILL=b")</f>
        <v>-11</v>
      </c>
      <c r="K178" s="9">
        <f>_xll.BQL("ULCC US Equity", "IS_COMP_NET_INCOME_GAAP/1M", "FPT=A", "FPO=-1A", "ACT_EST_MAPPING=PRECISE", "FS=MRC", "CURRENCY=USD", "XLFILL=b")</f>
        <v>-37</v>
      </c>
      <c r="L178" s="9">
        <f>_xll.BQL("ULCC US Equity", "IS_COMP_NET_INCOME_GAAP/1M", "FPT=A", "FPO=-2A", "ACT_EST_MAPPING=PRECISE", "FS=MRC", "CURRENCY=USD", "XLFILL=b")</f>
        <v>-102</v>
      </c>
      <c r="M178" s="9" t="str">
        <f>_xll.BQL("ULCC US Equity", "IS_COMP_NET_INCOME_GAAP/1M", "FPT=A", "FPO=-3A", "ACT_EST_MAPPING=PRECISE", "FS=MRC", "CURRENCY=USD", "XLFILL=b")</f>
        <v/>
      </c>
      <c r="N178" s="9" t="str">
        <f>_xll.BQL("ULCC US Equity", "IS_COMP_NET_INCOME_GAAP/1M", "FPT=A", "FPO=-4A", "ACT_EST_MAPPING=PRECISE", "FS=MRC", "CURRENCY=USD", "XLFILL=b")</f>
        <v/>
      </c>
    </row>
    <row r="179" spans="1:14" x14ac:dyDescent="0.2">
      <c r="A179" s="8" t="s">
        <v>12</v>
      </c>
      <c r="B179" s="4" t="s">
        <v>168</v>
      </c>
      <c r="C179" s="4" t="s">
        <v>169</v>
      </c>
      <c r="D179" s="4"/>
      <c r="E179" s="9">
        <f>_xll.BQL("ULCC US Equity", "FA_GROWTH(IS_COMP_NET_INCOME_GAAP, YOY)", "FPT=A", "FPO=5A", "ACT_EST_MAPPING=PRECISE", "FS=MRC", "CURRENCY=USD", "XLFILL=b")</f>
        <v>26.007326007326007</v>
      </c>
      <c r="F179" s="9">
        <f>_xll.BQL("ULCC US Equity", "FA_GROWTH(IS_COMP_NET_INCOME_GAAP, YOY)", "FPT=A", "FPO=4A", "ACT_EST_MAPPING=PRECISE", "FS=MRC", "CURRENCY=USD", "XLFILL=b")</f>
        <v>16.170212765957448</v>
      </c>
      <c r="G179" s="9">
        <f>_xll.BQL("ULCC US Equity", "FA_GROWTH(IS_COMP_NET_INCOME_GAAP, YOY)", "FPT=A", "FPO=3A", "ACT_EST_MAPPING=PRECISE", "FS=MRC", "CURRENCY=USD", "XLFILL=b")</f>
        <v>144.02907580477674</v>
      </c>
      <c r="H179" s="9">
        <f>_xll.BQL("ULCC US Equity", "FA_GROWTH(IS_COMP_NET_INCOME_GAAP, YOY)", "FPT=A", "FPO=2A", "ACT_EST_MAPPING=PRECISE", "FS=MRC", "CURRENCY=USD", "XLFILL=b")</f>
        <v>5113.5940301961018</v>
      </c>
      <c r="I179" s="9">
        <f>_xll.BQL("ULCC US Equity", "FA_GROWTH(IS_COMP_NET_INCOME_GAAP, YOY)", "FPT=A", "FPO=1A", "ACT_EST_MAPPING=PRECISE", "FS=MRC", "CURRENCY=USD", "XLFILL=b")</f>
        <v>82.538383838383837</v>
      </c>
      <c r="J179" s="9">
        <f>_xll.BQL("ULCC US Equity", "FA_GROWTH(IS_COMP_NET_INCOME_GAAP, YOY)", "FPT=A", "FPO=0A", "ACT_EST_MAPPING=PRECISE", "FS=MRC", "CURRENCY=USD", "XLFILL=b")</f>
        <v>70.270270270270274</v>
      </c>
      <c r="K179" s="9">
        <f>_xll.BQL("ULCC US Equity", "FA_GROWTH(IS_COMP_NET_INCOME_GAAP, YOY)", "FPT=A", "FPO=-1A", "ACT_EST_MAPPING=PRECISE", "FS=MRC", "CURRENCY=USD", "XLFILL=b")</f>
        <v>63.725490196078432</v>
      </c>
      <c r="L179" s="9" t="str">
        <f>_xll.BQL("ULCC US Equity", "FA_GROWTH(IS_COMP_NET_INCOME_GAAP, YOY)", "FPT=A", "FPO=-2A", "ACT_EST_MAPPING=PRECISE", "FS=MRC", "CURRENCY=USD", "XLFILL=b")</f>
        <v/>
      </c>
      <c r="M179" s="9" t="str">
        <f>_xll.BQL("ULCC US Equity", "FA_GROWTH(IS_COMP_NET_INCOME_GAAP, YOY)", "FPT=A", "FPO=-3A", "ACT_EST_MAPPING=PRECISE", "FS=MRC", "CURRENCY=USD", "XLFILL=b")</f>
        <v/>
      </c>
      <c r="N179" s="9" t="str">
        <f>_xll.BQL("ULCC US Equity", "FA_GROWTH(IS_COMP_NET_INCOME_GAAP, YOY)", "FPT=A", "FPO=-4A", "ACT_EST_MAPPING=PRECISE", "FS=MRC", "CURRENCY=USD", "XLFILL=b")</f>
        <v/>
      </c>
    </row>
    <row r="180" spans="1:14" x14ac:dyDescent="0.2">
      <c r="A180" s="8" t="s">
        <v>170</v>
      </c>
      <c r="B180" s="4" t="s">
        <v>171</v>
      </c>
      <c r="C180" s="4"/>
      <c r="D180" s="4"/>
      <c r="E180" s="9">
        <f>_xll.BQL("ULCC US Equity", "NORMALIZED_PROFIT_MARGIN", "FPT=A", "FPO=5A", "ACT_EST_MAPPING=PRECISE", "FS=MRC", "CURRENCY=USD", "XLFILL=b")</f>
        <v>5.7251645084823419</v>
      </c>
      <c r="F180" s="9">
        <f>_xll.BQL("ULCC US Equity", "NORMALIZED_PROFIT_MARGIN", "FPT=A", "FPO=4A", "ACT_EST_MAPPING=PRECISE", "FS=MRC", "CURRENCY=USD", "XLFILL=b")</f>
        <v>5.0856103775829915</v>
      </c>
      <c r="G180" s="9">
        <f>_xll.BQL("ULCC US Equity", "NORMALIZED_PROFIT_MARGIN", "FPT=A", "FPO=3A", "ACT_EST_MAPPING=PRECISE", "FS=MRC", "CURRENCY=USD", "XLFILL=b")</f>
        <v>5.0927176864377603</v>
      </c>
      <c r="H180" s="9">
        <f>_xll.BQL("ULCC US Equity", "NORMALIZED_PROFIT_MARGIN", "FPT=A", "FPO=2A", "ACT_EST_MAPPING=PRECISE", "FS=MRC", "CURRENCY=USD", "XLFILL=b")</f>
        <v>1.1451037075020269</v>
      </c>
      <c r="I180" s="9">
        <f>_xll.BQL("ULCC US Equity", "NORMALIZED_PROFIT_MARGIN", "FPT=A", "FPO=1A", "ACT_EST_MAPPING=PRECISE", "FS=MRC", "CURRENCY=USD", "XLFILL=b")</f>
        <v>0.2898935936954285</v>
      </c>
      <c r="J180" s="9">
        <f>_xll.BQL("ULCC US Equity", "NORMALIZED_PROFIT_MARGIN", "FPT=A", "FPO=0A", "ACT_EST_MAPPING=PRECISE", "FS=MRC", "CURRENCY=USD", "XLFILL=b")</f>
        <v>-0.26246865422123156</v>
      </c>
      <c r="K180" s="9">
        <f>_xll.BQL("ULCC US Equity", "NORMALIZED_PROFIT_MARGIN", "FPT=A", "FPO=-1A", "ACT_EST_MAPPING=PRECISE", "FS=MRC", "CURRENCY=USD", "XLFILL=b")</f>
        <v>-0.55532170775706557</v>
      </c>
      <c r="L180" s="9">
        <f>_xll.BQL("ULCC US Equity", "NORMALIZED_PROFIT_MARGIN", "FPT=A", "FPO=-2A", "ACT_EST_MAPPING=PRECISE", "FS=MRC", "CURRENCY=USD", "XLFILL=b")</f>
        <v>-3.5378640776699029</v>
      </c>
      <c r="M180" s="9">
        <f>_xll.BQL("ULCC US Equity", "NORMALIZED_PROFIT_MARGIN", "FPT=A", "FPO=-3A", "ACT_EST_MAPPING=PRECISE", "FS=MRC", "CURRENCY=USD", "XLFILL=b")</f>
        <v>-12.602399999999999</v>
      </c>
      <c r="N180" s="9">
        <f>_xll.BQL("ULCC US Equity", "NORMALIZED_PROFIT_MARGIN", "FPT=A", "FPO=-4A", "ACT_EST_MAPPING=PRECISE", "FS=MRC", "CURRENCY=USD", "XLFILL=b")</f>
        <v>10.446570972886763</v>
      </c>
    </row>
    <row r="181" spans="1:14" x14ac:dyDescent="0.2">
      <c r="A181" s="8" t="s">
        <v>28</v>
      </c>
      <c r="B181" s="4" t="s">
        <v>171</v>
      </c>
      <c r="C181" s="4"/>
      <c r="D181" s="4"/>
      <c r="E181" s="9">
        <f>_xll.BQL("ULCC US Equity", "FA_GROWTH(NORMALIZED_PROFIT_MARGIN, YOY)", "FPT=A", "FPO=5A", "ACT_EST_MAPPING=PRECISE", "FS=MRC", "CURRENCY=USD", "XLFILL=b")</f>
        <v>12.57575951391124</v>
      </c>
      <c r="F181" s="9">
        <f>_xll.BQL("ULCC US Equity", "FA_GROWTH(NORMALIZED_PROFIT_MARGIN, YOY)", "FPT=A", "FPO=4A", "ACT_EST_MAPPING=PRECISE", "FS=MRC", "CURRENCY=USD", "XLFILL=b")</f>
        <v>-0.13955827305519158</v>
      </c>
      <c r="G181" s="9">
        <f>_xll.BQL("ULCC US Equity", "FA_GROWTH(NORMALIZED_PROFIT_MARGIN, YOY)", "FPT=A", "FPO=3A", "ACT_EST_MAPPING=PRECISE", "FS=MRC", "CURRENCY=USD", "XLFILL=b")</f>
        <v>344.73855538789667</v>
      </c>
      <c r="H181" s="9">
        <f>_xll.BQL("ULCC US Equity", "FA_GROWTH(NORMALIZED_PROFIT_MARGIN, YOY)", "FPT=A", "FPO=2A", "ACT_EST_MAPPING=PRECISE", "FS=MRC", "CURRENCY=USD", "XLFILL=b")</f>
        <v>295.00828317893411</v>
      </c>
      <c r="I181" s="9">
        <f>_xll.BQL("ULCC US Equity", "FA_GROWTH(NORMALIZED_PROFIT_MARGIN, YOY)", "FPT=A", "FPO=1A", "ACT_EST_MAPPING=PRECISE", "FS=MRC", "CURRENCY=USD", "XLFILL=b")</f>
        <v>210.44884371262134</v>
      </c>
      <c r="J181" s="9">
        <f>_xll.BQL("ULCC US Equity", "FA_GROWTH(NORMALIZED_PROFIT_MARGIN, YOY)", "FPT=A", "FPO=0A", "ACT_EST_MAPPING=PRECISE", "FS=MRC", "CURRENCY=USD", "XLFILL=b")</f>
        <v>52.735747485662365</v>
      </c>
      <c r="K181" s="9">
        <f>_xll.BQL("ULCC US Equity", "FA_GROWTH(NORMALIZED_PROFIT_MARGIN, YOY)", "FPT=A", "FPO=-1A", "ACT_EST_MAPPING=PRECISE", "FS=MRC", "CURRENCY=USD", "XLFILL=b")</f>
        <v>84.303475329588977</v>
      </c>
      <c r="L181" s="9">
        <f>_xll.BQL("ULCC US Equity", "FA_GROWTH(NORMALIZED_PROFIT_MARGIN, YOY)", "FPT=A", "FPO=-2A", "ACT_EST_MAPPING=PRECISE", "FS=MRC", "CURRENCY=USD", "XLFILL=b")</f>
        <v>71.927060895782532</v>
      </c>
      <c r="M181" s="9">
        <f>_xll.BQL("ULCC US Equity", "FA_GROWTH(NORMALIZED_PROFIT_MARGIN, YOY)", "FPT=A", "FPO=-3A", "ACT_EST_MAPPING=PRECISE", "FS=MRC", "CURRENCY=USD", "XLFILL=b")</f>
        <v>-220.63671450381679</v>
      </c>
      <c r="N181" s="9">
        <f>_xll.BQL("ULCC US Equity", "FA_GROWTH(NORMALIZED_PROFIT_MARGIN, YOY)", "FPT=A", "FPO=-4A", "ACT_EST_MAPPING=PRECISE", "FS=MRC", "CURRENCY=USD", "XLFILL=b")</f>
        <v>208.5316029800529</v>
      </c>
    </row>
    <row r="182" spans="1:14" x14ac:dyDescent="0.2">
      <c r="A182" s="8" t="s">
        <v>16</v>
      </c>
      <c r="B182" s="4"/>
      <c r="C182" s="4"/>
      <c r="D182" s="4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1:14" x14ac:dyDescent="0.2">
      <c r="A183" s="8" t="s">
        <v>172</v>
      </c>
      <c r="B183" s="4" t="s">
        <v>173</v>
      </c>
      <c r="C183" s="4" t="s">
        <v>174</v>
      </c>
      <c r="D183" s="4"/>
      <c r="E183" s="9">
        <f>_xll.BQL("ULCC US Equity", "IS_AVG_NUM_SH_FOR_EPS/1M", "FPT=A", "FPO=5A", "ACT_EST_MAPPING=PRECISE", "FS=MRC", "CURRENCY=USD", "XLFILL=b")</f>
        <v>226.60379800000001</v>
      </c>
      <c r="F183" s="9">
        <f>_xll.BQL("ULCC US Equity", "IS_AVG_NUM_SH_FOR_EPS/1M", "FPT=A", "FPO=4A", "ACT_EST_MAPPING=PRECISE", "FS=MRC", "CURRENCY=USD", "XLFILL=b")</f>
        <v>226.60379800000001</v>
      </c>
      <c r="G183" s="9">
        <f>_xll.BQL("ULCC US Equity", "IS_AVG_NUM_SH_FOR_EPS/1M", "FPT=A", "FPO=3A", "ACT_EST_MAPPING=PRECISE", "FS=MRC", "CURRENCY=USD", "XLFILL=b")</f>
        <v>226.32526849999999</v>
      </c>
      <c r="H183" s="9">
        <f>_xll.BQL("ULCC US Equity", "IS_AVG_NUM_SH_FOR_EPS/1M", "FPT=A", "FPO=2A", "ACT_EST_MAPPING=PRECISE", "FS=MRC", "CURRENCY=USD", "XLFILL=b")</f>
        <v>225.65375783333334</v>
      </c>
      <c r="I183" s="9">
        <f>_xll.BQL("ULCC US Equity", "IS_AVG_NUM_SH_FOR_EPS/1M", "FPT=A", "FPO=1A", "ACT_EST_MAPPING=PRECISE", "FS=MRC", "CURRENCY=USD", "XLFILL=b")</f>
        <v>224.933572</v>
      </c>
      <c r="J183" s="9">
        <f>_xll.BQL("ULCC US Equity", "IS_AVG_NUM_SH_FOR_EPS/1M", "FPT=A", "FPO=0A", "ACT_EST_MAPPING=PRECISE", "FS=MRC", "CURRENCY=USD", "XLFILL=b")</f>
        <v>220.09798900000001</v>
      </c>
      <c r="K183" s="9">
        <f>_xll.BQL("ULCC US Equity", "IS_AVG_NUM_SH_FOR_EPS/1M", "FPT=A", "FPO=-1A", "ACT_EST_MAPPING=PRECISE", "FS=MRC", "CURRENCY=USD", "XLFILL=b")</f>
        <v>218</v>
      </c>
      <c r="L183" s="9">
        <f>_xll.BQL("ULCC US Equity", "IS_AVG_NUM_SH_FOR_EPS/1M", "FPT=A", "FPO=-2A", "ACT_EST_MAPPING=PRECISE", "FS=MRC", "CURRENCY=USD", "XLFILL=b")</f>
        <v>211</v>
      </c>
      <c r="M183" s="9">
        <f>_xll.BQL("ULCC US Equity", "IS_AVG_NUM_SH_FOR_EPS/1M", "FPT=A", "FPO=-3A", "ACT_EST_MAPPING=PRECISE", "FS=MRC", "CURRENCY=USD", "XLFILL=b")</f>
        <v>199.26041000000001</v>
      </c>
      <c r="N183" s="9">
        <f>_xll.BQL("ULCC US Equity", "IS_AVG_NUM_SH_FOR_EPS/1M", "FPT=A", "FPO=-4A", "ACT_EST_MAPPING=PRECISE", "FS=MRC", "CURRENCY=USD", "XLFILL=b")</f>
        <v>199.14108999999999</v>
      </c>
    </row>
    <row r="184" spans="1:14" x14ac:dyDescent="0.2">
      <c r="A184" s="8" t="s">
        <v>12</v>
      </c>
      <c r="B184" s="4" t="s">
        <v>173</v>
      </c>
      <c r="C184" s="4" t="s">
        <v>174</v>
      </c>
      <c r="D184" s="4"/>
      <c r="E184" s="9">
        <f>_xll.BQL("ULCC US Equity", "FA_GROWTH(IS_AVG_NUM_SH_FOR_EPS, YOY)", "FPT=A", "FPO=5A", "ACT_EST_MAPPING=PRECISE", "FS=MRC", "CURRENCY=USD", "XLFILL=b")</f>
        <v>0</v>
      </c>
      <c r="F184" s="9">
        <f>_xll.BQL("ULCC US Equity", "FA_GROWTH(IS_AVG_NUM_SH_FOR_EPS, YOY)", "FPT=A", "FPO=4A", "ACT_EST_MAPPING=PRECISE", "FS=MRC", "CURRENCY=USD", "XLFILL=b")</f>
        <v>0.12306601991284062</v>
      </c>
      <c r="G184" s="9">
        <f>_xll.BQL("ULCC US Equity", "FA_GROWTH(IS_AVG_NUM_SH_FOR_EPS, YOY)", "FPT=A", "FPO=3A", "ACT_EST_MAPPING=PRECISE", "FS=MRC", "CURRENCY=USD", "XLFILL=b")</f>
        <v>0.29758452645075423</v>
      </c>
      <c r="H184" s="9">
        <f>_xll.BQL("ULCC US Equity", "FA_GROWTH(IS_AVG_NUM_SH_FOR_EPS, YOY)", "FPT=A", "FPO=2A", "ACT_EST_MAPPING=PRECISE", "FS=MRC", "CURRENCY=USD", "XLFILL=b")</f>
        <v>0.32017712026257389</v>
      </c>
      <c r="I184" s="9">
        <f>_xll.BQL("ULCC US Equity", "FA_GROWTH(IS_AVG_NUM_SH_FOR_EPS, YOY)", "FPT=A", "FPO=1A", "ACT_EST_MAPPING=PRECISE", "FS=MRC", "CURRENCY=USD", "XLFILL=b")</f>
        <v>2.1970137128331508</v>
      </c>
      <c r="J184" s="9">
        <f>_xll.BQL("ULCC US Equity", "FA_GROWTH(IS_AVG_NUM_SH_FOR_EPS, YOY)", "FPT=A", "FPO=0A", "ACT_EST_MAPPING=PRECISE", "FS=MRC", "CURRENCY=USD", "XLFILL=b")</f>
        <v>0.96238027522935776</v>
      </c>
      <c r="K184" s="9">
        <f>_xll.BQL("ULCC US Equity", "FA_GROWTH(IS_AVG_NUM_SH_FOR_EPS, YOY)", "FPT=A", "FPO=-1A", "ACT_EST_MAPPING=PRECISE", "FS=MRC", "CURRENCY=USD", "XLFILL=b")</f>
        <v>3.3175355450236967</v>
      </c>
      <c r="L184" s="9">
        <f>_xll.BQL("ULCC US Equity", "FA_GROWTH(IS_AVG_NUM_SH_FOR_EPS, YOY)", "FPT=A", "FPO=-2A", "ACT_EST_MAPPING=PRECISE", "FS=MRC", "CURRENCY=USD", "XLFILL=b")</f>
        <v>5.8915817748242114</v>
      </c>
      <c r="M184" s="9">
        <f>_xll.BQL("ULCC US Equity", "FA_GROWTH(IS_AVG_NUM_SH_FOR_EPS, YOY)", "FPT=A", "FPO=-3A", "ACT_EST_MAPPING=PRECISE", "FS=MRC", "CURRENCY=USD", "XLFILL=b")</f>
        <v>5.9917317917663304E-2</v>
      </c>
      <c r="N184" s="9">
        <f>_xll.BQL("ULCC US Equity", "FA_GROWTH(IS_AVG_NUM_SH_FOR_EPS, YOY)", "FPT=A", "FPO=-4A", "ACT_EST_MAPPING=PRECISE", "FS=MRC", "CURRENCY=USD", "XLFILL=b")</f>
        <v>3.6975400764094654E-2</v>
      </c>
    </row>
    <row r="185" spans="1:14" x14ac:dyDescent="0.2">
      <c r="A185" s="8" t="s">
        <v>175</v>
      </c>
      <c r="B185" s="4" t="s">
        <v>176</v>
      </c>
      <c r="C185" s="4"/>
      <c r="D185" s="4"/>
      <c r="E185" s="9" t="str">
        <f>_xll.BQL("ULCC US Equity", "IS_EPS", "FPT=A", "FPO=5A", "ACT_EST_MAPPING=PRECISE", "FS=MRC", "CURRENCY=USD", "XLFILL=b")</f>
        <v/>
      </c>
      <c r="F185" s="9" t="str">
        <f>_xll.BQL("ULCC US Equity", "IS_EPS", "FPT=A", "FPO=4A", "ACT_EST_MAPPING=PRECISE", "FS=MRC", "CURRENCY=USD", "XLFILL=b")</f>
        <v/>
      </c>
      <c r="G185" s="9">
        <f>_xll.BQL("ULCC US Equity", "IS_EPS", "FPT=A", "FPO=3A", "ACT_EST_MAPPING=PRECISE", "FS=MRC", "CURRENCY=USD", "XLFILL=b")</f>
        <v>1.0194918559118911</v>
      </c>
      <c r="H185" s="9">
        <f>_xll.BQL("ULCC US Equity", "IS_EPS", "FPT=A", "FPO=2A", "ACT_EST_MAPPING=PRECISE", "FS=MRC", "CURRENCY=USD", "XLFILL=b")</f>
        <v>0.42433411889698414</v>
      </c>
      <c r="I185" s="9">
        <f>_xll.BQL("ULCC US Equity", "IS_EPS", "FPT=A", "FPO=1A", "ACT_EST_MAPPING=PRECISE", "FS=MRC", "CURRENCY=USD", "XLFILL=b")</f>
        <v>-2.5423693150578575E-3</v>
      </c>
      <c r="J185" s="9">
        <f>_xll.BQL("ULCC US Equity", "IS_EPS", "FPT=A", "FPO=0A", "ACT_EST_MAPPING=PRECISE", "FS=MRC", "CURRENCY=USD", "XLFILL=b")</f>
        <v>-0.05</v>
      </c>
      <c r="K185" s="9">
        <f>_xll.BQL("ULCC US Equity", "IS_EPS", "FPT=A", "FPO=-1A", "ACT_EST_MAPPING=PRECISE", "FS=MRC", "CURRENCY=USD", "XLFILL=b")</f>
        <v>-0.17</v>
      </c>
      <c r="L185" s="9">
        <f>_xll.BQL("ULCC US Equity", "IS_EPS", "FPT=A", "FPO=-2A", "ACT_EST_MAPPING=PRECISE", "FS=MRC", "CURRENCY=USD", "XLFILL=b")</f>
        <v>-0.48</v>
      </c>
      <c r="M185" s="9">
        <f>_xll.BQL("ULCC US Equity", "IS_EPS", "FPT=A", "FPO=-3A", "ACT_EST_MAPPING=PRECISE", "FS=MRC", "CURRENCY=USD", "XLFILL=b")</f>
        <v>-1.1299999999999999</v>
      </c>
      <c r="N185" s="9">
        <f>_xll.BQL("ULCC US Equity", "IS_EPS", "FPT=A", "FPO=-4A", "ACT_EST_MAPPING=PRECISE", "FS=MRC", "CURRENCY=USD", "XLFILL=b")</f>
        <v>1.19</v>
      </c>
    </row>
    <row r="186" spans="1:14" x14ac:dyDescent="0.2">
      <c r="A186" s="8" t="s">
        <v>12</v>
      </c>
      <c r="B186" s="4" t="s">
        <v>176</v>
      </c>
      <c r="C186" s="4"/>
      <c r="D186" s="4"/>
      <c r="E186" s="9" t="str">
        <f>_xll.BQL("ULCC US Equity", "FA_GROWTH(IS_EPS, YOY)", "FPT=A", "FPO=5A", "ACT_EST_MAPPING=PRECISE", "FS=MRC", "CURRENCY=USD", "XLFILL=b")</f>
        <v/>
      </c>
      <c r="F186" s="9" t="str">
        <f>_xll.BQL("ULCC US Equity", "FA_GROWTH(IS_EPS, YOY)", "FPT=A", "FPO=4A", "ACT_EST_MAPPING=PRECISE", "FS=MRC", "CURRENCY=USD", "XLFILL=b")</f>
        <v/>
      </c>
      <c r="G186" s="9">
        <f>_xll.BQL("ULCC US Equity", "FA_GROWTH(IS_EPS, YOY)", "FPT=A", "FPO=3A", "ACT_EST_MAPPING=PRECISE", "FS=MRC", "CURRENCY=USD", "XLFILL=b")</f>
        <v>140.25686611342081</v>
      </c>
      <c r="H186" s="9">
        <f>_xll.BQL("ULCC US Equity", "FA_GROWTH(IS_EPS, YOY)", "FPT=A", "FPO=2A", "ACT_EST_MAPPING=PRECISE", "FS=MRC", "CURRENCY=USD", "XLFILL=b")</f>
        <v>16790.498755776851</v>
      </c>
      <c r="I186" s="9">
        <f>_xll.BQL("ULCC US Equity", "FA_GROWTH(IS_EPS, YOY)", "FPT=A", "FPO=1A", "ACT_EST_MAPPING=PRECISE", "FS=MRC", "CURRENCY=USD", "XLFILL=b")</f>
        <v>94.915261369884291</v>
      </c>
      <c r="J186" s="9">
        <f>_xll.BQL("ULCC US Equity", "FA_GROWTH(IS_EPS, YOY)", "FPT=A", "FPO=0A", "ACT_EST_MAPPING=PRECISE", "FS=MRC", "CURRENCY=USD", "XLFILL=b")</f>
        <v>70.588235294117652</v>
      </c>
      <c r="K186" s="9">
        <f>_xll.BQL("ULCC US Equity", "FA_GROWTH(IS_EPS, YOY)", "FPT=A", "FPO=-1A", "ACT_EST_MAPPING=PRECISE", "FS=MRC", "CURRENCY=USD", "XLFILL=b")</f>
        <v>64.583333333333314</v>
      </c>
      <c r="L186" s="9">
        <f>_xll.BQL("ULCC US Equity", "FA_GROWTH(IS_EPS, YOY)", "FPT=A", "FPO=-2A", "ACT_EST_MAPPING=PRECISE", "FS=MRC", "CURRENCY=USD", "XLFILL=b")</f>
        <v>57.522123893805301</v>
      </c>
      <c r="M186" s="9">
        <f>_xll.BQL("ULCC US Equity", "FA_GROWTH(IS_EPS, YOY)", "FPT=A", "FPO=-3A", "ACT_EST_MAPPING=PRECISE", "FS=MRC", "CURRENCY=USD", "XLFILL=b")</f>
        <v>-194.9579831932773</v>
      </c>
      <c r="N186" s="9">
        <f>_xll.BQL("ULCC US Equity", "FA_GROWTH(IS_EPS, YOY)", "FPT=A", "FPO=-4A", "ACT_EST_MAPPING=PRECISE", "FS=MRC", "CURRENCY=USD", "XLFILL=b")</f>
        <v>221.62162162162161</v>
      </c>
    </row>
    <row r="187" spans="1:14" x14ac:dyDescent="0.2">
      <c r="A187" s="8" t="s">
        <v>16</v>
      </c>
      <c r="B187" s="4"/>
      <c r="C187" s="4"/>
      <c r="D187" s="4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1:14" x14ac:dyDescent="0.2">
      <c r="A188" s="8" t="s">
        <v>177</v>
      </c>
      <c r="B188" s="4" t="s">
        <v>178</v>
      </c>
      <c r="C188" s="4" t="s">
        <v>179</v>
      </c>
      <c r="D188" s="4"/>
      <c r="E188" s="9">
        <f>_xll.BQL("ULCC US Equity", "IS_SH_FOR_DILUTED_EPS/1M", "FPT=A", "FPO=5A", "ACT_EST_MAPPING=PRECISE", "FS=MRC", "CURRENCY=USD", "XLFILL=b")</f>
        <v>226.60379800000001</v>
      </c>
      <c r="F188" s="9">
        <f>_xll.BQL("ULCC US Equity", "IS_SH_FOR_DILUTED_EPS/1M", "FPT=A", "FPO=4A", "ACT_EST_MAPPING=PRECISE", "FS=MRC", "CURRENCY=USD", "XLFILL=b")</f>
        <v>226.60379800000001</v>
      </c>
      <c r="G188" s="9">
        <f>_xll.BQL("ULCC US Equity", "IS_SH_FOR_DILUTED_EPS/1M", "FPT=A", "FPO=3A", "ACT_EST_MAPPING=PRECISE", "FS=MRC", "CURRENCY=USD", "XLFILL=b")</f>
        <v>226.66257300000001</v>
      </c>
      <c r="H188" s="9">
        <f>_xll.BQL("ULCC US Equity", "IS_SH_FOR_DILUTED_EPS/1M", "FPT=A", "FPO=2A", "ACT_EST_MAPPING=PRECISE", "FS=MRC", "CURRENCY=USD", "XLFILL=b")</f>
        <v>226.1332667142857</v>
      </c>
      <c r="I188" s="9">
        <f>_xll.BQL("ULCC US Equity", "IS_SH_FOR_DILUTED_EPS/1M", "FPT=A", "FPO=1A", "ACT_EST_MAPPING=PRECISE", "FS=MRC", "CURRENCY=USD", "XLFILL=b")</f>
        <v>224.89026171428571</v>
      </c>
      <c r="J188" s="9">
        <f>_xll.BQL("ULCC US Equity", "IS_SH_FOR_DILUTED_EPS/1M", "FPT=A", "FPO=0A", "ACT_EST_MAPPING=PRECISE", "FS=MRC", "CURRENCY=USD", "XLFILL=b")</f>
        <v>220.09798900000001</v>
      </c>
      <c r="K188" s="9">
        <f>_xll.BQL("ULCC US Equity", "IS_SH_FOR_DILUTED_EPS/1M", "FPT=A", "FPO=-1A", "ACT_EST_MAPPING=PRECISE", "FS=MRC", "CURRENCY=USD", "XLFILL=b")</f>
        <v>218</v>
      </c>
      <c r="L188" s="9">
        <f>_xll.BQL("ULCC US Equity", "IS_SH_FOR_DILUTED_EPS/1M", "FPT=A", "FPO=-2A", "ACT_EST_MAPPING=PRECISE", "FS=MRC", "CURRENCY=USD", "XLFILL=b")</f>
        <v>211</v>
      </c>
      <c r="M188" s="9">
        <f>_xll.BQL("ULCC US Equity", "IS_SH_FOR_DILUTED_EPS/1M", "FPT=A", "FPO=-3A", "ACT_EST_MAPPING=PRECISE", "FS=MRC", "CURRENCY=USD", "XLFILL=b")</f>
        <v>199.26041000000001</v>
      </c>
      <c r="N188" s="9">
        <f>_xll.BQL("ULCC US Equity", "IS_SH_FOR_DILUTED_EPS/1M", "FPT=A", "FPO=-4A", "ACT_EST_MAPPING=PRECISE", "FS=MRC", "CURRENCY=USD", "XLFILL=b")</f>
        <v>199.59309999999999</v>
      </c>
    </row>
    <row r="189" spans="1:14" x14ac:dyDescent="0.2">
      <c r="A189" s="8" t="s">
        <v>12</v>
      </c>
      <c r="B189" s="4" t="s">
        <v>178</v>
      </c>
      <c r="C189" s="4" t="s">
        <v>179</v>
      </c>
      <c r="D189" s="4"/>
      <c r="E189" s="9">
        <f>_xll.BQL("ULCC US Equity", "FA_GROWTH(IS_SH_FOR_DILUTED_EPS, YOY)", "FPT=A", "FPO=5A", "ACT_EST_MAPPING=PRECISE", "FS=MRC", "CURRENCY=USD", "XLFILL=b")</f>
        <v>0</v>
      </c>
      <c r="F189" s="9">
        <f>_xll.BQL("ULCC US Equity", "FA_GROWTH(IS_SH_FOR_DILUTED_EPS, YOY)", "FPT=A", "FPO=4A", "ACT_EST_MAPPING=PRECISE", "FS=MRC", "CURRENCY=USD", "XLFILL=b")</f>
        <v>-2.5930615373363823E-2</v>
      </c>
      <c r="G189" s="9">
        <f>_xll.BQL("ULCC US Equity", "FA_GROWTH(IS_SH_FOR_DILUTED_EPS, YOY)", "FPT=A", "FPO=3A", "ACT_EST_MAPPING=PRECISE", "FS=MRC", "CURRENCY=USD", "XLFILL=b")</f>
        <v>0.23406829671950261</v>
      </c>
      <c r="H189" s="9">
        <f>_xll.BQL("ULCC US Equity", "FA_GROWTH(IS_SH_FOR_DILUTED_EPS, YOY)", "FPT=A", "FPO=2A", "ACT_EST_MAPPING=PRECISE", "FS=MRC", "CURRENCY=USD", "XLFILL=b")</f>
        <v>0.55271624058990576</v>
      </c>
      <c r="I189" s="9">
        <f>_xll.BQL("ULCC US Equity", "FA_GROWTH(IS_SH_FOR_DILUTED_EPS, YOY)", "FPT=A", "FPO=1A", "ACT_EST_MAPPING=PRECISE", "FS=MRC", "CURRENCY=USD", "XLFILL=b")</f>
        <v>2.1773359838765729</v>
      </c>
      <c r="J189" s="9">
        <f>_xll.BQL("ULCC US Equity", "FA_GROWTH(IS_SH_FOR_DILUTED_EPS, YOY)", "FPT=A", "FPO=0A", "ACT_EST_MAPPING=PRECISE", "FS=MRC", "CURRENCY=USD", "XLFILL=b")</f>
        <v>0.96238027522935776</v>
      </c>
      <c r="K189" s="9">
        <f>_xll.BQL("ULCC US Equity", "FA_GROWTH(IS_SH_FOR_DILUTED_EPS, YOY)", "FPT=A", "FPO=-1A", "ACT_EST_MAPPING=PRECISE", "FS=MRC", "CURRENCY=USD", "XLFILL=b")</f>
        <v>3.3175355450236967</v>
      </c>
      <c r="L189" s="9">
        <f>_xll.BQL("ULCC US Equity", "FA_GROWTH(IS_SH_FOR_DILUTED_EPS, YOY)", "FPT=A", "FPO=-2A", "ACT_EST_MAPPING=PRECISE", "FS=MRC", "CURRENCY=USD", "XLFILL=b")</f>
        <v>5.8915817748242114</v>
      </c>
      <c r="M189" s="9">
        <f>_xll.BQL("ULCC US Equity", "FA_GROWTH(IS_SH_FOR_DILUTED_EPS, YOY)", "FPT=A", "FPO=-3A", "ACT_EST_MAPPING=PRECISE", "FS=MRC", "CURRENCY=USD", "XLFILL=b")</f>
        <v>-0.16668411883977954</v>
      </c>
      <c r="N189" s="9">
        <f>_xll.BQL("ULCC US Equity", "FA_GROWTH(IS_SH_FOR_DILUTED_EPS, YOY)", "FPT=A", "FPO=-4A", "ACT_EST_MAPPING=PRECISE", "FS=MRC", "CURRENCY=USD", "XLFILL=b")</f>
        <v>-0.6625835652646892</v>
      </c>
    </row>
    <row r="190" spans="1:14" x14ac:dyDescent="0.2">
      <c r="A190" s="8" t="s">
        <v>180</v>
      </c>
      <c r="B190" s="4" t="s">
        <v>181</v>
      </c>
      <c r="C190" s="4" t="s">
        <v>182</v>
      </c>
      <c r="D190" s="4"/>
      <c r="E190" s="9">
        <f>_xll.BQL("ULCC US Equity", "IS_COMP_EPS_GAAP", "FPT=A", "FPO=5A", "ACT_EST_MAPPING=PRECISE", "FS=MRC", "CURRENCY=USD", "XLFILL=b")</f>
        <v>1.52</v>
      </c>
      <c r="F190" s="9">
        <f>_xll.BQL("ULCC US Equity", "IS_COMP_EPS_GAAP", "FPT=A", "FPO=4A", "ACT_EST_MAPPING=PRECISE", "FS=MRC", "CURRENCY=USD", "XLFILL=b")</f>
        <v>1.2</v>
      </c>
      <c r="G190" s="9">
        <f>_xll.BQL("ULCC US Equity", "IS_COMP_EPS_GAAP", "FPT=A", "FPO=3A", "ACT_EST_MAPPING=PRECISE", "FS=MRC", "CURRENCY=USD", "XLFILL=b")</f>
        <v>1.0024999999999999</v>
      </c>
      <c r="H190" s="9">
        <f>_xll.BQL("ULCC US Equity", "IS_COMP_EPS_GAAP", "FPT=A", "FPO=2A", "ACT_EST_MAPPING=PRECISE", "FS=MRC", "CURRENCY=USD", "XLFILL=b")</f>
        <v>0.55333333333333334</v>
      </c>
      <c r="I190" s="9">
        <f>_xll.BQL("ULCC US Equity", "IS_COMP_EPS_GAAP", "FPT=A", "FPO=1A", "ACT_EST_MAPPING=PRECISE", "FS=MRC", "CURRENCY=USD", "XLFILL=b")</f>
        <v>8.8333333333333302E-3</v>
      </c>
      <c r="J190" s="9">
        <f>_xll.BQL("ULCC US Equity", "IS_COMP_EPS_GAAP", "FPT=A", "FPO=0A", "ACT_EST_MAPPING=PRECISE", "FS=MRC", "CURRENCY=USD", "XLFILL=b")</f>
        <v>-0.05</v>
      </c>
      <c r="K190" s="9">
        <f>_xll.BQL("ULCC US Equity", "IS_COMP_EPS_GAAP", "FPT=A", "FPO=-1A", "ACT_EST_MAPPING=PRECISE", "FS=MRC", "CURRENCY=USD", "XLFILL=b")</f>
        <v>-0.17</v>
      </c>
      <c r="L190" s="9">
        <f>_xll.BQL("ULCC US Equity", "IS_COMP_EPS_GAAP", "FPT=A", "FPO=-2A", "ACT_EST_MAPPING=PRECISE", "FS=MRC", "CURRENCY=USD", "XLFILL=b")</f>
        <v>-0.48</v>
      </c>
      <c r="M190" s="9" t="str">
        <f>_xll.BQL("ULCC US Equity", "IS_COMP_EPS_GAAP", "FPT=A", "FPO=-3A", "ACT_EST_MAPPING=PRECISE", "FS=MRC", "CURRENCY=USD", "XLFILL=b")</f>
        <v/>
      </c>
      <c r="N190" s="9" t="str">
        <f>_xll.BQL("ULCC US Equity", "IS_COMP_EPS_GAAP", "FPT=A", "FPO=-4A", "ACT_EST_MAPPING=PRECISE", "FS=MRC", "CURRENCY=USD", "XLFILL=b")</f>
        <v/>
      </c>
    </row>
    <row r="191" spans="1:14" x14ac:dyDescent="0.2">
      <c r="A191" s="8" t="s">
        <v>12</v>
      </c>
      <c r="B191" s="4" t="s">
        <v>181</v>
      </c>
      <c r="C191" s="4" t="s">
        <v>182</v>
      </c>
      <c r="D191" s="4"/>
      <c r="E191" s="9">
        <f>_xll.BQL("ULCC US Equity", "FA_GROWTH(IS_COMP_EPS_GAAP, YOY)", "FPT=A", "FPO=5A", "ACT_EST_MAPPING=PRECISE", "FS=MRC", "CURRENCY=USD", "XLFILL=b")</f>
        <v>26.666666666666675</v>
      </c>
      <c r="F191" s="9">
        <f>_xll.BQL("ULCC US Equity", "FA_GROWTH(IS_COMP_EPS_GAAP, YOY)", "FPT=A", "FPO=4A", "ACT_EST_MAPPING=PRECISE", "FS=MRC", "CURRENCY=USD", "XLFILL=b")</f>
        <v>19.700748129675812</v>
      </c>
      <c r="G191" s="9">
        <f>_xll.BQL("ULCC US Equity", "FA_GROWTH(IS_COMP_EPS_GAAP, YOY)", "FPT=A", "FPO=3A", "ACT_EST_MAPPING=PRECISE", "FS=MRC", "CURRENCY=USD", "XLFILL=b")</f>
        <v>81.174698795180703</v>
      </c>
      <c r="H191" s="9">
        <f>_xll.BQL("ULCC US Equity", "FA_GROWTH(IS_COMP_EPS_GAAP, YOY)", "FPT=A", "FPO=2A", "ACT_EST_MAPPING=PRECISE", "FS=MRC", "CURRENCY=USD", "XLFILL=b")</f>
        <v>6164.1509433962283</v>
      </c>
      <c r="I191" s="9">
        <f>_xll.BQL("ULCC US Equity", "FA_GROWTH(IS_COMP_EPS_GAAP, YOY)", "FPT=A", "FPO=1A", "ACT_EST_MAPPING=PRECISE", "FS=MRC", "CURRENCY=USD", "XLFILL=b")</f>
        <v>117.66666666666667</v>
      </c>
      <c r="J191" s="9">
        <f>_xll.BQL("ULCC US Equity", "FA_GROWTH(IS_COMP_EPS_GAAP, YOY)", "FPT=A", "FPO=0A", "ACT_EST_MAPPING=PRECISE", "FS=MRC", "CURRENCY=USD", "XLFILL=b")</f>
        <v>70.588235294117652</v>
      </c>
      <c r="K191" s="9">
        <f>_xll.BQL("ULCC US Equity", "FA_GROWTH(IS_COMP_EPS_GAAP, YOY)", "FPT=A", "FPO=-1A", "ACT_EST_MAPPING=PRECISE", "FS=MRC", "CURRENCY=USD", "XLFILL=b")</f>
        <v>64.583333333333314</v>
      </c>
      <c r="L191" s="9" t="str">
        <f>_xll.BQL("ULCC US Equity", "FA_GROWTH(IS_COMP_EPS_GAAP, YOY)", "FPT=A", "FPO=-2A", "ACT_EST_MAPPING=PRECISE", "FS=MRC", "CURRENCY=USD", "XLFILL=b")</f>
        <v/>
      </c>
      <c r="M191" s="9" t="str">
        <f>_xll.BQL("ULCC US Equity", "FA_GROWTH(IS_COMP_EPS_GAAP, YOY)", "FPT=A", "FPO=-3A", "ACT_EST_MAPPING=PRECISE", "FS=MRC", "CURRENCY=USD", "XLFILL=b")</f>
        <v/>
      </c>
      <c r="N191" s="9" t="str">
        <f>_xll.BQL("ULCC US Equity", "FA_GROWTH(IS_COMP_EPS_GAAP, YOY)", "FPT=A", "FPO=-4A", "ACT_EST_MAPPING=PRECISE", "FS=MRC", "CURRENCY=USD", "XLFILL=b")</f>
        <v/>
      </c>
    </row>
    <row r="192" spans="1:14" x14ac:dyDescent="0.2">
      <c r="A192" s="8" t="s">
        <v>16</v>
      </c>
      <c r="B192" s="4"/>
      <c r="C192" s="4"/>
      <c r="D192" s="4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x14ac:dyDescent="0.2">
      <c r="A193" s="8" t="s">
        <v>183</v>
      </c>
      <c r="B193" s="4"/>
      <c r="C193" s="4" t="s">
        <v>184</v>
      </c>
      <c r="D193" s="4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 x14ac:dyDescent="0.2">
      <c r="A194" s="8" t="s">
        <v>185</v>
      </c>
      <c r="B194" s="4" t="s">
        <v>186</v>
      </c>
      <c r="C194" s="4"/>
      <c r="D194" s="4"/>
      <c r="E194" s="9" t="str">
        <f>_xll.BQL("ULCC US Equity", "CB_IS_ADJUSTED_OPEX/1M", "FPT=A", "FPO=5A", "ACT_EST_MAPPING=PRECISE", "FS=MRC", "CURRENCY=USD", "XLFILL=b")</f>
        <v/>
      </c>
      <c r="F194" s="9" t="str">
        <f>_xll.BQL("ULCC US Equity", "CB_IS_ADJUSTED_OPEX/1M", "FPT=A", "FPO=4A", "ACT_EST_MAPPING=PRECISE", "FS=MRC", "CURRENCY=USD", "XLFILL=b")</f>
        <v/>
      </c>
      <c r="G194" s="9">
        <f>_xll.BQL("ULCC US Equity", "CB_IS_ADJUSTED_OPEX/1M", "FPT=A", "FPO=3A", "ACT_EST_MAPPING=PRECISE", "FS=MRC", "CURRENCY=USD", "XLFILL=b")</f>
        <v>3344.5</v>
      </c>
      <c r="H194" s="9">
        <f>_xll.BQL("ULCC US Equity", "CB_IS_ADJUSTED_OPEX/1M", "FPT=A", "FPO=2A", "ACT_EST_MAPPING=PRECISE", "FS=MRC", "CURRENCY=USD", "XLFILL=b")</f>
        <v>3045.4470238715235</v>
      </c>
      <c r="I194" s="9">
        <f>_xll.BQL("ULCC US Equity", "CB_IS_ADJUSTED_OPEX/1M", "FPT=A", "FPO=1A", "ACT_EST_MAPPING=PRECISE", "FS=MRC", "CURRENCY=USD", "XLFILL=b")</f>
        <v>2707.518874685511</v>
      </c>
      <c r="J194" s="9">
        <f>_xll.BQL("ULCC US Equity", "CB_IS_ADJUSTED_OPEX/1M", "FPT=A", "FPO=0A", "ACT_EST_MAPPING=PRECISE", "FS=MRC", "CURRENCY=USD", "XLFILL=b")</f>
        <v>2462</v>
      </c>
      <c r="K194" s="9">
        <f>_xll.BQL("ULCC US Equity", "CB_IS_ADJUSTED_OPEX/1M", "FPT=A", "FPO=-1A", "ACT_EST_MAPPING=PRECISE", "FS=MRC", "CURRENCY=USD", "XLFILL=b")</f>
        <v>2211</v>
      </c>
      <c r="L194" s="9">
        <f>_xll.BQL("ULCC US Equity", "CB_IS_ADJUSTED_OPEX/1M", "FPT=A", "FPO=-2A", "ACT_EST_MAPPING=PRECISE", "FS=MRC", "CURRENCY=USD", "XLFILL=b")</f>
        <v>2461</v>
      </c>
      <c r="M194" s="9">
        <f>_xll.BQL("ULCC US Equity", "CB_IS_ADJUSTED_OPEX/1M", "FPT=A", "FPO=-3A", "ACT_EST_MAPPING=PRECISE", "FS=MRC", "CURRENCY=USD", "XLFILL=b")</f>
        <v>1615</v>
      </c>
      <c r="N194" s="9">
        <f>_xll.BQL("ULCC US Equity", "CB_IS_ADJUSTED_OPEX/1M", "FPT=A", "FPO=-4A", "ACT_EST_MAPPING=PRECISE", "FS=MRC", "CURRENCY=USD", "XLFILL=b")</f>
        <v>2199</v>
      </c>
    </row>
    <row r="195" spans="1:14" x14ac:dyDescent="0.2">
      <c r="A195" s="8" t="s">
        <v>28</v>
      </c>
      <c r="B195" s="4" t="s">
        <v>186</v>
      </c>
      <c r="C195" s="4"/>
      <c r="D195" s="4"/>
      <c r="E195" s="9" t="str">
        <f>_xll.BQL("ULCC US Equity", "FA_GROWTH(CB_IS_ADJUSTED_OPEX, YOY)", "FPT=A", "FPO=5A", "ACT_EST_MAPPING=PRECISE", "FS=MRC", "CURRENCY=USD", "XLFILL=b")</f>
        <v/>
      </c>
      <c r="F195" s="9" t="str">
        <f>_xll.BQL("ULCC US Equity", "FA_GROWTH(CB_IS_ADJUSTED_OPEX, YOY)", "FPT=A", "FPO=4A", "ACT_EST_MAPPING=PRECISE", "FS=MRC", "CURRENCY=USD", "XLFILL=b")</f>
        <v/>
      </c>
      <c r="G195" s="9">
        <f>_xll.BQL("ULCC US Equity", "FA_GROWTH(CB_IS_ADJUSTED_OPEX, YOY)", "FPT=A", "FPO=3A", "ACT_EST_MAPPING=PRECISE", "FS=MRC", "CURRENCY=USD", "XLFILL=b")</f>
        <v>9.8196742147990363</v>
      </c>
      <c r="H195" s="9">
        <f>_xll.BQL("ULCC US Equity", "FA_GROWTH(CB_IS_ADJUSTED_OPEX, YOY)", "FPT=A", "FPO=2A", "ACT_EST_MAPPING=PRECISE", "FS=MRC", "CURRENCY=USD", "XLFILL=b")</f>
        <v>12.481100403234084</v>
      </c>
      <c r="I195" s="9">
        <f>_xll.BQL("ULCC US Equity", "FA_GROWTH(CB_IS_ADJUSTED_OPEX, YOY)", "FPT=A", "FPO=1A", "ACT_EST_MAPPING=PRECISE", "FS=MRC", "CURRENCY=USD", "XLFILL=b")</f>
        <v>9.9723344713855031</v>
      </c>
      <c r="J195" s="9">
        <f>_xll.BQL("ULCC US Equity", "FA_GROWTH(CB_IS_ADJUSTED_OPEX, YOY)", "FPT=A", "FPO=0A", "ACT_EST_MAPPING=PRECISE", "FS=MRC", "CURRENCY=USD", "XLFILL=b")</f>
        <v>11.352329262777024</v>
      </c>
      <c r="K195" s="9">
        <f>_xll.BQL("ULCC US Equity", "FA_GROWTH(CB_IS_ADJUSTED_OPEX, YOY)", "FPT=A", "FPO=-1A", "ACT_EST_MAPPING=PRECISE", "FS=MRC", "CURRENCY=USD", "XLFILL=b")</f>
        <v>-10.158472165786266</v>
      </c>
      <c r="L195" s="9">
        <f>_xll.BQL("ULCC US Equity", "FA_GROWTH(CB_IS_ADJUSTED_OPEX, YOY)", "FPT=A", "FPO=-2A", "ACT_EST_MAPPING=PRECISE", "FS=MRC", "CURRENCY=USD", "XLFILL=b")</f>
        <v>52.383900928792571</v>
      </c>
      <c r="M195" s="9">
        <f>_xll.BQL("ULCC US Equity", "FA_GROWTH(CB_IS_ADJUSTED_OPEX, YOY)", "FPT=A", "FPO=-3A", "ACT_EST_MAPPING=PRECISE", "FS=MRC", "CURRENCY=USD", "XLFILL=b")</f>
        <v>-26.557526148249202</v>
      </c>
      <c r="N195" s="9" t="str">
        <f>_xll.BQL("ULCC US Equity", "FA_GROWTH(CB_IS_ADJUSTED_OPEX, YOY)", "FPT=A", "FPO=-4A", "ACT_EST_MAPPING=PRECISE", "FS=MRC", "CURRENCY=USD", "XLFILL=b")</f>
        <v/>
      </c>
    </row>
    <row r="196" spans="1:14" x14ac:dyDescent="0.2">
      <c r="A196" s="8" t="s">
        <v>187</v>
      </c>
      <c r="B196" s="4" t="s">
        <v>188</v>
      </c>
      <c r="C196" s="4" t="s">
        <v>189</v>
      </c>
      <c r="D196" s="4"/>
      <c r="E196" s="9">
        <f>_xll.BQL("ULCC US Equity", "IS_COMPARABLE_EBITDA/1M", "FPT=A", "FPO=5A", "ACT_EST_MAPPING=PRECISE", "FS=MRC", "CURRENCY=USD", "XLFILL=b")</f>
        <v>686</v>
      </c>
      <c r="F196" s="9">
        <f>_xll.BQL("ULCC US Equity", "IS_COMPARABLE_EBITDA/1M", "FPT=A", "FPO=4A", "ACT_EST_MAPPING=PRECISE", "FS=MRC", "CURRENCY=USD", "XLFILL=b")</f>
        <v>541</v>
      </c>
      <c r="G196" s="9">
        <f>_xll.BQL("ULCC US Equity", "IS_COMPARABLE_EBITDA/1M", "FPT=A", "FPO=3A", "ACT_EST_MAPPING=PRECISE", "FS=MRC", "CURRENCY=USD", "XLFILL=b")</f>
        <v>443</v>
      </c>
      <c r="H196" s="9">
        <f>_xll.BQL("ULCC US Equity", "IS_COMPARABLE_EBITDA/1M", "FPT=A", "FPO=2A", "ACT_EST_MAPPING=PRECISE", "FS=MRC", "CURRENCY=USD", "XLFILL=b")</f>
        <v>229.49</v>
      </c>
      <c r="I196" s="9">
        <f>_xll.BQL("ULCC US Equity", "IS_COMPARABLE_EBITDA/1M", "FPT=A", "FPO=1A", "ACT_EST_MAPPING=PRECISE", "FS=MRC", "CURRENCY=USD", "XLFILL=b")</f>
        <v>42.054000000000002</v>
      </c>
      <c r="J196" s="9">
        <f>_xll.BQL("ULCC US Equity", "IS_COMPARABLE_EBITDA/1M", "FPT=A", "FPO=0A", "ACT_EST_MAPPING=PRECISE", "FS=MRC", "CURRENCY=USD", "XLFILL=b")</f>
        <v>49</v>
      </c>
      <c r="K196" s="9">
        <f>_xll.BQL("ULCC US Equity", "IS_COMPARABLE_EBITDA/1M", "FPT=A", "FPO=-1A", "ACT_EST_MAPPING=PRECISE", "FS=MRC", "CURRENCY=USD", "XLFILL=b")</f>
        <v>12</v>
      </c>
      <c r="L196" s="9">
        <f>_xll.BQL("ULCC US Equity", "IS_COMPARABLE_EBITDA/1M", "FPT=A", "FPO=-2A", "ACT_EST_MAPPING=PRECISE", "FS=MRC", "CURRENCY=USD", "XLFILL=b")</f>
        <v>-364</v>
      </c>
      <c r="M196" s="9" t="str">
        <f>_xll.BQL("ULCC US Equity", "IS_COMPARABLE_EBITDA/1M", "FPT=A", "FPO=-3A", "ACT_EST_MAPPING=PRECISE", "FS=MRC", "CURRENCY=USD", "XLFILL=b")</f>
        <v/>
      </c>
      <c r="N196" s="9" t="str">
        <f>_xll.BQL("ULCC US Equity", "IS_COMPARABLE_EBITDA/1M", "FPT=A", "FPO=-4A", "ACT_EST_MAPPING=PRECISE", "FS=MRC", "CURRENCY=USD", "XLFILL=b")</f>
        <v/>
      </c>
    </row>
    <row r="197" spans="1:14" x14ac:dyDescent="0.2">
      <c r="A197" s="8" t="s">
        <v>28</v>
      </c>
      <c r="B197" s="4" t="s">
        <v>188</v>
      </c>
      <c r="C197" s="4" t="s">
        <v>189</v>
      </c>
      <c r="D197" s="4"/>
      <c r="E197" s="9">
        <f>_xll.BQL("ULCC US Equity", "FA_GROWTH(IS_COMPARABLE_EBITDA, YOY)", "FPT=A", "FPO=5A", "ACT_EST_MAPPING=PRECISE", "FS=MRC", "CURRENCY=USD", "XLFILL=b")</f>
        <v>26.802218114602589</v>
      </c>
      <c r="F197" s="9">
        <f>_xll.BQL("ULCC US Equity", "FA_GROWTH(IS_COMPARABLE_EBITDA, YOY)", "FPT=A", "FPO=4A", "ACT_EST_MAPPING=PRECISE", "FS=MRC", "CURRENCY=USD", "XLFILL=b")</f>
        <v>22.121896162528216</v>
      </c>
      <c r="G197" s="9">
        <f>_xll.BQL("ULCC US Equity", "FA_GROWTH(IS_COMPARABLE_EBITDA, YOY)", "FPT=A", "FPO=3A", "ACT_EST_MAPPING=PRECISE", "FS=MRC", "CURRENCY=USD", "XLFILL=b")</f>
        <v>93.036733626737544</v>
      </c>
      <c r="H197" s="9">
        <f>_xll.BQL("ULCC US Equity", "FA_GROWTH(IS_COMPARABLE_EBITDA, YOY)", "FPT=A", "FPO=2A", "ACT_EST_MAPPING=PRECISE", "FS=MRC", "CURRENCY=USD", "XLFILL=b")</f>
        <v>445.70314357730535</v>
      </c>
      <c r="I197" s="9">
        <f>_xll.BQL("ULCC US Equity", "FA_GROWTH(IS_COMPARABLE_EBITDA, YOY)", "FPT=A", "FPO=1A", "ACT_EST_MAPPING=PRECISE", "FS=MRC", "CURRENCY=USD", "XLFILL=b")</f>
        <v>-14.175510204081633</v>
      </c>
      <c r="J197" s="9">
        <f>_xll.BQL("ULCC US Equity", "FA_GROWTH(IS_COMPARABLE_EBITDA, YOY)", "FPT=A", "FPO=0A", "ACT_EST_MAPPING=PRECISE", "FS=MRC", "CURRENCY=USD", "XLFILL=b")</f>
        <v>308.33333333333331</v>
      </c>
      <c r="K197" s="9">
        <f>_xll.BQL("ULCC US Equity", "FA_GROWTH(IS_COMPARABLE_EBITDA, YOY)", "FPT=A", "FPO=-1A", "ACT_EST_MAPPING=PRECISE", "FS=MRC", "CURRENCY=USD", "XLFILL=b")</f>
        <v>103.2967032967033</v>
      </c>
      <c r="L197" s="9" t="str">
        <f>_xll.BQL("ULCC US Equity", "FA_GROWTH(IS_COMPARABLE_EBITDA, YOY)", "FPT=A", "FPO=-2A", "ACT_EST_MAPPING=PRECISE", "FS=MRC", "CURRENCY=USD", "XLFILL=b")</f>
        <v/>
      </c>
      <c r="M197" s="9" t="str">
        <f>_xll.BQL("ULCC US Equity", "FA_GROWTH(IS_COMPARABLE_EBITDA, YOY)", "FPT=A", "FPO=-3A", "ACT_EST_MAPPING=PRECISE", "FS=MRC", "CURRENCY=USD", "XLFILL=b")</f>
        <v/>
      </c>
      <c r="N197" s="9" t="str">
        <f>_xll.BQL("ULCC US Equity", "FA_GROWTH(IS_COMPARABLE_EBITDA, YOY)", "FPT=A", "FPO=-4A", "ACT_EST_MAPPING=PRECISE", "FS=MRC", "CURRENCY=USD", "XLFILL=b")</f>
        <v/>
      </c>
    </row>
    <row r="198" spans="1:14" x14ac:dyDescent="0.2">
      <c r="A198" s="8" t="s">
        <v>190</v>
      </c>
      <c r="B198" s="4" t="s">
        <v>191</v>
      </c>
      <c r="C198" s="4"/>
      <c r="D198" s="4"/>
      <c r="E198" s="9">
        <f>_xll.BQL("ULCC US Equity", "FFO_GROWTH_RT", "FPT=A", "FPO=5A", "ACT_EST_MAPPING=PRECISE", "FS=MRC", "CURRENCY=USD", "XLFILL=b")</f>
        <v>29.156531867556406</v>
      </c>
      <c r="F198" s="9">
        <f>_xll.BQL("ULCC US Equity", "FFO_GROWTH_RT", "FPT=A", "FPO=4A", "ACT_EST_MAPPING=PRECISE", "FS=MRC", "CURRENCY=USD", "XLFILL=b")</f>
        <v>27.524662941692391</v>
      </c>
      <c r="G198" s="9">
        <f>_xll.BQL("ULCC US Equity", "FFO_GROWTH_RT", "FPT=A", "FPO=3A", "ACT_EST_MAPPING=PRECISE", "FS=MRC", "CURRENCY=USD", "XLFILL=b")</f>
        <v>25.328619921145499</v>
      </c>
      <c r="H198" s="9">
        <f>_xll.BQL("ULCC US Equity", "FFO_GROWTH_RT", "FPT=A", "FPO=2A", "ACT_EST_MAPPING=PRECISE", "FS=MRC", "CURRENCY=USD", "XLFILL=b")</f>
        <v>20.617441099042424</v>
      </c>
      <c r="I198" s="9">
        <f>_xll.BQL("ULCC US Equity", "FFO_GROWTH_RT", "FPT=A", "FPO=1A", "ACT_EST_MAPPING=PRECISE", "FS=MRC", "CURRENCY=USD", "XLFILL=b")</f>
        <v>18.183322853069114</v>
      </c>
      <c r="J198" s="9" t="str">
        <f>_xll.BQL("ULCC US Equity", "FFO_GROWTH_RT", "FPT=A", "FPO=0A", "ACT_EST_MAPPING=PRECISE", "FS=MRC", "CURRENCY=USD", "XLFILL=b")</f>
        <v/>
      </c>
      <c r="K198" s="9" t="str">
        <f>_xll.BQL("ULCC US Equity", "FFO_GROWTH_RT", "FPT=A", "FPO=-1A", "ACT_EST_MAPPING=PRECISE", "FS=MRC", "CURRENCY=USD", "XLFILL=b")</f>
        <v/>
      </c>
      <c r="L198" s="9" t="str">
        <f>_xll.BQL("ULCC US Equity", "FFO_GROWTH_RT", "FPT=A", "FPO=-2A", "ACT_EST_MAPPING=PRECISE", "FS=MRC", "CURRENCY=USD", "XLFILL=b")</f>
        <v/>
      </c>
      <c r="M198" s="9" t="str">
        <f>_xll.BQL("ULCC US Equity", "FFO_GROWTH_RT", "FPT=A", "FPO=-3A", "ACT_EST_MAPPING=PRECISE", "FS=MRC", "CURRENCY=USD", "XLFILL=b")</f>
        <v/>
      </c>
      <c r="N198" s="9" t="str">
        <f>_xll.BQL("ULCC US Equity", "FFO_GROWTH_RT", "FPT=A", "FPO=-4A", "ACT_EST_MAPPING=PRECISE", "FS=MRC", "CURRENCY=USD", "XLFILL=b")</f>
        <v/>
      </c>
    </row>
    <row r="199" spans="1:14" x14ac:dyDescent="0.2">
      <c r="A199" s="8" t="s">
        <v>71</v>
      </c>
      <c r="B199" s="4" t="s">
        <v>191</v>
      </c>
      <c r="C199" s="4"/>
      <c r="D199" s="4"/>
      <c r="E199" s="9">
        <f>_xll.BQL("ULCC US Equity", "FA_GROWTH(FFO_GROWTH_RT, YOY)", "FPT=A", "FPO=5A", "ACT_EST_MAPPING=PRECISE", "FS=MRC", "CURRENCY=USD", "XLFILL=b")</f>
        <v>5.9287517137664096</v>
      </c>
      <c r="F199" s="9">
        <f>_xll.BQL("ULCC US Equity", "FA_GROWTH(FFO_GROWTH_RT, YOY)", "FPT=A", "FPO=4A", "ACT_EST_MAPPING=PRECISE", "FS=MRC", "CURRENCY=USD", "XLFILL=b")</f>
        <v>8.6702040118401165</v>
      </c>
      <c r="G199" s="9">
        <f>_xll.BQL("ULCC US Equity", "FA_GROWTH(FFO_GROWTH_RT, YOY)", "FPT=A", "FPO=3A", "ACT_EST_MAPPING=PRECISE", "FS=MRC", "CURRENCY=USD", "XLFILL=b")</f>
        <v>22.850453649759118</v>
      </c>
      <c r="H199" s="9">
        <f>_xll.BQL("ULCC US Equity", "FA_GROWTH(FFO_GROWTH_RT, YOY)", "FPT=A", "FPO=2A", "ACT_EST_MAPPING=PRECISE", "FS=MRC", "CURRENCY=USD", "XLFILL=b")</f>
        <v>13.386542523840525</v>
      </c>
      <c r="I199" s="9" t="str">
        <f>_xll.BQL("ULCC US Equity", "FA_GROWTH(FFO_GROWTH_RT, YOY)", "FPT=A", "FPO=1A", "ACT_EST_MAPPING=PRECISE", "FS=MRC", "CURRENCY=USD", "XLFILL=b")</f>
        <v/>
      </c>
      <c r="J199" s="9" t="str">
        <f>_xll.BQL("ULCC US Equity", "FA_GROWTH(FFO_GROWTH_RT, YOY)", "FPT=A", "FPO=0A", "ACT_EST_MAPPING=PRECISE", "FS=MRC", "CURRENCY=USD", "XLFILL=b")</f>
        <v/>
      </c>
      <c r="K199" s="9" t="str">
        <f>_xll.BQL("ULCC US Equity", "FA_GROWTH(FFO_GROWTH_RT, YOY)", "FPT=A", "FPO=-1A", "ACT_EST_MAPPING=PRECISE", "FS=MRC", "CURRENCY=USD", "XLFILL=b")</f>
        <v/>
      </c>
      <c r="L199" s="9" t="str">
        <f>_xll.BQL("ULCC US Equity", "FA_GROWTH(FFO_GROWTH_RT, YOY)", "FPT=A", "FPO=-2A", "ACT_EST_MAPPING=PRECISE", "FS=MRC", "CURRENCY=USD", "XLFILL=b")</f>
        <v/>
      </c>
      <c r="M199" s="9" t="str">
        <f>_xll.BQL("ULCC US Equity", "FA_GROWTH(FFO_GROWTH_RT, YOY)", "FPT=A", "FPO=-3A", "ACT_EST_MAPPING=PRECISE", "FS=MRC", "CURRENCY=USD", "XLFILL=b")</f>
        <v/>
      </c>
      <c r="N199" s="9" t="str">
        <f>_xll.BQL("ULCC US Equity", "FA_GROWTH(FFO_GROWTH_RT, YOY)", "FPT=A", "FPO=-4A", "ACT_EST_MAPPING=PRECISE", "FS=MRC", "CURRENCY=USD", "XLFILL=b")</f>
        <v/>
      </c>
    </row>
    <row r="200" spans="1:14" x14ac:dyDescent="0.2">
      <c r="A200" s="8" t="s">
        <v>192</v>
      </c>
      <c r="B200" s="4" t="s">
        <v>51</v>
      </c>
      <c r="C200" s="4" t="s">
        <v>52</v>
      </c>
      <c r="D200" s="4"/>
      <c r="E200" s="9">
        <f>_xll.BQL("ULCC US Equity", "AIRLINE_EBITDAR/1M", "FPT=A", "FPO=5A", "ACT_EST_MAPPING=PRECISE", "FS=MRC", "CURRENCY=USD", "XLFILL=b")</f>
        <v>1754.1609297422342</v>
      </c>
      <c r="F200" s="9">
        <f>_xll.BQL("ULCC US Equity", "AIRLINE_EBITDAR/1M", "FPT=A", "FPO=4A", "ACT_EST_MAPPING=PRECISE", "FS=MRC", "CURRENCY=USD", "XLFILL=b")</f>
        <v>1475.9196754861168</v>
      </c>
      <c r="G200" s="9">
        <f>_xll.BQL("ULCC US Equity", "AIRLINE_EBITDAR/1M", "FPT=A", "FPO=3A", "ACT_EST_MAPPING=PRECISE", "FS=MRC", "CURRENCY=USD", "XLFILL=b")</f>
        <v>1214.1807057533613</v>
      </c>
      <c r="H200" s="9">
        <f>_xll.BQL("ULCC US Equity", "AIRLINE_EBITDAR/1M", "FPT=A", "FPO=2A", "ACT_EST_MAPPING=PRECISE", "FS=MRC", "CURRENCY=USD", "XLFILL=b")</f>
        <v>867.65093027049352</v>
      </c>
      <c r="I200" s="9">
        <f>_xll.BQL("ULCC US Equity", "AIRLINE_EBITDAR/1M", "FPT=A", "FPO=1A", "ACT_EST_MAPPING=PRECISE", "FS=MRC", "CURRENCY=USD", "XLFILL=b")</f>
        <v>676.4224629463663</v>
      </c>
      <c r="J200" s="9">
        <f>_xll.BQL("ULCC US Equity", "AIRLINE_EBITDAR/1M", "FPT=A", "FPO=0A", "ACT_EST_MAPPING=PRECISE", "FS=MRC", "CURRENCY=USD", "XLFILL=b")</f>
        <v>601</v>
      </c>
      <c r="K200" s="9">
        <f>_xll.BQL("ULCC US Equity", "AIRLINE_EBITDAR/1M", "FPT=A", "FPO=-1A", "ACT_EST_MAPPING=PRECISE", "FS=MRC", "CURRENCY=USD", "XLFILL=b")</f>
        <v>556</v>
      </c>
      <c r="L200" s="9">
        <f>_xll.BQL("ULCC US Equity", "AIRLINE_EBITDAR/1M", "FPT=A", "FPO=-2A", "ACT_EST_MAPPING=PRECISE", "FS=MRC", "CURRENCY=USD", "XLFILL=b")</f>
        <v>451</v>
      </c>
      <c r="M200" s="9">
        <f>_xll.BQL("ULCC US Equity", "AIRLINE_EBITDAR/1M", "FPT=A", "FPO=-3A", "ACT_EST_MAPPING=PRECISE", "FS=MRC", "CURRENCY=USD", "XLFILL=b")</f>
        <v>64</v>
      </c>
      <c r="N200" s="9">
        <f>_xll.BQL("ULCC US Equity", "AIRLINE_EBITDAR/1M", "FPT=A", "FPO=-4A", "ACT_EST_MAPPING=PRECISE", "FS=MRC", "CURRENCY=USD", "XLFILL=b")</f>
        <v>723</v>
      </c>
    </row>
    <row r="201" spans="1:14" x14ac:dyDescent="0.2">
      <c r="A201" s="8" t="s">
        <v>28</v>
      </c>
      <c r="B201" s="4" t="s">
        <v>51</v>
      </c>
      <c r="C201" s="4" t="s">
        <v>52</v>
      </c>
      <c r="D201" s="4"/>
      <c r="E201" s="9">
        <f>_xll.BQL("ULCC US Equity", "FA_GROWTH(AIRLINE_EBITDAR, YOY)", "FPT=A", "FPO=5A", "ACT_EST_MAPPING=PRECISE", "FS=MRC", "CURRENCY=USD", "XLFILL=b")</f>
        <v>18.852059422845912</v>
      </c>
      <c r="F201" s="9">
        <f>_xll.BQL("ULCC US Equity", "FA_GROWTH(AIRLINE_EBITDAR, YOY)", "FPT=A", "FPO=4A", "ACT_EST_MAPPING=PRECISE", "FS=MRC", "CURRENCY=USD", "XLFILL=b")</f>
        <v>21.55683816194022</v>
      </c>
      <c r="G201" s="9">
        <f>_xll.BQL("ULCC US Equity", "FA_GROWTH(AIRLINE_EBITDAR, YOY)", "FPT=A", "FPO=3A", "ACT_EST_MAPPING=PRECISE", "FS=MRC", "CURRENCY=USD", "XLFILL=b")</f>
        <v>39.93884676350612</v>
      </c>
      <c r="H201" s="9">
        <f>_xll.BQL("ULCC US Equity", "FA_GROWTH(AIRLINE_EBITDAR, YOY)", "FPT=A", "FPO=2A", "ACT_EST_MAPPING=PRECISE", "FS=MRC", "CURRENCY=USD", "XLFILL=b")</f>
        <v>28.270567256322732</v>
      </c>
      <c r="I201" s="9">
        <f>_xll.BQL("ULCC US Equity", "FA_GROWTH(AIRLINE_EBITDAR, YOY)", "FPT=A", "FPO=1A", "ACT_EST_MAPPING=PRECISE", "FS=MRC", "CURRENCY=USD", "XLFILL=b")</f>
        <v>12.54949466661669</v>
      </c>
      <c r="J201" s="9">
        <f>_xll.BQL("ULCC US Equity", "FA_GROWTH(AIRLINE_EBITDAR, YOY)", "FPT=A", "FPO=0A", "ACT_EST_MAPPING=PRECISE", "FS=MRC", "CURRENCY=USD", "XLFILL=b")</f>
        <v>8.0935251798561154</v>
      </c>
      <c r="K201" s="9">
        <f>_xll.BQL("ULCC US Equity", "FA_GROWTH(AIRLINE_EBITDAR, YOY)", "FPT=A", "FPO=-1A", "ACT_EST_MAPPING=PRECISE", "FS=MRC", "CURRENCY=USD", "XLFILL=b")</f>
        <v>23.281596452328159</v>
      </c>
      <c r="L201" s="9">
        <f>_xll.BQL("ULCC US Equity", "FA_GROWTH(AIRLINE_EBITDAR, YOY)", "FPT=A", "FPO=-2A", "ACT_EST_MAPPING=PRECISE", "FS=MRC", "CURRENCY=USD", "XLFILL=b")</f>
        <v>604.6875</v>
      </c>
      <c r="M201" s="9">
        <f>_xll.BQL("ULCC US Equity", "FA_GROWTH(AIRLINE_EBITDAR, YOY)", "FPT=A", "FPO=-3A", "ACT_EST_MAPPING=PRECISE", "FS=MRC", "CURRENCY=USD", "XLFILL=b")</f>
        <v>-91.147994467496545</v>
      </c>
      <c r="N201" s="9" t="str">
        <f>_xll.BQL("ULCC US Equity", "FA_GROWTH(AIRLINE_EBITDAR, YOY)", "FPT=A", "FPO=-4A", "ACT_EST_MAPPING=PRECISE", "FS=MRC", "CURRENCY=USD", "XLFILL=b")</f>
        <v/>
      </c>
    </row>
    <row r="202" spans="1:14" x14ac:dyDescent="0.2">
      <c r="A202" s="8" t="s">
        <v>193</v>
      </c>
      <c r="B202" s="4" t="s">
        <v>194</v>
      </c>
      <c r="C202" s="4"/>
      <c r="D202" s="4"/>
      <c r="E202" s="9">
        <f>_xll.BQL("ULCC US Equity", "IS_COMP_PTP_EX_STK_BASED_COMP/1M", "FPT=A", "FPO=5A", "ACT_EST_MAPPING=PRECISE", "FS=MRC", "CURRENCY=USD", "XLFILL=b")</f>
        <v>447</v>
      </c>
      <c r="F202" s="9">
        <f>_xll.BQL("ULCC US Equity", "IS_COMP_PTP_EX_STK_BASED_COMP/1M", "FPT=A", "FPO=4A", "ACT_EST_MAPPING=PRECISE", "FS=MRC", "CURRENCY=USD", "XLFILL=b")</f>
        <v>354</v>
      </c>
      <c r="G202" s="9">
        <f>_xll.BQL("ULCC US Equity", "IS_COMP_PTP_EX_STK_BASED_COMP/1M", "FPT=A", "FPO=3A", "ACT_EST_MAPPING=PRECISE", "FS=MRC", "CURRENCY=USD", "XLFILL=b")</f>
        <v>335.57142857142861</v>
      </c>
      <c r="H202" s="9">
        <f>_xll.BQL("ULCC US Equity", "IS_COMP_PTP_EX_STK_BASED_COMP/1M", "FPT=A", "FPO=2A", "ACT_EST_MAPPING=PRECISE", "FS=MRC", "CURRENCY=USD", "XLFILL=b")</f>
        <v>136.375</v>
      </c>
      <c r="I202" s="9">
        <f>_xll.BQL("ULCC US Equity", "IS_COMP_PTP_EX_STK_BASED_COMP/1M", "FPT=A", "FPO=1A", "ACT_EST_MAPPING=PRECISE", "FS=MRC", "CURRENCY=USD", "XLFILL=b")</f>
        <v>-12.296666666666667</v>
      </c>
      <c r="J202" s="9">
        <f>_xll.BQL("ULCC US Equity", "IS_COMP_PTP_EX_STK_BASED_COMP/1M", "FPT=A", "FPO=0A", "ACT_EST_MAPPING=PRECISE", "FS=MRC", "CURRENCY=USD", "XLFILL=b")</f>
        <v>34</v>
      </c>
      <c r="K202" s="9">
        <f>_xll.BQL("ULCC US Equity", "IS_COMP_PTP_EX_STK_BASED_COMP/1M", "FPT=A", "FPO=-1A", "ACT_EST_MAPPING=PRECISE", "FS=MRC", "CURRENCY=USD", "XLFILL=b")</f>
        <v>-19</v>
      </c>
      <c r="L202" s="9">
        <f>_xll.BQL("ULCC US Equity", "IS_COMP_PTP_EX_STK_BASED_COMP/1M", "FPT=A", "FPO=-2A", "ACT_EST_MAPPING=PRECISE", "FS=MRC", "CURRENCY=USD", "XLFILL=b")</f>
        <v>-406</v>
      </c>
      <c r="M202" s="9" t="str">
        <f>_xll.BQL("ULCC US Equity", "IS_COMP_PTP_EX_STK_BASED_COMP/1M", "FPT=A", "FPO=-3A", "ACT_EST_MAPPING=PRECISE", "FS=MRC", "CURRENCY=USD", "XLFILL=b")</f>
        <v/>
      </c>
      <c r="N202" s="9" t="str">
        <f>_xll.BQL("ULCC US Equity", "IS_COMP_PTP_EX_STK_BASED_COMP/1M", "FPT=A", "FPO=-4A", "ACT_EST_MAPPING=PRECISE", "FS=MRC", "CURRENCY=USD", "XLFILL=b")</f>
        <v/>
      </c>
    </row>
    <row r="203" spans="1:14" x14ac:dyDescent="0.2">
      <c r="A203" s="8" t="s">
        <v>28</v>
      </c>
      <c r="B203" s="4" t="s">
        <v>194</v>
      </c>
      <c r="C203" s="4"/>
      <c r="D203" s="4"/>
      <c r="E203" s="9">
        <f>_xll.BQL("ULCC US Equity", "FA_GROWTH(IS_COMP_PTP_EX_STK_BASED_COMP, YOY)", "FPT=A", "FPO=5A", "ACT_EST_MAPPING=PRECISE", "FS=MRC", "CURRENCY=USD", "XLFILL=b")</f>
        <v>26.271186440677965</v>
      </c>
      <c r="F203" s="9">
        <f>_xll.BQL("ULCC US Equity", "FA_GROWTH(IS_COMP_PTP_EX_STK_BASED_COMP, YOY)", "FPT=A", "FPO=4A", "ACT_EST_MAPPING=PRECISE", "FS=MRC", "CURRENCY=USD", "XLFILL=b")</f>
        <v>5.4916985951468629</v>
      </c>
      <c r="G203" s="9">
        <f>_xll.BQL("ULCC US Equity", "FA_GROWTH(IS_COMP_PTP_EX_STK_BASED_COMP, YOY)", "FPT=A", "FPO=3A", "ACT_EST_MAPPING=PRECISE", "FS=MRC", "CURRENCY=USD", "XLFILL=b")</f>
        <v>146.06520885164335</v>
      </c>
      <c r="H203" s="9">
        <f>_xll.BQL("ULCC US Equity", "FA_GROWTH(IS_COMP_PTP_EX_STK_BASED_COMP, YOY)", "FPT=A", "FPO=2A", "ACT_EST_MAPPING=PRECISE", "FS=MRC", "CURRENCY=USD", "XLFILL=b")</f>
        <v>1209.0403903496883</v>
      </c>
      <c r="I203" s="9">
        <f>_xll.BQL("ULCC US Equity", "FA_GROWTH(IS_COMP_PTP_EX_STK_BASED_COMP, YOY)", "FPT=A", "FPO=1A", "ACT_EST_MAPPING=PRECISE", "FS=MRC", "CURRENCY=USD", "XLFILL=b")</f>
        <v>-136.16666666666666</v>
      </c>
      <c r="J203" s="9">
        <f>_xll.BQL("ULCC US Equity", "FA_GROWTH(IS_COMP_PTP_EX_STK_BASED_COMP, YOY)", "FPT=A", "FPO=0A", "ACT_EST_MAPPING=PRECISE", "FS=MRC", "CURRENCY=USD", "XLFILL=b")</f>
        <v>278.94736842105266</v>
      </c>
      <c r="K203" s="9">
        <f>_xll.BQL("ULCC US Equity", "FA_GROWTH(IS_COMP_PTP_EX_STK_BASED_COMP, YOY)", "FPT=A", "FPO=-1A", "ACT_EST_MAPPING=PRECISE", "FS=MRC", "CURRENCY=USD", "XLFILL=b")</f>
        <v>95.320197044334975</v>
      </c>
      <c r="L203" s="9" t="str">
        <f>_xll.BQL("ULCC US Equity", "FA_GROWTH(IS_COMP_PTP_EX_STK_BASED_COMP, YOY)", "FPT=A", "FPO=-2A", "ACT_EST_MAPPING=PRECISE", "FS=MRC", "CURRENCY=USD", "XLFILL=b")</f>
        <v/>
      </c>
      <c r="M203" s="9" t="str">
        <f>_xll.BQL("ULCC US Equity", "FA_GROWTH(IS_COMP_PTP_EX_STK_BASED_COMP, YOY)", "FPT=A", "FPO=-3A", "ACT_EST_MAPPING=PRECISE", "FS=MRC", "CURRENCY=USD", "XLFILL=b")</f>
        <v/>
      </c>
      <c r="N203" s="9" t="str">
        <f>_xll.BQL("ULCC US Equity", "FA_GROWTH(IS_COMP_PTP_EX_STK_BASED_COMP, YOY)", "FPT=A", "FPO=-4A", "ACT_EST_MAPPING=PRECISE", "FS=MRC", "CURRENCY=USD", "XLFILL=b")</f>
        <v/>
      </c>
    </row>
    <row r="204" spans="1:14" x14ac:dyDescent="0.2">
      <c r="A204" s="8" t="s">
        <v>195</v>
      </c>
      <c r="B204" s="4" t="s">
        <v>54</v>
      </c>
      <c r="C204" s="4" t="s">
        <v>169</v>
      </c>
      <c r="D204" s="4"/>
      <c r="E204" s="9">
        <f>_xll.BQL("ULCC US Equity", "IS_COMP_NET_INCOME_ADJUST_OLD/1M", "FPT=A", "FPO=5A", "ACT_EST_MAPPING=PRECISE", "FS=MRC", "CURRENCY=USD", "XLFILL=b")</f>
        <v>344</v>
      </c>
      <c r="F204" s="9">
        <f>_xll.BQL("ULCC US Equity", "IS_COMP_NET_INCOME_ADJUST_OLD/1M", "FPT=A", "FPO=4A", "ACT_EST_MAPPING=PRECISE", "FS=MRC", "CURRENCY=USD", "XLFILL=b")</f>
        <v>273</v>
      </c>
      <c r="G204" s="9">
        <f>_xll.BQL("ULCC US Equity", "IS_COMP_NET_INCOME_ADJUST_OLD/1M", "FPT=A", "FPO=3A", "ACT_EST_MAPPING=PRECISE", "FS=MRC", "CURRENCY=USD", "XLFILL=b")</f>
        <v>257.85714285714289</v>
      </c>
      <c r="H204" s="9">
        <f>_xll.BQL("ULCC US Equity", "IS_COMP_NET_INCOME_ADJUST_OLD/1M", "FPT=A", "FPO=2A", "ACT_EST_MAPPING=PRECISE", "FS=MRC", "CURRENCY=USD", "XLFILL=b")</f>
        <v>104.79166666666667</v>
      </c>
      <c r="I204" s="9">
        <f>_xll.BQL("ULCC US Equity", "IS_COMP_NET_INCOME_ADJUST_OLD/1M", "FPT=A", "FPO=1A", "ACT_EST_MAPPING=PRECISE", "FS=MRC", "CURRENCY=USD", "XLFILL=b")</f>
        <v>-6.2696666666666667</v>
      </c>
      <c r="J204" s="9">
        <f>_xll.BQL("ULCC US Equity", "IS_COMP_NET_INCOME_ADJUST_OLD/1M", "FPT=A", "FPO=0A", "ACT_EST_MAPPING=PRECISE", "FS=MRC", "CURRENCY=USD", "XLFILL=b")</f>
        <v>28</v>
      </c>
      <c r="K204" s="9">
        <f>_xll.BQL("ULCC US Equity", "IS_COMP_NET_INCOME_ADJUST_OLD/1M", "FPT=A", "FPO=-1A", "ACT_EST_MAPPING=PRECISE", "FS=MRC", "CURRENCY=USD", "XLFILL=b")</f>
        <v>-17</v>
      </c>
      <c r="L204" s="9">
        <f>_xll.BQL("ULCC US Equity", "IS_COMP_NET_INCOME_ADJUST_OLD/1M", "FPT=A", "FPO=-2A", "ACT_EST_MAPPING=PRECISE", "FS=MRC", "CURRENCY=USD", "XLFILL=b")</f>
        <v>-299</v>
      </c>
      <c r="M204" s="9" t="str">
        <f>_xll.BQL("ULCC US Equity", "IS_COMP_NET_INCOME_ADJUST_OLD/1M", "FPT=A", "FPO=-3A", "ACT_EST_MAPPING=PRECISE", "FS=MRC", "CURRENCY=USD", "XLFILL=b")</f>
        <v/>
      </c>
      <c r="N204" s="9" t="str">
        <f>_xll.BQL("ULCC US Equity", "IS_COMP_NET_INCOME_ADJUST_OLD/1M", "FPT=A", "FPO=-4A", "ACT_EST_MAPPING=PRECISE", "FS=MRC", "CURRENCY=USD", "XLFILL=b")</f>
        <v/>
      </c>
    </row>
    <row r="205" spans="1:14" x14ac:dyDescent="0.2">
      <c r="A205" s="8" t="s">
        <v>28</v>
      </c>
      <c r="B205" s="4" t="s">
        <v>54</v>
      </c>
      <c r="C205" s="4" t="s">
        <v>169</v>
      </c>
      <c r="D205" s="4"/>
      <c r="E205" s="9">
        <f>_xll.BQL("ULCC US Equity", "FA_GROWTH(IS_COMP_NET_INCOME_ADJUST_OLD, YOY)", "FPT=A", "FPO=5A", "ACT_EST_MAPPING=PRECISE", "FS=MRC", "CURRENCY=USD", "XLFILL=b")</f>
        <v>26.007326007326007</v>
      </c>
      <c r="F205" s="9">
        <f>_xll.BQL("ULCC US Equity", "FA_GROWTH(IS_COMP_NET_INCOME_ADJUST_OLD, YOY)", "FPT=A", "FPO=4A", "ACT_EST_MAPPING=PRECISE", "FS=MRC", "CURRENCY=USD", "XLFILL=b")</f>
        <v>5.8725761772853149</v>
      </c>
      <c r="G205" s="9">
        <f>_xll.BQL("ULCC US Equity", "FA_GROWTH(IS_COMP_NET_INCOME_ADJUST_OLD, YOY)", "FPT=A", "FPO=3A", "ACT_EST_MAPPING=PRECISE", "FS=MRC", "CURRENCY=USD", "XLFILL=b")</f>
        <v>146.06645839250211</v>
      </c>
      <c r="H205" s="9">
        <f>_xll.BQL("ULCC US Equity", "FA_GROWTH(IS_COMP_NET_INCOME_ADJUST_OLD, YOY)", "FPT=A", "FPO=2A", "ACT_EST_MAPPING=PRECISE", "FS=MRC", "CURRENCY=USD", "XLFILL=b")</f>
        <v>1771.4073050135573</v>
      </c>
      <c r="I205" s="9">
        <f>_xll.BQL("ULCC US Equity", "FA_GROWTH(IS_COMP_NET_INCOME_ADJUST_OLD, YOY)", "FPT=A", "FPO=1A", "ACT_EST_MAPPING=PRECISE", "FS=MRC", "CURRENCY=USD", "XLFILL=b")</f>
        <v>-122.39166666666667</v>
      </c>
      <c r="J205" s="9">
        <f>_xll.BQL("ULCC US Equity", "FA_GROWTH(IS_COMP_NET_INCOME_ADJUST_OLD, YOY)", "FPT=A", "FPO=0A", "ACT_EST_MAPPING=PRECISE", "FS=MRC", "CURRENCY=USD", "XLFILL=b")</f>
        <v>264.70588235294116</v>
      </c>
      <c r="K205" s="9">
        <f>_xll.BQL("ULCC US Equity", "FA_GROWTH(IS_COMP_NET_INCOME_ADJUST_OLD, YOY)", "FPT=A", "FPO=-1A", "ACT_EST_MAPPING=PRECISE", "FS=MRC", "CURRENCY=USD", "XLFILL=b")</f>
        <v>94.314381270903013</v>
      </c>
      <c r="L205" s="9" t="str">
        <f>_xll.BQL("ULCC US Equity", "FA_GROWTH(IS_COMP_NET_INCOME_ADJUST_OLD, YOY)", "FPT=A", "FPO=-2A", "ACT_EST_MAPPING=PRECISE", "FS=MRC", "CURRENCY=USD", "XLFILL=b")</f>
        <v/>
      </c>
      <c r="M205" s="9" t="str">
        <f>_xll.BQL("ULCC US Equity", "FA_GROWTH(IS_COMP_NET_INCOME_ADJUST_OLD, YOY)", "FPT=A", "FPO=-3A", "ACT_EST_MAPPING=PRECISE", "FS=MRC", "CURRENCY=USD", "XLFILL=b")</f>
        <v/>
      </c>
      <c r="N205" s="9" t="str">
        <f>_xll.BQL("ULCC US Equity", "FA_GROWTH(IS_COMP_NET_INCOME_ADJUST_OLD, YOY)", "FPT=A", "FPO=-4A", "ACT_EST_MAPPING=PRECISE", "FS=MRC", "CURRENCY=USD", "XLFILL=b")</f>
        <v/>
      </c>
    </row>
    <row r="206" spans="1:14" x14ac:dyDescent="0.2">
      <c r="A206" s="8" t="s">
        <v>196</v>
      </c>
      <c r="B206" s="4" t="s">
        <v>10</v>
      </c>
      <c r="C206" s="4" t="s">
        <v>182</v>
      </c>
      <c r="D206" s="4"/>
      <c r="E206" s="9">
        <f>_xll.BQL("ULCC US Equity", "IS_COMP_EPS_ADJUSTED_OLD", "FPT=A", "FPO=5A", "ACT_EST_MAPPING=PRECISE", "FS=MRC", "CURRENCY=USD", "XLFILL=b")</f>
        <v>1.52</v>
      </c>
      <c r="F206" s="9">
        <f>_xll.BQL("ULCC US Equity", "IS_COMP_EPS_ADJUSTED_OLD", "FPT=A", "FPO=4A", "ACT_EST_MAPPING=PRECISE", "FS=MRC", "CURRENCY=USD", "XLFILL=b")</f>
        <v>1.2</v>
      </c>
      <c r="G206" s="9">
        <f>_xll.BQL("ULCC US Equity", "IS_COMP_EPS_ADJUSTED_OLD", "FPT=A", "FPO=3A", "ACT_EST_MAPPING=PRECISE", "FS=MRC", "CURRENCY=USD", "XLFILL=b")</f>
        <v>1.1371428571428572</v>
      </c>
      <c r="H206" s="9">
        <f>_xll.BQL("ULCC US Equity", "IS_COMP_EPS_ADJUSTED_OLD", "FPT=A", "FPO=2A", "ACT_EST_MAPPING=PRECISE", "FS=MRC", "CURRENCY=USD", "XLFILL=b")</f>
        <v>0.46416666666666662</v>
      </c>
      <c r="I206" s="9">
        <f>_xll.BQL("ULCC US Equity", "IS_COMP_EPS_ADJUSTED_OLD", "FPT=A", "FPO=1A", "ACT_EST_MAPPING=PRECISE", "FS=MRC", "CURRENCY=USD", "XLFILL=b")</f>
        <v>-2.2750000000000003E-2</v>
      </c>
      <c r="J206" s="9">
        <f>_xll.BQL("ULCC US Equity", "IS_COMP_EPS_ADJUSTED_OLD", "FPT=A", "FPO=0A", "ACT_EST_MAPPING=PRECISE", "FS=MRC", "CURRENCY=USD", "XLFILL=b")</f>
        <v>0.12</v>
      </c>
      <c r="K206" s="9">
        <f>_xll.BQL("ULCC US Equity", "IS_COMP_EPS_ADJUSTED_OLD", "FPT=A", "FPO=-1A", "ACT_EST_MAPPING=PRECISE", "FS=MRC", "CURRENCY=USD", "XLFILL=b")</f>
        <v>-0.17</v>
      </c>
      <c r="L206" s="9">
        <f>_xll.BQL("ULCC US Equity", "IS_COMP_EPS_ADJUSTED_OLD", "FPT=A", "FPO=-2A", "ACT_EST_MAPPING=PRECISE", "FS=MRC", "CURRENCY=USD", "XLFILL=b")</f>
        <v>-1.42</v>
      </c>
      <c r="M206" s="9" t="str">
        <f>_xll.BQL("ULCC US Equity", "IS_COMP_EPS_ADJUSTED_OLD", "FPT=A", "FPO=-3A", "ACT_EST_MAPPING=PRECISE", "FS=MRC", "CURRENCY=USD", "XLFILL=b")</f>
        <v/>
      </c>
      <c r="N206" s="9" t="str">
        <f>_xll.BQL("ULCC US Equity", "IS_COMP_EPS_ADJUSTED_OLD", "FPT=A", "FPO=-4A", "ACT_EST_MAPPING=PRECISE", "FS=MRC", "CURRENCY=USD", "XLFILL=b")</f>
        <v/>
      </c>
    </row>
    <row r="207" spans="1:14" x14ac:dyDescent="0.2">
      <c r="A207" s="8" t="s">
        <v>28</v>
      </c>
      <c r="B207" s="4" t="s">
        <v>10</v>
      </c>
      <c r="C207" s="4" t="s">
        <v>182</v>
      </c>
      <c r="D207" s="4"/>
      <c r="E207" s="9">
        <f>_xll.BQL("ULCC US Equity", "FA_GROWTH(IS_COMP_EPS_ADJUSTED_OLD, YOY)", "FPT=A", "FPO=5A", "ACT_EST_MAPPING=PRECISE", "FS=MRC", "CURRENCY=USD", "XLFILL=b")</f>
        <v>26.666666666666675</v>
      </c>
      <c r="F207" s="9">
        <f>_xll.BQL("ULCC US Equity", "FA_GROWTH(IS_COMP_EPS_ADJUSTED_OLD, YOY)", "FPT=A", "FPO=4A", "ACT_EST_MAPPING=PRECISE", "FS=MRC", "CURRENCY=USD", "XLFILL=b")</f>
        <v>5.5276381909547618</v>
      </c>
      <c r="G207" s="9">
        <f>_xll.BQL("ULCC US Equity", "FA_GROWTH(IS_COMP_EPS_ADJUSTED_OLD, YOY)", "FPT=A", "FPO=3A", "ACT_EST_MAPPING=PRECISE", "FS=MRC", "CURRENCY=USD", "XLFILL=b")</f>
        <v>144.98589381892799</v>
      </c>
      <c r="H207" s="9">
        <f>_xll.BQL("ULCC US Equity", "FA_GROWTH(IS_COMP_EPS_ADJUSTED_OLD, YOY)", "FPT=A", "FPO=2A", "ACT_EST_MAPPING=PRECISE", "FS=MRC", "CURRENCY=USD", "XLFILL=b")</f>
        <v>2140.2930402930397</v>
      </c>
      <c r="I207" s="9">
        <f>_xll.BQL("ULCC US Equity", "FA_GROWTH(IS_COMP_EPS_ADJUSTED_OLD, YOY)", "FPT=A", "FPO=1A", "ACT_EST_MAPPING=PRECISE", "FS=MRC", "CURRENCY=USD", "XLFILL=b")</f>
        <v>-118.95833333333333</v>
      </c>
      <c r="J207" s="9">
        <f>_xll.BQL("ULCC US Equity", "FA_GROWTH(IS_COMP_EPS_ADJUSTED_OLD, YOY)", "FPT=A", "FPO=0A", "ACT_EST_MAPPING=PRECISE", "FS=MRC", "CURRENCY=USD", "XLFILL=b")</f>
        <v>170.58823529411765</v>
      </c>
      <c r="K207" s="9">
        <f>_xll.BQL("ULCC US Equity", "FA_GROWTH(IS_COMP_EPS_ADJUSTED_OLD, YOY)", "FPT=A", "FPO=-1A", "ACT_EST_MAPPING=PRECISE", "FS=MRC", "CURRENCY=USD", "XLFILL=b")</f>
        <v>88.028169014084511</v>
      </c>
      <c r="L207" s="9" t="str">
        <f>_xll.BQL("ULCC US Equity", "FA_GROWTH(IS_COMP_EPS_ADJUSTED_OLD, YOY)", "FPT=A", "FPO=-2A", "ACT_EST_MAPPING=PRECISE", "FS=MRC", "CURRENCY=USD", "XLFILL=b")</f>
        <v/>
      </c>
      <c r="M207" s="9" t="str">
        <f>_xll.BQL("ULCC US Equity", "FA_GROWTH(IS_COMP_EPS_ADJUSTED_OLD, YOY)", "FPT=A", "FPO=-3A", "ACT_EST_MAPPING=PRECISE", "FS=MRC", "CURRENCY=USD", "XLFILL=b")</f>
        <v/>
      </c>
      <c r="N207" s="9" t="str">
        <f>_xll.BQL("ULCC US Equity", "FA_GROWTH(IS_COMP_EPS_ADJUSTED_OLD, YOY)", "FPT=A", "FPO=-4A", "ACT_EST_MAPPING=PRECISE", "FS=MRC", "CURRENCY=USD", "XLFILL=b")</f>
        <v/>
      </c>
    </row>
    <row r="208" spans="1:14" x14ac:dyDescent="0.2">
      <c r="A208" s="8" t="s">
        <v>16</v>
      </c>
      <c r="B208" s="4"/>
      <c r="C208" s="4"/>
      <c r="D208" s="4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 x14ac:dyDescent="0.2">
      <c r="A209" s="8" t="s">
        <v>197</v>
      </c>
      <c r="B209" s="4"/>
      <c r="C209" s="4" t="s">
        <v>198</v>
      </c>
      <c r="D209" s="4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x14ac:dyDescent="0.2">
      <c r="A210" s="8" t="s">
        <v>199</v>
      </c>
      <c r="B210" s="4" t="s">
        <v>200</v>
      </c>
      <c r="C210" s="4" t="s">
        <v>201</v>
      </c>
      <c r="D210" s="4"/>
      <c r="E210" s="9" t="str">
        <f>_xll.BQL("ULCC US Equity", "CF_STOCK_BASED_COMPENSATION/1M", "FPT=A", "FPO=5A", "ACT_EST_MAPPING=PRECISE", "FS=MRC", "CURRENCY=USD", "XLFILL=b")</f>
        <v/>
      </c>
      <c r="F210" s="9" t="str">
        <f>_xll.BQL("ULCC US Equity", "CF_STOCK_BASED_COMPENSATION/1M", "FPT=A", "FPO=4A", "ACT_EST_MAPPING=PRECISE", "FS=MRC", "CURRENCY=USD", "XLFILL=b")</f>
        <v/>
      </c>
      <c r="G210" s="9">
        <f>_xll.BQL("ULCC US Equity", "CF_STOCK_BASED_COMPENSATION/1M", "FPT=A", "FPO=3A", "ACT_EST_MAPPING=PRECISE", "FS=MRC", "CURRENCY=USD", "XLFILL=b")</f>
        <v>-10.6578761012535</v>
      </c>
      <c r="H210" s="9">
        <f>_xll.BQL("ULCC US Equity", "CF_STOCK_BASED_COMPENSATION/1M", "FPT=A", "FPO=2A", "ACT_EST_MAPPING=PRECISE", "FS=MRC", "CURRENCY=USD", "XLFILL=b")</f>
        <v>7.4455099144089925</v>
      </c>
      <c r="I210" s="9">
        <f>_xll.BQL("ULCC US Equity", "CF_STOCK_BASED_COMPENSATION/1M", "FPT=A", "FPO=1A", "ACT_EST_MAPPING=PRECISE", "FS=MRC", "CURRENCY=USD", "XLFILL=b")</f>
        <v>18.826237527221256</v>
      </c>
      <c r="J210" s="9">
        <f>_xll.BQL("ULCC US Equity", "CF_STOCK_BASED_COMPENSATION/1M", "FPT=A", "FPO=0A", "ACT_EST_MAPPING=PRECISE", "FS=MRC", "CURRENCY=USD", "XLFILL=b")</f>
        <v>14</v>
      </c>
      <c r="K210" s="9">
        <f>_xll.BQL("ULCC US Equity", "CF_STOCK_BASED_COMPENSATION/1M", "FPT=A", "FPO=-1A", "ACT_EST_MAPPING=PRECISE", "FS=MRC", "CURRENCY=USD", "XLFILL=b")</f>
        <v>15</v>
      </c>
      <c r="L210" s="9">
        <f>_xll.BQL("ULCC US Equity", "CF_STOCK_BASED_COMPENSATION/1M", "FPT=A", "FPO=-2A", "ACT_EST_MAPPING=PRECISE", "FS=MRC", "CURRENCY=USD", "XLFILL=b")</f>
        <v>11</v>
      </c>
      <c r="M210" s="9">
        <f>_xll.BQL("ULCC US Equity", "CF_STOCK_BASED_COMPENSATION/1M", "FPT=A", "FPO=-3A", "ACT_EST_MAPPING=PRECISE", "FS=MRC", "CURRENCY=USD", "XLFILL=b")</f>
        <v>8</v>
      </c>
      <c r="N210" s="9">
        <f>_xll.BQL("ULCC US Equity", "CF_STOCK_BASED_COMPENSATION/1M", "FPT=A", "FPO=-4A", "ACT_EST_MAPPING=PRECISE", "FS=MRC", "CURRENCY=USD", "XLFILL=b")</f>
        <v>8</v>
      </c>
    </row>
    <row r="211" spans="1:14" x14ac:dyDescent="0.2">
      <c r="A211" s="8" t="s">
        <v>28</v>
      </c>
      <c r="B211" s="4" t="s">
        <v>200</v>
      </c>
      <c r="C211" s="4" t="s">
        <v>201</v>
      </c>
      <c r="D211" s="4"/>
      <c r="E211" s="9" t="str">
        <f>_xll.BQL("ULCC US Equity", "FA_GROWTH(CF_STOCK_BASED_COMPENSATION, YOY)", "FPT=A", "FPO=5A", "ACT_EST_MAPPING=PRECISE", "FS=MRC", "CURRENCY=USD", "XLFILL=b")</f>
        <v/>
      </c>
      <c r="F211" s="9" t="str">
        <f>_xll.BQL("ULCC US Equity", "FA_GROWTH(CF_STOCK_BASED_COMPENSATION, YOY)", "FPT=A", "FPO=4A", "ACT_EST_MAPPING=PRECISE", "FS=MRC", "CURRENCY=USD", "XLFILL=b")</f>
        <v/>
      </c>
      <c r="G211" s="9">
        <f>_xll.BQL("ULCC US Equity", "FA_GROWTH(CF_STOCK_BASED_COMPENSATION, YOY)", "FPT=A", "FPO=3A", "ACT_EST_MAPPING=PRECISE", "FS=MRC", "CURRENCY=USD", "XLFILL=b")</f>
        <v>-243.14501254813649</v>
      </c>
      <c r="H211" s="9">
        <f>_xll.BQL("ULCC US Equity", "FA_GROWTH(CF_STOCK_BASED_COMPENSATION, YOY)", "FPT=A", "FPO=2A", "ACT_EST_MAPPING=PRECISE", "FS=MRC", "CURRENCY=USD", "XLFILL=b")</f>
        <v>-60.451418380101849</v>
      </c>
      <c r="I211" s="9">
        <f>_xll.BQL("ULCC US Equity", "FA_GROWTH(CF_STOCK_BASED_COMPENSATION, YOY)", "FPT=A", "FPO=1A", "ACT_EST_MAPPING=PRECISE", "FS=MRC", "CURRENCY=USD", "XLFILL=b")</f>
        <v>34.473125194437536</v>
      </c>
      <c r="J211" s="9">
        <f>_xll.BQL("ULCC US Equity", "FA_GROWTH(CF_STOCK_BASED_COMPENSATION, YOY)", "FPT=A", "FPO=0A", "ACT_EST_MAPPING=PRECISE", "FS=MRC", "CURRENCY=USD", "XLFILL=b")</f>
        <v>-6.666666666666667</v>
      </c>
      <c r="K211" s="9">
        <f>_xll.BQL("ULCC US Equity", "FA_GROWTH(CF_STOCK_BASED_COMPENSATION, YOY)", "FPT=A", "FPO=-1A", "ACT_EST_MAPPING=PRECISE", "FS=MRC", "CURRENCY=USD", "XLFILL=b")</f>
        <v>36.363636363636367</v>
      </c>
      <c r="L211" s="9">
        <f>_xll.BQL("ULCC US Equity", "FA_GROWTH(CF_STOCK_BASED_COMPENSATION, YOY)", "FPT=A", "FPO=-2A", "ACT_EST_MAPPING=PRECISE", "FS=MRC", "CURRENCY=USD", "XLFILL=b")</f>
        <v>37.5</v>
      </c>
      <c r="M211" s="9">
        <f>_xll.BQL("ULCC US Equity", "FA_GROWTH(CF_STOCK_BASED_COMPENSATION, YOY)", "FPT=A", "FPO=-3A", "ACT_EST_MAPPING=PRECISE", "FS=MRC", "CURRENCY=USD", "XLFILL=b")</f>
        <v>0</v>
      </c>
      <c r="N211" s="9">
        <f>_xll.BQL("ULCC US Equity", "FA_GROWTH(CF_STOCK_BASED_COMPENSATION, YOY)", "FPT=A", "FPO=-4A", "ACT_EST_MAPPING=PRECISE", "FS=MRC", "CURRENCY=USD", "XLFILL=b")</f>
        <v>-69.230769230769226</v>
      </c>
    </row>
    <row r="212" spans="1:14" x14ac:dyDescent="0.2">
      <c r="A212" s="8" t="s">
        <v>202</v>
      </c>
      <c r="B212" s="4" t="s">
        <v>203</v>
      </c>
      <c r="C212" s="4" t="s">
        <v>204</v>
      </c>
      <c r="D212" s="4"/>
      <c r="E212" s="9" t="str">
        <f>_xll.BQL("ULCC US Equity", "IS_NET_ABNORMAL_ITEMS/1M", "FPT=A", "FPO=5A", "ACT_EST_MAPPING=PRECISE", "FS=MRC", "CURRENCY=USD", "XLFILL=b")</f>
        <v/>
      </c>
      <c r="F212" s="9" t="str">
        <f>_xll.BQL("ULCC US Equity", "IS_NET_ABNORMAL_ITEMS/1M", "FPT=A", "FPO=4A", "ACT_EST_MAPPING=PRECISE", "FS=MRC", "CURRENCY=USD", "XLFILL=b")</f>
        <v/>
      </c>
      <c r="G212" s="9">
        <f>_xll.BQL("ULCC US Equity", "IS_NET_ABNORMAL_ITEMS/1M", "FPT=A", "FPO=3A", "ACT_EST_MAPPING=PRECISE", "FS=MRC", "CURRENCY=USD", "XLFILL=b")</f>
        <v>0</v>
      </c>
      <c r="H212" s="9">
        <f>_xll.BQL("ULCC US Equity", "IS_NET_ABNORMAL_ITEMS/1M", "FPT=A", "FPO=2A", "ACT_EST_MAPPING=PRECISE", "FS=MRC", "CURRENCY=USD", "XLFILL=b")</f>
        <v>0</v>
      </c>
      <c r="I212" s="9">
        <f>_xll.BQL("ULCC US Equity", "IS_NET_ABNORMAL_ITEMS/1M", "FPT=A", "FPO=1A", "ACT_EST_MAPPING=PRECISE", "FS=MRC", "CURRENCY=USD", "XLFILL=b")</f>
        <v>5</v>
      </c>
      <c r="J212" s="9">
        <f>_xll.BQL("ULCC US Equity", "IS_NET_ABNORMAL_ITEMS/1M", "FPT=A", "FPO=0A", "ACT_EST_MAPPING=PRECISE", "FS=MRC", "CURRENCY=USD", "XLFILL=b")</f>
        <v>1.58</v>
      </c>
      <c r="K212" s="9">
        <f>_xll.BQL("ULCC US Equity", "IS_NET_ABNORMAL_ITEMS/1M", "FPT=A", "FPO=-1A", "ACT_EST_MAPPING=PRECISE", "FS=MRC", "CURRENCY=USD", "XLFILL=b")</f>
        <v>18.53</v>
      </c>
      <c r="L212" s="9">
        <f>_xll.BQL("ULCC US Equity", "IS_NET_ABNORMAL_ITEMS/1M", "FPT=A", "FPO=-2A", "ACT_EST_MAPPING=PRECISE", "FS=MRC", "CURRENCY=USD", "XLFILL=b")</f>
        <v>29.12</v>
      </c>
      <c r="M212" s="9">
        <f>_xll.BQL("ULCC US Equity", "IS_NET_ABNORMAL_ITEMS/1M", "FPT=A", "FPO=-3A", "ACT_EST_MAPPING=PRECISE", "FS=MRC", "CURRENCY=USD", "XLFILL=b")</f>
        <v>67.47</v>
      </c>
      <c r="N212" s="9">
        <f>_xll.BQL("ULCC US Equity", "IS_NET_ABNORMAL_ITEMS/1M", "FPT=A", "FPO=-4A", "ACT_EST_MAPPING=PRECISE", "FS=MRC", "CURRENCY=USD", "XLFILL=b")</f>
        <v>25</v>
      </c>
    </row>
    <row r="213" spans="1:14" x14ac:dyDescent="0.2">
      <c r="A213" s="8" t="s">
        <v>28</v>
      </c>
      <c r="B213" s="4" t="s">
        <v>203</v>
      </c>
      <c r="C213" s="4" t="s">
        <v>204</v>
      </c>
      <c r="D213" s="4"/>
      <c r="E213" s="9" t="str">
        <f>_xll.BQL("ULCC US Equity", "FA_GROWTH(IS_NET_ABNORMAL_ITEMS, YOY)", "FPT=A", "FPO=5A", "ACT_EST_MAPPING=PRECISE", "FS=MRC", "CURRENCY=USD", "XLFILL=b")</f>
        <v/>
      </c>
      <c r="F213" s="9" t="str">
        <f>_xll.BQL("ULCC US Equity", "FA_GROWTH(IS_NET_ABNORMAL_ITEMS, YOY)", "FPT=A", "FPO=4A", "ACT_EST_MAPPING=PRECISE", "FS=MRC", "CURRENCY=USD", "XLFILL=b")</f>
        <v/>
      </c>
      <c r="G213" s="9" t="str">
        <f>_xll.BQL("ULCC US Equity", "FA_GROWTH(IS_NET_ABNORMAL_ITEMS, YOY)", "FPT=A", "FPO=3A", "ACT_EST_MAPPING=PRECISE", "FS=MRC", "CURRENCY=USD", "XLFILL=b")</f>
        <v/>
      </c>
      <c r="H213" s="9">
        <f>_xll.BQL("ULCC US Equity", "FA_GROWTH(IS_NET_ABNORMAL_ITEMS, YOY)", "FPT=A", "FPO=2A", "ACT_EST_MAPPING=PRECISE", "FS=MRC", "CURRENCY=USD", "XLFILL=b")</f>
        <v>-100</v>
      </c>
      <c r="I213" s="9">
        <f>_xll.BQL("ULCC US Equity", "FA_GROWTH(IS_NET_ABNORMAL_ITEMS, YOY)", "FPT=A", "FPO=1A", "ACT_EST_MAPPING=PRECISE", "FS=MRC", "CURRENCY=USD", "XLFILL=b")</f>
        <v>216.45569620253164</v>
      </c>
      <c r="J213" s="9">
        <f>_xll.BQL("ULCC US Equity", "FA_GROWTH(IS_NET_ABNORMAL_ITEMS, YOY)", "FPT=A", "FPO=0A", "ACT_EST_MAPPING=PRECISE", "FS=MRC", "CURRENCY=USD", "XLFILL=b")</f>
        <v>-91.473286562331353</v>
      </c>
      <c r="K213" s="9">
        <f>_xll.BQL("ULCC US Equity", "FA_GROWTH(IS_NET_ABNORMAL_ITEMS, YOY)", "FPT=A", "FPO=-1A", "ACT_EST_MAPPING=PRECISE", "FS=MRC", "CURRENCY=USD", "XLFILL=b")</f>
        <v>-36.366758241758241</v>
      </c>
      <c r="L213" s="9">
        <f>_xll.BQL("ULCC US Equity", "FA_GROWTH(IS_NET_ABNORMAL_ITEMS, YOY)", "FPT=A", "FPO=-2A", "ACT_EST_MAPPING=PRECISE", "FS=MRC", "CURRENCY=USD", "XLFILL=b")</f>
        <v>-56.840077071290942</v>
      </c>
      <c r="M213" s="9">
        <f>_xll.BQL("ULCC US Equity", "FA_GROWTH(IS_NET_ABNORMAL_ITEMS, YOY)", "FPT=A", "FPO=-3A", "ACT_EST_MAPPING=PRECISE", "FS=MRC", "CURRENCY=USD", "XLFILL=b")</f>
        <v>169.88</v>
      </c>
      <c r="N213" s="9" t="str">
        <f>_xll.BQL("ULCC US Equity", "FA_GROWTH(IS_NET_ABNORMAL_ITEMS, YOY)", "FPT=A", "FPO=-4A", "ACT_EST_MAPPING=PRECISE", "FS=MRC", "CURRENCY=USD", "XLFILL=b")</f>
        <v/>
      </c>
    </row>
    <row r="214" spans="1:14" x14ac:dyDescent="0.2">
      <c r="A214" s="8" t="s">
        <v>205</v>
      </c>
      <c r="B214" s="4" t="s">
        <v>150</v>
      </c>
      <c r="C214" s="4"/>
      <c r="D214" s="4"/>
      <c r="E214" s="9">
        <f>_xll.BQL("ULCC US Equity", "IS_CAP_INT_EXP/1M", "FPT=A", "FPO=5A", "ACT_EST_MAPPING=PRECISE", "FS=MRC", "CURRENCY=USD", "XLFILL=b")</f>
        <v>16</v>
      </c>
      <c r="F214" s="9">
        <f>_xll.BQL("ULCC US Equity", "IS_CAP_INT_EXP/1M", "FPT=A", "FPO=4A", "ACT_EST_MAPPING=PRECISE", "FS=MRC", "CURRENCY=USD", "XLFILL=b")</f>
        <v>20</v>
      </c>
      <c r="G214" s="9">
        <f>_xll.BQL("ULCC US Equity", "IS_CAP_INT_EXP/1M", "FPT=A", "FPO=3A", "ACT_EST_MAPPING=PRECISE", "FS=MRC", "CURRENCY=USD", "XLFILL=b")</f>
        <v>24.75</v>
      </c>
      <c r="H214" s="9">
        <f>_xll.BQL("ULCC US Equity", "IS_CAP_INT_EXP/1M", "FPT=A", "FPO=2A", "ACT_EST_MAPPING=PRECISE", "FS=MRC", "CURRENCY=USD", "XLFILL=b")</f>
        <v>27.5</v>
      </c>
      <c r="I214" s="9">
        <f>_xll.BQL("ULCC US Equity", "IS_CAP_INT_EXP/1M", "FPT=A", "FPO=1A", "ACT_EST_MAPPING=PRECISE", "FS=MRC", "CURRENCY=USD", "XLFILL=b")</f>
        <v>30.833333333333332</v>
      </c>
      <c r="J214" s="9">
        <f>_xll.BQL("ULCC US Equity", "IS_CAP_INT_EXP/1M", "FPT=A", "FPO=0A", "ACT_EST_MAPPING=PRECISE", "FS=MRC", "CURRENCY=USD", "XLFILL=b")</f>
        <v>28</v>
      </c>
      <c r="K214" s="9">
        <f>_xll.BQL("ULCC US Equity", "IS_CAP_INT_EXP/1M", "FPT=A", "FPO=-1A", "ACT_EST_MAPPING=PRECISE", "FS=MRC", "CURRENCY=USD", "XLFILL=b")</f>
        <v>11</v>
      </c>
      <c r="L214" s="9">
        <f>_xll.BQL("ULCC US Equity", "IS_CAP_INT_EXP/1M", "FPT=A", "FPO=-2A", "ACT_EST_MAPPING=PRECISE", "FS=MRC", "CURRENCY=USD", "XLFILL=b")</f>
        <v>4</v>
      </c>
      <c r="M214" s="9">
        <f>_xll.BQL("ULCC US Equity", "IS_CAP_INT_EXP/1M", "FPT=A", "FPO=-3A", "ACT_EST_MAPPING=PRECISE", "FS=MRC", "CURRENCY=USD", "XLFILL=b")</f>
        <v>6</v>
      </c>
      <c r="N214" s="9">
        <f>_xll.BQL("ULCC US Equity", "IS_CAP_INT_EXP/1M", "FPT=A", "FPO=-4A", "ACT_EST_MAPPING=PRECISE", "FS=MRC", "CURRENCY=USD", "XLFILL=b")</f>
        <v>11</v>
      </c>
    </row>
    <row r="215" spans="1:14" x14ac:dyDescent="0.2">
      <c r="A215" s="8" t="s">
        <v>28</v>
      </c>
      <c r="B215" s="4" t="s">
        <v>150</v>
      </c>
      <c r="C215" s="4"/>
      <c r="D215" s="4"/>
      <c r="E215" s="9">
        <f>_xll.BQL("ULCC US Equity", "FA_GROWTH(IS_CAP_INT_EXP, YOY)", "FPT=A", "FPO=5A", "ACT_EST_MAPPING=PRECISE", "FS=MRC", "CURRENCY=USD", "XLFILL=b")</f>
        <v>-20</v>
      </c>
      <c r="F215" s="9">
        <f>_xll.BQL("ULCC US Equity", "FA_GROWTH(IS_CAP_INT_EXP, YOY)", "FPT=A", "FPO=4A", "ACT_EST_MAPPING=PRECISE", "FS=MRC", "CURRENCY=USD", "XLFILL=b")</f>
        <v>-19.19191919191919</v>
      </c>
      <c r="G215" s="9">
        <f>_xll.BQL("ULCC US Equity", "FA_GROWTH(IS_CAP_INT_EXP, YOY)", "FPT=A", "FPO=3A", "ACT_EST_MAPPING=PRECISE", "FS=MRC", "CURRENCY=USD", "XLFILL=b")</f>
        <v>-10</v>
      </c>
      <c r="H215" s="9">
        <f>_xll.BQL("ULCC US Equity", "FA_GROWTH(IS_CAP_INT_EXP, YOY)", "FPT=A", "FPO=2A", "ACT_EST_MAPPING=PRECISE", "FS=MRC", "CURRENCY=USD", "XLFILL=b")</f>
        <v>-10.810810810810807</v>
      </c>
      <c r="I215" s="9">
        <f>_xll.BQL("ULCC US Equity", "FA_GROWTH(IS_CAP_INT_EXP, YOY)", "FPT=A", "FPO=1A", "ACT_EST_MAPPING=PRECISE", "FS=MRC", "CURRENCY=USD", "XLFILL=b")</f>
        <v>10.119047619047613</v>
      </c>
      <c r="J215" s="9">
        <f>_xll.BQL("ULCC US Equity", "FA_GROWTH(IS_CAP_INT_EXP, YOY)", "FPT=A", "FPO=0A", "ACT_EST_MAPPING=PRECISE", "FS=MRC", "CURRENCY=USD", "XLFILL=b")</f>
        <v>154.54545454545453</v>
      </c>
      <c r="K215" s="9">
        <f>_xll.BQL("ULCC US Equity", "FA_GROWTH(IS_CAP_INT_EXP, YOY)", "FPT=A", "FPO=-1A", "ACT_EST_MAPPING=PRECISE", "FS=MRC", "CURRENCY=USD", "XLFILL=b")</f>
        <v>175</v>
      </c>
      <c r="L215" s="9">
        <f>_xll.BQL("ULCC US Equity", "FA_GROWTH(IS_CAP_INT_EXP, YOY)", "FPT=A", "FPO=-2A", "ACT_EST_MAPPING=PRECISE", "FS=MRC", "CURRENCY=USD", "XLFILL=b")</f>
        <v>-33.333333333333336</v>
      </c>
      <c r="M215" s="9">
        <f>_xll.BQL("ULCC US Equity", "FA_GROWTH(IS_CAP_INT_EXP, YOY)", "FPT=A", "FPO=-3A", "ACT_EST_MAPPING=PRECISE", "FS=MRC", "CURRENCY=USD", "XLFILL=b")</f>
        <v>-45.454545454545453</v>
      </c>
      <c r="N215" s="9">
        <f>_xll.BQL("ULCC US Equity", "FA_GROWTH(IS_CAP_INT_EXP, YOY)", "FPT=A", "FPO=-4A", "ACT_EST_MAPPING=PRECISE", "FS=MRC", "CURRENCY=USD", "XLFILL=b")</f>
        <v>22.222222222222221</v>
      </c>
    </row>
    <row r="216" spans="1:14" x14ac:dyDescent="0.2">
      <c r="A216" s="8" t="s">
        <v>16</v>
      </c>
      <c r="B216" s="4"/>
      <c r="C216" s="4"/>
      <c r="D216" s="4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x14ac:dyDescent="0.2">
      <c r="A217" s="8" t="s">
        <v>206</v>
      </c>
      <c r="B217" s="4"/>
      <c r="C217" s="4" t="s">
        <v>207</v>
      </c>
      <c r="D217" s="4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x14ac:dyDescent="0.2">
      <c r="A218" s="8" t="s">
        <v>208</v>
      </c>
      <c r="B218" s="4"/>
      <c r="C218" s="4" t="s">
        <v>209</v>
      </c>
      <c r="D218" s="4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x14ac:dyDescent="0.2">
      <c r="A219" s="8" t="s">
        <v>210</v>
      </c>
      <c r="B219" s="4" t="s">
        <v>211</v>
      </c>
      <c r="C219" s="4" t="s">
        <v>212</v>
      </c>
      <c r="D219" s="4"/>
      <c r="E219" s="9">
        <f>_xll.BQL("ULCC US Equity", "BS_CUR_ASSET_REPORT/1M", "FPT=A", "FPO=5A", "ACT_EST_MAPPING=PRECISE", "FS=MRC", "CURRENCY=USD", "XLFILL=b")</f>
        <v>733.21275875315223</v>
      </c>
      <c r="F219" s="9">
        <f>_xll.BQL("ULCC US Equity", "BS_CUR_ASSET_REPORT/1M", "FPT=A", "FPO=4A", "ACT_EST_MAPPING=PRECISE", "FS=MRC", "CURRENCY=USD", "XLFILL=b")</f>
        <v>718.26644590818364</v>
      </c>
      <c r="G219" s="9">
        <f>_xll.BQL("ULCC US Equity", "BS_CUR_ASSET_REPORT/1M", "FPT=A", "FPO=3A", "ACT_EST_MAPPING=PRECISE", "FS=MRC", "CURRENCY=USD", "XLFILL=b")</f>
        <v>869.64513885488577</v>
      </c>
      <c r="H219" s="9">
        <f>_xll.BQL("ULCC US Equity", "BS_CUR_ASSET_REPORT/1M", "FPT=A", "FPO=2A", "ACT_EST_MAPPING=PRECISE", "FS=MRC", "CURRENCY=USD", "XLFILL=b")</f>
        <v>857.73158221302765</v>
      </c>
      <c r="I219" s="9">
        <f>_xll.BQL("ULCC US Equity", "BS_CUR_ASSET_REPORT/1M", "FPT=A", "FPO=1A", "ACT_EST_MAPPING=PRECISE", "FS=MRC", "CURRENCY=USD", "XLFILL=b")</f>
        <v>861.76833984077223</v>
      </c>
      <c r="J219" s="9">
        <f>_xll.BQL("ULCC US Equity", "BS_CUR_ASSET_REPORT/1M", "FPT=A", "FPO=0A", "ACT_EST_MAPPING=PRECISE", "FS=MRC", "CURRENCY=USD", "XLFILL=b")</f>
        <v>871</v>
      </c>
      <c r="K219" s="9">
        <f>_xll.BQL("ULCC US Equity", "BS_CUR_ASSET_REPORT/1M", "FPT=A", "FPO=-1A", "ACT_EST_MAPPING=PRECISE", "FS=MRC", "CURRENCY=USD", "XLFILL=b")</f>
        <v>1020</v>
      </c>
      <c r="L219" s="9">
        <f>_xll.BQL("ULCC US Equity", "BS_CUR_ASSET_REPORT/1M", "FPT=A", "FPO=-2A", "ACT_EST_MAPPING=PRECISE", "FS=MRC", "CURRENCY=USD", "XLFILL=b")</f>
        <v>1037</v>
      </c>
      <c r="M219" s="9">
        <f>_xll.BQL("ULCC US Equity", "BS_CUR_ASSET_REPORT/1M", "FPT=A", "FPO=-3A", "ACT_EST_MAPPING=PRECISE", "FS=MRC", "CURRENCY=USD", "XLFILL=b")</f>
        <v>650</v>
      </c>
      <c r="N219" s="9">
        <f>_xll.BQL("ULCC US Equity", "BS_CUR_ASSET_REPORT/1M", "FPT=A", "FPO=-4A", "ACT_EST_MAPPING=PRECISE", "FS=MRC", "CURRENCY=USD", "XLFILL=b")</f>
        <v>944</v>
      </c>
    </row>
    <row r="220" spans="1:14" x14ac:dyDescent="0.2">
      <c r="A220" s="8" t="s">
        <v>28</v>
      </c>
      <c r="B220" s="4" t="s">
        <v>211</v>
      </c>
      <c r="C220" s="4" t="s">
        <v>212</v>
      </c>
      <c r="D220" s="4"/>
      <c r="E220" s="9">
        <f>_xll.BQL("ULCC US Equity", "FA_GROWTH(BS_CUR_ASSET_REPORT, YOY)", "FPT=A", "FPO=5A", "ACT_EST_MAPPING=PRECISE", "FS=MRC", "CURRENCY=USD", "XLFILL=b")</f>
        <v>2.080886964734971</v>
      </c>
      <c r="F220" s="9">
        <f>_xll.BQL("ULCC US Equity", "FA_GROWTH(BS_CUR_ASSET_REPORT, YOY)", "FPT=A", "FPO=4A", "ACT_EST_MAPPING=PRECISE", "FS=MRC", "CURRENCY=USD", "XLFILL=b")</f>
        <v>-17.406949821628576</v>
      </c>
      <c r="G220" s="9">
        <f>_xll.BQL("ULCC US Equity", "FA_GROWTH(BS_CUR_ASSET_REPORT, YOY)", "FPT=A", "FPO=3A", "ACT_EST_MAPPING=PRECISE", "FS=MRC", "CURRENCY=USD", "XLFILL=b")</f>
        <v>1.3889609394025262</v>
      </c>
      <c r="H220" s="9">
        <f>_xll.BQL("ULCC US Equity", "FA_GROWTH(BS_CUR_ASSET_REPORT, YOY)", "FPT=A", "FPO=2A", "ACT_EST_MAPPING=PRECISE", "FS=MRC", "CURRENCY=USD", "XLFILL=b")</f>
        <v>-0.46842723747434734</v>
      </c>
      <c r="I220" s="9">
        <f>_xll.BQL("ULCC US Equity", "FA_GROWTH(BS_CUR_ASSET_REPORT, YOY)", "FPT=A", "FPO=1A", "ACT_EST_MAPPING=PRECISE", "FS=MRC", "CURRENCY=USD", "XLFILL=b")</f>
        <v>-1.0598920963522076</v>
      </c>
      <c r="J220" s="9">
        <f>_xll.BQL("ULCC US Equity", "FA_GROWTH(BS_CUR_ASSET_REPORT, YOY)", "FPT=A", "FPO=0A", "ACT_EST_MAPPING=PRECISE", "FS=MRC", "CURRENCY=USD", "XLFILL=b")</f>
        <v>-14.607843137254902</v>
      </c>
      <c r="K220" s="9">
        <f>_xll.BQL("ULCC US Equity", "FA_GROWTH(BS_CUR_ASSET_REPORT, YOY)", "FPT=A", "FPO=-1A", "ACT_EST_MAPPING=PRECISE", "FS=MRC", "CURRENCY=USD", "XLFILL=b")</f>
        <v>-1.639344262295082</v>
      </c>
      <c r="L220" s="9">
        <f>_xll.BQL("ULCC US Equity", "FA_GROWTH(BS_CUR_ASSET_REPORT, YOY)", "FPT=A", "FPO=-2A", "ACT_EST_MAPPING=PRECISE", "FS=MRC", "CURRENCY=USD", "XLFILL=b")</f>
        <v>59.53846153846154</v>
      </c>
      <c r="M220" s="9">
        <f>_xll.BQL("ULCC US Equity", "FA_GROWTH(BS_CUR_ASSET_REPORT, YOY)", "FPT=A", "FPO=-3A", "ACT_EST_MAPPING=PRECISE", "FS=MRC", "CURRENCY=USD", "XLFILL=b")</f>
        <v>-31.14406779661017</v>
      </c>
      <c r="N220" s="9" t="str">
        <f>_xll.BQL("ULCC US Equity", "FA_GROWTH(BS_CUR_ASSET_REPORT, YOY)", "FPT=A", "FPO=-4A", "ACT_EST_MAPPING=PRECISE", "FS=MRC", "CURRENCY=USD", "XLFILL=b")</f>
        <v/>
      </c>
    </row>
    <row r="221" spans="1:14" x14ac:dyDescent="0.2">
      <c r="A221" s="8" t="s">
        <v>213</v>
      </c>
      <c r="B221" s="4" t="s">
        <v>214</v>
      </c>
      <c r="C221" s="4" t="s">
        <v>215</v>
      </c>
      <c r="D221" s="4"/>
      <c r="E221" s="9">
        <f>_xll.BQL("ULCC US Equity", "BS_CASH_NEAR_CASH_ITEM/1M", "FPT=A", "FPO=5A", "ACT_EST_MAPPING=PRECISE", "FS=MRC", "CURRENCY=USD", "XLFILL=b")</f>
        <v>133.96275875315217</v>
      </c>
      <c r="F221" s="9">
        <f>_xll.BQL("ULCC US Equity", "BS_CASH_NEAR_CASH_ITEM/1M", "FPT=A", "FPO=4A", "ACT_EST_MAPPING=PRECISE", "FS=MRC", "CURRENCY=USD", "XLFILL=b")</f>
        <v>191.26644590818367</v>
      </c>
      <c r="G221" s="9">
        <f>_xll.BQL("ULCC US Equity", "BS_CASH_NEAR_CASH_ITEM/1M", "FPT=A", "FPO=3A", "ACT_EST_MAPPING=PRECISE", "FS=MRC", "CURRENCY=USD", "XLFILL=b")</f>
        <v>499.76966299135921</v>
      </c>
      <c r="H221" s="9">
        <f>_xll.BQL("ULCC US Equity", "BS_CASH_NEAR_CASH_ITEM/1M", "FPT=A", "FPO=2A", "ACT_EST_MAPPING=PRECISE", "FS=MRC", "CURRENCY=USD", "XLFILL=b")</f>
        <v>506.98672346796849</v>
      </c>
      <c r="I221" s="9">
        <f>_xll.BQL("ULCC US Equity", "BS_CASH_NEAR_CASH_ITEM/1M", "FPT=A", "FPO=1A", "ACT_EST_MAPPING=PRECISE", "FS=MRC", "CURRENCY=USD", "XLFILL=b")</f>
        <v>557.85257250646123</v>
      </c>
      <c r="J221" s="9">
        <f>_xll.BQL("ULCC US Equity", "BS_CASH_NEAR_CASH_ITEM/1M", "FPT=A", "FPO=0A", "ACT_EST_MAPPING=PRECISE", "FS=MRC", "CURRENCY=USD", "XLFILL=b")</f>
        <v>609</v>
      </c>
      <c r="K221" s="9">
        <f>_xll.BQL("ULCC US Equity", "BS_CASH_NEAR_CASH_ITEM/1M", "FPT=A", "FPO=-1A", "ACT_EST_MAPPING=PRECISE", "FS=MRC", "CURRENCY=USD", "XLFILL=b")</f>
        <v>761</v>
      </c>
      <c r="L221" s="9">
        <f>_xll.BQL("ULCC US Equity", "BS_CASH_NEAR_CASH_ITEM/1M", "FPT=A", "FPO=-2A", "ACT_EST_MAPPING=PRECISE", "FS=MRC", "CURRENCY=USD", "XLFILL=b")</f>
        <v>918</v>
      </c>
      <c r="M221" s="9">
        <f>_xll.BQL("ULCC US Equity", "BS_CASH_NEAR_CASH_ITEM/1M", "FPT=A", "FPO=-3A", "ACT_EST_MAPPING=PRECISE", "FS=MRC", "CURRENCY=USD", "XLFILL=b")</f>
        <v>378</v>
      </c>
      <c r="N221" s="9">
        <f>_xll.BQL("ULCC US Equity", "BS_CASH_NEAR_CASH_ITEM/1M", "FPT=A", "FPO=-4A", "ACT_EST_MAPPING=PRECISE", "FS=MRC", "CURRENCY=USD", "XLFILL=b")</f>
        <v>768</v>
      </c>
    </row>
    <row r="222" spans="1:14" x14ac:dyDescent="0.2">
      <c r="A222" s="8" t="s">
        <v>71</v>
      </c>
      <c r="B222" s="4" t="s">
        <v>214</v>
      </c>
      <c r="C222" s="4" t="s">
        <v>215</v>
      </c>
      <c r="D222" s="4"/>
      <c r="E222" s="9">
        <f>_xll.BQL("ULCC US Equity", "FA_GROWTH(BS_CASH_NEAR_CASH_ITEM, YOY)", "FPT=A", "FPO=5A", "ACT_EST_MAPPING=PRECISE", "FS=MRC", "CURRENCY=USD", "XLFILL=b")</f>
        <v>-29.960135915601104</v>
      </c>
      <c r="F222" s="9">
        <f>_xll.BQL("ULCC US Equity", "FA_GROWTH(BS_CASH_NEAR_CASH_ITEM, YOY)", "FPT=A", "FPO=4A", "ACT_EST_MAPPING=PRECISE", "FS=MRC", "CURRENCY=USD", "XLFILL=b")</f>
        <v>-61.729080400086112</v>
      </c>
      <c r="G222" s="9">
        <f>_xll.BQL("ULCC US Equity", "FA_GROWTH(BS_CASH_NEAR_CASH_ITEM, YOY)", "FPT=A", "FPO=3A", "ACT_EST_MAPPING=PRECISE", "FS=MRC", "CURRENCY=USD", "XLFILL=b")</f>
        <v>-1.4235206056762166</v>
      </c>
      <c r="H222" s="9">
        <f>_xll.BQL("ULCC US Equity", "FA_GROWTH(BS_CASH_NEAR_CASH_ITEM, YOY)", "FPT=A", "FPO=2A", "ACT_EST_MAPPING=PRECISE", "FS=MRC", "CURRENCY=USD", "XLFILL=b")</f>
        <v>-9.1181526348350115</v>
      </c>
      <c r="I222" s="9">
        <f>_xll.BQL("ULCC US Equity", "FA_GROWTH(BS_CASH_NEAR_CASH_ITEM, YOY)", "FPT=A", "FPO=1A", "ACT_EST_MAPPING=PRECISE", "FS=MRC", "CURRENCY=USD", "XLFILL=b")</f>
        <v>-8.3985923634710584</v>
      </c>
      <c r="J222" s="9">
        <f>_xll.BQL("ULCC US Equity", "FA_GROWTH(BS_CASH_NEAR_CASH_ITEM, YOY)", "FPT=A", "FPO=0A", "ACT_EST_MAPPING=PRECISE", "FS=MRC", "CURRENCY=USD", "XLFILL=b")</f>
        <v>-19.973718791064389</v>
      </c>
      <c r="K222" s="9">
        <f>_xll.BQL("ULCC US Equity", "FA_GROWTH(BS_CASH_NEAR_CASH_ITEM, YOY)", "FPT=A", "FPO=-1A", "ACT_EST_MAPPING=PRECISE", "FS=MRC", "CURRENCY=USD", "XLFILL=b")</f>
        <v>-17.102396514161221</v>
      </c>
      <c r="L222" s="9">
        <f>_xll.BQL("ULCC US Equity", "FA_GROWTH(BS_CASH_NEAR_CASH_ITEM, YOY)", "FPT=A", "FPO=-2A", "ACT_EST_MAPPING=PRECISE", "FS=MRC", "CURRENCY=USD", "XLFILL=b")</f>
        <v>142.85714285714286</v>
      </c>
      <c r="M222" s="9">
        <f>_xll.BQL("ULCC US Equity", "FA_GROWTH(BS_CASH_NEAR_CASH_ITEM, YOY)", "FPT=A", "FPO=-3A", "ACT_EST_MAPPING=PRECISE", "FS=MRC", "CURRENCY=USD", "XLFILL=b")</f>
        <v>-50.78125</v>
      </c>
      <c r="N222" s="9" t="str">
        <f>_xll.BQL("ULCC US Equity", "FA_GROWTH(BS_CASH_NEAR_CASH_ITEM, YOY)", "FPT=A", "FPO=-4A", "ACT_EST_MAPPING=PRECISE", "FS=MRC", "CURRENCY=USD", "XLFILL=b")</f>
        <v/>
      </c>
    </row>
    <row r="223" spans="1:14" x14ac:dyDescent="0.2">
      <c r="A223" s="8" t="s">
        <v>216</v>
      </c>
      <c r="B223" s="4" t="s">
        <v>217</v>
      </c>
      <c r="C223" s="4" t="s">
        <v>218</v>
      </c>
      <c r="D223" s="4"/>
      <c r="E223" s="9">
        <f>_xll.BQL("ULCC US Equity", "BS_ACCT_NOTE_RCV/1M", "FPT=A", "FPO=5A", "ACT_EST_MAPPING=PRECISE", "FS=MRC", "CURRENCY=USD", "XLFILL=b")</f>
        <v>160</v>
      </c>
      <c r="F223" s="9">
        <f>_xll.BQL("ULCC US Equity", "BS_ACCT_NOTE_RCV/1M", "FPT=A", "FPO=4A", "ACT_EST_MAPPING=PRECISE", "FS=MRC", "CURRENCY=USD", "XLFILL=b")</f>
        <v>141</v>
      </c>
      <c r="G223" s="9">
        <f>_xll.BQL("ULCC US Equity", "BS_ACCT_NOTE_RCV/1M", "FPT=A", "FPO=3A", "ACT_EST_MAPPING=PRECISE", "FS=MRC", "CURRENCY=USD", "XLFILL=b")</f>
        <v>123.5845503923817</v>
      </c>
      <c r="H223" s="9">
        <f>_xll.BQL("ULCC US Equity", "BS_ACCT_NOTE_RCV/1M", "FPT=A", "FPO=2A", "ACT_EST_MAPPING=PRECISE", "FS=MRC", "CURRENCY=USD", "XLFILL=b")</f>
        <v>105.33502317732986</v>
      </c>
      <c r="I223" s="9">
        <f>_xll.BQL("ULCC US Equity", "BS_ACCT_NOTE_RCV/1M", "FPT=A", "FPO=1A", "ACT_EST_MAPPING=PRECISE", "FS=MRC", "CURRENCY=USD", "XLFILL=b")</f>
        <v>96.191115648863317</v>
      </c>
      <c r="J223" s="9">
        <f>_xll.BQL("ULCC US Equity", "BS_ACCT_NOTE_RCV/1M", "FPT=A", "FPO=0A", "ACT_EST_MAPPING=PRECISE", "FS=MRC", "CURRENCY=USD", "XLFILL=b")</f>
        <v>93</v>
      </c>
      <c r="K223" s="9">
        <f>_xll.BQL("ULCC US Equity", "BS_ACCT_NOTE_RCV/1M", "FPT=A", "FPO=-1A", "ACT_EST_MAPPING=PRECISE", "FS=MRC", "CURRENCY=USD", "XLFILL=b")</f>
        <v>90</v>
      </c>
      <c r="L223" s="9">
        <f>_xll.BQL("ULCC US Equity", "BS_ACCT_NOTE_RCV/1M", "FPT=A", "FPO=-2A", "ACT_EST_MAPPING=PRECISE", "FS=MRC", "CURRENCY=USD", "XLFILL=b")</f>
        <v>50</v>
      </c>
      <c r="M223" s="9">
        <f>_xll.BQL("ULCC US Equity", "BS_ACCT_NOTE_RCV/1M", "FPT=A", "FPO=-3A", "ACT_EST_MAPPING=PRECISE", "FS=MRC", "CURRENCY=USD", "XLFILL=b")</f>
        <v>28</v>
      </c>
      <c r="N223" s="9">
        <f>_xll.BQL("ULCC US Equity", "BS_ACCT_NOTE_RCV/1M", "FPT=A", "FPO=-4A", "ACT_EST_MAPPING=PRECISE", "FS=MRC", "CURRENCY=USD", "XLFILL=b")</f>
        <v>83</v>
      </c>
    </row>
    <row r="224" spans="1:14" x14ac:dyDescent="0.2">
      <c r="A224" s="8" t="s">
        <v>71</v>
      </c>
      <c r="B224" s="4" t="s">
        <v>217</v>
      </c>
      <c r="C224" s="4" t="s">
        <v>218</v>
      </c>
      <c r="D224" s="4"/>
      <c r="E224" s="9">
        <f>_xll.BQL("ULCC US Equity", "FA_GROWTH(BS_ACCT_NOTE_RCV, YOY)", "FPT=A", "FPO=5A", "ACT_EST_MAPPING=PRECISE", "FS=MRC", "CURRENCY=USD", "XLFILL=b")</f>
        <v>13.475177304964539</v>
      </c>
      <c r="F224" s="9">
        <f>_xll.BQL("ULCC US Equity", "FA_GROWTH(BS_ACCT_NOTE_RCV, YOY)", "FPT=A", "FPO=4A", "ACT_EST_MAPPING=PRECISE", "FS=MRC", "CURRENCY=USD", "XLFILL=b")</f>
        <v>14.09193103209434</v>
      </c>
      <c r="G224" s="9">
        <f>_xll.BQL("ULCC US Equity", "FA_GROWTH(BS_ACCT_NOTE_RCV, YOY)", "FPT=A", "FPO=3A", "ACT_EST_MAPPING=PRECISE", "FS=MRC", "CURRENCY=USD", "XLFILL=b")</f>
        <v>17.325222575143933</v>
      </c>
      <c r="H224" s="9">
        <f>_xll.BQL("ULCC US Equity", "FA_GROWTH(BS_ACCT_NOTE_RCV, YOY)", "FPT=A", "FPO=2A", "ACT_EST_MAPPING=PRECISE", "FS=MRC", "CURRENCY=USD", "XLFILL=b")</f>
        <v>9.5059792859098522</v>
      </c>
      <c r="I224" s="9">
        <f>_xll.BQL("ULCC US Equity", "FA_GROWTH(BS_ACCT_NOTE_RCV, YOY)", "FPT=A", "FPO=1A", "ACT_EST_MAPPING=PRECISE", "FS=MRC", "CURRENCY=USD", "XLFILL=b")</f>
        <v>3.4313071493153933</v>
      </c>
      <c r="J224" s="9">
        <f>_xll.BQL("ULCC US Equity", "FA_GROWTH(BS_ACCT_NOTE_RCV, YOY)", "FPT=A", "FPO=0A", "ACT_EST_MAPPING=PRECISE", "FS=MRC", "CURRENCY=USD", "XLFILL=b")</f>
        <v>3.3333333333333335</v>
      </c>
      <c r="K224" s="9">
        <f>_xll.BQL("ULCC US Equity", "FA_GROWTH(BS_ACCT_NOTE_RCV, YOY)", "FPT=A", "FPO=-1A", "ACT_EST_MAPPING=PRECISE", "FS=MRC", "CURRENCY=USD", "XLFILL=b")</f>
        <v>80</v>
      </c>
      <c r="L224" s="9">
        <f>_xll.BQL("ULCC US Equity", "FA_GROWTH(BS_ACCT_NOTE_RCV, YOY)", "FPT=A", "FPO=-2A", "ACT_EST_MAPPING=PRECISE", "FS=MRC", "CURRENCY=USD", "XLFILL=b")</f>
        <v>78.571428571428569</v>
      </c>
      <c r="M224" s="9">
        <f>_xll.BQL("ULCC US Equity", "FA_GROWTH(BS_ACCT_NOTE_RCV, YOY)", "FPT=A", "FPO=-3A", "ACT_EST_MAPPING=PRECISE", "FS=MRC", "CURRENCY=USD", "XLFILL=b")</f>
        <v>-66.265060240963862</v>
      </c>
      <c r="N224" s="9" t="str">
        <f>_xll.BQL("ULCC US Equity", "FA_GROWTH(BS_ACCT_NOTE_RCV, YOY)", "FPT=A", "FPO=-4A", "ACT_EST_MAPPING=PRECISE", "FS=MRC", "CURRENCY=USD", "XLFILL=b")</f>
        <v/>
      </c>
    </row>
    <row r="225" spans="1:14" x14ac:dyDescent="0.2">
      <c r="A225" s="8" t="s">
        <v>219</v>
      </c>
      <c r="B225" s="4" t="s">
        <v>220</v>
      </c>
      <c r="C225" s="4" t="s">
        <v>221</v>
      </c>
      <c r="D225" s="4"/>
      <c r="E225" s="9" t="str">
        <f>_xll.BQL("ULCC US Equity", "BS_INVENTORIES/1M", "FPT=A", "FPO=5A", "ACT_EST_MAPPING=PRECISE", "FS=MRC", "CURRENCY=USD", "XLFILL=b")</f>
        <v/>
      </c>
      <c r="F225" s="9" t="str">
        <f>_xll.BQL("ULCC US Equity", "BS_INVENTORIES/1M", "FPT=A", "FPO=4A", "ACT_EST_MAPPING=PRECISE", "FS=MRC", "CURRENCY=USD", "XLFILL=b")</f>
        <v/>
      </c>
      <c r="G225" s="9">
        <f>_xll.BQL("ULCC US Equity", "BS_INVENTORIES/1M", "FPT=A", "FPO=3A", "ACT_EST_MAPPING=PRECISE", "FS=MRC", "CURRENCY=USD", "XLFILL=b")</f>
        <v>97.897931034684106</v>
      </c>
      <c r="H225" s="9">
        <f>_xll.BQL("ULCC US Equity", "BS_INVENTORIES/1M", "FPT=A", "FPO=2A", "ACT_EST_MAPPING=PRECISE", "FS=MRC", "CURRENCY=USD", "XLFILL=b")</f>
        <v>77.984958383977457</v>
      </c>
      <c r="I225" s="9">
        <f>_xll.BQL("ULCC US Equity", "BS_INVENTORIES/1M", "FPT=A", "FPO=1A", "ACT_EST_MAPPING=PRECISE", "FS=MRC", "CURRENCY=USD", "XLFILL=b")</f>
        <v>70.154510864804593</v>
      </c>
      <c r="J225" s="9">
        <f>_xll.BQL("ULCC US Equity", "BS_INVENTORIES/1M", "FPT=A", "FPO=0A", "ACT_EST_MAPPING=PRECISE", "FS=MRC", "CURRENCY=USD", "XLFILL=b")</f>
        <v>79</v>
      </c>
      <c r="K225" s="9">
        <f>_xll.BQL("ULCC US Equity", "BS_INVENTORIES/1M", "FPT=A", "FPO=-1A", "ACT_EST_MAPPING=PRECISE", "FS=MRC", "CURRENCY=USD", "XLFILL=b")</f>
        <v>55</v>
      </c>
      <c r="L225" s="9">
        <f>_xll.BQL("ULCC US Equity", "BS_INVENTORIES/1M", "FPT=A", "FPO=-2A", "ACT_EST_MAPPING=PRECISE", "FS=MRC", "CURRENCY=USD", "XLFILL=b")</f>
        <v>29</v>
      </c>
      <c r="M225" s="9">
        <f>_xll.BQL("ULCC US Equity", "BS_INVENTORIES/1M", "FPT=A", "FPO=-3A", "ACT_EST_MAPPING=PRECISE", "FS=MRC", "CURRENCY=USD", "XLFILL=b")</f>
        <v>18</v>
      </c>
      <c r="N225" s="9">
        <f>_xll.BQL("ULCC US Equity", "BS_INVENTORIES/1M", "FPT=A", "FPO=-4A", "ACT_EST_MAPPING=PRECISE", "FS=MRC", "CURRENCY=USD", "XLFILL=b")</f>
        <v>20</v>
      </c>
    </row>
    <row r="226" spans="1:14" x14ac:dyDescent="0.2">
      <c r="A226" s="8" t="s">
        <v>71</v>
      </c>
      <c r="B226" s="4" t="s">
        <v>220</v>
      </c>
      <c r="C226" s="4" t="s">
        <v>221</v>
      </c>
      <c r="D226" s="4"/>
      <c r="E226" s="9" t="str">
        <f>_xll.BQL("ULCC US Equity", "FA_GROWTH(BS_INVENTORIES, YOY)", "FPT=A", "FPO=5A", "ACT_EST_MAPPING=PRECISE", "FS=MRC", "CURRENCY=USD", "XLFILL=b")</f>
        <v/>
      </c>
      <c r="F226" s="9" t="str">
        <f>_xll.BQL("ULCC US Equity", "FA_GROWTH(BS_INVENTORIES, YOY)", "FPT=A", "FPO=4A", "ACT_EST_MAPPING=PRECISE", "FS=MRC", "CURRENCY=USD", "XLFILL=b")</f>
        <v/>
      </c>
      <c r="G226" s="9">
        <f>_xll.BQL("ULCC US Equity", "FA_GROWTH(BS_INVENTORIES, YOY)", "FPT=A", "FPO=3A", "ACT_EST_MAPPING=PRECISE", "FS=MRC", "CURRENCY=USD", "XLFILL=b")</f>
        <v>25.534376196830678</v>
      </c>
      <c r="H226" s="9">
        <f>_xll.BQL("ULCC US Equity", "FA_GROWTH(BS_INVENTORIES, YOY)", "FPT=A", "FPO=2A", "ACT_EST_MAPPING=PRECISE", "FS=MRC", "CURRENCY=USD", "XLFILL=b")</f>
        <v>11.161716363845782</v>
      </c>
      <c r="I226" s="9">
        <f>_xll.BQL("ULCC US Equity", "FA_GROWTH(BS_INVENTORIES, YOY)", "FPT=A", "FPO=1A", "ACT_EST_MAPPING=PRECISE", "FS=MRC", "CURRENCY=USD", "XLFILL=b")</f>
        <v>-11.196821690120766</v>
      </c>
      <c r="J226" s="9">
        <f>_xll.BQL("ULCC US Equity", "FA_GROWTH(BS_INVENTORIES, YOY)", "FPT=A", "FPO=0A", "ACT_EST_MAPPING=PRECISE", "FS=MRC", "CURRENCY=USD", "XLFILL=b")</f>
        <v>43.636363636363633</v>
      </c>
      <c r="K226" s="9">
        <f>_xll.BQL("ULCC US Equity", "FA_GROWTH(BS_INVENTORIES, YOY)", "FPT=A", "FPO=-1A", "ACT_EST_MAPPING=PRECISE", "FS=MRC", "CURRENCY=USD", "XLFILL=b")</f>
        <v>89.65517241379311</v>
      </c>
      <c r="L226" s="9">
        <f>_xll.BQL("ULCC US Equity", "FA_GROWTH(BS_INVENTORIES, YOY)", "FPT=A", "FPO=-2A", "ACT_EST_MAPPING=PRECISE", "FS=MRC", "CURRENCY=USD", "XLFILL=b")</f>
        <v>61.111111111111114</v>
      </c>
      <c r="M226" s="9">
        <f>_xll.BQL("ULCC US Equity", "FA_GROWTH(BS_INVENTORIES, YOY)", "FPT=A", "FPO=-3A", "ACT_EST_MAPPING=PRECISE", "FS=MRC", "CURRENCY=USD", "XLFILL=b")</f>
        <v>-10</v>
      </c>
      <c r="N226" s="9" t="str">
        <f>_xll.BQL("ULCC US Equity", "FA_GROWTH(BS_INVENTORIES, YOY)", "FPT=A", "FPO=-4A", "ACT_EST_MAPPING=PRECISE", "FS=MRC", "CURRENCY=USD", "XLFILL=b")</f>
        <v/>
      </c>
    </row>
    <row r="227" spans="1:14" x14ac:dyDescent="0.2">
      <c r="A227" s="8" t="s">
        <v>222</v>
      </c>
      <c r="B227" s="4" t="s">
        <v>223</v>
      </c>
      <c r="C227" s="4" t="s">
        <v>224</v>
      </c>
      <c r="D227" s="4"/>
      <c r="E227" s="9" t="str">
        <f>_xll.BQL("ULCC US Equity", "CB_BS_OTHER_CURRENT_ASSETS/1M", "FPT=A", "FPO=5A", "ACT_EST_MAPPING=PRECISE", "FS=MRC", "CURRENCY=USD", "XLFILL=b")</f>
        <v/>
      </c>
      <c r="F227" s="9" t="str">
        <f>_xll.BQL("ULCC US Equity", "CB_BS_OTHER_CURRENT_ASSETS/1M", "FPT=A", "FPO=4A", "ACT_EST_MAPPING=PRECISE", "FS=MRC", "CURRENCY=USD", "XLFILL=b")</f>
        <v/>
      </c>
      <c r="G227" s="9">
        <f>_xll.BQL("ULCC US Equity", "CB_BS_OTHER_CURRENT_ASSETS/1M", "FPT=A", "FPO=3A", "ACT_EST_MAPPING=PRECISE", "FS=MRC", "CURRENCY=USD", "XLFILL=b")</f>
        <v>119.57330292684226</v>
      </c>
      <c r="H227" s="9">
        <f>_xll.BQL("ULCC US Equity", "CB_BS_OTHER_CURRENT_ASSETS/1M", "FPT=A", "FPO=2A", "ACT_EST_MAPPING=PRECISE", "FS=MRC", "CURRENCY=USD", "XLFILL=b")</f>
        <v>138.24533743811975</v>
      </c>
      <c r="I227" s="9">
        <f>_xll.BQL("ULCC US Equity", "CB_BS_OTHER_CURRENT_ASSETS/1M", "FPT=A", "FPO=1A", "ACT_EST_MAPPING=PRECISE", "FS=MRC", "CURRENCY=USD", "XLFILL=b")</f>
        <v>119.32407983231711</v>
      </c>
      <c r="J227" s="9">
        <f>_xll.BQL("ULCC US Equity", "CB_BS_OTHER_CURRENT_ASSETS/1M", "FPT=A", "FPO=0A", "ACT_EST_MAPPING=PRECISE", "FS=MRC", "CURRENCY=USD", "XLFILL=b")</f>
        <v>90</v>
      </c>
      <c r="K227" s="9">
        <f>_xll.BQL("ULCC US Equity", "CB_BS_OTHER_CURRENT_ASSETS/1M", "FPT=A", "FPO=-1A", "ACT_EST_MAPPING=PRECISE", "FS=MRC", "CURRENCY=USD", "XLFILL=b")</f>
        <v>114</v>
      </c>
      <c r="L227" s="9">
        <f>_xll.BQL("ULCC US Equity", "CB_BS_OTHER_CURRENT_ASSETS/1M", "FPT=A", "FPO=-2A", "ACT_EST_MAPPING=PRECISE", "FS=MRC", "CURRENCY=USD", "XLFILL=b")</f>
        <v>40</v>
      </c>
      <c r="M227" s="9">
        <f>_xll.BQL("ULCC US Equity", "CB_BS_OTHER_CURRENT_ASSETS/1M", "FPT=A", "FPO=-3A", "ACT_EST_MAPPING=PRECISE", "FS=MRC", "CURRENCY=USD", "XLFILL=b")</f>
        <v>226</v>
      </c>
      <c r="N227" s="9">
        <f>_xll.BQL("ULCC US Equity", "CB_BS_OTHER_CURRENT_ASSETS/1M", "FPT=A", "FPO=-4A", "ACT_EST_MAPPING=PRECISE", "FS=MRC", "CURRENCY=USD", "XLFILL=b")</f>
        <v>73</v>
      </c>
    </row>
    <row r="228" spans="1:14" x14ac:dyDescent="0.2">
      <c r="A228" s="8" t="s">
        <v>71</v>
      </c>
      <c r="B228" s="4" t="s">
        <v>223</v>
      </c>
      <c r="C228" s="4" t="s">
        <v>224</v>
      </c>
      <c r="D228" s="4"/>
      <c r="E228" s="9" t="str">
        <f>_xll.BQL("ULCC US Equity", "FA_GROWTH(CB_BS_OTHER_CURRENT_ASSETS, YOY)", "FPT=A", "FPO=5A", "ACT_EST_MAPPING=PRECISE", "FS=MRC", "CURRENCY=USD", "XLFILL=b")</f>
        <v/>
      </c>
      <c r="F228" s="9" t="str">
        <f>_xll.BQL("ULCC US Equity", "FA_GROWTH(CB_BS_OTHER_CURRENT_ASSETS, YOY)", "FPT=A", "FPO=4A", "ACT_EST_MAPPING=PRECISE", "FS=MRC", "CURRENCY=USD", "XLFILL=b")</f>
        <v/>
      </c>
      <c r="G228" s="9">
        <f>_xll.BQL("ULCC US Equity", "FA_GROWTH(CB_BS_OTHER_CURRENT_ASSETS, YOY)", "FPT=A", "FPO=3A", "ACT_EST_MAPPING=PRECISE", "FS=MRC", "CURRENCY=USD", "XLFILL=b")</f>
        <v>-13.506447926054149</v>
      </c>
      <c r="H228" s="9">
        <f>_xll.BQL("ULCC US Equity", "FA_GROWTH(CB_BS_OTHER_CURRENT_ASSETS, YOY)", "FPT=A", "FPO=2A", "ACT_EST_MAPPING=PRECISE", "FS=MRC", "CURRENCY=USD", "XLFILL=b")</f>
        <v>15.857032069631005</v>
      </c>
      <c r="I228" s="9">
        <f>_xll.BQL("ULCC US Equity", "FA_GROWTH(CB_BS_OTHER_CURRENT_ASSETS, YOY)", "FPT=A", "FPO=1A", "ACT_EST_MAPPING=PRECISE", "FS=MRC", "CURRENCY=USD", "XLFILL=b")</f>
        <v>32.582310924796793</v>
      </c>
      <c r="J228" s="9">
        <f>_xll.BQL("ULCC US Equity", "FA_GROWTH(CB_BS_OTHER_CURRENT_ASSETS, YOY)", "FPT=A", "FPO=0A", "ACT_EST_MAPPING=PRECISE", "FS=MRC", "CURRENCY=USD", "XLFILL=b")</f>
        <v>-21.05263157894737</v>
      </c>
      <c r="K228" s="9">
        <f>_xll.BQL("ULCC US Equity", "FA_GROWTH(CB_BS_OTHER_CURRENT_ASSETS, YOY)", "FPT=A", "FPO=-1A", "ACT_EST_MAPPING=PRECISE", "FS=MRC", "CURRENCY=USD", "XLFILL=b")</f>
        <v>185</v>
      </c>
      <c r="L228" s="9">
        <f>_xll.BQL("ULCC US Equity", "FA_GROWTH(CB_BS_OTHER_CURRENT_ASSETS, YOY)", "FPT=A", "FPO=-2A", "ACT_EST_MAPPING=PRECISE", "FS=MRC", "CURRENCY=USD", "XLFILL=b")</f>
        <v>-82.30088495575221</v>
      </c>
      <c r="M228" s="9">
        <f>_xll.BQL("ULCC US Equity", "FA_GROWTH(CB_BS_OTHER_CURRENT_ASSETS, YOY)", "FPT=A", "FPO=-3A", "ACT_EST_MAPPING=PRECISE", "FS=MRC", "CURRENCY=USD", "XLFILL=b")</f>
        <v>209.58904109589042</v>
      </c>
      <c r="N228" s="9" t="str">
        <f>_xll.BQL("ULCC US Equity", "FA_GROWTH(CB_BS_OTHER_CURRENT_ASSETS, YOY)", "FPT=A", "FPO=-4A", "ACT_EST_MAPPING=PRECISE", "FS=MRC", "CURRENCY=USD", "XLFILL=b")</f>
        <v/>
      </c>
    </row>
    <row r="229" spans="1:14" x14ac:dyDescent="0.2">
      <c r="A229" s="8" t="s">
        <v>225</v>
      </c>
      <c r="B229" s="4" t="s">
        <v>226</v>
      </c>
      <c r="C229" s="4"/>
      <c r="D229" s="4"/>
      <c r="E229" s="9" t="str">
        <f>_xll.BQL("ULCC US Equity", "BS_TOTAL_NON_CURRENT_ASSETS/1M", "FPT=A", "FPO=5A", "ACT_EST_MAPPING=PRECISE", "FS=MRC", "CURRENCY=USD", "XLFILL=b")</f>
        <v/>
      </c>
      <c r="F229" s="9" t="str">
        <f>_xll.BQL("ULCC US Equity", "BS_TOTAL_NON_CURRENT_ASSETS/1M", "FPT=A", "FPO=4A", "ACT_EST_MAPPING=PRECISE", "FS=MRC", "CURRENCY=USD", "XLFILL=b")</f>
        <v/>
      </c>
      <c r="G229" s="9" t="str">
        <f>_xll.BQL("ULCC US Equity", "BS_TOTAL_NON_CURRENT_ASSETS/1M", "FPT=A", "FPO=3A", "ACT_EST_MAPPING=PRECISE", "FS=MRC", "CURRENCY=USD", "XLFILL=b")</f>
        <v/>
      </c>
      <c r="H229" s="9" t="str">
        <f>_xll.BQL("ULCC US Equity", "BS_TOTAL_NON_CURRENT_ASSETS/1M", "FPT=A", "FPO=2A", "ACT_EST_MAPPING=PRECISE", "FS=MRC", "CURRENCY=USD", "XLFILL=b")</f>
        <v/>
      </c>
      <c r="I229" s="9" t="str">
        <f>_xll.BQL("ULCC US Equity", "BS_TOTAL_NON_CURRENT_ASSETS/1M", "FPT=A", "FPO=1A", "ACT_EST_MAPPING=PRECISE", "FS=MRC", "CURRENCY=USD", "XLFILL=b")</f>
        <v/>
      </c>
      <c r="J229" s="9">
        <f>_xll.BQL("ULCC US Equity", "BS_TOTAL_NON_CURRENT_ASSETS/1M", "FPT=A", "FPO=0A", "ACT_EST_MAPPING=PRECISE", "FS=MRC", "CURRENCY=USD", "XLFILL=b")</f>
        <v>4122</v>
      </c>
      <c r="K229" s="9">
        <f>_xll.BQL("ULCC US Equity", "BS_TOTAL_NON_CURRENT_ASSETS/1M", "FPT=A", "FPO=-1A", "ACT_EST_MAPPING=PRECISE", "FS=MRC", "CURRENCY=USD", "XLFILL=b")</f>
        <v>3479</v>
      </c>
      <c r="L229" s="9">
        <f>_xll.BQL("ULCC US Equity", "BS_TOTAL_NON_CURRENT_ASSETS/1M", "FPT=A", "FPO=-2A", "ACT_EST_MAPPING=PRECISE", "FS=MRC", "CURRENCY=USD", "XLFILL=b")</f>
        <v>3198</v>
      </c>
      <c r="M229" s="9">
        <f>_xll.BQL("ULCC US Equity", "BS_TOTAL_NON_CURRENT_ASSETS/1M", "FPT=A", "FPO=-3A", "ACT_EST_MAPPING=PRECISE", "FS=MRC", "CURRENCY=USD", "XLFILL=b")</f>
        <v>2904</v>
      </c>
      <c r="N229" s="9">
        <f>_xll.BQL("ULCC US Equity", "BS_TOTAL_NON_CURRENT_ASSETS/1M", "FPT=A", "FPO=-4A", "ACT_EST_MAPPING=PRECISE", "FS=MRC", "CURRENCY=USD", "XLFILL=b")</f>
        <v>2920</v>
      </c>
    </row>
    <row r="230" spans="1:14" x14ac:dyDescent="0.2">
      <c r="A230" s="8" t="s">
        <v>28</v>
      </c>
      <c r="B230" s="4" t="s">
        <v>226</v>
      </c>
      <c r="C230" s="4"/>
      <c r="D230" s="4"/>
      <c r="E230" s="9" t="str">
        <f>_xll.BQL("ULCC US Equity", "FA_GROWTH(BS_TOTAL_NON_CURRENT_ASSETS, YOY)", "FPT=A", "FPO=5A", "ACT_EST_MAPPING=PRECISE", "FS=MRC", "CURRENCY=USD", "XLFILL=b")</f>
        <v/>
      </c>
      <c r="F230" s="9" t="str">
        <f>_xll.BQL("ULCC US Equity", "FA_GROWTH(BS_TOTAL_NON_CURRENT_ASSETS, YOY)", "FPT=A", "FPO=4A", "ACT_EST_MAPPING=PRECISE", "FS=MRC", "CURRENCY=USD", "XLFILL=b")</f>
        <v/>
      </c>
      <c r="G230" s="9" t="str">
        <f>_xll.BQL("ULCC US Equity", "FA_GROWTH(BS_TOTAL_NON_CURRENT_ASSETS, YOY)", "FPT=A", "FPO=3A", "ACT_EST_MAPPING=PRECISE", "FS=MRC", "CURRENCY=USD", "XLFILL=b")</f>
        <v/>
      </c>
      <c r="H230" s="9" t="str">
        <f>_xll.BQL("ULCC US Equity", "FA_GROWTH(BS_TOTAL_NON_CURRENT_ASSETS, YOY)", "FPT=A", "FPO=2A", "ACT_EST_MAPPING=PRECISE", "FS=MRC", "CURRENCY=USD", "XLFILL=b")</f>
        <v/>
      </c>
      <c r="I230" s="9" t="str">
        <f>_xll.BQL("ULCC US Equity", "FA_GROWTH(BS_TOTAL_NON_CURRENT_ASSETS, YOY)", "FPT=A", "FPO=1A", "ACT_EST_MAPPING=PRECISE", "FS=MRC", "CURRENCY=USD", "XLFILL=b")</f>
        <v/>
      </c>
      <c r="J230" s="9">
        <f>_xll.BQL("ULCC US Equity", "FA_GROWTH(BS_TOTAL_NON_CURRENT_ASSETS, YOY)", "FPT=A", "FPO=0A", "ACT_EST_MAPPING=PRECISE", "FS=MRC", "CURRENCY=USD", "XLFILL=b")</f>
        <v>18.482322506467376</v>
      </c>
      <c r="K230" s="9">
        <f>_xll.BQL("ULCC US Equity", "FA_GROWTH(BS_TOTAL_NON_CURRENT_ASSETS, YOY)", "FPT=A", "FPO=-1A", "ACT_EST_MAPPING=PRECISE", "FS=MRC", "CURRENCY=USD", "XLFILL=b")</f>
        <v>8.7867417135709811</v>
      </c>
      <c r="L230" s="9">
        <f>_xll.BQL("ULCC US Equity", "FA_GROWTH(BS_TOTAL_NON_CURRENT_ASSETS, YOY)", "FPT=A", "FPO=-2A", "ACT_EST_MAPPING=PRECISE", "FS=MRC", "CURRENCY=USD", "XLFILL=b")</f>
        <v>10.12396694214876</v>
      </c>
      <c r="M230" s="9">
        <f>_xll.BQL("ULCC US Equity", "FA_GROWTH(BS_TOTAL_NON_CURRENT_ASSETS, YOY)", "FPT=A", "FPO=-3A", "ACT_EST_MAPPING=PRECISE", "FS=MRC", "CURRENCY=USD", "XLFILL=b")</f>
        <v>-0.54794520547945202</v>
      </c>
      <c r="N230" s="9" t="str">
        <f>_xll.BQL("ULCC US Equity", "FA_GROWTH(BS_TOTAL_NON_CURRENT_ASSETS, YOY)", "FPT=A", "FPO=-4A", "ACT_EST_MAPPING=PRECISE", "FS=MRC", "CURRENCY=USD", "XLFILL=b")</f>
        <v/>
      </c>
    </row>
    <row r="231" spans="1:14" x14ac:dyDescent="0.2">
      <c r="A231" s="8" t="s">
        <v>227</v>
      </c>
      <c r="B231" s="4" t="s">
        <v>228</v>
      </c>
      <c r="C231" s="4" t="s">
        <v>229</v>
      </c>
      <c r="D231" s="4"/>
      <c r="E231" s="9">
        <f>_xll.BQL("ULCC US Equity", "CB_BS_PP_AND_E_NET/1M", "FPT=A", "FPO=5A", "ACT_EST_MAPPING=PRECISE", "FS=MRC", "CURRENCY=USD", "XLFILL=b")</f>
        <v>2641.5</v>
      </c>
      <c r="F231" s="9">
        <f>_xll.BQL("ULCC US Equity", "CB_BS_PP_AND_E_NET/1M", "FPT=A", "FPO=4A", "ACT_EST_MAPPING=PRECISE", "FS=MRC", "CURRENCY=USD", "XLFILL=b")</f>
        <v>2041.5</v>
      </c>
      <c r="G231" s="9">
        <f>_xll.BQL("ULCC US Equity", "CB_BS_PP_AND_E_NET/1M", "FPT=A", "FPO=3A", "ACT_EST_MAPPING=PRECISE", "FS=MRC", "CURRENCY=USD", "XLFILL=b")</f>
        <v>646.07390900039525</v>
      </c>
      <c r="H231" s="9">
        <f>_xll.BQL("ULCC US Equity", "CB_BS_PP_AND_E_NET/1M", "FPT=A", "FPO=2A", "ACT_EST_MAPPING=PRECISE", "FS=MRC", "CURRENCY=USD", "XLFILL=b")</f>
        <v>478.66231828826511</v>
      </c>
      <c r="I231" s="9">
        <f>_xll.BQL("ULCC US Equity", "CB_BS_PP_AND_E_NET/1M", "FPT=A", "FPO=1A", "ACT_EST_MAPPING=PRECISE", "FS=MRC", "CURRENCY=USD", "XLFILL=b")</f>
        <v>387.2064467740766</v>
      </c>
      <c r="J231" s="9">
        <f>_xll.BQL("ULCC US Equity", "CB_BS_PP_AND_E_NET/1M", "FPT=A", "FPO=0A", "ACT_EST_MAPPING=PRECISE", "FS=MRC", "CURRENCY=USD", "XLFILL=b")</f>
        <v>309</v>
      </c>
      <c r="K231" s="9">
        <f>_xll.BQL("ULCC US Equity", "CB_BS_PP_AND_E_NET/1M", "FPT=A", "FPO=-1A", "ACT_EST_MAPPING=PRECISE", "FS=MRC", "CURRENCY=USD", "XLFILL=b")</f>
        <v>226</v>
      </c>
      <c r="L231" s="9">
        <f>_xll.BQL("ULCC US Equity", "CB_BS_PP_AND_E_NET/1M", "FPT=A", "FPO=-2A", "ACT_EST_MAPPING=PRECISE", "FS=MRC", "CURRENCY=USD", "XLFILL=b")</f>
        <v>186</v>
      </c>
      <c r="M231" s="9">
        <f>_xll.BQL("ULCC US Equity", "CB_BS_PP_AND_E_NET/1M", "FPT=A", "FPO=-3A", "ACT_EST_MAPPING=PRECISE", "FS=MRC", "CURRENCY=USD", "XLFILL=b")</f>
        <v>176</v>
      </c>
      <c r="N231" s="9">
        <f>_xll.BQL("ULCC US Equity", "CB_BS_PP_AND_E_NET/1M", "FPT=A", "FPO=-4A", "ACT_EST_MAPPING=PRECISE", "FS=MRC", "CURRENCY=USD", "XLFILL=b")</f>
        <v>181</v>
      </c>
    </row>
    <row r="232" spans="1:14" x14ac:dyDescent="0.2">
      <c r="A232" s="8" t="s">
        <v>71</v>
      </c>
      <c r="B232" s="4" t="s">
        <v>228</v>
      </c>
      <c r="C232" s="4" t="s">
        <v>229</v>
      </c>
      <c r="D232" s="4"/>
      <c r="E232" s="9">
        <f>_xll.BQL("ULCC US Equity", "FA_GROWTH(CB_BS_PP_AND_E_NET, YOY)", "FPT=A", "FPO=5A", "ACT_EST_MAPPING=PRECISE", "FS=MRC", "CURRENCY=USD", "XLFILL=b")</f>
        <v>29.390154298310065</v>
      </c>
      <c r="F232" s="9">
        <f>_xll.BQL("ULCC US Equity", "FA_GROWTH(CB_BS_PP_AND_E_NET, YOY)", "FPT=A", "FPO=4A", "ACT_EST_MAPPING=PRECISE", "FS=MRC", "CURRENCY=USD", "XLFILL=b")</f>
        <v>215.98551985462564</v>
      </c>
      <c r="G232" s="9">
        <f>_xll.BQL("ULCC US Equity", "FA_GROWTH(CB_BS_PP_AND_E_NET, YOY)", "FPT=A", "FPO=3A", "ACT_EST_MAPPING=PRECISE", "FS=MRC", "CURRENCY=USD", "XLFILL=b")</f>
        <v>34.974884029059879</v>
      </c>
      <c r="H232" s="9">
        <f>_xll.BQL("ULCC US Equity", "FA_GROWTH(CB_BS_PP_AND_E_NET, YOY)", "FPT=A", "FPO=2A", "ACT_EST_MAPPING=PRECISE", "FS=MRC", "CURRENCY=USD", "XLFILL=b")</f>
        <v>23.619408270738404</v>
      </c>
      <c r="I232" s="9">
        <f>_xll.BQL("ULCC US Equity", "FA_GROWTH(CB_BS_PP_AND_E_NET, YOY)", "FPT=A", "FPO=1A", "ACT_EST_MAPPING=PRECISE", "FS=MRC", "CURRENCY=USD", "XLFILL=b")</f>
        <v>25.309529700348406</v>
      </c>
      <c r="J232" s="9">
        <f>_xll.BQL("ULCC US Equity", "FA_GROWTH(CB_BS_PP_AND_E_NET, YOY)", "FPT=A", "FPO=0A", "ACT_EST_MAPPING=PRECISE", "FS=MRC", "CURRENCY=USD", "XLFILL=b")</f>
        <v>36.725663716814161</v>
      </c>
      <c r="K232" s="9">
        <f>_xll.BQL("ULCC US Equity", "FA_GROWTH(CB_BS_PP_AND_E_NET, YOY)", "FPT=A", "FPO=-1A", "ACT_EST_MAPPING=PRECISE", "FS=MRC", "CURRENCY=USD", "XLFILL=b")</f>
        <v>21.50537634408602</v>
      </c>
      <c r="L232" s="9">
        <f>_xll.BQL("ULCC US Equity", "FA_GROWTH(CB_BS_PP_AND_E_NET, YOY)", "FPT=A", "FPO=-2A", "ACT_EST_MAPPING=PRECISE", "FS=MRC", "CURRENCY=USD", "XLFILL=b")</f>
        <v>5.6818181818181817</v>
      </c>
      <c r="M232" s="9">
        <f>_xll.BQL("ULCC US Equity", "FA_GROWTH(CB_BS_PP_AND_E_NET, YOY)", "FPT=A", "FPO=-3A", "ACT_EST_MAPPING=PRECISE", "FS=MRC", "CURRENCY=USD", "XLFILL=b")</f>
        <v>-2.7624309392265194</v>
      </c>
      <c r="N232" s="9" t="str">
        <f>_xll.BQL("ULCC US Equity", "FA_GROWTH(CB_BS_PP_AND_E_NET, YOY)", "FPT=A", "FPO=-4A", "ACT_EST_MAPPING=PRECISE", "FS=MRC", "CURRENCY=USD", "XLFILL=b")</f>
        <v/>
      </c>
    </row>
    <row r="233" spans="1:14" x14ac:dyDescent="0.2">
      <c r="A233" s="8" t="s">
        <v>230</v>
      </c>
      <c r="B233" s="4" t="s">
        <v>231</v>
      </c>
      <c r="C233" s="4" t="s">
        <v>232</v>
      </c>
      <c r="D233" s="4"/>
      <c r="E233" s="9">
        <f>_xll.BQL("ULCC US Equity", "BS_OPER_LEA_RT_OF_USE_ASSETS/1M", "FPT=A", "FPO=5A", "ACT_EST_MAPPING=PRECISE", "FS=MRC", "CURRENCY=USD", "XLFILL=b")</f>
        <v>5889</v>
      </c>
      <c r="F233" s="9">
        <f>_xll.BQL("ULCC US Equity", "BS_OPER_LEA_RT_OF_USE_ASSETS/1M", "FPT=A", "FPO=4A", "ACT_EST_MAPPING=PRECISE", "FS=MRC", "CURRENCY=USD", "XLFILL=b")</f>
        <v>5389</v>
      </c>
      <c r="G233" s="9">
        <f>_xll.BQL("ULCC US Equity", "BS_OPER_LEA_RT_OF_USE_ASSETS/1M", "FPT=A", "FPO=3A", "ACT_EST_MAPPING=PRECISE", "FS=MRC", "CURRENCY=USD", "XLFILL=b")</f>
        <v>3672.5414936078637</v>
      </c>
      <c r="H233" s="9">
        <f>_xll.BQL("ULCC US Equity", "BS_OPER_LEA_RT_OF_USE_ASSETS/1M", "FPT=A", "FPO=2A", "ACT_EST_MAPPING=PRECISE", "FS=MRC", "CURRENCY=USD", "XLFILL=b")</f>
        <v>3563.3968009570112</v>
      </c>
      <c r="I233" s="9">
        <f>_xll.BQL("ULCC US Equity", "BS_OPER_LEA_RT_OF_USE_ASSETS/1M", "FPT=A", "FPO=1A", "ACT_EST_MAPPING=PRECISE", "FS=MRC", "CURRENCY=USD", "XLFILL=b")</f>
        <v>3382.0755715518308</v>
      </c>
      <c r="J233" s="9">
        <f>_xll.BQL("ULCC US Equity", "BS_OPER_LEA_RT_OF_USE_ASSETS/1M", "FPT=A", "FPO=0A", "ACT_EST_MAPPING=PRECISE", "FS=MRC", "CURRENCY=USD", "XLFILL=b")</f>
        <v>2964</v>
      </c>
      <c r="K233" s="9">
        <f>_xll.BQL("ULCC US Equity", "BS_OPER_LEA_RT_OF_USE_ASSETS/1M", "FPT=A", "FPO=-1A", "ACT_EST_MAPPING=PRECISE", "FS=MRC", "CURRENCY=USD", "XLFILL=b")</f>
        <v>2484</v>
      </c>
      <c r="L233" s="9">
        <f>_xll.BQL("ULCC US Equity", "BS_OPER_LEA_RT_OF_USE_ASSETS/1M", "FPT=A", "FPO=-2A", "ACT_EST_MAPPING=PRECISE", "FS=MRC", "CURRENCY=USD", "XLFILL=b")</f>
        <v>2426</v>
      </c>
      <c r="M233" s="9">
        <f>_xll.BQL("ULCC US Equity", "BS_OPER_LEA_RT_OF_USE_ASSETS/1M", "FPT=A", "FPO=-3A", "ACT_EST_MAPPING=PRECISE", "FS=MRC", "CURRENCY=USD", "XLFILL=b")</f>
        <v>2250</v>
      </c>
      <c r="N233" s="9">
        <f>_xll.BQL("ULCC US Equity", "BS_OPER_LEA_RT_OF_USE_ASSETS/1M", "FPT=A", "FPO=-4A", "ACT_EST_MAPPING=PRECISE", "FS=MRC", "CURRENCY=USD", "XLFILL=b")</f>
        <v>2261</v>
      </c>
    </row>
    <row r="234" spans="1:14" x14ac:dyDescent="0.2">
      <c r="A234" s="8" t="s">
        <v>71</v>
      </c>
      <c r="B234" s="4" t="s">
        <v>231</v>
      </c>
      <c r="C234" s="4" t="s">
        <v>232</v>
      </c>
      <c r="D234" s="4"/>
      <c r="E234" s="9">
        <f>_xll.BQL("ULCC US Equity", "FA_GROWTH(BS_OPER_LEA_RT_OF_USE_ASSETS, YOY)", "FPT=A", "FPO=5A", "ACT_EST_MAPPING=PRECISE", "FS=MRC", "CURRENCY=USD", "XLFILL=b")</f>
        <v>9.2781592132120991</v>
      </c>
      <c r="F234" s="9">
        <f>_xll.BQL("ULCC US Equity", "FA_GROWTH(BS_OPER_LEA_RT_OF_USE_ASSETS, YOY)", "FPT=A", "FPO=4A", "ACT_EST_MAPPING=PRECISE", "FS=MRC", "CURRENCY=USD", "XLFILL=b")</f>
        <v>46.737620511018555</v>
      </c>
      <c r="G234" s="9">
        <f>_xll.BQL("ULCC US Equity", "FA_GROWTH(BS_OPER_LEA_RT_OF_USE_ASSETS, YOY)", "FPT=A", "FPO=3A", "ACT_EST_MAPPING=PRECISE", "FS=MRC", "CURRENCY=USD", "XLFILL=b")</f>
        <v>3.062939626076445</v>
      </c>
      <c r="H234" s="9">
        <f>_xll.BQL("ULCC US Equity", "FA_GROWTH(BS_OPER_LEA_RT_OF_USE_ASSETS, YOY)", "FPT=A", "FPO=2A", "ACT_EST_MAPPING=PRECISE", "FS=MRC", "CURRENCY=USD", "XLFILL=b")</f>
        <v>5.3612412132465463</v>
      </c>
      <c r="I234" s="9">
        <f>_xll.BQL("ULCC US Equity", "FA_GROWTH(BS_OPER_LEA_RT_OF_USE_ASSETS, YOY)", "FPT=A", "FPO=1A", "ACT_EST_MAPPING=PRECISE", "FS=MRC", "CURRENCY=USD", "XLFILL=b")</f>
        <v>14.105113750061767</v>
      </c>
      <c r="J234" s="9">
        <f>_xll.BQL("ULCC US Equity", "FA_GROWTH(BS_OPER_LEA_RT_OF_USE_ASSETS, YOY)", "FPT=A", "FPO=0A", "ACT_EST_MAPPING=PRECISE", "FS=MRC", "CURRENCY=USD", "XLFILL=b")</f>
        <v>19.323671497584542</v>
      </c>
      <c r="K234" s="9">
        <f>_xll.BQL("ULCC US Equity", "FA_GROWTH(BS_OPER_LEA_RT_OF_USE_ASSETS, YOY)", "FPT=A", "FPO=-1A", "ACT_EST_MAPPING=PRECISE", "FS=MRC", "CURRENCY=USD", "XLFILL=b")</f>
        <v>2.3907666941467438</v>
      </c>
      <c r="L234" s="9">
        <f>_xll.BQL("ULCC US Equity", "FA_GROWTH(BS_OPER_LEA_RT_OF_USE_ASSETS, YOY)", "FPT=A", "FPO=-2A", "ACT_EST_MAPPING=PRECISE", "FS=MRC", "CURRENCY=USD", "XLFILL=b")</f>
        <v>7.822222222222222</v>
      </c>
      <c r="M234" s="9">
        <f>_xll.BQL("ULCC US Equity", "FA_GROWTH(BS_OPER_LEA_RT_OF_USE_ASSETS, YOY)", "FPT=A", "FPO=-3A", "ACT_EST_MAPPING=PRECISE", "FS=MRC", "CURRENCY=USD", "XLFILL=b")</f>
        <v>-0.48651039363113668</v>
      </c>
      <c r="N234" s="9" t="str">
        <f>_xll.BQL("ULCC US Equity", "FA_GROWTH(BS_OPER_LEA_RT_OF_USE_ASSETS, YOY)", "FPT=A", "FPO=-4A", "ACT_EST_MAPPING=PRECISE", "FS=MRC", "CURRENCY=USD", "XLFILL=b")</f>
        <v/>
      </c>
    </row>
    <row r="235" spans="1:14" x14ac:dyDescent="0.2">
      <c r="A235" s="8" t="s">
        <v>233</v>
      </c>
      <c r="B235" s="4" t="s">
        <v>234</v>
      </c>
      <c r="C235" s="4"/>
      <c r="D235" s="4"/>
      <c r="E235" s="9">
        <f>_xll.BQL("ULCC US Equity", "CB_BS_PREPAYMENT_FIXED_ASSETS/1M", "FPT=A", "FPO=5A", "ACT_EST_MAPPING=PRECISE", "FS=MRC", "CURRENCY=USD", "XLFILL=b")</f>
        <v>628</v>
      </c>
      <c r="F235" s="9">
        <f>_xll.BQL("ULCC US Equity", "CB_BS_PREPAYMENT_FIXED_ASSETS/1M", "FPT=A", "FPO=4A", "ACT_EST_MAPPING=PRECISE", "FS=MRC", "CURRENCY=USD", "XLFILL=b")</f>
        <v>568</v>
      </c>
      <c r="G235" s="9">
        <f>_xll.BQL("ULCC US Equity", "CB_BS_PREPAYMENT_FIXED_ASSETS/1M", "FPT=A", "FPO=3A", "ACT_EST_MAPPING=PRECISE", "FS=MRC", "CURRENCY=USD", "XLFILL=b")</f>
        <v>697.1970941999956</v>
      </c>
      <c r="H235" s="9">
        <f>_xll.BQL("ULCC US Equity", "CB_BS_PREPAYMENT_FIXED_ASSETS/1M", "FPT=A", "FPO=2A", "ACT_EST_MAPPING=PRECISE", "FS=MRC", "CURRENCY=USD", "XLFILL=b")</f>
        <v>531.87504252136989</v>
      </c>
      <c r="I235" s="9">
        <f>_xll.BQL("ULCC US Equity", "CB_BS_PREPAYMENT_FIXED_ASSETS/1M", "FPT=A", "FPO=1A", "ACT_EST_MAPPING=PRECISE", "FS=MRC", "CURRENCY=USD", "XLFILL=b")</f>
        <v>439.48817091395119</v>
      </c>
      <c r="J235" s="9" t="str">
        <f>_xll.BQL("ULCC US Equity", "CB_BS_PREPAYMENT_FIXED_ASSETS/1M", "FPT=A", "FPO=0A", "ACT_EST_MAPPING=PRECISE", "FS=MRC", "CURRENCY=USD", "XLFILL=b")</f>
        <v/>
      </c>
      <c r="K235" s="9" t="str">
        <f>_xll.BQL("ULCC US Equity", "CB_BS_PREPAYMENT_FIXED_ASSETS/1M", "FPT=A", "FPO=-1A", "ACT_EST_MAPPING=PRECISE", "FS=MRC", "CURRENCY=USD", "XLFILL=b")</f>
        <v/>
      </c>
      <c r="L235" s="9" t="str">
        <f>_xll.BQL("ULCC US Equity", "CB_BS_PREPAYMENT_FIXED_ASSETS/1M", "FPT=A", "FPO=-2A", "ACT_EST_MAPPING=PRECISE", "FS=MRC", "CURRENCY=USD", "XLFILL=b")</f>
        <v/>
      </c>
      <c r="M235" s="9" t="str">
        <f>_xll.BQL("ULCC US Equity", "CB_BS_PREPAYMENT_FIXED_ASSETS/1M", "FPT=A", "FPO=-3A", "ACT_EST_MAPPING=PRECISE", "FS=MRC", "CURRENCY=USD", "XLFILL=b")</f>
        <v/>
      </c>
      <c r="N235" s="9" t="str">
        <f>_xll.BQL("ULCC US Equity", "CB_BS_PREPAYMENT_FIXED_ASSETS/1M", "FPT=A", "FPO=-4A", "ACT_EST_MAPPING=PRECISE", "FS=MRC", "CURRENCY=USD", "XLFILL=b")</f>
        <v/>
      </c>
    </row>
    <row r="236" spans="1:14" x14ac:dyDescent="0.2">
      <c r="A236" s="8" t="s">
        <v>71</v>
      </c>
      <c r="B236" s="4" t="s">
        <v>234</v>
      </c>
      <c r="C236" s="4"/>
      <c r="D236" s="4"/>
      <c r="E236" s="9">
        <f>_xll.BQL("ULCC US Equity", "FA_GROWTH(CB_BS_PREPAYMENT_FIXED_ASSETS, YOY)", "FPT=A", "FPO=5A", "ACT_EST_MAPPING=PRECISE", "FS=MRC", "CURRENCY=USD", "XLFILL=b")</f>
        <v>10.56338028169014</v>
      </c>
      <c r="F236" s="9">
        <f>_xll.BQL("ULCC US Equity", "FA_GROWTH(CB_BS_PREPAYMENT_FIXED_ASSETS, YOY)", "FPT=A", "FPO=4A", "ACT_EST_MAPPING=PRECISE", "FS=MRC", "CURRENCY=USD", "XLFILL=b")</f>
        <v>-18.530928380911263</v>
      </c>
      <c r="G236" s="9">
        <f>_xll.BQL("ULCC US Equity", "FA_GROWTH(CB_BS_PREPAYMENT_FIXED_ASSETS, YOY)", "FPT=A", "FPO=3A", "ACT_EST_MAPPING=PRECISE", "FS=MRC", "CURRENCY=USD", "XLFILL=b")</f>
        <v>31.082874446394673</v>
      </c>
      <c r="H236" s="9">
        <f>_xll.BQL("ULCC US Equity", "FA_GROWTH(CB_BS_PREPAYMENT_FIXED_ASSETS, YOY)", "FPT=A", "FPO=2A", "ACT_EST_MAPPING=PRECISE", "FS=MRC", "CURRENCY=USD", "XLFILL=b")</f>
        <v>21.021469455091985</v>
      </c>
      <c r="I236" s="9" t="str">
        <f>_xll.BQL("ULCC US Equity", "FA_GROWTH(CB_BS_PREPAYMENT_FIXED_ASSETS, YOY)", "FPT=A", "FPO=1A", "ACT_EST_MAPPING=PRECISE", "FS=MRC", "CURRENCY=USD", "XLFILL=b")</f>
        <v/>
      </c>
      <c r="J236" s="9" t="str">
        <f>_xll.BQL("ULCC US Equity", "FA_GROWTH(CB_BS_PREPAYMENT_FIXED_ASSETS, YOY)", "FPT=A", "FPO=0A", "ACT_EST_MAPPING=PRECISE", "FS=MRC", "CURRENCY=USD", "XLFILL=b")</f>
        <v/>
      </c>
      <c r="K236" s="9" t="str">
        <f>_xll.BQL("ULCC US Equity", "FA_GROWTH(CB_BS_PREPAYMENT_FIXED_ASSETS, YOY)", "FPT=A", "FPO=-1A", "ACT_EST_MAPPING=PRECISE", "FS=MRC", "CURRENCY=USD", "XLFILL=b")</f>
        <v/>
      </c>
      <c r="L236" s="9" t="str">
        <f>_xll.BQL("ULCC US Equity", "FA_GROWTH(CB_BS_PREPAYMENT_FIXED_ASSETS, YOY)", "FPT=A", "FPO=-2A", "ACT_EST_MAPPING=PRECISE", "FS=MRC", "CURRENCY=USD", "XLFILL=b")</f>
        <v/>
      </c>
      <c r="M236" s="9" t="str">
        <f>_xll.BQL("ULCC US Equity", "FA_GROWTH(CB_BS_PREPAYMENT_FIXED_ASSETS, YOY)", "FPT=A", "FPO=-3A", "ACT_EST_MAPPING=PRECISE", "FS=MRC", "CURRENCY=USD", "XLFILL=b")</f>
        <v/>
      </c>
      <c r="N236" s="9" t="str">
        <f>_xll.BQL("ULCC US Equity", "FA_GROWTH(CB_BS_PREPAYMENT_FIXED_ASSETS, YOY)", "FPT=A", "FPO=-4A", "ACT_EST_MAPPING=PRECISE", "FS=MRC", "CURRENCY=USD", "XLFILL=b")</f>
        <v/>
      </c>
    </row>
    <row r="237" spans="1:14" x14ac:dyDescent="0.2">
      <c r="A237" s="8" t="s">
        <v>235</v>
      </c>
      <c r="B237" s="4" t="s">
        <v>236</v>
      </c>
      <c r="C237" s="4"/>
      <c r="D237" s="4"/>
      <c r="E237" s="9" t="str">
        <f>_xll.BQL("ULCC US Equity", "CB_BS_CUSTOMER_DEPOSITS_ADVANCES_LT/1M", "FPT=A", "FPO=5A", "ACT_EST_MAPPING=PRECISE", "FS=MRC", "CURRENCY=USD", "XLFILL=b")</f>
        <v/>
      </c>
      <c r="F237" s="9" t="str">
        <f>_xll.BQL("ULCC US Equity", "CB_BS_CUSTOMER_DEPOSITS_ADVANCES_LT/1M", "FPT=A", "FPO=4A", "ACT_EST_MAPPING=PRECISE", "FS=MRC", "CURRENCY=USD", "XLFILL=b")</f>
        <v/>
      </c>
      <c r="G237" s="9">
        <f>_xll.BQL("ULCC US Equity", "CB_BS_CUSTOMER_DEPOSITS_ADVANCES_LT/1M", "FPT=A", "FPO=3A", "ACT_EST_MAPPING=PRECISE", "FS=MRC", "CURRENCY=USD", "XLFILL=b")</f>
        <v>-40</v>
      </c>
      <c r="H237" s="9">
        <f>_xll.BQL("ULCC US Equity", "CB_BS_CUSTOMER_DEPOSITS_ADVANCES_LT/1M", "FPT=A", "FPO=2A", "ACT_EST_MAPPING=PRECISE", "FS=MRC", "CURRENCY=USD", "XLFILL=b")</f>
        <v>30</v>
      </c>
      <c r="I237" s="9">
        <f>_xll.BQL("ULCC US Equity", "CB_BS_CUSTOMER_DEPOSITS_ADVANCES_LT/1M", "FPT=A", "FPO=1A", "ACT_EST_MAPPING=PRECISE", "FS=MRC", "CURRENCY=USD", "XLFILL=b")</f>
        <v>38</v>
      </c>
      <c r="J237" s="9" t="str">
        <f>_xll.BQL("ULCC US Equity", "CB_BS_CUSTOMER_DEPOSITS_ADVANCES_LT/1M", "FPT=A", "FPO=0A", "ACT_EST_MAPPING=PRECISE", "FS=MRC", "CURRENCY=USD", "XLFILL=b")</f>
        <v/>
      </c>
      <c r="K237" s="9" t="str">
        <f>_xll.BQL("ULCC US Equity", "CB_BS_CUSTOMER_DEPOSITS_ADVANCES_LT/1M", "FPT=A", "FPO=-1A", "ACT_EST_MAPPING=PRECISE", "FS=MRC", "CURRENCY=USD", "XLFILL=b")</f>
        <v/>
      </c>
      <c r="L237" s="9" t="str">
        <f>_xll.BQL("ULCC US Equity", "CB_BS_CUSTOMER_DEPOSITS_ADVANCES_LT/1M", "FPT=A", "FPO=-2A", "ACT_EST_MAPPING=PRECISE", "FS=MRC", "CURRENCY=USD", "XLFILL=b")</f>
        <v/>
      </c>
      <c r="M237" s="9" t="str">
        <f>_xll.BQL("ULCC US Equity", "CB_BS_CUSTOMER_DEPOSITS_ADVANCES_LT/1M", "FPT=A", "FPO=-3A", "ACT_EST_MAPPING=PRECISE", "FS=MRC", "CURRENCY=USD", "XLFILL=b")</f>
        <v/>
      </c>
      <c r="N237" s="9" t="str">
        <f>_xll.BQL("ULCC US Equity", "CB_BS_CUSTOMER_DEPOSITS_ADVANCES_LT/1M", "FPT=A", "FPO=-4A", "ACT_EST_MAPPING=PRECISE", "FS=MRC", "CURRENCY=USD", "XLFILL=b")</f>
        <v/>
      </c>
    </row>
    <row r="238" spans="1:14" x14ac:dyDescent="0.2">
      <c r="A238" s="8" t="s">
        <v>71</v>
      </c>
      <c r="B238" s="4" t="s">
        <v>236</v>
      </c>
      <c r="C238" s="4"/>
      <c r="D238" s="4"/>
      <c r="E238" s="9" t="str">
        <f>_xll.BQL("ULCC US Equity", "FA_GROWTH(CB_BS_CUSTOMER_DEPOSITS_ADVANCES_LT, YOY)", "FPT=A", "FPO=5A", "ACT_EST_MAPPING=PRECISE", "FS=MRC", "CURRENCY=USD", "XLFILL=b")</f>
        <v/>
      </c>
      <c r="F238" s="9" t="str">
        <f>_xll.BQL("ULCC US Equity", "FA_GROWTH(CB_BS_CUSTOMER_DEPOSITS_ADVANCES_LT, YOY)", "FPT=A", "FPO=4A", "ACT_EST_MAPPING=PRECISE", "FS=MRC", "CURRENCY=USD", "XLFILL=b")</f>
        <v/>
      </c>
      <c r="G238" s="9">
        <f>_xll.BQL("ULCC US Equity", "FA_GROWTH(CB_BS_CUSTOMER_DEPOSITS_ADVANCES_LT, YOY)", "FPT=A", "FPO=3A", "ACT_EST_MAPPING=PRECISE", "FS=MRC", "CURRENCY=USD", "XLFILL=b")</f>
        <v>-233.33333333333334</v>
      </c>
      <c r="H238" s="9">
        <f>_xll.BQL("ULCC US Equity", "FA_GROWTH(CB_BS_CUSTOMER_DEPOSITS_ADVANCES_LT, YOY)", "FPT=A", "FPO=2A", "ACT_EST_MAPPING=PRECISE", "FS=MRC", "CURRENCY=USD", "XLFILL=b")</f>
        <v>-21.05263157894737</v>
      </c>
      <c r="I238" s="9" t="str">
        <f>_xll.BQL("ULCC US Equity", "FA_GROWTH(CB_BS_CUSTOMER_DEPOSITS_ADVANCES_LT, YOY)", "FPT=A", "FPO=1A", "ACT_EST_MAPPING=PRECISE", "FS=MRC", "CURRENCY=USD", "XLFILL=b")</f>
        <v/>
      </c>
      <c r="J238" s="9" t="str">
        <f>_xll.BQL("ULCC US Equity", "FA_GROWTH(CB_BS_CUSTOMER_DEPOSITS_ADVANCES_LT, YOY)", "FPT=A", "FPO=0A", "ACT_EST_MAPPING=PRECISE", "FS=MRC", "CURRENCY=USD", "XLFILL=b")</f>
        <v/>
      </c>
      <c r="K238" s="9" t="str">
        <f>_xll.BQL("ULCC US Equity", "FA_GROWTH(CB_BS_CUSTOMER_DEPOSITS_ADVANCES_LT, YOY)", "FPT=A", "FPO=-1A", "ACT_EST_MAPPING=PRECISE", "FS=MRC", "CURRENCY=USD", "XLFILL=b")</f>
        <v/>
      </c>
      <c r="L238" s="9" t="str">
        <f>_xll.BQL("ULCC US Equity", "FA_GROWTH(CB_BS_CUSTOMER_DEPOSITS_ADVANCES_LT, YOY)", "FPT=A", "FPO=-2A", "ACT_EST_MAPPING=PRECISE", "FS=MRC", "CURRENCY=USD", "XLFILL=b")</f>
        <v/>
      </c>
      <c r="M238" s="9" t="str">
        <f>_xll.BQL("ULCC US Equity", "FA_GROWTH(CB_BS_CUSTOMER_DEPOSITS_ADVANCES_LT, YOY)", "FPT=A", "FPO=-3A", "ACT_EST_MAPPING=PRECISE", "FS=MRC", "CURRENCY=USD", "XLFILL=b")</f>
        <v/>
      </c>
      <c r="N238" s="9" t="str">
        <f>_xll.BQL("ULCC US Equity", "FA_GROWTH(CB_BS_CUSTOMER_DEPOSITS_ADVANCES_LT, YOY)", "FPT=A", "FPO=-4A", "ACT_EST_MAPPING=PRECISE", "FS=MRC", "CURRENCY=USD", "XLFILL=b")</f>
        <v/>
      </c>
    </row>
    <row r="239" spans="1:14" x14ac:dyDescent="0.2">
      <c r="A239" s="8" t="s">
        <v>237</v>
      </c>
      <c r="B239" s="4" t="s">
        <v>238</v>
      </c>
      <c r="C239" s="4" t="s">
        <v>239</v>
      </c>
      <c r="D239" s="4"/>
      <c r="E239" s="9" t="str">
        <f>_xll.BQL("ULCC US Equity", "BS_DISCLOSED_INTANGIBLES/1M", "FPT=A", "FPO=5A", "ACT_EST_MAPPING=PRECISE", "FS=MRC", "CURRENCY=USD", "XLFILL=b")</f>
        <v/>
      </c>
      <c r="F239" s="9" t="str">
        <f>_xll.BQL("ULCC US Equity", "BS_DISCLOSED_INTANGIBLES/1M", "FPT=A", "FPO=4A", "ACT_EST_MAPPING=PRECISE", "FS=MRC", "CURRENCY=USD", "XLFILL=b")</f>
        <v/>
      </c>
      <c r="G239" s="9">
        <f>_xll.BQL("ULCC US Equity", "BS_DISCLOSED_INTANGIBLES/1M", "FPT=A", "FPO=3A", "ACT_EST_MAPPING=PRECISE", "FS=MRC", "CURRENCY=USD", "XLFILL=b")</f>
        <v>27</v>
      </c>
      <c r="H239" s="9">
        <f>_xll.BQL("ULCC US Equity", "BS_DISCLOSED_INTANGIBLES/1M", "FPT=A", "FPO=2A", "ACT_EST_MAPPING=PRECISE", "FS=MRC", "CURRENCY=USD", "XLFILL=b")</f>
        <v>27.2</v>
      </c>
      <c r="I239" s="9">
        <f>_xll.BQL("ULCC US Equity", "BS_DISCLOSED_INTANGIBLES/1M", "FPT=A", "FPO=1A", "ACT_EST_MAPPING=PRECISE", "FS=MRC", "CURRENCY=USD", "XLFILL=b")</f>
        <v>27.2</v>
      </c>
      <c r="J239" s="9">
        <f>_xll.BQL("ULCC US Equity", "BS_DISCLOSED_INTANGIBLES/1M", "FPT=A", "FPO=0A", "ACT_EST_MAPPING=PRECISE", "FS=MRC", "CURRENCY=USD", "XLFILL=b")</f>
        <v>28</v>
      </c>
      <c r="K239" s="9">
        <f>_xll.BQL("ULCC US Equity", "BS_DISCLOSED_INTANGIBLES/1M", "FPT=A", "FPO=-1A", "ACT_EST_MAPPING=PRECISE", "FS=MRC", "CURRENCY=USD", "XLFILL=b")</f>
        <v>28</v>
      </c>
      <c r="L239" s="9">
        <f>_xll.BQL("ULCC US Equity", "BS_DISCLOSED_INTANGIBLES/1M", "FPT=A", "FPO=-2A", "ACT_EST_MAPPING=PRECISE", "FS=MRC", "CURRENCY=USD", "XLFILL=b")</f>
        <v>29</v>
      </c>
      <c r="M239" s="9">
        <f>_xll.BQL("ULCC US Equity", "BS_DISCLOSED_INTANGIBLES/1M", "FPT=A", "FPO=-3A", "ACT_EST_MAPPING=PRECISE", "FS=MRC", "CURRENCY=USD", "XLFILL=b")</f>
        <v>29</v>
      </c>
      <c r="N239" s="9">
        <f>_xll.BQL("ULCC US Equity", "BS_DISCLOSED_INTANGIBLES/1M", "FPT=A", "FPO=-4A", "ACT_EST_MAPPING=PRECISE", "FS=MRC", "CURRENCY=USD", "XLFILL=b")</f>
        <v>30</v>
      </c>
    </row>
    <row r="240" spans="1:14" x14ac:dyDescent="0.2">
      <c r="A240" s="8" t="s">
        <v>71</v>
      </c>
      <c r="B240" s="4" t="s">
        <v>238</v>
      </c>
      <c r="C240" s="4" t="s">
        <v>239</v>
      </c>
      <c r="D240" s="4"/>
      <c r="E240" s="9" t="str">
        <f>_xll.BQL("ULCC US Equity", "FA_GROWTH(BS_DISCLOSED_INTANGIBLES, YOY)", "FPT=A", "FPO=5A", "ACT_EST_MAPPING=PRECISE", "FS=MRC", "CURRENCY=USD", "XLFILL=b")</f>
        <v/>
      </c>
      <c r="F240" s="9" t="str">
        <f>_xll.BQL("ULCC US Equity", "FA_GROWTH(BS_DISCLOSED_INTANGIBLES, YOY)", "FPT=A", "FPO=4A", "ACT_EST_MAPPING=PRECISE", "FS=MRC", "CURRENCY=USD", "XLFILL=b")</f>
        <v/>
      </c>
      <c r="G240" s="9">
        <f>_xll.BQL("ULCC US Equity", "FA_GROWTH(BS_DISCLOSED_INTANGIBLES, YOY)", "FPT=A", "FPO=3A", "ACT_EST_MAPPING=PRECISE", "FS=MRC", "CURRENCY=USD", "XLFILL=b")</f>
        <v>-0.73529411764705888</v>
      </c>
      <c r="H240" s="9">
        <f>_xll.BQL("ULCC US Equity", "FA_GROWTH(BS_DISCLOSED_INTANGIBLES, YOY)", "FPT=A", "FPO=2A", "ACT_EST_MAPPING=PRECISE", "FS=MRC", "CURRENCY=USD", "XLFILL=b")</f>
        <v>0</v>
      </c>
      <c r="I240" s="9">
        <f>_xll.BQL("ULCC US Equity", "FA_GROWTH(BS_DISCLOSED_INTANGIBLES, YOY)", "FPT=A", "FPO=1A", "ACT_EST_MAPPING=PRECISE", "FS=MRC", "CURRENCY=USD", "XLFILL=b")</f>
        <v>-2.8571428571428572</v>
      </c>
      <c r="J240" s="9">
        <f>_xll.BQL("ULCC US Equity", "FA_GROWTH(BS_DISCLOSED_INTANGIBLES, YOY)", "FPT=A", "FPO=0A", "ACT_EST_MAPPING=PRECISE", "FS=MRC", "CURRENCY=USD", "XLFILL=b")</f>
        <v>0</v>
      </c>
      <c r="K240" s="9">
        <f>_xll.BQL("ULCC US Equity", "FA_GROWTH(BS_DISCLOSED_INTANGIBLES, YOY)", "FPT=A", "FPO=-1A", "ACT_EST_MAPPING=PRECISE", "FS=MRC", "CURRENCY=USD", "XLFILL=b")</f>
        <v>-3.4482758620689653</v>
      </c>
      <c r="L240" s="9">
        <f>_xll.BQL("ULCC US Equity", "FA_GROWTH(BS_DISCLOSED_INTANGIBLES, YOY)", "FPT=A", "FPO=-2A", "ACT_EST_MAPPING=PRECISE", "FS=MRC", "CURRENCY=USD", "XLFILL=b")</f>
        <v>0</v>
      </c>
      <c r="M240" s="9">
        <f>_xll.BQL("ULCC US Equity", "FA_GROWTH(BS_DISCLOSED_INTANGIBLES, YOY)", "FPT=A", "FPO=-3A", "ACT_EST_MAPPING=PRECISE", "FS=MRC", "CURRENCY=USD", "XLFILL=b")</f>
        <v>-3.3333333333333335</v>
      </c>
      <c r="N240" s="9" t="str">
        <f>_xll.BQL("ULCC US Equity", "FA_GROWTH(BS_DISCLOSED_INTANGIBLES, YOY)", "FPT=A", "FPO=-4A", "ACT_EST_MAPPING=PRECISE", "FS=MRC", "CURRENCY=USD", "XLFILL=b")</f>
        <v/>
      </c>
    </row>
    <row r="241" spans="1:14" x14ac:dyDescent="0.2">
      <c r="A241" s="8" t="s">
        <v>240</v>
      </c>
      <c r="B241" s="4" t="s">
        <v>241</v>
      </c>
      <c r="C241" s="4" t="s">
        <v>242</v>
      </c>
      <c r="D241" s="4"/>
      <c r="E241" s="9" t="str">
        <f>_xll.BQL("ULCC US Equity", "CB_BS_OTHER_NONCURRENT_ASSETS/1M", "FPT=A", "FPO=5A", "ACT_EST_MAPPING=PRECISE", "FS=MRC", "CURRENCY=USD", "XLFILL=b")</f>
        <v/>
      </c>
      <c r="F241" s="9" t="str">
        <f>_xll.BQL("ULCC US Equity", "CB_BS_OTHER_NONCURRENT_ASSETS/1M", "FPT=A", "FPO=4A", "ACT_EST_MAPPING=PRECISE", "FS=MRC", "CURRENCY=USD", "XLFILL=b")</f>
        <v/>
      </c>
      <c r="G241" s="9">
        <f>_xll.BQL("ULCC US Equity", "CB_BS_OTHER_NONCURRENT_ASSETS/1M", "FPT=A", "FPO=3A", "ACT_EST_MAPPING=PRECISE", "FS=MRC", "CURRENCY=USD", "XLFILL=b")</f>
        <v>384</v>
      </c>
      <c r="H241" s="9">
        <f>_xll.BQL("ULCC US Equity", "CB_BS_OTHER_NONCURRENT_ASSETS/1M", "FPT=A", "FPO=2A", "ACT_EST_MAPPING=PRECISE", "FS=MRC", "CURRENCY=USD", "XLFILL=b")</f>
        <v>371</v>
      </c>
      <c r="I241" s="9">
        <f>_xll.BQL("ULCC US Equity", "CB_BS_OTHER_NONCURRENT_ASSETS/1M", "FPT=A", "FPO=1A", "ACT_EST_MAPPING=PRECISE", "FS=MRC", "CURRENCY=USD", "XLFILL=b")</f>
        <v>370.75</v>
      </c>
      <c r="J241" s="9">
        <f>_xll.BQL("ULCC US Equity", "CB_BS_OTHER_NONCURRENT_ASSETS/1M", "FPT=A", "FPO=0A", "ACT_EST_MAPPING=PRECISE", "FS=MRC", "CURRENCY=USD", "XLFILL=b")</f>
        <v>330</v>
      </c>
      <c r="K241" s="9">
        <f>_xll.BQL("ULCC US Equity", "CB_BS_OTHER_NONCURRENT_ASSETS/1M", "FPT=A", "FPO=-1A", "ACT_EST_MAPPING=PRECISE", "FS=MRC", "CURRENCY=USD", "XLFILL=b")</f>
        <v>265</v>
      </c>
      <c r="L241" s="9">
        <f>_xll.BQL("ULCC US Equity", "CB_BS_OTHER_NONCURRENT_ASSETS/1M", "FPT=A", "FPO=-2A", "ACT_EST_MAPPING=PRECISE", "FS=MRC", "CURRENCY=USD", "XLFILL=b")</f>
        <v>199</v>
      </c>
      <c r="M241" s="9">
        <f>_xll.BQL("ULCC US Equity", "CB_BS_OTHER_NONCURRENT_ASSETS/1M", "FPT=A", "FPO=-3A", "ACT_EST_MAPPING=PRECISE", "FS=MRC", "CURRENCY=USD", "XLFILL=b")</f>
        <v>143</v>
      </c>
      <c r="N241" s="9">
        <f>_xll.BQL("ULCC US Equity", "CB_BS_OTHER_NONCURRENT_ASSETS/1M", "FPT=A", "FPO=-4A", "ACT_EST_MAPPING=PRECISE", "FS=MRC", "CURRENCY=USD", "XLFILL=b")</f>
        <v>125</v>
      </c>
    </row>
    <row r="242" spans="1:14" x14ac:dyDescent="0.2">
      <c r="A242" s="8" t="s">
        <v>71</v>
      </c>
      <c r="B242" s="4" t="s">
        <v>241</v>
      </c>
      <c r="C242" s="4" t="s">
        <v>242</v>
      </c>
      <c r="D242" s="4"/>
      <c r="E242" s="9" t="str">
        <f>_xll.BQL("ULCC US Equity", "FA_GROWTH(CB_BS_OTHER_NONCURRENT_ASSETS, YOY)", "FPT=A", "FPO=5A", "ACT_EST_MAPPING=PRECISE", "FS=MRC", "CURRENCY=USD", "XLFILL=b")</f>
        <v/>
      </c>
      <c r="F242" s="9" t="str">
        <f>_xll.BQL("ULCC US Equity", "FA_GROWTH(CB_BS_OTHER_NONCURRENT_ASSETS, YOY)", "FPT=A", "FPO=4A", "ACT_EST_MAPPING=PRECISE", "FS=MRC", "CURRENCY=USD", "XLFILL=b")</f>
        <v/>
      </c>
      <c r="G242" s="9">
        <f>_xll.BQL("ULCC US Equity", "FA_GROWTH(CB_BS_OTHER_NONCURRENT_ASSETS, YOY)", "FPT=A", "FPO=3A", "ACT_EST_MAPPING=PRECISE", "FS=MRC", "CURRENCY=USD", "XLFILL=b")</f>
        <v>3.5040431266846359</v>
      </c>
      <c r="H242" s="9">
        <f>_xll.BQL("ULCC US Equity", "FA_GROWTH(CB_BS_OTHER_NONCURRENT_ASSETS, YOY)", "FPT=A", "FPO=2A", "ACT_EST_MAPPING=PRECISE", "FS=MRC", "CURRENCY=USD", "XLFILL=b")</f>
        <v>6.7430883344571813E-2</v>
      </c>
      <c r="I242" s="9">
        <f>_xll.BQL("ULCC US Equity", "FA_GROWTH(CB_BS_OTHER_NONCURRENT_ASSETS, YOY)", "FPT=A", "FPO=1A", "ACT_EST_MAPPING=PRECISE", "FS=MRC", "CURRENCY=USD", "XLFILL=b")</f>
        <v>12.348484848484848</v>
      </c>
      <c r="J242" s="9">
        <f>_xll.BQL("ULCC US Equity", "FA_GROWTH(CB_BS_OTHER_NONCURRENT_ASSETS, YOY)", "FPT=A", "FPO=0A", "ACT_EST_MAPPING=PRECISE", "FS=MRC", "CURRENCY=USD", "XLFILL=b")</f>
        <v>24.528301886792452</v>
      </c>
      <c r="K242" s="9">
        <f>_xll.BQL("ULCC US Equity", "FA_GROWTH(CB_BS_OTHER_NONCURRENT_ASSETS, YOY)", "FPT=A", "FPO=-1A", "ACT_EST_MAPPING=PRECISE", "FS=MRC", "CURRENCY=USD", "XLFILL=b")</f>
        <v>33.165829145728644</v>
      </c>
      <c r="L242" s="9">
        <f>_xll.BQL("ULCC US Equity", "FA_GROWTH(CB_BS_OTHER_NONCURRENT_ASSETS, YOY)", "FPT=A", "FPO=-2A", "ACT_EST_MAPPING=PRECISE", "FS=MRC", "CURRENCY=USD", "XLFILL=b")</f>
        <v>39.16083916083916</v>
      </c>
      <c r="M242" s="9">
        <f>_xll.BQL("ULCC US Equity", "FA_GROWTH(CB_BS_OTHER_NONCURRENT_ASSETS, YOY)", "FPT=A", "FPO=-3A", "ACT_EST_MAPPING=PRECISE", "FS=MRC", "CURRENCY=USD", "XLFILL=b")</f>
        <v>14.4</v>
      </c>
      <c r="N242" s="9" t="str">
        <f>_xll.BQL("ULCC US Equity", "FA_GROWTH(CB_BS_OTHER_NONCURRENT_ASSETS, YOY)", "FPT=A", "FPO=-4A", "ACT_EST_MAPPING=PRECISE", "FS=MRC", "CURRENCY=USD", "XLFILL=b")</f>
        <v/>
      </c>
    </row>
    <row r="243" spans="1:14" x14ac:dyDescent="0.2">
      <c r="A243" s="8" t="s">
        <v>243</v>
      </c>
      <c r="B243" s="4" t="s">
        <v>244</v>
      </c>
      <c r="C243" s="4" t="s">
        <v>245</v>
      </c>
      <c r="D243" s="4"/>
      <c r="E243" s="9">
        <f>_xll.BQL("ULCC US Equity", "BS_TOT_ASSET/1M", "FPT=A", "FPO=5A", "ACT_EST_MAPPING=PRECISE", "FS=MRC", "CURRENCY=USD", "XLFILL=b")</f>
        <v>10302.712758753152</v>
      </c>
      <c r="F243" s="9">
        <f>_xll.BQL("ULCC US Equity", "BS_TOT_ASSET/1M", "FPT=A", "FPO=4A", "ACT_EST_MAPPING=PRECISE", "FS=MRC", "CURRENCY=USD", "XLFILL=b")</f>
        <v>9127.7664459081843</v>
      </c>
      <c r="G243" s="9">
        <f>_xll.BQL("ULCC US Equity", "BS_TOT_ASSET/1M", "FPT=A", "FPO=3A", "ACT_EST_MAPPING=PRECISE", "FS=MRC", "CURRENCY=USD", "XLFILL=b")</f>
        <v>6312.1147952251467</v>
      </c>
      <c r="H243" s="9">
        <f>_xll.BQL("ULCC US Equity", "BS_TOT_ASSET/1M", "FPT=A", "FPO=2A", "ACT_EST_MAPPING=PRECISE", "FS=MRC", "CURRENCY=USD", "XLFILL=b")</f>
        <v>5908.6787237635108</v>
      </c>
      <c r="I243" s="9">
        <f>_xll.BQL("ULCC US Equity", "BS_TOT_ASSET/1M", "FPT=A", "FPO=1A", "ACT_EST_MAPPING=PRECISE", "FS=MRC", "CURRENCY=USD", "XLFILL=b")</f>
        <v>5577.7695738603279</v>
      </c>
      <c r="J243" s="9">
        <f>_xll.BQL("ULCC US Equity", "BS_TOT_ASSET/1M", "FPT=A", "FPO=0A", "ACT_EST_MAPPING=PRECISE", "FS=MRC", "CURRENCY=USD", "XLFILL=b")</f>
        <v>4993</v>
      </c>
      <c r="K243" s="9">
        <f>_xll.BQL("ULCC US Equity", "BS_TOT_ASSET/1M", "FPT=A", "FPO=-1A", "ACT_EST_MAPPING=PRECISE", "FS=MRC", "CURRENCY=USD", "XLFILL=b")</f>
        <v>4499</v>
      </c>
      <c r="L243" s="9">
        <f>_xll.BQL("ULCC US Equity", "BS_TOT_ASSET/1M", "FPT=A", "FPO=-2A", "ACT_EST_MAPPING=PRECISE", "FS=MRC", "CURRENCY=USD", "XLFILL=b")</f>
        <v>4235</v>
      </c>
      <c r="M243" s="9">
        <f>_xll.BQL("ULCC US Equity", "BS_TOT_ASSET/1M", "FPT=A", "FPO=-3A", "ACT_EST_MAPPING=PRECISE", "FS=MRC", "CURRENCY=USD", "XLFILL=b")</f>
        <v>3554</v>
      </c>
      <c r="N243" s="9">
        <f>_xll.BQL("ULCC US Equity", "BS_TOT_ASSET/1M", "FPT=A", "FPO=-4A", "ACT_EST_MAPPING=PRECISE", "FS=MRC", "CURRENCY=USD", "XLFILL=b")</f>
        <v>3864</v>
      </c>
    </row>
    <row r="244" spans="1:14" x14ac:dyDescent="0.2">
      <c r="A244" s="8" t="s">
        <v>28</v>
      </c>
      <c r="B244" s="4" t="s">
        <v>244</v>
      </c>
      <c r="C244" s="4" t="s">
        <v>245</v>
      </c>
      <c r="D244" s="4"/>
      <c r="E244" s="9">
        <f>_xll.BQL("ULCC US Equity", "FA_GROWTH(BS_TOT_ASSET, YOY)", "FPT=A", "FPO=5A", "ACT_EST_MAPPING=PRECISE", "FS=MRC", "CURRENCY=USD", "XLFILL=b")</f>
        <v>12.872221477267054</v>
      </c>
      <c r="F244" s="9">
        <f>_xll.BQL("ULCC US Equity", "FA_GROWTH(BS_TOT_ASSET, YOY)", "FPT=A", "FPO=4A", "ACT_EST_MAPPING=PRECISE", "FS=MRC", "CURRENCY=USD", "XLFILL=b")</f>
        <v>44.607104623841153</v>
      </c>
      <c r="G244" s="9">
        <f>_xll.BQL("ULCC US Equity", "FA_GROWTH(BS_TOT_ASSET, YOY)", "FPT=A", "FPO=3A", "ACT_EST_MAPPING=PRECISE", "FS=MRC", "CURRENCY=USD", "XLFILL=b")</f>
        <v>6.8278559441571485</v>
      </c>
      <c r="H244" s="9">
        <f>_xll.BQL("ULCC US Equity", "FA_GROWTH(BS_TOT_ASSET, YOY)", "FPT=A", "FPO=2A", "ACT_EST_MAPPING=PRECISE", "FS=MRC", "CURRENCY=USD", "XLFILL=b")</f>
        <v>5.9326428874716584</v>
      </c>
      <c r="I244" s="9">
        <f>_xll.BQL("ULCC US Equity", "FA_GROWTH(BS_TOT_ASSET, YOY)", "FPT=A", "FPO=1A", "ACT_EST_MAPPING=PRECISE", "FS=MRC", "CURRENCY=USD", "XLFILL=b")</f>
        <v>11.711787980379086</v>
      </c>
      <c r="J244" s="9">
        <f>_xll.BQL("ULCC US Equity", "FA_GROWTH(BS_TOT_ASSET, YOY)", "FPT=A", "FPO=0A", "ACT_EST_MAPPING=PRECISE", "FS=MRC", "CURRENCY=USD", "XLFILL=b")</f>
        <v>10.980217826183596</v>
      </c>
      <c r="K244" s="9">
        <f>_xll.BQL("ULCC US Equity", "FA_GROWTH(BS_TOT_ASSET, YOY)", "FPT=A", "FPO=-1A", "ACT_EST_MAPPING=PRECISE", "FS=MRC", "CURRENCY=USD", "XLFILL=b")</f>
        <v>6.2337662337662341</v>
      </c>
      <c r="L244" s="9">
        <f>_xll.BQL("ULCC US Equity", "FA_GROWTH(BS_TOT_ASSET, YOY)", "FPT=A", "FPO=-2A", "ACT_EST_MAPPING=PRECISE", "FS=MRC", "CURRENCY=USD", "XLFILL=b")</f>
        <v>19.16150815981992</v>
      </c>
      <c r="M244" s="9">
        <f>_xll.BQL("ULCC US Equity", "FA_GROWTH(BS_TOT_ASSET, YOY)", "FPT=A", "FPO=-3A", "ACT_EST_MAPPING=PRECISE", "FS=MRC", "CURRENCY=USD", "XLFILL=b")</f>
        <v>-8.0227743271221534</v>
      </c>
      <c r="N244" s="9" t="str">
        <f>_xll.BQL("ULCC US Equity", "FA_GROWTH(BS_TOT_ASSET, YOY)", "FPT=A", "FPO=-4A", "ACT_EST_MAPPING=PRECISE", "FS=MRC", "CURRENCY=USD", "XLFILL=b")</f>
        <v/>
      </c>
    </row>
    <row r="245" spans="1:14" x14ac:dyDescent="0.2">
      <c r="A245" s="8" t="s">
        <v>16</v>
      </c>
      <c r="B245" s="4"/>
      <c r="C245" s="4"/>
      <c r="D245" s="4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x14ac:dyDescent="0.2">
      <c r="A246" s="8" t="s">
        <v>246</v>
      </c>
      <c r="B246" s="4"/>
      <c r="C246" s="4" t="s">
        <v>247</v>
      </c>
      <c r="D246" s="4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x14ac:dyDescent="0.2">
      <c r="A247" s="8" t="s">
        <v>248</v>
      </c>
      <c r="B247" s="4" t="s">
        <v>249</v>
      </c>
      <c r="C247" s="4" t="s">
        <v>250</v>
      </c>
      <c r="D247" s="4"/>
      <c r="E247" s="9">
        <f>_xll.BQL("ULCC US Equity", "BS_CUR_LIAB/1M", "FPT=A", "FPO=5A", "ACT_EST_MAPPING=PRECISE", "FS=MRC", "CURRENCY=USD", "XLFILL=b")</f>
        <v>1732</v>
      </c>
      <c r="F247" s="9">
        <f>_xll.BQL("ULCC US Equity", "BS_CUR_LIAB/1M", "FPT=A", "FPO=4A", "ACT_EST_MAPPING=PRECISE", "FS=MRC", "CURRENCY=USD", "XLFILL=b")</f>
        <v>1721.5</v>
      </c>
      <c r="G247" s="9">
        <f>_xll.BQL("ULCC US Equity", "BS_CUR_LIAB/1M", "FPT=A", "FPO=3A", "ACT_EST_MAPPING=PRECISE", "FS=MRC", "CURRENCY=USD", "XLFILL=b")</f>
        <v>1920.6258629795145</v>
      </c>
      <c r="H247" s="9">
        <f>_xll.BQL("ULCC US Equity", "BS_CUR_LIAB/1M", "FPT=A", "FPO=2A", "ACT_EST_MAPPING=PRECISE", "FS=MRC", "CURRENCY=USD", "XLFILL=b")</f>
        <v>1853.6555317527468</v>
      </c>
      <c r="I247" s="9">
        <f>_xll.BQL("ULCC US Equity", "BS_CUR_LIAB/1M", "FPT=A", "FPO=1A", "ACT_EST_MAPPING=PRECISE", "FS=MRC", "CURRENCY=USD", "XLFILL=b")</f>
        <v>1767.2165118737637</v>
      </c>
      <c r="J247" s="9">
        <f>_xll.BQL("ULCC US Equity", "BS_CUR_LIAB/1M", "FPT=A", "FPO=0A", "ACT_EST_MAPPING=PRECISE", "FS=MRC", "CURRENCY=USD", "XLFILL=b")</f>
        <v>1658</v>
      </c>
      <c r="K247" s="9">
        <f>_xll.BQL("ULCC US Equity", "BS_CUR_LIAB/1M", "FPT=A", "FPO=-1A", "ACT_EST_MAPPING=PRECISE", "FS=MRC", "CURRENCY=USD", "XLFILL=b")</f>
        <v>1555</v>
      </c>
      <c r="L247" s="9">
        <f>_xll.BQL("ULCC US Equity", "BS_CUR_LIAB/1M", "FPT=A", "FPO=-2A", "ACT_EST_MAPPING=PRECISE", "FS=MRC", "CURRENCY=USD", "XLFILL=b")</f>
        <v>1326</v>
      </c>
      <c r="M247" s="9">
        <f>_xll.BQL("ULCC US Equity", "BS_CUR_LIAB/1M", "FPT=A", "FPO=-3A", "ACT_EST_MAPPING=PRECISE", "FS=MRC", "CURRENCY=USD", "XLFILL=b")</f>
        <v>1003</v>
      </c>
      <c r="N247" s="9">
        <f>_xll.BQL("ULCC US Equity", "BS_CUR_LIAB/1M", "FPT=A", "FPO=-4A", "ACT_EST_MAPPING=PRECISE", "FS=MRC", "CURRENCY=USD", "XLFILL=b")</f>
        <v>1254</v>
      </c>
    </row>
    <row r="248" spans="1:14" x14ac:dyDescent="0.2">
      <c r="A248" s="8" t="s">
        <v>28</v>
      </c>
      <c r="B248" s="4" t="s">
        <v>249</v>
      </c>
      <c r="C248" s="4" t="s">
        <v>250</v>
      </c>
      <c r="D248" s="4"/>
      <c r="E248" s="9">
        <f>_xll.BQL("ULCC US Equity", "FA_GROWTH(BS_CUR_LIAB, YOY)", "FPT=A", "FPO=5A", "ACT_EST_MAPPING=PRECISE", "FS=MRC", "CURRENCY=USD", "XLFILL=b")</f>
        <v>0.60993319779262267</v>
      </c>
      <c r="F248" s="9">
        <f>_xll.BQL("ULCC US Equity", "FA_GROWTH(BS_CUR_LIAB, YOY)", "FPT=A", "FPO=4A", "ACT_EST_MAPPING=PRECISE", "FS=MRC", "CURRENCY=USD", "XLFILL=b")</f>
        <v>-10.367759115281606</v>
      </c>
      <c r="G248" s="9">
        <f>_xll.BQL("ULCC US Equity", "FA_GROWTH(BS_CUR_LIAB, YOY)", "FPT=A", "FPO=3A", "ACT_EST_MAPPING=PRECISE", "FS=MRC", "CURRENCY=USD", "XLFILL=b")</f>
        <v>3.6128789885488142</v>
      </c>
      <c r="H248" s="9">
        <f>_xll.BQL("ULCC US Equity", "FA_GROWTH(BS_CUR_LIAB, YOY)", "FPT=A", "FPO=2A", "ACT_EST_MAPPING=PRECISE", "FS=MRC", "CURRENCY=USD", "XLFILL=b")</f>
        <v>4.8912523903102567</v>
      </c>
      <c r="I248" s="9">
        <f>_xll.BQL("ULCC US Equity", "FA_GROWTH(BS_CUR_LIAB, YOY)", "FPT=A", "FPO=1A", "ACT_EST_MAPPING=PRECISE", "FS=MRC", "CURRENCY=USD", "XLFILL=b")</f>
        <v>6.5872443832185654</v>
      </c>
      <c r="J248" s="9">
        <f>_xll.BQL("ULCC US Equity", "FA_GROWTH(BS_CUR_LIAB, YOY)", "FPT=A", "FPO=0A", "ACT_EST_MAPPING=PRECISE", "FS=MRC", "CURRENCY=USD", "XLFILL=b")</f>
        <v>6.6237942122186499</v>
      </c>
      <c r="K248" s="9">
        <f>_xll.BQL("ULCC US Equity", "FA_GROWTH(BS_CUR_LIAB, YOY)", "FPT=A", "FPO=-1A", "ACT_EST_MAPPING=PRECISE", "FS=MRC", "CURRENCY=USD", "XLFILL=b")</f>
        <v>17.26998491704374</v>
      </c>
      <c r="L248" s="9">
        <f>_xll.BQL("ULCC US Equity", "FA_GROWTH(BS_CUR_LIAB, YOY)", "FPT=A", "FPO=-2A", "ACT_EST_MAPPING=PRECISE", "FS=MRC", "CURRENCY=USD", "XLFILL=b")</f>
        <v>32.203389830508478</v>
      </c>
      <c r="M248" s="9">
        <f>_xll.BQL("ULCC US Equity", "FA_GROWTH(BS_CUR_LIAB, YOY)", "FPT=A", "FPO=-3A", "ACT_EST_MAPPING=PRECISE", "FS=MRC", "CURRENCY=USD", "XLFILL=b")</f>
        <v>-20.015948963317385</v>
      </c>
      <c r="N248" s="9" t="str">
        <f>_xll.BQL("ULCC US Equity", "FA_GROWTH(BS_CUR_LIAB, YOY)", "FPT=A", "FPO=-4A", "ACT_EST_MAPPING=PRECISE", "FS=MRC", "CURRENCY=USD", "XLFILL=b")</f>
        <v/>
      </c>
    </row>
    <row r="249" spans="1:14" x14ac:dyDescent="0.2">
      <c r="A249" s="8" t="s">
        <v>251</v>
      </c>
      <c r="B249" s="4" t="s">
        <v>252</v>
      </c>
      <c r="C249" s="4" t="s">
        <v>253</v>
      </c>
      <c r="D249" s="4"/>
      <c r="E249" s="9">
        <f>_xll.BQL("ULCC US Equity", "BS_ACCT_PAYABLE/1M", "FPT=A", "FPO=5A", "ACT_EST_MAPPING=PRECISE", "FS=MRC", "CURRENCY=USD", "XLFILL=b")</f>
        <v>264.75</v>
      </c>
      <c r="F249" s="9">
        <f>_xll.BQL("ULCC US Equity", "BS_ACCT_PAYABLE/1M", "FPT=A", "FPO=4A", "ACT_EST_MAPPING=PRECISE", "FS=MRC", "CURRENCY=USD", "XLFILL=b")</f>
        <v>238.75</v>
      </c>
      <c r="G249" s="9">
        <f>_xll.BQL("ULCC US Equity", "BS_ACCT_PAYABLE/1M", "FPT=A", "FPO=3A", "ACT_EST_MAPPING=PRECISE", "FS=MRC", "CURRENCY=USD", "XLFILL=b")</f>
        <v>151.73155162383264</v>
      </c>
      <c r="H249" s="9">
        <f>_xll.BQL("ULCC US Equity", "BS_ACCT_PAYABLE/1M", "FPT=A", "FPO=2A", "ACT_EST_MAPPING=PRECISE", "FS=MRC", "CURRENCY=USD", "XLFILL=b")</f>
        <v>131.29669303523667</v>
      </c>
      <c r="I249" s="9">
        <f>_xll.BQL("ULCC US Equity", "BS_ACCT_PAYABLE/1M", "FPT=A", "FPO=1A", "ACT_EST_MAPPING=PRECISE", "FS=MRC", "CURRENCY=USD", "XLFILL=b")</f>
        <v>119.86251428295701</v>
      </c>
      <c r="J249" s="9">
        <f>_xll.BQL("ULCC US Equity", "BS_ACCT_PAYABLE/1M", "FPT=A", "FPO=0A", "ACT_EST_MAPPING=PRECISE", "FS=MRC", "CURRENCY=USD", "XLFILL=b")</f>
        <v>134</v>
      </c>
      <c r="K249" s="9">
        <f>_xll.BQL("ULCC US Equity", "BS_ACCT_PAYABLE/1M", "FPT=A", "FPO=-1A", "ACT_EST_MAPPING=PRECISE", "FS=MRC", "CURRENCY=USD", "XLFILL=b")</f>
        <v>89</v>
      </c>
      <c r="L249" s="9">
        <f>_xll.BQL("ULCC US Equity", "BS_ACCT_PAYABLE/1M", "FPT=A", "FPO=-2A", "ACT_EST_MAPPING=PRECISE", "FS=MRC", "CURRENCY=USD", "XLFILL=b")</f>
        <v>86</v>
      </c>
      <c r="M249" s="9">
        <f>_xll.BQL("ULCC US Equity", "BS_ACCT_PAYABLE/1M", "FPT=A", "FPO=-3A", "ACT_EST_MAPPING=PRECISE", "FS=MRC", "CURRENCY=USD", "XLFILL=b")</f>
        <v>71</v>
      </c>
      <c r="N249" s="9">
        <f>_xll.BQL("ULCC US Equity", "BS_ACCT_PAYABLE/1M", "FPT=A", "FPO=-4A", "ACT_EST_MAPPING=PRECISE", "FS=MRC", "CURRENCY=USD", "XLFILL=b")</f>
        <v>71</v>
      </c>
    </row>
    <row r="250" spans="1:14" x14ac:dyDescent="0.2">
      <c r="A250" s="8" t="s">
        <v>71</v>
      </c>
      <c r="B250" s="4" t="s">
        <v>252</v>
      </c>
      <c r="C250" s="4" t="s">
        <v>253</v>
      </c>
      <c r="D250" s="4"/>
      <c r="E250" s="9">
        <f>_xll.BQL("ULCC US Equity", "FA_GROWTH(BS_ACCT_PAYABLE, YOY)", "FPT=A", "FPO=5A", "ACT_EST_MAPPING=PRECISE", "FS=MRC", "CURRENCY=USD", "XLFILL=b")</f>
        <v>10.890052356020943</v>
      </c>
      <c r="F250" s="9">
        <f>_xll.BQL("ULCC US Equity", "FA_GROWTH(BS_ACCT_PAYABLE, YOY)", "FPT=A", "FPO=4A", "ACT_EST_MAPPING=PRECISE", "FS=MRC", "CURRENCY=USD", "XLFILL=b")</f>
        <v>57.35026594330251</v>
      </c>
      <c r="G250" s="9">
        <f>_xll.BQL("ULCC US Equity", "FA_GROWTH(BS_ACCT_PAYABLE, YOY)", "FPT=A", "FPO=3A", "ACT_EST_MAPPING=PRECISE", "FS=MRC", "CURRENCY=USD", "XLFILL=b")</f>
        <v>15.563879116979571</v>
      </c>
      <c r="H250" s="9">
        <f>_xll.BQL("ULCC US Equity", "FA_GROWTH(BS_ACCT_PAYABLE, YOY)", "FPT=A", "FPO=2A", "ACT_EST_MAPPING=PRECISE", "FS=MRC", "CURRENCY=USD", "XLFILL=b")</f>
        <v>9.5394117340866345</v>
      </c>
      <c r="I250" s="9">
        <f>_xll.BQL("ULCC US Equity", "FA_GROWTH(BS_ACCT_PAYABLE, YOY)", "FPT=A", "FPO=1A", "ACT_EST_MAPPING=PRECISE", "FS=MRC", "CURRENCY=USD", "XLFILL=b")</f>
        <v>-10.550362475405221</v>
      </c>
      <c r="J250" s="9">
        <f>_xll.BQL("ULCC US Equity", "FA_GROWTH(BS_ACCT_PAYABLE, YOY)", "FPT=A", "FPO=0A", "ACT_EST_MAPPING=PRECISE", "FS=MRC", "CURRENCY=USD", "XLFILL=b")</f>
        <v>50.561797752808985</v>
      </c>
      <c r="K250" s="9">
        <f>_xll.BQL("ULCC US Equity", "FA_GROWTH(BS_ACCT_PAYABLE, YOY)", "FPT=A", "FPO=-1A", "ACT_EST_MAPPING=PRECISE", "FS=MRC", "CURRENCY=USD", "XLFILL=b")</f>
        <v>3.4883720930232558</v>
      </c>
      <c r="L250" s="9">
        <f>_xll.BQL("ULCC US Equity", "FA_GROWTH(BS_ACCT_PAYABLE, YOY)", "FPT=A", "FPO=-2A", "ACT_EST_MAPPING=PRECISE", "FS=MRC", "CURRENCY=USD", "XLFILL=b")</f>
        <v>21.12676056338028</v>
      </c>
      <c r="M250" s="9">
        <f>_xll.BQL("ULCC US Equity", "FA_GROWTH(BS_ACCT_PAYABLE, YOY)", "FPT=A", "FPO=-3A", "ACT_EST_MAPPING=PRECISE", "FS=MRC", "CURRENCY=USD", "XLFILL=b")</f>
        <v>0</v>
      </c>
      <c r="N250" s="9" t="str">
        <f>_xll.BQL("ULCC US Equity", "FA_GROWTH(BS_ACCT_PAYABLE, YOY)", "FPT=A", "FPO=-4A", "ACT_EST_MAPPING=PRECISE", "FS=MRC", "CURRENCY=USD", "XLFILL=b")</f>
        <v/>
      </c>
    </row>
    <row r="251" spans="1:14" x14ac:dyDescent="0.2">
      <c r="A251" s="8" t="s">
        <v>254</v>
      </c>
      <c r="B251" s="4" t="s">
        <v>255</v>
      </c>
      <c r="C251" s="4" t="s">
        <v>256</v>
      </c>
      <c r="D251" s="4"/>
      <c r="E251" s="9" t="str">
        <f>_xll.BQL("ULCC US Equity", "ST_DEFERRED_REVENUE/1M", "FPT=A", "FPO=5A", "ACT_EST_MAPPING=PRECISE", "FS=MRC", "CURRENCY=USD", "XLFILL=b")</f>
        <v/>
      </c>
      <c r="F251" s="9" t="str">
        <f>_xll.BQL("ULCC US Equity", "ST_DEFERRED_REVENUE/1M", "FPT=A", "FPO=4A", "ACT_EST_MAPPING=PRECISE", "FS=MRC", "CURRENCY=USD", "XLFILL=b")</f>
        <v/>
      </c>
      <c r="G251" s="9">
        <f>_xll.BQL("ULCC US Equity", "ST_DEFERRED_REVENUE/1M", "FPT=A", "FPO=3A", "ACT_EST_MAPPING=PRECISE", "FS=MRC", "CURRENCY=USD", "XLFILL=b")</f>
        <v>337.56944866942763</v>
      </c>
      <c r="H251" s="9">
        <f>_xll.BQL("ULCC US Equity", "ST_DEFERRED_REVENUE/1M", "FPT=A", "FPO=2A", "ACT_EST_MAPPING=PRECISE", "FS=MRC", "CURRENCY=USD", "XLFILL=b")</f>
        <v>352.98721659831227</v>
      </c>
      <c r="I251" s="9">
        <f>_xll.BQL("ULCC US Equity", "ST_DEFERRED_REVENUE/1M", "FPT=A", "FPO=1A", "ACT_EST_MAPPING=PRECISE", "FS=MRC", "CURRENCY=USD", "XLFILL=b")</f>
        <v>325.34696707766363</v>
      </c>
      <c r="J251" s="9">
        <f>_xll.BQL("ULCC US Equity", "ST_DEFERRED_REVENUE/1M", "FPT=A", "FPO=0A", "ACT_EST_MAPPING=PRECISE", "FS=MRC", "CURRENCY=USD", "XLFILL=b")</f>
        <v>253</v>
      </c>
      <c r="K251" s="9">
        <f>_xll.BQL("ULCC US Equity", "ST_DEFERRED_REVENUE/1M", "FPT=A", "FPO=-1A", "ACT_EST_MAPPING=PRECISE", "FS=MRC", "CURRENCY=USD", "XLFILL=b")</f>
        <v>313</v>
      </c>
      <c r="L251" s="9">
        <f>_xll.BQL("ULCC US Equity", "ST_DEFERRED_REVENUE/1M", "FPT=A", "FPO=-2A", "ACT_EST_MAPPING=PRECISE", "FS=MRC", "CURRENCY=USD", "XLFILL=b")</f>
        <v>273</v>
      </c>
      <c r="M251" s="9">
        <f>_xll.BQL("ULCC US Equity", "ST_DEFERRED_REVENUE/1M", "FPT=A", "FPO=-3A", "ACT_EST_MAPPING=PRECISE", "FS=MRC", "CURRENCY=USD", "XLFILL=b")</f>
        <v>135</v>
      </c>
      <c r="N251" s="9">
        <f>_xll.BQL("ULCC US Equity", "ST_DEFERRED_REVENUE/1M", "FPT=A", "FPO=-4A", "ACT_EST_MAPPING=PRECISE", "FS=MRC", "CURRENCY=USD", "XLFILL=b")</f>
        <v>249</v>
      </c>
    </row>
    <row r="252" spans="1:14" x14ac:dyDescent="0.2">
      <c r="A252" s="8" t="s">
        <v>71</v>
      </c>
      <c r="B252" s="4" t="s">
        <v>255</v>
      </c>
      <c r="C252" s="4" t="s">
        <v>256</v>
      </c>
      <c r="D252" s="4"/>
      <c r="E252" s="9" t="str">
        <f>_xll.BQL("ULCC US Equity", "FA_GROWTH(ST_DEFERRED_REVENUE, YOY)", "FPT=A", "FPO=5A", "ACT_EST_MAPPING=PRECISE", "FS=MRC", "CURRENCY=USD", "XLFILL=b")</f>
        <v/>
      </c>
      <c r="F252" s="9" t="str">
        <f>_xll.BQL("ULCC US Equity", "FA_GROWTH(ST_DEFERRED_REVENUE, YOY)", "FPT=A", "FPO=4A", "ACT_EST_MAPPING=PRECISE", "FS=MRC", "CURRENCY=USD", "XLFILL=b")</f>
        <v/>
      </c>
      <c r="G252" s="9">
        <f>_xll.BQL("ULCC US Equity", "FA_GROWTH(ST_DEFERRED_REVENUE, YOY)", "FPT=A", "FPO=3A", "ACT_EST_MAPPING=PRECISE", "FS=MRC", "CURRENCY=USD", "XLFILL=b")</f>
        <v>-4.3677978136045459</v>
      </c>
      <c r="H252" s="9">
        <f>_xll.BQL("ULCC US Equity", "FA_GROWTH(ST_DEFERRED_REVENUE, YOY)", "FPT=A", "FPO=2A", "ACT_EST_MAPPING=PRECISE", "FS=MRC", "CURRENCY=USD", "XLFILL=b")</f>
        <v>8.4956223102121573</v>
      </c>
      <c r="I252" s="9">
        <f>_xll.BQL("ULCC US Equity", "FA_GROWTH(ST_DEFERRED_REVENUE, YOY)", "FPT=A", "FPO=1A", "ACT_EST_MAPPING=PRECISE", "FS=MRC", "CURRENCY=USD", "XLFILL=b")</f>
        <v>28.595639161131881</v>
      </c>
      <c r="J252" s="9">
        <f>_xll.BQL("ULCC US Equity", "FA_GROWTH(ST_DEFERRED_REVENUE, YOY)", "FPT=A", "FPO=0A", "ACT_EST_MAPPING=PRECISE", "FS=MRC", "CURRENCY=USD", "XLFILL=b")</f>
        <v>-19.169329073482427</v>
      </c>
      <c r="K252" s="9">
        <f>_xll.BQL("ULCC US Equity", "FA_GROWTH(ST_DEFERRED_REVENUE, YOY)", "FPT=A", "FPO=-1A", "ACT_EST_MAPPING=PRECISE", "FS=MRC", "CURRENCY=USD", "XLFILL=b")</f>
        <v>14.652014652014651</v>
      </c>
      <c r="L252" s="9">
        <f>_xll.BQL("ULCC US Equity", "FA_GROWTH(ST_DEFERRED_REVENUE, YOY)", "FPT=A", "FPO=-2A", "ACT_EST_MAPPING=PRECISE", "FS=MRC", "CURRENCY=USD", "XLFILL=b")</f>
        <v>102.22222222222223</v>
      </c>
      <c r="M252" s="9">
        <f>_xll.BQL("ULCC US Equity", "FA_GROWTH(ST_DEFERRED_REVENUE, YOY)", "FPT=A", "FPO=-3A", "ACT_EST_MAPPING=PRECISE", "FS=MRC", "CURRENCY=USD", "XLFILL=b")</f>
        <v>-45.783132530120483</v>
      </c>
      <c r="N252" s="9" t="str">
        <f>_xll.BQL("ULCC US Equity", "FA_GROWTH(ST_DEFERRED_REVENUE, YOY)", "FPT=A", "FPO=-4A", "ACT_EST_MAPPING=PRECISE", "FS=MRC", "CURRENCY=USD", "XLFILL=b")</f>
        <v/>
      </c>
    </row>
    <row r="253" spans="1:14" x14ac:dyDescent="0.2">
      <c r="A253" s="8" t="s">
        <v>257</v>
      </c>
      <c r="B253" s="4" t="s">
        <v>258</v>
      </c>
      <c r="C253" s="4"/>
      <c r="D253" s="4"/>
      <c r="E253" s="9" t="str">
        <f>_xll.BQL("ULCC US Equity", "BS_ST_BORROW/1M", "FPT=A", "FPO=5A", "ACT_EST_MAPPING=PRECISE", "FS=MRC", "CURRENCY=USD", "XLFILL=b")</f>
        <v/>
      </c>
      <c r="F253" s="9" t="str">
        <f>_xll.BQL("ULCC US Equity", "BS_ST_BORROW/1M", "FPT=A", "FPO=4A", "ACT_EST_MAPPING=PRECISE", "FS=MRC", "CURRENCY=USD", "XLFILL=b")</f>
        <v/>
      </c>
      <c r="G253" s="9">
        <f>_xll.BQL("ULCC US Equity", "BS_ST_BORROW/1M", "FPT=A", "FPO=3A", "ACT_EST_MAPPING=PRECISE", "FS=MRC", "CURRENCY=USD", "XLFILL=b")</f>
        <v>1119.9267615362978</v>
      </c>
      <c r="H253" s="9">
        <f>_xll.BQL("ULCC US Equity", "BS_ST_BORROW/1M", "FPT=A", "FPO=2A", "ACT_EST_MAPPING=PRECISE", "FS=MRC", "CURRENCY=USD", "XLFILL=b")</f>
        <v>1016.2276421285196</v>
      </c>
      <c r="I253" s="9">
        <f>_xll.BQL("ULCC US Equity", "BS_ST_BORROW/1M", "FPT=A", "FPO=1A", "ACT_EST_MAPPING=PRECISE", "FS=MRC", "CURRENCY=USD", "XLFILL=b")</f>
        <v>900.48575184618244</v>
      </c>
      <c r="J253" s="9">
        <f>_xll.BQL("ULCC US Equity", "BS_ST_BORROW/1M", "FPT=A", "FPO=0A", "ACT_EST_MAPPING=PRECISE", "FS=MRC", "CURRENCY=USD", "XLFILL=b")</f>
        <v>800</v>
      </c>
      <c r="K253" s="9">
        <f>_xll.BQL("ULCC US Equity", "BS_ST_BORROW/1M", "FPT=A", "FPO=-1A", "ACT_EST_MAPPING=PRECISE", "FS=MRC", "CURRENCY=USD", "XLFILL=b")</f>
        <v>622</v>
      </c>
      <c r="L253" s="9">
        <f>_xll.BQL("ULCC US Equity", "BS_ST_BORROW/1M", "FPT=A", "FPO=-2A", "ACT_EST_MAPPING=PRECISE", "FS=MRC", "CURRENCY=USD", "XLFILL=b")</f>
        <v>571</v>
      </c>
      <c r="M253" s="9">
        <f>_xll.BQL("ULCC US Equity", "BS_ST_BORROW/1M", "FPT=A", "FPO=-3A", "ACT_EST_MAPPING=PRECISE", "FS=MRC", "CURRENCY=USD", "XLFILL=b")</f>
        <v>517</v>
      </c>
      <c r="N253" s="9">
        <f>_xll.BQL("ULCC US Equity", "BS_ST_BORROW/1M", "FPT=A", "FPO=-4A", "ACT_EST_MAPPING=PRECISE", "FS=MRC", "CURRENCY=USD", "XLFILL=b")</f>
        <v>537</v>
      </c>
    </row>
    <row r="254" spans="1:14" x14ac:dyDescent="0.2">
      <c r="A254" s="8" t="s">
        <v>71</v>
      </c>
      <c r="B254" s="4" t="s">
        <v>258</v>
      </c>
      <c r="C254" s="4"/>
      <c r="D254" s="4"/>
      <c r="E254" s="9" t="str">
        <f>_xll.BQL("ULCC US Equity", "FA_GROWTH(BS_ST_BORROW, YOY)", "FPT=A", "FPO=5A", "ACT_EST_MAPPING=PRECISE", "FS=MRC", "CURRENCY=USD", "XLFILL=b")</f>
        <v/>
      </c>
      <c r="F254" s="9" t="str">
        <f>_xll.BQL("ULCC US Equity", "FA_GROWTH(BS_ST_BORROW, YOY)", "FPT=A", "FPO=4A", "ACT_EST_MAPPING=PRECISE", "FS=MRC", "CURRENCY=USD", "XLFILL=b")</f>
        <v/>
      </c>
      <c r="G254" s="9">
        <f>_xll.BQL("ULCC US Equity", "FA_GROWTH(BS_ST_BORROW, YOY)", "FPT=A", "FPO=3A", "ACT_EST_MAPPING=PRECISE", "FS=MRC", "CURRENCY=USD", "XLFILL=b")</f>
        <v>10.204319889446936</v>
      </c>
      <c r="H254" s="9">
        <f>_xll.BQL("ULCC US Equity", "FA_GROWTH(BS_ST_BORROW, YOY)", "FPT=A", "FPO=2A", "ACT_EST_MAPPING=PRECISE", "FS=MRC", "CURRENCY=USD", "XLFILL=b")</f>
        <v>12.853272808041917</v>
      </c>
      <c r="I254" s="9">
        <f>_xll.BQL("ULCC US Equity", "FA_GROWTH(BS_ST_BORROW, YOY)", "FPT=A", "FPO=1A", "ACT_EST_MAPPING=PRECISE", "FS=MRC", "CURRENCY=USD", "XLFILL=b")</f>
        <v>12.560718980772808</v>
      </c>
      <c r="J254" s="9">
        <f>_xll.BQL("ULCC US Equity", "FA_GROWTH(BS_ST_BORROW, YOY)", "FPT=A", "FPO=0A", "ACT_EST_MAPPING=PRECISE", "FS=MRC", "CURRENCY=USD", "XLFILL=b")</f>
        <v>28.617363344051448</v>
      </c>
      <c r="K254" s="9">
        <f>_xll.BQL("ULCC US Equity", "FA_GROWTH(BS_ST_BORROW, YOY)", "FPT=A", "FPO=-1A", "ACT_EST_MAPPING=PRECISE", "FS=MRC", "CURRENCY=USD", "XLFILL=b")</f>
        <v>8.9316987740805605</v>
      </c>
      <c r="L254" s="9">
        <f>_xll.BQL("ULCC US Equity", "FA_GROWTH(BS_ST_BORROW, YOY)", "FPT=A", "FPO=-2A", "ACT_EST_MAPPING=PRECISE", "FS=MRC", "CURRENCY=USD", "XLFILL=b")</f>
        <v>10.444874274661508</v>
      </c>
      <c r="M254" s="9">
        <f>_xll.BQL("ULCC US Equity", "FA_GROWTH(BS_ST_BORROW, YOY)", "FPT=A", "FPO=-3A", "ACT_EST_MAPPING=PRECISE", "FS=MRC", "CURRENCY=USD", "XLFILL=b")</f>
        <v>-3.7243947858472999</v>
      </c>
      <c r="N254" s="9" t="str">
        <f>_xll.BQL("ULCC US Equity", "FA_GROWTH(BS_ST_BORROW, YOY)", "FPT=A", "FPO=-4A", "ACT_EST_MAPPING=PRECISE", "FS=MRC", "CURRENCY=USD", "XLFILL=b")</f>
        <v/>
      </c>
    </row>
    <row r="255" spans="1:14" x14ac:dyDescent="0.2">
      <c r="A255" s="8" t="s">
        <v>259</v>
      </c>
      <c r="B255" s="4" t="s">
        <v>260</v>
      </c>
      <c r="C255" s="4" t="s">
        <v>261</v>
      </c>
      <c r="D255" s="4"/>
      <c r="E255" s="9">
        <f>_xll.BQL("ULCC US Equity", "BS_CURR_PORTION_LT_DEBT/1M", "FPT=A", "FPO=5A", "ACT_EST_MAPPING=PRECISE", "FS=MRC", "CURRENCY=USD", "XLFILL=b")</f>
        <v>263</v>
      </c>
      <c r="F255" s="9">
        <f>_xll.BQL("ULCC US Equity", "BS_CURR_PORTION_LT_DEBT/1M", "FPT=A", "FPO=4A", "ACT_EST_MAPPING=PRECISE", "FS=MRC", "CURRENCY=USD", "XLFILL=b")</f>
        <v>263</v>
      </c>
      <c r="G255" s="9">
        <f>_xll.BQL("ULCC US Equity", "BS_CURR_PORTION_LT_DEBT/1M", "FPT=A", "FPO=3A", "ACT_EST_MAPPING=PRECISE", "FS=MRC", "CURRENCY=USD", "XLFILL=b")</f>
        <v>297.58943614002408</v>
      </c>
      <c r="H255" s="9">
        <f>_xll.BQL("ULCC US Equity", "BS_CURR_PORTION_LT_DEBT/1M", "FPT=A", "FPO=2A", "ACT_EST_MAPPING=PRECISE", "FS=MRC", "CURRENCY=USD", "XLFILL=b")</f>
        <v>273.24607741244813</v>
      </c>
      <c r="I255" s="9">
        <f>_xll.BQL("ULCC US Equity", "BS_CURR_PORTION_LT_DEBT/1M", "FPT=A", "FPO=1A", "ACT_EST_MAPPING=PRECISE", "FS=MRC", "CURRENCY=USD", "XLFILL=b")</f>
        <v>257.33873026727576</v>
      </c>
      <c r="J255" s="9">
        <f>_xll.BQL("ULCC US Equity", "BS_CURR_PORTION_LT_DEBT/1M", "FPT=A", "FPO=0A", "ACT_EST_MAPPING=PRECISE", "FS=MRC", "CURRENCY=USD", "XLFILL=b")</f>
        <v>251</v>
      </c>
      <c r="K255" s="9">
        <f>_xll.BQL("ULCC US Equity", "BS_CURR_PORTION_LT_DEBT/1M", "FPT=A", "FPO=-1A", "ACT_EST_MAPPING=PRECISE", "FS=MRC", "CURRENCY=USD", "XLFILL=b")</f>
        <v>157</v>
      </c>
      <c r="L255" s="9">
        <f>_xll.BQL("ULCC US Equity", "BS_CURR_PORTION_LT_DEBT/1M", "FPT=A", "FPO=-2A", "ACT_EST_MAPPING=PRECISE", "FS=MRC", "CURRENCY=USD", "XLFILL=b")</f>
        <v>127</v>
      </c>
      <c r="M255" s="9">
        <f>_xll.BQL("ULCC US Equity", "BS_CURR_PORTION_LT_DEBT/1M", "FPT=A", "FPO=-3A", "ACT_EST_MAPPING=PRECISE", "FS=MRC", "CURRENCY=USD", "XLFILL=b")</f>
        <v>101</v>
      </c>
      <c r="N255" s="9">
        <f>_xll.BQL("ULCC US Equity", "BS_CURR_PORTION_LT_DEBT/1M", "FPT=A", "FPO=-4A", "ACT_EST_MAPPING=PRECISE", "FS=MRC", "CURRENCY=USD", "XLFILL=b")</f>
        <v>150</v>
      </c>
    </row>
    <row r="256" spans="1:14" x14ac:dyDescent="0.2">
      <c r="A256" s="8" t="s">
        <v>262</v>
      </c>
      <c r="B256" s="4" t="s">
        <v>260</v>
      </c>
      <c r="C256" s="4" t="s">
        <v>261</v>
      </c>
      <c r="D256" s="4"/>
      <c r="E256" s="9">
        <f>_xll.BQL("ULCC US Equity", "FA_GROWTH(BS_CURR_PORTION_LT_DEBT, YOY)", "FPT=A", "FPO=5A", "ACT_EST_MAPPING=PRECISE", "FS=MRC", "CURRENCY=USD", "XLFILL=b")</f>
        <v>0</v>
      </c>
      <c r="F256" s="9">
        <f>_xll.BQL("ULCC US Equity", "FA_GROWTH(BS_CURR_PORTION_LT_DEBT, YOY)", "FPT=A", "FPO=4A", "ACT_EST_MAPPING=PRECISE", "FS=MRC", "CURRENCY=USD", "XLFILL=b")</f>
        <v>-11.623206989023892</v>
      </c>
      <c r="G256" s="9">
        <f>_xll.BQL("ULCC US Equity", "FA_GROWTH(BS_CURR_PORTION_LT_DEBT, YOY)", "FPT=A", "FPO=3A", "ACT_EST_MAPPING=PRECISE", "FS=MRC", "CURRENCY=USD", "XLFILL=b")</f>
        <v>8.9089508468336263</v>
      </c>
      <c r="H256" s="9">
        <f>_xll.BQL("ULCC US Equity", "FA_GROWTH(BS_CURR_PORTION_LT_DEBT, YOY)", "FPT=A", "FPO=2A", "ACT_EST_MAPPING=PRECISE", "FS=MRC", "CURRENCY=USD", "XLFILL=b")</f>
        <v>6.1814819435266211</v>
      </c>
      <c r="I256" s="9">
        <f>_xll.BQL("ULCC US Equity", "FA_GROWTH(BS_CURR_PORTION_LT_DEBT, YOY)", "FPT=A", "FPO=1A", "ACT_EST_MAPPING=PRECISE", "FS=MRC", "CURRENCY=USD", "XLFILL=b")</f>
        <v>2.5253905447313865</v>
      </c>
      <c r="J256" s="9">
        <f>_xll.BQL("ULCC US Equity", "FA_GROWTH(BS_CURR_PORTION_LT_DEBT, YOY)", "FPT=A", "FPO=0A", "ACT_EST_MAPPING=PRECISE", "FS=MRC", "CURRENCY=USD", "XLFILL=b")</f>
        <v>59.872611464968152</v>
      </c>
      <c r="K256" s="9">
        <f>_xll.BQL("ULCC US Equity", "FA_GROWTH(BS_CURR_PORTION_LT_DEBT, YOY)", "FPT=A", "FPO=-1A", "ACT_EST_MAPPING=PRECISE", "FS=MRC", "CURRENCY=USD", "XLFILL=b")</f>
        <v>23.622047244094489</v>
      </c>
      <c r="L256" s="9">
        <f>_xll.BQL("ULCC US Equity", "FA_GROWTH(BS_CURR_PORTION_LT_DEBT, YOY)", "FPT=A", "FPO=-2A", "ACT_EST_MAPPING=PRECISE", "FS=MRC", "CURRENCY=USD", "XLFILL=b")</f>
        <v>25.742574257425744</v>
      </c>
      <c r="M256" s="9">
        <f>_xll.BQL("ULCC US Equity", "FA_GROWTH(BS_CURR_PORTION_LT_DEBT, YOY)", "FPT=A", "FPO=-3A", "ACT_EST_MAPPING=PRECISE", "FS=MRC", "CURRENCY=USD", "XLFILL=b")</f>
        <v>-32.666666666666664</v>
      </c>
      <c r="N256" s="9" t="str">
        <f>_xll.BQL("ULCC US Equity", "FA_GROWTH(BS_CURR_PORTION_LT_DEBT, YOY)", "FPT=A", "FPO=-4A", "ACT_EST_MAPPING=PRECISE", "FS=MRC", "CURRENCY=USD", "XLFILL=b")</f>
        <v/>
      </c>
    </row>
    <row r="257" spans="1:14" x14ac:dyDescent="0.2">
      <c r="A257" s="8" t="s">
        <v>263</v>
      </c>
      <c r="B257" s="4" t="s">
        <v>264</v>
      </c>
      <c r="C257" s="4" t="s">
        <v>265</v>
      </c>
      <c r="D257" s="4"/>
      <c r="E257" s="9">
        <f>_xll.BQL("ULCC US Equity", "BS_ST_OPERATING_LEASE_LIABS/1M", "FPT=A", "FPO=5A", "ACT_EST_MAPPING=PRECISE", "FS=MRC", "CURRENCY=USD", "XLFILL=b")</f>
        <v>601</v>
      </c>
      <c r="F257" s="9">
        <f>_xll.BQL("ULCC US Equity", "BS_ST_OPERATING_LEASE_LIABS/1M", "FPT=A", "FPO=4A", "ACT_EST_MAPPING=PRECISE", "FS=MRC", "CURRENCY=USD", "XLFILL=b")</f>
        <v>601</v>
      </c>
      <c r="G257" s="9">
        <f>_xll.BQL("ULCC US Equity", "BS_ST_OPERATING_LEASE_LIABS/1M", "FPT=A", "FPO=3A", "ACT_EST_MAPPING=PRECISE", "FS=MRC", "CURRENCY=USD", "XLFILL=b")</f>
        <v>646.73542629979784</v>
      </c>
      <c r="H257" s="9">
        <f>_xll.BQL("ULCC US Equity", "BS_ST_OPERATING_LEASE_LIABS/1M", "FPT=A", "FPO=2A", "ACT_EST_MAPPING=PRECISE", "FS=MRC", "CURRENCY=USD", "XLFILL=b")</f>
        <v>640.22522518358403</v>
      </c>
      <c r="I257" s="9">
        <f>_xll.BQL("ULCC US Equity", "BS_ST_OPERATING_LEASE_LIABS/1M", "FPT=A", "FPO=1A", "ACT_EST_MAPPING=PRECISE", "FS=MRC", "CURRENCY=USD", "XLFILL=b")</f>
        <v>609.2564632274217</v>
      </c>
      <c r="J257" s="9">
        <f>_xll.BQL("ULCC US Equity", "BS_ST_OPERATING_LEASE_LIABS/1M", "FPT=A", "FPO=0A", "ACT_EST_MAPPING=PRECISE", "FS=MRC", "CURRENCY=USD", "XLFILL=b")</f>
        <v>549</v>
      </c>
      <c r="K257" s="9">
        <f>_xll.BQL("ULCC US Equity", "BS_ST_OPERATING_LEASE_LIABS/1M", "FPT=A", "FPO=-1A", "ACT_EST_MAPPING=PRECISE", "FS=MRC", "CURRENCY=USD", "XLFILL=b")</f>
        <v>465</v>
      </c>
      <c r="L257" s="9">
        <f>_xll.BQL("ULCC US Equity", "BS_ST_OPERATING_LEASE_LIABS/1M", "FPT=A", "FPO=-2A", "ACT_EST_MAPPING=PRECISE", "FS=MRC", "CURRENCY=USD", "XLFILL=b")</f>
        <v>444</v>
      </c>
      <c r="M257" s="9">
        <f>_xll.BQL("ULCC US Equity", "BS_ST_OPERATING_LEASE_LIABS/1M", "FPT=A", "FPO=-3A", "ACT_EST_MAPPING=PRECISE", "FS=MRC", "CURRENCY=USD", "XLFILL=b")</f>
        <v>416</v>
      </c>
      <c r="N257" s="9">
        <f>_xll.BQL("ULCC US Equity", "BS_ST_OPERATING_LEASE_LIABS/1M", "FPT=A", "FPO=-4A", "ACT_EST_MAPPING=PRECISE", "FS=MRC", "CURRENCY=USD", "XLFILL=b")</f>
        <v>387</v>
      </c>
    </row>
    <row r="258" spans="1:14" x14ac:dyDescent="0.2">
      <c r="A258" s="8" t="s">
        <v>262</v>
      </c>
      <c r="B258" s="4" t="s">
        <v>264</v>
      </c>
      <c r="C258" s="4" t="s">
        <v>265</v>
      </c>
      <c r="D258" s="4"/>
      <c r="E258" s="9">
        <f>_xll.BQL("ULCC US Equity", "FA_GROWTH(BS_ST_OPERATING_LEASE_LIABS, YOY)", "FPT=A", "FPO=5A", "ACT_EST_MAPPING=PRECISE", "FS=MRC", "CURRENCY=USD", "XLFILL=b")</f>
        <v>0</v>
      </c>
      <c r="F258" s="9">
        <f>_xll.BQL("ULCC US Equity", "FA_GROWTH(BS_ST_OPERATING_LEASE_LIABS, YOY)", "FPT=A", "FPO=4A", "ACT_EST_MAPPING=PRECISE", "FS=MRC", "CURRENCY=USD", "XLFILL=b")</f>
        <v>-7.0717366700424078</v>
      </c>
      <c r="G258" s="9">
        <f>_xll.BQL("ULCC US Equity", "FA_GROWTH(BS_ST_OPERATING_LEASE_LIABS, YOY)", "FPT=A", "FPO=3A", "ACT_EST_MAPPING=PRECISE", "FS=MRC", "CURRENCY=USD", "XLFILL=b")</f>
        <v>1.0168610764043424</v>
      </c>
      <c r="H258" s="9">
        <f>_xll.BQL("ULCC US Equity", "FA_GROWTH(BS_ST_OPERATING_LEASE_LIABS, YOY)", "FPT=A", "FPO=2A", "ACT_EST_MAPPING=PRECISE", "FS=MRC", "CURRENCY=USD", "XLFILL=b")</f>
        <v>5.0830420069917697</v>
      </c>
      <c r="I258" s="9">
        <f>_xll.BQL("ULCC US Equity", "FA_GROWTH(BS_ST_OPERATING_LEASE_LIABS, YOY)", "FPT=A", "FPO=1A", "ACT_EST_MAPPING=PRECISE", "FS=MRC", "CURRENCY=USD", "XLFILL=b")</f>
        <v>10.975676362007606</v>
      </c>
      <c r="J258" s="9">
        <f>_xll.BQL("ULCC US Equity", "FA_GROWTH(BS_ST_OPERATING_LEASE_LIABS, YOY)", "FPT=A", "FPO=0A", "ACT_EST_MAPPING=PRECISE", "FS=MRC", "CURRENCY=USD", "XLFILL=b")</f>
        <v>18.06451612903226</v>
      </c>
      <c r="K258" s="9">
        <f>_xll.BQL("ULCC US Equity", "FA_GROWTH(BS_ST_OPERATING_LEASE_LIABS, YOY)", "FPT=A", "FPO=-1A", "ACT_EST_MAPPING=PRECISE", "FS=MRC", "CURRENCY=USD", "XLFILL=b")</f>
        <v>4.7297297297297298</v>
      </c>
      <c r="L258" s="9">
        <f>_xll.BQL("ULCC US Equity", "FA_GROWTH(BS_ST_OPERATING_LEASE_LIABS, YOY)", "FPT=A", "FPO=-2A", "ACT_EST_MAPPING=PRECISE", "FS=MRC", "CURRENCY=USD", "XLFILL=b")</f>
        <v>6.7307692307692308</v>
      </c>
      <c r="M258" s="9">
        <f>_xll.BQL("ULCC US Equity", "FA_GROWTH(BS_ST_OPERATING_LEASE_LIABS, YOY)", "FPT=A", "FPO=-3A", "ACT_EST_MAPPING=PRECISE", "FS=MRC", "CURRENCY=USD", "XLFILL=b")</f>
        <v>7.4935400516795863</v>
      </c>
      <c r="N258" s="9" t="str">
        <f>_xll.BQL("ULCC US Equity", "FA_GROWTH(BS_ST_OPERATING_LEASE_LIABS, YOY)", "FPT=A", "FPO=-4A", "ACT_EST_MAPPING=PRECISE", "FS=MRC", "CURRENCY=USD", "XLFILL=b")</f>
        <v/>
      </c>
    </row>
    <row r="259" spans="1:14" x14ac:dyDescent="0.2">
      <c r="A259" s="8" t="s">
        <v>266</v>
      </c>
      <c r="B259" s="4" t="s">
        <v>267</v>
      </c>
      <c r="C259" s="4" t="s">
        <v>268</v>
      </c>
      <c r="D259" s="4"/>
      <c r="E259" s="9">
        <f>_xll.BQL("ULCC US Equity", "CB_BS_OTHER_CURRENT_LIABS/1M", "FPT=A", "FPO=5A", "ACT_EST_MAPPING=PRECISE", "FS=MRC", "CURRENCY=USD", "XLFILL=b")</f>
        <v>534.5</v>
      </c>
      <c r="F259" s="9">
        <f>_xll.BQL("ULCC US Equity", "CB_BS_OTHER_CURRENT_LIABS/1M", "FPT=A", "FPO=4A", "ACT_EST_MAPPING=PRECISE", "FS=MRC", "CURRENCY=USD", "XLFILL=b")</f>
        <v>510.75</v>
      </c>
      <c r="G259" s="9">
        <f>_xll.BQL("ULCC US Equity", "CB_BS_OTHER_CURRENT_LIABS/1M", "FPT=A", "FPO=3A", "ACT_EST_MAPPING=PRECISE", "FS=MRC", "CURRENCY=USD", "XLFILL=b")</f>
        <v>527.26084296815077</v>
      </c>
      <c r="H259" s="9">
        <f>_xll.BQL("ULCC US Equity", "CB_BS_OTHER_CURRENT_LIABS/1M", "FPT=A", "FPO=2A", "ACT_EST_MAPPING=PRECISE", "FS=MRC", "CURRENCY=USD", "XLFILL=b")</f>
        <v>519.39877385500984</v>
      </c>
      <c r="I259" s="9">
        <f>_xll.BQL("ULCC US Equity", "CB_BS_OTHER_CURRENT_LIABS/1M", "FPT=A", "FPO=1A", "ACT_EST_MAPPING=PRECISE", "FS=MRC", "CURRENCY=USD", "XLFILL=b")</f>
        <v>507.53494445716257</v>
      </c>
      <c r="J259" s="9">
        <f>_xll.BQL("ULCC US Equity", "CB_BS_OTHER_CURRENT_LIABS/1M", "FPT=A", "FPO=0A", "ACT_EST_MAPPING=PRECISE", "FS=MRC", "CURRENCY=USD", "XLFILL=b")</f>
        <v>471</v>
      </c>
      <c r="K259" s="9">
        <f>_xll.BQL("ULCC US Equity", "CB_BS_OTHER_CURRENT_LIABS/1M", "FPT=A", "FPO=-1A", "ACT_EST_MAPPING=PRECISE", "FS=MRC", "CURRENCY=USD", "XLFILL=b")</f>
        <v>531</v>
      </c>
      <c r="L259" s="9">
        <f>_xll.BQL("ULCC US Equity", "CB_BS_OTHER_CURRENT_LIABS/1M", "FPT=A", "FPO=-2A", "ACT_EST_MAPPING=PRECISE", "FS=MRC", "CURRENCY=USD", "XLFILL=b")</f>
        <v>396</v>
      </c>
      <c r="M259" s="9">
        <f>_xll.BQL("ULCC US Equity", "CB_BS_OTHER_CURRENT_LIABS/1M", "FPT=A", "FPO=-3A", "ACT_EST_MAPPING=PRECISE", "FS=MRC", "CURRENCY=USD", "XLFILL=b")</f>
        <v>280</v>
      </c>
      <c r="N259" s="9">
        <f>_xll.BQL("ULCC US Equity", "CB_BS_OTHER_CURRENT_LIABS/1M", "FPT=A", "FPO=-4A", "ACT_EST_MAPPING=PRECISE", "FS=MRC", "CURRENCY=USD", "XLFILL=b")</f>
        <v>397</v>
      </c>
    </row>
    <row r="260" spans="1:14" x14ac:dyDescent="0.2">
      <c r="A260" s="8" t="s">
        <v>71</v>
      </c>
      <c r="B260" s="4" t="s">
        <v>267</v>
      </c>
      <c r="C260" s="4" t="s">
        <v>268</v>
      </c>
      <c r="D260" s="4"/>
      <c r="E260" s="9">
        <f>_xll.BQL("ULCC US Equity", "FA_GROWTH(CB_BS_OTHER_CURRENT_LIABS, YOY)", "FPT=A", "FPO=5A", "ACT_EST_MAPPING=PRECISE", "FS=MRC", "CURRENCY=USD", "XLFILL=b")</f>
        <v>4.6500244738130201</v>
      </c>
      <c r="F260" s="9">
        <f>_xll.BQL("ULCC US Equity", "FA_GROWTH(CB_BS_OTHER_CURRENT_LIABS, YOY)", "FPT=A", "FPO=4A", "ACT_EST_MAPPING=PRECISE", "FS=MRC", "CURRENCY=USD", "XLFILL=b")</f>
        <v>-3.1314373499091936</v>
      </c>
      <c r="G260" s="9">
        <f>_xll.BQL("ULCC US Equity", "FA_GROWTH(CB_BS_OTHER_CURRENT_LIABS, YOY)", "FPT=A", "FPO=3A", "ACT_EST_MAPPING=PRECISE", "FS=MRC", "CURRENCY=USD", "XLFILL=b")</f>
        <v>1.5136864984851846</v>
      </c>
      <c r="H260" s="9">
        <f>_xll.BQL("ULCC US Equity", "FA_GROWTH(CB_BS_OTHER_CURRENT_LIABS, YOY)", "FPT=A", "FPO=2A", "ACT_EST_MAPPING=PRECISE", "FS=MRC", "CURRENCY=USD", "XLFILL=b")</f>
        <v>2.3375394201745721</v>
      </c>
      <c r="I260" s="9">
        <f>_xll.BQL("ULCC US Equity", "FA_GROWTH(CB_BS_OTHER_CURRENT_LIABS, YOY)", "FPT=A", "FPO=1A", "ACT_EST_MAPPING=PRECISE", "FS=MRC", "CURRENCY=USD", "XLFILL=b")</f>
        <v>7.7568884197797372</v>
      </c>
      <c r="J260" s="9">
        <f>_xll.BQL("ULCC US Equity", "FA_GROWTH(CB_BS_OTHER_CURRENT_LIABS, YOY)", "FPT=A", "FPO=0A", "ACT_EST_MAPPING=PRECISE", "FS=MRC", "CURRENCY=USD", "XLFILL=b")</f>
        <v>-11.299435028248588</v>
      </c>
      <c r="K260" s="9">
        <f>_xll.BQL("ULCC US Equity", "FA_GROWTH(CB_BS_OTHER_CURRENT_LIABS, YOY)", "FPT=A", "FPO=-1A", "ACT_EST_MAPPING=PRECISE", "FS=MRC", "CURRENCY=USD", "XLFILL=b")</f>
        <v>34.090909090909093</v>
      </c>
      <c r="L260" s="9">
        <f>_xll.BQL("ULCC US Equity", "FA_GROWTH(CB_BS_OTHER_CURRENT_LIABS, YOY)", "FPT=A", "FPO=-2A", "ACT_EST_MAPPING=PRECISE", "FS=MRC", "CURRENCY=USD", "XLFILL=b")</f>
        <v>41.428571428571431</v>
      </c>
      <c r="M260" s="9">
        <f>_xll.BQL("ULCC US Equity", "FA_GROWTH(CB_BS_OTHER_CURRENT_LIABS, YOY)", "FPT=A", "FPO=-3A", "ACT_EST_MAPPING=PRECISE", "FS=MRC", "CURRENCY=USD", "XLFILL=b")</f>
        <v>-29.471032745591941</v>
      </c>
      <c r="N260" s="9" t="str">
        <f>_xll.BQL("ULCC US Equity", "FA_GROWTH(CB_BS_OTHER_CURRENT_LIABS, YOY)", "FPT=A", "FPO=-4A", "ACT_EST_MAPPING=PRECISE", "FS=MRC", "CURRENCY=USD", "XLFILL=b")</f>
        <v/>
      </c>
    </row>
    <row r="261" spans="1:14" x14ac:dyDescent="0.2">
      <c r="A261" s="8" t="s">
        <v>269</v>
      </c>
      <c r="B261" s="4"/>
      <c r="C261" s="4" t="s">
        <v>270</v>
      </c>
      <c r="D261" s="4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x14ac:dyDescent="0.2">
      <c r="A262" s="8" t="s">
        <v>271</v>
      </c>
      <c r="B262" s="4" t="s">
        <v>272</v>
      </c>
      <c r="C262" s="4" t="s">
        <v>273</v>
      </c>
      <c r="D262" s="4"/>
      <c r="E262" s="9">
        <f>_xll.BQL("ULCC US Equity", "BS_LONG_TERM_BORROWINGS/1M", "FPT=A", "FPO=5A", "ACT_EST_MAPPING=PRECISE", "FS=MRC", "CURRENCY=USD", "XLFILL=b")</f>
        <v>955</v>
      </c>
      <c r="F262" s="9">
        <f>_xll.BQL("ULCC US Equity", "BS_LONG_TERM_BORROWINGS/1M", "FPT=A", "FPO=4A", "ACT_EST_MAPPING=PRECISE", "FS=MRC", "CURRENCY=USD", "XLFILL=b")</f>
        <v>755</v>
      </c>
      <c r="G262" s="9">
        <f>_xll.BQL("ULCC US Equity", "BS_LONG_TERM_BORROWINGS/1M", "FPT=A", "FPO=3A", "ACT_EST_MAPPING=PRECISE", "FS=MRC", "CURRENCY=USD", "XLFILL=b")</f>
        <v>206.5</v>
      </c>
      <c r="H262" s="9">
        <f>_xll.BQL("ULCC US Equity", "BS_LONG_TERM_BORROWINGS/1M", "FPT=A", "FPO=2A", "ACT_EST_MAPPING=PRECISE", "FS=MRC", "CURRENCY=USD", "XLFILL=b")</f>
        <v>146</v>
      </c>
      <c r="I262" s="9">
        <f>_xll.BQL("ULCC US Equity", "BS_LONG_TERM_BORROWINGS/1M", "FPT=A", "FPO=1A", "ACT_EST_MAPPING=PRECISE", "FS=MRC", "CURRENCY=USD", "XLFILL=b")</f>
        <v>126.16666666666667</v>
      </c>
      <c r="J262" s="9">
        <f>_xll.BQL("ULCC US Equity", "BS_LONG_TERM_BORROWINGS/1M", "FPT=A", "FPO=0A", "ACT_EST_MAPPING=PRECISE", "FS=MRC", "CURRENCY=USD", "XLFILL=b")</f>
        <v>219</v>
      </c>
      <c r="K262" s="9">
        <f>_xll.BQL("ULCC US Equity", "BS_LONG_TERM_BORROWINGS/1M", "FPT=A", "FPO=-1A", "ACT_EST_MAPPING=PRECISE", "FS=MRC", "CURRENCY=USD", "XLFILL=b")</f>
        <v>272</v>
      </c>
      <c r="L262" s="9">
        <f>_xll.BQL("ULCC US Equity", "BS_LONG_TERM_BORROWINGS/1M", "FPT=A", "FPO=-2A", "ACT_EST_MAPPING=PRECISE", "FS=MRC", "CURRENCY=USD", "XLFILL=b")</f>
        <v>287</v>
      </c>
      <c r="M262" s="9">
        <f>_xll.BQL("ULCC US Equity", "BS_LONG_TERM_BORROWINGS/1M", "FPT=A", "FPO=-3A", "ACT_EST_MAPPING=PRECISE", "FS=MRC", "CURRENCY=USD", "XLFILL=b")</f>
        <v>247</v>
      </c>
      <c r="N262" s="9">
        <f>_xll.BQL("ULCC US Equity", "BS_LONG_TERM_BORROWINGS/1M", "FPT=A", "FPO=-4A", "ACT_EST_MAPPING=PRECISE", "FS=MRC", "CURRENCY=USD", "XLFILL=b")</f>
        <v>95</v>
      </c>
    </row>
    <row r="263" spans="1:14" x14ac:dyDescent="0.2">
      <c r="A263" s="8" t="s">
        <v>71</v>
      </c>
      <c r="B263" s="4" t="s">
        <v>272</v>
      </c>
      <c r="C263" s="4" t="s">
        <v>273</v>
      </c>
      <c r="D263" s="4"/>
      <c r="E263" s="9">
        <f>_xll.BQL("ULCC US Equity", "FA_GROWTH(BS_LONG_TERM_BORROWINGS, YOY)", "FPT=A", "FPO=5A", "ACT_EST_MAPPING=PRECISE", "FS=MRC", "CURRENCY=USD", "XLFILL=b")</f>
        <v>26.490066225165563</v>
      </c>
      <c r="F263" s="9">
        <f>_xll.BQL("ULCC US Equity", "FA_GROWTH(BS_LONG_TERM_BORROWINGS, YOY)", "FPT=A", "FPO=4A", "ACT_EST_MAPPING=PRECISE", "FS=MRC", "CURRENCY=USD", "XLFILL=b")</f>
        <v>265.6174334140436</v>
      </c>
      <c r="G263" s="9">
        <f>_xll.BQL("ULCC US Equity", "FA_GROWTH(BS_LONG_TERM_BORROWINGS, YOY)", "FPT=A", "FPO=3A", "ACT_EST_MAPPING=PRECISE", "FS=MRC", "CURRENCY=USD", "XLFILL=b")</f>
        <v>41.438356164383563</v>
      </c>
      <c r="H263" s="9">
        <f>_xll.BQL("ULCC US Equity", "FA_GROWTH(BS_LONG_TERM_BORROWINGS, YOY)", "FPT=A", "FPO=2A", "ACT_EST_MAPPING=PRECISE", "FS=MRC", "CURRENCY=USD", "XLFILL=b")</f>
        <v>15.719947159841475</v>
      </c>
      <c r="I263" s="9">
        <f>_xll.BQL("ULCC US Equity", "FA_GROWTH(BS_LONG_TERM_BORROWINGS, YOY)", "FPT=A", "FPO=1A", "ACT_EST_MAPPING=PRECISE", "FS=MRC", "CURRENCY=USD", "XLFILL=b")</f>
        <v>-42.389649923896492</v>
      </c>
      <c r="J263" s="9">
        <f>_xll.BQL("ULCC US Equity", "FA_GROWTH(BS_LONG_TERM_BORROWINGS, YOY)", "FPT=A", "FPO=0A", "ACT_EST_MAPPING=PRECISE", "FS=MRC", "CURRENCY=USD", "XLFILL=b")</f>
        <v>-19.485294117647058</v>
      </c>
      <c r="K263" s="9">
        <f>_xll.BQL("ULCC US Equity", "FA_GROWTH(BS_LONG_TERM_BORROWINGS, YOY)", "FPT=A", "FPO=-1A", "ACT_EST_MAPPING=PRECISE", "FS=MRC", "CURRENCY=USD", "XLFILL=b")</f>
        <v>-5.2264808362369335</v>
      </c>
      <c r="L263" s="9">
        <f>_xll.BQL("ULCC US Equity", "FA_GROWTH(BS_LONG_TERM_BORROWINGS, YOY)", "FPT=A", "FPO=-2A", "ACT_EST_MAPPING=PRECISE", "FS=MRC", "CURRENCY=USD", "XLFILL=b")</f>
        <v>16.194331983805668</v>
      </c>
      <c r="M263" s="9">
        <f>_xll.BQL("ULCC US Equity", "FA_GROWTH(BS_LONG_TERM_BORROWINGS, YOY)", "FPT=A", "FPO=-3A", "ACT_EST_MAPPING=PRECISE", "FS=MRC", "CURRENCY=USD", "XLFILL=b")</f>
        <v>160</v>
      </c>
      <c r="N263" s="9" t="str">
        <f>_xll.BQL("ULCC US Equity", "FA_GROWTH(BS_LONG_TERM_BORROWINGS, YOY)", "FPT=A", "FPO=-4A", "ACT_EST_MAPPING=PRECISE", "FS=MRC", "CURRENCY=USD", "XLFILL=b")</f>
        <v/>
      </c>
    </row>
    <row r="264" spans="1:14" x14ac:dyDescent="0.2">
      <c r="A264" s="8" t="s">
        <v>274</v>
      </c>
      <c r="B264" s="4" t="s">
        <v>275</v>
      </c>
      <c r="C264" s="4" t="s">
        <v>276</v>
      </c>
      <c r="D264" s="4"/>
      <c r="E264" s="9">
        <f>_xll.BQL("ULCC US Equity", "BS_LT_OPERATING_LEASE_LIABS/1M", "FPT=A", "FPO=5A", "ACT_EST_MAPPING=PRECISE", "FS=MRC", "CURRENCY=USD", "XLFILL=b")</f>
        <v>5316</v>
      </c>
      <c r="F264" s="9">
        <f>_xll.BQL("ULCC US Equity", "BS_LT_OPERATING_LEASE_LIABS/1M", "FPT=A", "FPO=4A", "ACT_EST_MAPPING=PRECISE", "FS=MRC", "CURRENCY=USD", "XLFILL=b")</f>
        <v>4816</v>
      </c>
      <c r="G264" s="9">
        <f>_xll.BQL("ULCC US Equity", "BS_LT_OPERATING_LEASE_LIABS/1M", "FPT=A", "FPO=3A", "ACT_EST_MAPPING=PRECISE", "FS=MRC", "CURRENCY=USD", "XLFILL=b")</f>
        <v>3037.7845790052666</v>
      </c>
      <c r="H264" s="9">
        <f>_xll.BQL("ULCC US Equity", "BS_LT_OPERATING_LEASE_LIABS/1M", "FPT=A", "FPO=2A", "ACT_EST_MAPPING=PRECISE", "FS=MRC", "CURRENCY=USD", "XLFILL=b")</f>
        <v>3028.0165570522013</v>
      </c>
      <c r="I264" s="9">
        <f>_xll.BQL("ULCC US Equity", "BS_LT_OPERATING_LEASE_LIABS/1M", "FPT=A", "FPO=1A", "ACT_EST_MAPPING=PRECISE", "FS=MRC", "CURRENCY=USD", "XLFILL=b")</f>
        <v>2917.1919335954126</v>
      </c>
      <c r="J264" s="9">
        <f>_xll.BQL("ULCC US Equity", "BS_LT_OPERATING_LEASE_LIABS/1M", "FPT=A", "FPO=0A", "ACT_EST_MAPPING=PRECISE", "FS=MRC", "CURRENCY=USD", "XLFILL=b")</f>
        <v>2440</v>
      </c>
      <c r="K264" s="9">
        <f>_xll.BQL("ULCC US Equity", "BS_LT_OPERATING_LEASE_LIABS/1M", "FPT=A", "FPO=-1A", "ACT_EST_MAPPING=PRECISE", "FS=MRC", "CURRENCY=USD", "XLFILL=b")</f>
        <v>2034</v>
      </c>
      <c r="L264" s="9">
        <f>_xll.BQL("ULCC US Equity", "BS_LT_OPERATING_LEASE_LIABS/1M", "FPT=A", "FPO=-2A", "ACT_EST_MAPPING=PRECISE", "FS=MRC", "CURRENCY=USD", "XLFILL=b")</f>
        <v>1991</v>
      </c>
      <c r="M264" s="9">
        <f>_xll.BQL("ULCC US Equity", "BS_LT_OPERATING_LEASE_LIABS/1M", "FPT=A", "FPO=-3A", "ACT_EST_MAPPING=PRECISE", "FS=MRC", "CURRENCY=USD", "XLFILL=b")</f>
        <v>1848</v>
      </c>
      <c r="N264" s="9">
        <f>_xll.BQL("ULCC US Equity", "BS_LT_OPERATING_LEASE_LIABS/1M", "FPT=A", "FPO=-4A", "ACT_EST_MAPPING=PRECISE", "FS=MRC", "CURRENCY=USD", "XLFILL=b")</f>
        <v>1874</v>
      </c>
    </row>
    <row r="265" spans="1:14" x14ac:dyDescent="0.2">
      <c r="A265" s="8" t="s">
        <v>71</v>
      </c>
      <c r="B265" s="4" t="s">
        <v>275</v>
      </c>
      <c r="C265" s="4" t="s">
        <v>276</v>
      </c>
      <c r="D265" s="4"/>
      <c r="E265" s="9">
        <f>_xll.BQL("ULCC US Equity", "FA_GROWTH(BS_LT_OPERATING_LEASE_LIABS, YOY)", "FPT=A", "FPO=5A", "ACT_EST_MAPPING=PRECISE", "FS=MRC", "CURRENCY=USD", "XLFILL=b")</f>
        <v>10.382059800664452</v>
      </c>
      <c r="F265" s="9">
        <f>_xll.BQL("ULCC US Equity", "FA_GROWTH(BS_LT_OPERATING_LEASE_LIABS, YOY)", "FPT=A", "FPO=4A", "ACT_EST_MAPPING=PRECISE", "FS=MRC", "CURRENCY=USD", "XLFILL=b")</f>
        <v>58.536587264427297</v>
      </c>
      <c r="G265" s="9">
        <f>_xll.BQL("ULCC US Equity", "FA_GROWTH(BS_LT_OPERATING_LEASE_LIABS, YOY)", "FPT=A", "FPO=3A", "ACT_EST_MAPPING=PRECISE", "FS=MRC", "CURRENCY=USD", "XLFILL=b")</f>
        <v>0.32258812886329274</v>
      </c>
      <c r="H265" s="9">
        <f>_xll.BQL("ULCC US Equity", "FA_GROWTH(BS_LT_OPERATING_LEASE_LIABS, YOY)", "FPT=A", "FPO=2A", "ACT_EST_MAPPING=PRECISE", "FS=MRC", "CURRENCY=USD", "XLFILL=b")</f>
        <v>3.7990172048843625</v>
      </c>
      <c r="I265" s="9">
        <f>_xll.BQL("ULCC US Equity", "FA_GROWTH(BS_LT_OPERATING_LEASE_LIABS, YOY)", "FPT=A", "FPO=1A", "ACT_EST_MAPPING=PRECISE", "FS=MRC", "CURRENCY=USD", "XLFILL=b")</f>
        <v>19.557046458828392</v>
      </c>
      <c r="J265" s="9">
        <f>_xll.BQL("ULCC US Equity", "FA_GROWTH(BS_LT_OPERATING_LEASE_LIABS, YOY)", "FPT=A", "FPO=0A", "ACT_EST_MAPPING=PRECISE", "FS=MRC", "CURRENCY=USD", "XLFILL=b")</f>
        <v>19.960668633235006</v>
      </c>
      <c r="K265" s="9">
        <f>_xll.BQL("ULCC US Equity", "FA_GROWTH(BS_LT_OPERATING_LEASE_LIABS, YOY)", "FPT=A", "FPO=-1A", "ACT_EST_MAPPING=PRECISE", "FS=MRC", "CURRENCY=USD", "XLFILL=b")</f>
        <v>2.1597187343043696</v>
      </c>
      <c r="L265" s="9">
        <f>_xll.BQL("ULCC US Equity", "FA_GROWTH(BS_LT_OPERATING_LEASE_LIABS, YOY)", "FPT=A", "FPO=-2A", "ACT_EST_MAPPING=PRECISE", "FS=MRC", "CURRENCY=USD", "XLFILL=b")</f>
        <v>7.7380952380952381</v>
      </c>
      <c r="M265" s="9">
        <f>_xll.BQL("ULCC US Equity", "FA_GROWTH(BS_LT_OPERATING_LEASE_LIABS, YOY)", "FPT=A", "FPO=-3A", "ACT_EST_MAPPING=PRECISE", "FS=MRC", "CURRENCY=USD", "XLFILL=b")</f>
        <v>-1.3874066168623265</v>
      </c>
      <c r="N265" s="9" t="str">
        <f>_xll.BQL("ULCC US Equity", "FA_GROWTH(BS_LT_OPERATING_LEASE_LIABS, YOY)", "FPT=A", "FPO=-4A", "ACT_EST_MAPPING=PRECISE", "FS=MRC", "CURRENCY=USD", "XLFILL=b")</f>
        <v/>
      </c>
    </row>
    <row r="266" spans="1:14" x14ac:dyDescent="0.2">
      <c r="A266" s="8" t="s">
        <v>277</v>
      </c>
      <c r="B266" s="4" t="s">
        <v>278</v>
      </c>
      <c r="C266" s="4"/>
      <c r="D266" s="4"/>
      <c r="E266" s="9">
        <f>_xll.BQL("ULCC US Equity", "BS_REFUND_LIABILITIES_NONCURRENT/1M", "FPT=A", "FPO=5A", "ACT_EST_MAPPING=PRECISE", "FS=MRC", "CURRENCY=USD", "XLFILL=b")</f>
        <v>33</v>
      </c>
      <c r="F266" s="9">
        <f>_xll.BQL("ULCC US Equity", "BS_REFUND_LIABILITIES_NONCURRENT/1M", "FPT=A", "FPO=4A", "ACT_EST_MAPPING=PRECISE", "FS=MRC", "CURRENCY=USD", "XLFILL=b")</f>
        <v>33</v>
      </c>
      <c r="G266" s="9">
        <f>_xll.BQL("ULCC US Equity", "BS_REFUND_LIABILITIES_NONCURRENT/1M", "FPT=A", "FPO=3A", "ACT_EST_MAPPING=PRECISE", "FS=MRC", "CURRENCY=USD", "XLFILL=b")</f>
        <v>33</v>
      </c>
      <c r="H266" s="9">
        <f>_xll.BQL("ULCC US Equity", "BS_REFUND_LIABILITIES_NONCURRENT/1M", "FPT=A", "FPO=2A", "ACT_EST_MAPPING=PRECISE", "FS=MRC", "CURRENCY=USD", "XLFILL=b")</f>
        <v>37.826093142943755</v>
      </c>
      <c r="I266" s="9">
        <f>_xll.BQL("ULCC US Equity", "BS_REFUND_LIABILITIES_NONCURRENT/1M", "FPT=A", "FPO=1A", "ACT_EST_MAPPING=PRECISE", "FS=MRC", "CURRENCY=USD", "XLFILL=b")</f>
        <v>34.784658340081187</v>
      </c>
      <c r="J266" s="9">
        <f>_xll.BQL("ULCC US Equity", "BS_REFUND_LIABILITIES_NONCURRENT/1M", "FPT=A", "FPO=0A", "ACT_EST_MAPPING=PRECISE", "FS=MRC", "CURRENCY=USD", "XLFILL=b")</f>
        <v>35</v>
      </c>
      <c r="K266" s="9">
        <f>_xll.BQL("ULCC US Equity", "BS_REFUND_LIABILITIES_NONCURRENT/1M", "FPT=A", "FPO=-1A", "ACT_EST_MAPPING=PRECISE", "FS=MRC", "CURRENCY=USD", "XLFILL=b")</f>
        <v>32</v>
      </c>
      <c r="L266" s="9">
        <f>_xll.BQL("ULCC US Equity", "BS_REFUND_LIABILITIES_NONCURRENT/1M", "FPT=A", "FPO=-2A", "ACT_EST_MAPPING=PRECISE", "FS=MRC", "CURRENCY=USD", "XLFILL=b")</f>
        <v>41</v>
      </c>
      <c r="M266" s="9">
        <f>_xll.BQL("ULCC US Equity", "BS_REFUND_LIABILITIES_NONCURRENT/1M", "FPT=A", "FPO=-3A", "ACT_EST_MAPPING=PRECISE", "FS=MRC", "CURRENCY=USD", "XLFILL=b")</f>
        <v>50</v>
      </c>
      <c r="N266" s="9">
        <f>_xll.BQL("ULCC US Equity", "BS_REFUND_LIABILITIES_NONCURRENT/1M", "FPT=A", "FPO=-4A", "ACT_EST_MAPPING=PRECISE", "FS=MRC", "CURRENCY=USD", "XLFILL=b")</f>
        <v>31</v>
      </c>
    </row>
    <row r="267" spans="1:14" x14ac:dyDescent="0.2">
      <c r="A267" s="8" t="s">
        <v>71</v>
      </c>
      <c r="B267" s="4" t="s">
        <v>278</v>
      </c>
      <c r="C267" s="4"/>
      <c r="D267" s="4"/>
      <c r="E267" s="9">
        <f>_xll.BQL("ULCC US Equity", "FA_GROWTH(BS_REFUND_LIABILITIES_NONCURRENT, YOY)", "FPT=A", "FPO=5A", "ACT_EST_MAPPING=PRECISE", "FS=MRC", "CURRENCY=USD", "XLFILL=b")</f>
        <v>0</v>
      </c>
      <c r="F267" s="9">
        <f>_xll.BQL("ULCC US Equity", "FA_GROWTH(BS_REFUND_LIABILITIES_NONCURRENT, YOY)", "FPT=A", "FPO=4A", "ACT_EST_MAPPING=PRECISE", "FS=MRC", "CURRENCY=USD", "XLFILL=b")</f>
        <v>0</v>
      </c>
      <c r="G267" s="9">
        <f>_xll.BQL("ULCC US Equity", "FA_GROWTH(BS_REFUND_LIABILITIES_NONCURRENT, YOY)", "FPT=A", "FPO=3A", "ACT_EST_MAPPING=PRECISE", "FS=MRC", "CURRENCY=USD", "XLFILL=b")</f>
        <v>-12.75863495790084</v>
      </c>
      <c r="H267" s="9">
        <f>_xll.BQL("ULCC US Equity", "FA_GROWTH(BS_REFUND_LIABILITIES_NONCURRENT, YOY)", "FPT=A", "FPO=2A", "ACT_EST_MAPPING=PRECISE", "FS=MRC", "CURRENCY=USD", "XLFILL=b")</f>
        <v>8.7436098211090592</v>
      </c>
      <c r="I267" s="9">
        <f>_xll.BQL("ULCC US Equity", "FA_GROWTH(BS_REFUND_LIABILITIES_NONCURRENT, YOY)", "FPT=A", "FPO=1A", "ACT_EST_MAPPING=PRECISE", "FS=MRC", "CURRENCY=USD", "XLFILL=b")</f>
        <v>-0.6152618854823283</v>
      </c>
      <c r="J267" s="9">
        <f>_xll.BQL("ULCC US Equity", "FA_GROWTH(BS_REFUND_LIABILITIES_NONCURRENT, YOY)", "FPT=A", "FPO=0A", "ACT_EST_MAPPING=PRECISE", "FS=MRC", "CURRENCY=USD", "XLFILL=b")</f>
        <v>9.375</v>
      </c>
      <c r="K267" s="9">
        <f>_xll.BQL("ULCC US Equity", "FA_GROWTH(BS_REFUND_LIABILITIES_NONCURRENT, YOY)", "FPT=A", "FPO=-1A", "ACT_EST_MAPPING=PRECISE", "FS=MRC", "CURRENCY=USD", "XLFILL=b")</f>
        <v>-21.951219512195124</v>
      </c>
      <c r="L267" s="9">
        <f>_xll.BQL("ULCC US Equity", "FA_GROWTH(BS_REFUND_LIABILITIES_NONCURRENT, YOY)", "FPT=A", "FPO=-2A", "ACT_EST_MAPPING=PRECISE", "FS=MRC", "CURRENCY=USD", "XLFILL=b")</f>
        <v>-18</v>
      </c>
      <c r="M267" s="9">
        <f>_xll.BQL("ULCC US Equity", "FA_GROWTH(BS_REFUND_LIABILITIES_NONCURRENT, YOY)", "FPT=A", "FPO=-3A", "ACT_EST_MAPPING=PRECISE", "FS=MRC", "CURRENCY=USD", "XLFILL=b")</f>
        <v>61.29032258064516</v>
      </c>
      <c r="N267" s="9" t="str">
        <f>_xll.BQL("ULCC US Equity", "FA_GROWTH(BS_REFUND_LIABILITIES_NONCURRENT, YOY)", "FPT=A", "FPO=-4A", "ACT_EST_MAPPING=PRECISE", "FS=MRC", "CURRENCY=USD", "XLFILL=b")</f>
        <v/>
      </c>
    </row>
    <row r="268" spans="1:14" x14ac:dyDescent="0.2">
      <c r="A268" s="8" t="s">
        <v>279</v>
      </c>
      <c r="B268" s="4" t="s">
        <v>280</v>
      </c>
      <c r="C268" s="4" t="s">
        <v>281</v>
      </c>
      <c r="D268" s="4"/>
      <c r="E268" s="9">
        <f>_xll.BQL("ULCC US Equity", "CB_BS_OTHER_NONCURRENT_LIABS/1M", "FPT=A", "FPO=5A", "ACT_EST_MAPPING=PRECISE", "FS=MRC", "CURRENCY=USD", "XLFILL=b")</f>
        <v>110</v>
      </c>
      <c r="F268" s="9">
        <f>_xll.BQL("ULCC US Equity", "CB_BS_OTHER_NONCURRENT_LIABS/1M", "FPT=A", "FPO=4A", "ACT_EST_MAPPING=PRECISE", "FS=MRC", "CURRENCY=USD", "XLFILL=b")</f>
        <v>110</v>
      </c>
      <c r="G268" s="9">
        <f>_xll.BQL("ULCC US Equity", "CB_BS_OTHER_NONCURRENT_LIABS/1M", "FPT=A", "FPO=3A", "ACT_EST_MAPPING=PRECISE", "FS=MRC", "CURRENCY=USD", "XLFILL=b")</f>
        <v>110</v>
      </c>
      <c r="H268" s="9">
        <f>_xll.BQL("ULCC US Equity", "CB_BS_OTHER_NONCURRENT_LIABS/1M", "FPT=A", "FPO=2A", "ACT_EST_MAPPING=PRECISE", "FS=MRC", "CURRENCY=USD", "XLFILL=b")</f>
        <v>90.393185914173358</v>
      </c>
      <c r="I268" s="9">
        <f>_xll.BQL("ULCC US Equity", "CB_BS_OTHER_NONCURRENT_LIABS/1M", "FPT=A", "FPO=1A", "ACT_EST_MAPPING=PRECISE", "FS=MRC", "CURRENCY=USD", "XLFILL=b")</f>
        <v>81.480389157894422</v>
      </c>
      <c r="J268" s="9">
        <f>_xll.BQL("ULCC US Equity", "CB_BS_OTHER_NONCURRENT_LIABS/1M", "FPT=A", "FPO=0A", "ACT_EST_MAPPING=PRECISE", "FS=MRC", "CURRENCY=USD", "XLFILL=b")</f>
        <v>134</v>
      </c>
      <c r="K268" s="9">
        <f>_xll.BQL("ULCC US Equity", "CB_BS_OTHER_NONCURRENT_LIABS/1M", "FPT=A", "FPO=-1A", "ACT_EST_MAPPING=PRECISE", "FS=MRC", "CURRENCY=USD", "XLFILL=b")</f>
        <v>97</v>
      </c>
      <c r="L268" s="9">
        <f>_xll.BQL("ULCC US Equity", "CB_BS_OTHER_NONCURRENT_LIABS/1M", "FPT=A", "FPO=-2A", "ACT_EST_MAPPING=PRECISE", "FS=MRC", "CURRENCY=USD", "XLFILL=b")</f>
        <v>60</v>
      </c>
      <c r="M268" s="9" t="str">
        <f>_xll.BQL("ULCC US Equity", "CB_BS_OTHER_NONCURRENT_LIABS/1M", "FPT=A", "FPO=-3A", "ACT_EST_MAPPING=PRECISE", "FS=MRC", "CURRENCY=USD", "XLFILL=b")</f>
        <v/>
      </c>
      <c r="N268" s="9" t="str">
        <f>_xll.BQL("ULCC US Equity", "CB_BS_OTHER_NONCURRENT_LIABS/1M", "FPT=A", "FPO=-4A", "ACT_EST_MAPPING=PRECISE", "FS=MRC", "CURRENCY=USD", "XLFILL=b")</f>
        <v/>
      </c>
    </row>
    <row r="269" spans="1:14" x14ac:dyDescent="0.2">
      <c r="A269" s="8" t="s">
        <v>71</v>
      </c>
      <c r="B269" s="4" t="s">
        <v>280</v>
      </c>
      <c r="C269" s="4" t="s">
        <v>281</v>
      </c>
      <c r="D269" s="4"/>
      <c r="E269" s="9">
        <f>_xll.BQL("ULCC US Equity", "FA_GROWTH(CB_BS_OTHER_NONCURRENT_LIABS, YOY)", "FPT=A", "FPO=5A", "ACT_EST_MAPPING=PRECISE", "FS=MRC", "CURRENCY=USD", "XLFILL=b")</f>
        <v>0</v>
      </c>
      <c r="F269" s="9">
        <f>_xll.BQL("ULCC US Equity", "FA_GROWTH(CB_BS_OTHER_NONCURRENT_LIABS, YOY)", "FPT=A", "FPO=4A", "ACT_EST_MAPPING=PRECISE", "FS=MRC", "CURRENCY=USD", "XLFILL=b")</f>
        <v>0</v>
      </c>
      <c r="G269" s="9">
        <f>_xll.BQL("ULCC US Equity", "FA_GROWTH(CB_BS_OTHER_NONCURRENT_LIABS, YOY)", "FPT=A", "FPO=3A", "ACT_EST_MAPPING=PRECISE", "FS=MRC", "CURRENCY=USD", "XLFILL=b")</f>
        <v>21.690588607467532</v>
      </c>
      <c r="H269" s="9">
        <f>_xll.BQL("ULCC US Equity", "FA_GROWTH(CB_BS_OTHER_NONCURRENT_LIABS, YOY)", "FPT=A", "FPO=2A", "ACT_EST_MAPPING=PRECISE", "FS=MRC", "CURRENCY=USD", "XLFILL=b")</f>
        <v>10.938579022993546</v>
      </c>
      <c r="I269" s="9">
        <f>_xll.BQL("ULCC US Equity", "FA_GROWTH(CB_BS_OTHER_NONCURRENT_LIABS, YOY)", "FPT=A", "FPO=1A", "ACT_EST_MAPPING=PRECISE", "FS=MRC", "CURRENCY=USD", "XLFILL=b")</f>
        <v>-39.193739434407149</v>
      </c>
      <c r="J269" s="9">
        <f>_xll.BQL("ULCC US Equity", "FA_GROWTH(CB_BS_OTHER_NONCURRENT_LIABS, YOY)", "FPT=A", "FPO=0A", "ACT_EST_MAPPING=PRECISE", "FS=MRC", "CURRENCY=USD", "XLFILL=b")</f>
        <v>38.144329896907216</v>
      </c>
      <c r="K269" s="9">
        <f>_xll.BQL("ULCC US Equity", "FA_GROWTH(CB_BS_OTHER_NONCURRENT_LIABS, YOY)", "FPT=A", "FPO=-1A", "ACT_EST_MAPPING=PRECISE", "FS=MRC", "CURRENCY=USD", "XLFILL=b")</f>
        <v>61.666666666666664</v>
      </c>
      <c r="L269" s="9" t="str">
        <f>_xll.BQL("ULCC US Equity", "FA_GROWTH(CB_BS_OTHER_NONCURRENT_LIABS, YOY)", "FPT=A", "FPO=-2A", "ACT_EST_MAPPING=PRECISE", "FS=MRC", "CURRENCY=USD", "XLFILL=b")</f>
        <v/>
      </c>
      <c r="M269" s="9" t="str">
        <f>_xll.BQL("ULCC US Equity", "FA_GROWTH(CB_BS_OTHER_NONCURRENT_LIABS, YOY)", "FPT=A", "FPO=-3A", "ACT_EST_MAPPING=PRECISE", "FS=MRC", "CURRENCY=USD", "XLFILL=b")</f>
        <v/>
      </c>
      <c r="N269" s="9" t="str">
        <f>_xll.BQL("ULCC US Equity", "FA_GROWTH(CB_BS_OTHER_NONCURRENT_LIABS, YOY)", "FPT=A", "FPO=-4A", "ACT_EST_MAPPING=PRECISE", "FS=MRC", "CURRENCY=USD", "XLFILL=b")</f>
        <v/>
      </c>
    </row>
    <row r="270" spans="1:14" x14ac:dyDescent="0.2">
      <c r="A270" s="8" t="s">
        <v>282</v>
      </c>
      <c r="B270" s="4" t="s">
        <v>283</v>
      </c>
      <c r="C270" s="4" t="s">
        <v>284</v>
      </c>
      <c r="D270" s="4"/>
      <c r="E270" s="9">
        <f>_xll.BQL("ULCC US Equity", "BS_TOTAL_LIABILITIES/1M", "FPT=A", "FPO=5A", "ACT_EST_MAPPING=PRECISE", "FS=MRC", "CURRENCY=USD", "XLFILL=b")</f>
        <v>8146</v>
      </c>
      <c r="F270" s="9">
        <f>_xll.BQL("ULCC US Equity", "BS_TOTAL_LIABILITIES/1M", "FPT=A", "FPO=4A", "ACT_EST_MAPPING=PRECISE", "FS=MRC", "CURRENCY=USD", "XLFILL=b")</f>
        <v>7435.5</v>
      </c>
      <c r="G270" s="9">
        <f>_xll.BQL("ULCC US Equity", "BS_TOTAL_LIABILITIES/1M", "FPT=A", "FPO=3A", "ACT_EST_MAPPING=PRECISE", "FS=MRC", "CURRENCY=USD", "XLFILL=b")</f>
        <v>5286.7910276391613</v>
      </c>
      <c r="H270" s="9">
        <f>_xll.BQL("ULCC US Equity", "BS_TOTAL_LIABILITIES/1M", "FPT=A", "FPO=2A", "ACT_EST_MAPPING=PRECISE", "FS=MRC", "CURRENCY=USD", "XLFILL=b")</f>
        <v>5059.5208895396981</v>
      </c>
      <c r="I270" s="9">
        <f>_xll.BQL("ULCC US Equity", "BS_TOTAL_LIABILITIES/1M", "FPT=A", "FPO=1A", "ACT_EST_MAPPING=PRECISE", "FS=MRC", "CURRENCY=USD", "XLFILL=b")</f>
        <v>4889.3944394643213</v>
      </c>
      <c r="J270" s="9">
        <f>_xll.BQL("ULCC US Equity", "BS_TOTAL_LIABILITIES/1M", "FPT=A", "FPO=0A", "ACT_EST_MAPPING=PRECISE", "FS=MRC", "CURRENCY=USD", "XLFILL=b")</f>
        <v>4486</v>
      </c>
      <c r="K270" s="9">
        <f>_xll.BQL("ULCC US Equity", "BS_TOTAL_LIABILITIES/1M", "FPT=A", "FPO=-1A", "ACT_EST_MAPPING=PRECISE", "FS=MRC", "CURRENCY=USD", "XLFILL=b")</f>
        <v>3990</v>
      </c>
      <c r="L270" s="9">
        <f>_xll.BQL("ULCC US Equity", "BS_TOTAL_LIABILITIES/1M", "FPT=A", "FPO=-2A", "ACT_EST_MAPPING=PRECISE", "FS=MRC", "CURRENCY=USD", "XLFILL=b")</f>
        <v>3705</v>
      </c>
      <c r="M270" s="9">
        <f>_xll.BQL("ULCC US Equity", "BS_TOTAL_LIABILITIES/1M", "FPT=A", "FPO=-3A", "ACT_EST_MAPPING=PRECISE", "FS=MRC", "CURRENCY=USD", "XLFILL=b")</f>
        <v>3244</v>
      </c>
      <c r="N270" s="9">
        <f>_xll.BQL("ULCC US Equity", "BS_TOTAL_LIABILITIES/1M", "FPT=A", "FPO=-4A", "ACT_EST_MAPPING=PRECISE", "FS=MRC", "CURRENCY=USD", "XLFILL=b")</f>
        <v>3322</v>
      </c>
    </row>
    <row r="271" spans="1:14" x14ac:dyDescent="0.2">
      <c r="A271" s="8" t="s">
        <v>28</v>
      </c>
      <c r="B271" s="4" t="s">
        <v>283</v>
      </c>
      <c r="C271" s="4" t="s">
        <v>284</v>
      </c>
      <c r="D271" s="4"/>
      <c r="E271" s="9">
        <f>_xll.BQL("ULCC US Equity", "FA_GROWTH(BS_TOTAL_LIABILITIES, YOY)", "FPT=A", "FPO=5A", "ACT_EST_MAPPING=PRECISE", "FS=MRC", "CURRENCY=USD", "XLFILL=b")</f>
        <v>9.5555107255732636</v>
      </c>
      <c r="F271" s="9">
        <f>_xll.BQL("ULCC US Equity", "FA_GROWTH(BS_TOTAL_LIABILITIES, YOY)", "FPT=A", "FPO=4A", "ACT_EST_MAPPING=PRECISE", "FS=MRC", "CURRENCY=USD", "XLFILL=b")</f>
        <v>40.642971532777871</v>
      </c>
      <c r="G271" s="9">
        <f>_xll.BQL("ULCC US Equity", "FA_GROWTH(BS_TOTAL_LIABILITIES, YOY)", "FPT=A", "FPO=3A", "ACT_EST_MAPPING=PRECISE", "FS=MRC", "CURRENCY=USD", "XLFILL=b")</f>
        <v>4.49193002778844</v>
      </c>
      <c r="H271" s="9">
        <f>_xll.BQL("ULCC US Equity", "FA_GROWTH(BS_TOTAL_LIABILITIES, YOY)", "FPT=A", "FPO=2A", "ACT_EST_MAPPING=PRECISE", "FS=MRC", "CURRENCY=USD", "XLFILL=b")</f>
        <v>3.4794993977621576</v>
      </c>
      <c r="I271" s="9">
        <f>_xll.BQL("ULCC US Equity", "FA_GROWTH(BS_TOTAL_LIABILITIES, YOY)", "FPT=A", "FPO=1A", "ACT_EST_MAPPING=PRECISE", "FS=MRC", "CURRENCY=USD", "XLFILL=b")</f>
        <v>8.9922969118216933</v>
      </c>
      <c r="J271" s="9">
        <f>_xll.BQL("ULCC US Equity", "FA_GROWTH(BS_TOTAL_LIABILITIES, YOY)", "FPT=A", "FPO=0A", "ACT_EST_MAPPING=PRECISE", "FS=MRC", "CURRENCY=USD", "XLFILL=b")</f>
        <v>12.431077694235588</v>
      </c>
      <c r="K271" s="9">
        <f>_xll.BQL("ULCC US Equity", "FA_GROWTH(BS_TOTAL_LIABILITIES, YOY)", "FPT=A", "FPO=-1A", "ACT_EST_MAPPING=PRECISE", "FS=MRC", "CURRENCY=USD", "XLFILL=b")</f>
        <v>7.6923076923076925</v>
      </c>
      <c r="L271" s="9">
        <f>_xll.BQL("ULCC US Equity", "FA_GROWTH(BS_TOTAL_LIABILITIES, YOY)", "FPT=A", "FPO=-2A", "ACT_EST_MAPPING=PRECISE", "FS=MRC", "CURRENCY=USD", "XLFILL=b")</f>
        <v>14.210850801479655</v>
      </c>
      <c r="M271" s="9">
        <f>_xll.BQL("ULCC US Equity", "FA_GROWTH(BS_TOTAL_LIABILITIES, YOY)", "FPT=A", "FPO=-3A", "ACT_EST_MAPPING=PRECISE", "FS=MRC", "CURRENCY=USD", "XLFILL=b")</f>
        <v>-2.3479831426851296</v>
      </c>
      <c r="N271" s="9" t="str">
        <f>_xll.BQL("ULCC US Equity", "FA_GROWTH(BS_TOTAL_LIABILITIES, YOY)", "FPT=A", "FPO=-4A", "ACT_EST_MAPPING=PRECISE", "FS=MRC", "CURRENCY=USD", "XLFILL=b")</f>
        <v/>
      </c>
    </row>
    <row r="272" spans="1:14" x14ac:dyDescent="0.2">
      <c r="A272" s="8" t="s">
        <v>285</v>
      </c>
      <c r="B272" s="4" t="s">
        <v>286</v>
      </c>
      <c r="C272" s="4" t="s">
        <v>287</v>
      </c>
      <c r="D272" s="4"/>
      <c r="E272" s="9">
        <f>_xll.BQL("ULCC US Equity", "HEADLINE_NAV/1M", "FPT=A", "FPO=5A", "ACT_EST_MAPPING=PRECISE", "FS=MRC", "CURRENCY=USD", "XLFILL=b")</f>
        <v>2157</v>
      </c>
      <c r="F272" s="9">
        <f>_xll.BQL("ULCC US Equity", "HEADLINE_NAV/1M", "FPT=A", "FPO=4A", "ACT_EST_MAPPING=PRECISE", "FS=MRC", "CURRENCY=USD", "XLFILL=b")</f>
        <v>1692</v>
      </c>
      <c r="G272" s="9">
        <f>_xll.BQL("ULCC US Equity", "HEADLINE_NAV/1M", "FPT=A", "FPO=3A", "ACT_EST_MAPPING=PRECISE", "FS=MRC", "CURRENCY=USD", "XLFILL=b")</f>
        <v>1038.25</v>
      </c>
      <c r="H272" s="9">
        <f>_xll.BQL("ULCC US Equity", "HEADLINE_NAV/1M", "FPT=A", "FPO=2A", "ACT_EST_MAPPING=PRECISE", "FS=MRC", "CURRENCY=USD", "XLFILL=b")</f>
        <v>667.625</v>
      </c>
      <c r="I272" s="9">
        <f>_xll.BQL("ULCC US Equity", "HEADLINE_NAV/1M", "FPT=A", "FPO=1A", "ACT_EST_MAPPING=PRECISE", "FS=MRC", "CURRENCY=USD", "XLFILL=b")</f>
        <v>580</v>
      </c>
      <c r="J272" s="9">
        <f>_xll.BQL("ULCC US Equity", "HEADLINE_NAV/1M", "FPT=A", "FPO=0A", "ACT_EST_MAPPING=PRECISE", "FS=MRC", "CURRENCY=USD", "XLFILL=b")</f>
        <v>507</v>
      </c>
      <c r="K272" s="9">
        <f>_xll.BQL("ULCC US Equity", "HEADLINE_NAV/1M", "FPT=A", "FPO=-1A", "ACT_EST_MAPPING=PRECISE", "FS=MRC", "CURRENCY=USD", "XLFILL=b")</f>
        <v>509</v>
      </c>
      <c r="L272" s="9">
        <f>_xll.BQL("ULCC US Equity", "HEADLINE_NAV/1M", "FPT=A", "FPO=-2A", "ACT_EST_MAPPING=PRECISE", "FS=MRC", "CURRENCY=USD", "XLFILL=b")</f>
        <v>530</v>
      </c>
      <c r="M272" s="9">
        <f>_xll.BQL("ULCC US Equity", "HEADLINE_NAV/1M", "FPT=A", "FPO=-3A", "ACT_EST_MAPPING=PRECISE", "FS=MRC", "CURRENCY=USD", "XLFILL=b")</f>
        <v>310</v>
      </c>
      <c r="N272" s="9">
        <f>_xll.BQL("ULCC US Equity", "HEADLINE_NAV/1M", "FPT=A", "FPO=-4A", "ACT_EST_MAPPING=PRECISE", "FS=MRC", "CURRENCY=USD", "XLFILL=b")</f>
        <v>542</v>
      </c>
    </row>
    <row r="273" spans="1:14" x14ac:dyDescent="0.2">
      <c r="A273" s="8" t="s">
        <v>28</v>
      </c>
      <c r="B273" s="4" t="s">
        <v>286</v>
      </c>
      <c r="C273" s="4" t="s">
        <v>287</v>
      </c>
      <c r="D273" s="4"/>
      <c r="E273" s="9">
        <f>_xll.BQL("ULCC US Equity", "FA_GROWTH(HEADLINE_NAV, YOY)", "FPT=A", "FPO=5A", "ACT_EST_MAPPING=PRECISE", "FS=MRC", "CURRENCY=USD", "XLFILL=b")</f>
        <v>27.4822695035461</v>
      </c>
      <c r="F273" s="9">
        <f>_xll.BQL("ULCC US Equity", "FA_GROWTH(HEADLINE_NAV, YOY)", "FPT=A", "FPO=4A", "ACT_EST_MAPPING=PRECISE", "FS=MRC", "CURRENCY=USD", "XLFILL=b")</f>
        <v>62.96653021911871</v>
      </c>
      <c r="G273" s="9">
        <f>_xll.BQL("ULCC US Equity", "FA_GROWTH(HEADLINE_NAV, YOY)", "FPT=A", "FPO=3A", "ACT_EST_MAPPING=PRECISE", "FS=MRC", "CURRENCY=USD", "XLFILL=b")</f>
        <v>55.513948698745551</v>
      </c>
      <c r="H273" s="9">
        <f>_xll.BQL("ULCC US Equity", "FA_GROWTH(HEADLINE_NAV, YOY)", "FPT=A", "FPO=2A", "ACT_EST_MAPPING=PRECISE", "FS=MRC", "CURRENCY=USD", "XLFILL=b")</f>
        <v>15.107758620689655</v>
      </c>
      <c r="I273" s="9">
        <f>_xll.BQL("ULCC US Equity", "FA_GROWTH(HEADLINE_NAV, YOY)", "FPT=A", "FPO=1A", "ACT_EST_MAPPING=PRECISE", "FS=MRC", "CURRENCY=USD", "XLFILL=b")</f>
        <v>14.398422090729783</v>
      </c>
      <c r="J273" s="9">
        <f>_xll.BQL("ULCC US Equity", "FA_GROWTH(HEADLINE_NAV, YOY)", "FPT=A", "FPO=0A", "ACT_EST_MAPPING=PRECISE", "FS=MRC", "CURRENCY=USD", "XLFILL=b")</f>
        <v>-0.39292730844793711</v>
      </c>
      <c r="K273" s="9">
        <f>_xll.BQL("ULCC US Equity", "FA_GROWTH(HEADLINE_NAV, YOY)", "FPT=A", "FPO=-1A", "ACT_EST_MAPPING=PRECISE", "FS=MRC", "CURRENCY=USD", "XLFILL=b")</f>
        <v>-3.9622641509433962</v>
      </c>
      <c r="L273" s="9">
        <f>_xll.BQL("ULCC US Equity", "FA_GROWTH(HEADLINE_NAV, YOY)", "FPT=A", "FPO=-2A", "ACT_EST_MAPPING=PRECISE", "FS=MRC", "CURRENCY=USD", "XLFILL=b")</f>
        <v>70.967741935483872</v>
      </c>
      <c r="M273" s="9">
        <f>_xll.BQL("ULCC US Equity", "FA_GROWTH(HEADLINE_NAV, YOY)", "FPT=A", "FPO=-3A", "ACT_EST_MAPPING=PRECISE", "FS=MRC", "CURRENCY=USD", "XLFILL=b")</f>
        <v>-42.804428044280442</v>
      </c>
      <c r="N273" s="9" t="str">
        <f>_xll.BQL("ULCC US Equity", "FA_GROWTH(HEADLINE_NAV, YOY)", "FPT=A", "FPO=-4A", "ACT_EST_MAPPING=PRECISE", "FS=MRC", "CURRENCY=USD", "XLFILL=b")</f>
        <v/>
      </c>
    </row>
    <row r="274" spans="1:14" x14ac:dyDescent="0.2">
      <c r="A274" s="8" t="s">
        <v>288</v>
      </c>
      <c r="B274" s="4" t="s">
        <v>289</v>
      </c>
      <c r="C274" s="4"/>
      <c r="D274" s="4"/>
      <c r="E274" s="9" t="str">
        <f>_xll.BQL("ULCC US Equity", "CB_BS_APIC/1M", "FPT=A", "FPO=5A", "ACT_EST_MAPPING=PRECISE", "FS=MRC", "CURRENCY=USD", "XLFILL=b")</f>
        <v/>
      </c>
      <c r="F274" s="9" t="str">
        <f>_xll.BQL("ULCC US Equity", "CB_BS_APIC/1M", "FPT=A", "FPO=4A", "ACT_EST_MAPPING=PRECISE", "FS=MRC", "CURRENCY=USD", "XLFILL=b")</f>
        <v/>
      </c>
      <c r="G274" s="9">
        <f>_xll.BQL("ULCC US Equity", "CB_BS_APIC/1M", "FPT=A", "FPO=3A", "ACT_EST_MAPPING=PRECISE", "FS=MRC", "CURRENCY=USD", "XLFILL=b")</f>
        <v>398.96872050208185</v>
      </c>
      <c r="H274" s="9">
        <f>_xll.BQL("ULCC US Equity", "CB_BS_APIC/1M", "FPT=A", "FPO=2A", "ACT_EST_MAPPING=PRECISE", "FS=MRC", "CURRENCY=USD", "XLFILL=b")</f>
        <v>450.0147783282971</v>
      </c>
      <c r="I274" s="9">
        <f>_xll.BQL("ULCC US Equity", "CB_BS_APIC/1M", "FPT=A", "FPO=1A", "ACT_EST_MAPPING=PRECISE", "FS=MRC", "CURRENCY=USD", "XLFILL=b")</f>
        <v>498.05871390996458</v>
      </c>
      <c r="J274" s="9">
        <f>_xll.BQL("ULCC US Equity", "CB_BS_APIC/1M", "FPT=A", "FPO=0A", "ACT_EST_MAPPING=PRECISE", "FS=MRC", "CURRENCY=USD", "XLFILL=b")</f>
        <v>403</v>
      </c>
      <c r="K274" s="9">
        <f>_xll.BQL("ULCC US Equity", "CB_BS_APIC/1M", "FPT=A", "FPO=-1A", "ACT_EST_MAPPING=PRECISE", "FS=MRC", "CURRENCY=USD", "XLFILL=b")</f>
        <v>393</v>
      </c>
      <c r="L274" s="9">
        <f>_xll.BQL("ULCC US Equity", "CB_BS_APIC/1M", "FPT=A", "FPO=-2A", "ACT_EST_MAPPING=PRECISE", "FS=MRC", "CURRENCY=USD", "XLFILL=b")</f>
        <v>381</v>
      </c>
      <c r="M274" s="9">
        <f>_xll.BQL("ULCC US Equity", "CB_BS_APIC/1M", "FPT=A", "FPO=-3A", "ACT_EST_MAPPING=PRECISE", "FS=MRC", "CURRENCY=USD", "XLFILL=b")</f>
        <v>60</v>
      </c>
      <c r="N274" s="9">
        <f>_xll.BQL("ULCC US Equity", "CB_BS_APIC/1M", "FPT=A", "FPO=-4A", "ACT_EST_MAPPING=PRECISE", "FS=MRC", "CURRENCY=USD", "XLFILL=b")</f>
        <v>52</v>
      </c>
    </row>
    <row r="275" spans="1:14" x14ac:dyDescent="0.2">
      <c r="A275" s="8" t="s">
        <v>71</v>
      </c>
      <c r="B275" s="4" t="s">
        <v>289</v>
      </c>
      <c r="C275" s="4"/>
      <c r="D275" s="4"/>
      <c r="E275" s="9" t="str">
        <f>_xll.BQL("ULCC US Equity", "FA_GROWTH(CB_BS_APIC, YOY)", "FPT=A", "FPO=5A", "ACT_EST_MAPPING=PRECISE", "FS=MRC", "CURRENCY=USD", "XLFILL=b")</f>
        <v/>
      </c>
      <c r="F275" s="9" t="str">
        <f>_xll.BQL("ULCC US Equity", "FA_GROWTH(CB_BS_APIC, YOY)", "FPT=A", "FPO=4A", "ACT_EST_MAPPING=PRECISE", "FS=MRC", "CURRENCY=USD", "XLFILL=b")</f>
        <v/>
      </c>
      <c r="G275" s="9">
        <f>_xll.BQL("ULCC US Equity", "FA_GROWTH(CB_BS_APIC, YOY)", "FPT=A", "FPO=3A", "ACT_EST_MAPPING=PRECISE", "FS=MRC", "CURRENCY=USD", "XLFILL=b")</f>
        <v>-11.343195886997256</v>
      </c>
      <c r="H275" s="9">
        <f>_xll.BQL("ULCC US Equity", "FA_GROWTH(CB_BS_APIC, YOY)", "FPT=A", "FPO=2A", "ACT_EST_MAPPING=PRECISE", "FS=MRC", "CURRENCY=USD", "XLFILL=b")</f>
        <v>-9.6462393368249586</v>
      </c>
      <c r="I275" s="9">
        <f>_xll.BQL("ULCC US Equity", "FA_GROWTH(CB_BS_APIC, YOY)", "FPT=A", "FPO=1A", "ACT_EST_MAPPING=PRECISE", "FS=MRC", "CURRENCY=USD", "XLFILL=b")</f>
        <v>23.587770200983762</v>
      </c>
      <c r="J275" s="9">
        <f>_xll.BQL("ULCC US Equity", "FA_GROWTH(CB_BS_APIC, YOY)", "FPT=A", "FPO=0A", "ACT_EST_MAPPING=PRECISE", "FS=MRC", "CURRENCY=USD", "XLFILL=b")</f>
        <v>2.5445292620865141</v>
      </c>
      <c r="K275" s="9">
        <f>_xll.BQL("ULCC US Equity", "FA_GROWTH(CB_BS_APIC, YOY)", "FPT=A", "FPO=-1A", "ACT_EST_MAPPING=PRECISE", "FS=MRC", "CURRENCY=USD", "XLFILL=b")</f>
        <v>3.1496062992125986</v>
      </c>
      <c r="L275" s="9">
        <f>_xll.BQL("ULCC US Equity", "FA_GROWTH(CB_BS_APIC, YOY)", "FPT=A", "FPO=-2A", "ACT_EST_MAPPING=PRECISE", "FS=MRC", "CURRENCY=USD", "XLFILL=b")</f>
        <v>535</v>
      </c>
      <c r="M275" s="9">
        <f>_xll.BQL("ULCC US Equity", "FA_GROWTH(CB_BS_APIC, YOY)", "FPT=A", "FPO=-3A", "ACT_EST_MAPPING=PRECISE", "FS=MRC", "CURRENCY=USD", "XLFILL=b")</f>
        <v>15.384615384615385</v>
      </c>
      <c r="N275" s="9" t="str">
        <f>_xll.BQL("ULCC US Equity", "FA_GROWTH(CB_BS_APIC, YOY)", "FPT=A", "FPO=-4A", "ACT_EST_MAPPING=PRECISE", "FS=MRC", "CURRENCY=USD", "XLFILL=b")</f>
        <v/>
      </c>
    </row>
    <row r="276" spans="1:14" x14ac:dyDescent="0.2">
      <c r="A276" s="8" t="s">
        <v>290</v>
      </c>
      <c r="B276" s="4" t="s">
        <v>291</v>
      </c>
      <c r="C276" s="4"/>
      <c r="D276" s="4"/>
      <c r="E276" s="9" t="str">
        <f>_xll.BQL("ULCC US Equity", "CB_BS_RETAINED_ERN/1M", "FPT=A", "FPO=5A", "ACT_EST_MAPPING=PRECISE", "FS=MRC", "CURRENCY=USD", "XLFILL=b")</f>
        <v/>
      </c>
      <c r="F276" s="9" t="str">
        <f>_xll.BQL("ULCC US Equity", "CB_BS_RETAINED_ERN/1M", "FPT=A", "FPO=4A", "ACT_EST_MAPPING=PRECISE", "FS=MRC", "CURRENCY=USD", "XLFILL=b")</f>
        <v/>
      </c>
      <c r="G276" s="9">
        <f>_xll.BQL("ULCC US Equity", "CB_BS_RETAINED_ERN/1M", "FPT=A", "FPO=3A", "ACT_EST_MAPPING=PRECISE", "FS=MRC", "CURRENCY=USD", "XLFILL=b")</f>
        <v>538.70180169930597</v>
      </c>
      <c r="H276" s="9">
        <f>_xll.BQL("ULCC US Equity", "CB_BS_RETAINED_ERN/1M", "FPT=A", "FPO=2A", "ACT_EST_MAPPING=PRECISE", "FS=MRC", "CURRENCY=USD", "XLFILL=b")</f>
        <v>248.09740659664902</v>
      </c>
      <c r="I276" s="9">
        <f>_xll.BQL("ULCC US Equity", "CB_BS_RETAINED_ERN/1M", "FPT=A", "FPO=1A", "ACT_EST_MAPPING=PRECISE", "FS=MRC", "CURRENCY=USD", "XLFILL=b")</f>
        <v>113.3859261422227</v>
      </c>
      <c r="J276" s="9">
        <f>_xll.BQL("ULCC US Equity", "CB_BS_RETAINED_ERN/1M", "FPT=A", "FPO=0A", "ACT_EST_MAPPING=PRECISE", "FS=MRC", "CURRENCY=USD", "XLFILL=b")</f>
        <v>111</v>
      </c>
      <c r="K276" s="9">
        <f>_xll.BQL("ULCC US Equity", "CB_BS_RETAINED_ERN/1M", "FPT=A", "FPO=-1A", "ACT_EST_MAPPING=PRECISE", "FS=MRC", "CURRENCY=USD", "XLFILL=b")</f>
        <v>122</v>
      </c>
      <c r="L276" s="9">
        <f>_xll.BQL("ULCC US Equity", "CB_BS_RETAINED_ERN/1M", "FPT=A", "FPO=-2A", "ACT_EST_MAPPING=PRECISE", "FS=MRC", "CURRENCY=USD", "XLFILL=b")</f>
        <v>159</v>
      </c>
      <c r="M276" s="9">
        <f>_xll.BQL("ULCC US Equity", "CB_BS_RETAINED_ERN/1M", "FPT=A", "FPO=-3A", "ACT_EST_MAPPING=PRECISE", "FS=MRC", "CURRENCY=USD", "XLFILL=b")</f>
        <v>261</v>
      </c>
      <c r="N276" s="9">
        <f>_xll.BQL("ULCC US Equity", "CB_BS_RETAINED_ERN/1M", "FPT=A", "FPO=-4A", "ACT_EST_MAPPING=PRECISE", "FS=MRC", "CURRENCY=USD", "XLFILL=b")</f>
        <v>486</v>
      </c>
    </row>
    <row r="277" spans="1:14" x14ac:dyDescent="0.2">
      <c r="A277" s="8" t="s">
        <v>71</v>
      </c>
      <c r="B277" s="4" t="s">
        <v>291</v>
      </c>
      <c r="C277" s="4"/>
      <c r="D277" s="4"/>
      <c r="E277" s="9" t="str">
        <f>_xll.BQL("ULCC US Equity", "FA_GROWTH(CB_BS_RETAINED_ERN, YOY)", "FPT=A", "FPO=5A", "ACT_EST_MAPPING=PRECISE", "FS=MRC", "CURRENCY=USD", "XLFILL=b")</f>
        <v/>
      </c>
      <c r="F277" s="9" t="str">
        <f>_xll.BQL("ULCC US Equity", "FA_GROWTH(CB_BS_RETAINED_ERN, YOY)", "FPT=A", "FPO=4A", "ACT_EST_MAPPING=PRECISE", "FS=MRC", "CURRENCY=USD", "XLFILL=b")</f>
        <v/>
      </c>
      <c r="G277" s="9">
        <f>_xll.BQL("ULCC US Equity", "FA_GROWTH(CB_BS_RETAINED_ERN, YOY)", "FPT=A", "FPO=3A", "ACT_EST_MAPPING=PRECISE", "FS=MRC", "CURRENCY=USD", "XLFILL=b")</f>
        <v>117.13318534405917</v>
      </c>
      <c r="H277" s="9">
        <f>_xll.BQL("ULCC US Equity", "FA_GROWTH(CB_BS_RETAINED_ERN, YOY)", "FPT=A", "FPO=2A", "ACT_EST_MAPPING=PRECISE", "FS=MRC", "CURRENCY=USD", "XLFILL=b")</f>
        <v>118.80793766719731</v>
      </c>
      <c r="I277" s="9">
        <f>_xll.BQL("ULCC US Equity", "FA_GROWTH(CB_BS_RETAINED_ERN, YOY)", "FPT=A", "FPO=1A", "ACT_EST_MAPPING=PRECISE", "FS=MRC", "CURRENCY=USD", "XLFILL=b")</f>
        <v>2.1494830110114438</v>
      </c>
      <c r="J277" s="9">
        <f>_xll.BQL("ULCC US Equity", "FA_GROWTH(CB_BS_RETAINED_ERN, YOY)", "FPT=A", "FPO=0A", "ACT_EST_MAPPING=PRECISE", "FS=MRC", "CURRENCY=USD", "XLFILL=b")</f>
        <v>-9.0163934426229506</v>
      </c>
      <c r="K277" s="9">
        <f>_xll.BQL("ULCC US Equity", "FA_GROWTH(CB_BS_RETAINED_ERN, YOY)", "FPT=A", "FPO=-1A", "ACT_EST_MAPPING=PRECISE", "FS=MRC", "CURRENCY=USD", "XLFILL=b")</f>
        <v>-23.270440251572328</v>
      </c>
      <c r="L277" s="9">
        <f>_xll.BQL("ULCC US Equity", "FA_GROWTH(CB_BS_RETAINED_ERN, YOY)", "FPT=A", "FPO=-2A", "ACT_EST_MAPPING=PRECISE", "FS=MRC", "CURRENCY=USD", "XLFILL=b")</f>
        <v>-39.080459770114942</v>
      </c>
      <c r="M277" s="9">
        <f>_xll.BQL("ULCC US Equity", "FA_GROWTH(CB_BS_RETAINED_ERN, YOY)", "FPT=A", "FPO=-3A", "ACT_EST_MAPPING=PRECISE", "FS=MRC", "CURRENCY=USD", "XLFILL=b")</f>
        <v>-46.296296296296298</v>
      </c>
      <c r="N277" s="9" t="str">
        <f>_xll.BQL("ULCC US Equity", "FA_GROWTH(CB_BS_RETAINED_ERN, YOY)", "FPT=A", "FPO=-4A", "ACT_EST_MAPPING=PRECISE", "FS=MRC", "CURRENCY=USD", "XLFILL=b")</f>
        <v/>
      </c>
    </row>
    <row r="278" spans="1:14" x14ac:dyDescent="0.2">
      <c r="A278" s="8" t="s">
        <v>292</v>
      </c>
      <c r="B278" s="4" t="s">
        <v>293</v>
      </c>
      <c r="C278" s="4"/>
      <c r="D278" s="4"/>
      <c r="E278" s="9" t="str">
        <f>_xll.BQL("ULCC US Equity", "BS_ACCUMULATED_OTHER_COMP_INC/1M", "FPT=A", "FPO=5A", "ACT_EST_MAPPING=PRECISE", "FS=MRC", "CURRENCY=USD", "XLFILL=b")</f>
        <v/>
      </c>
      <c r="F278" s="9" t="str">
        <f>_xll.BQL("ULCC US Equity", "BS_ACCUMULATED_OTHER_COMP_INC/1M", "FPT=A", "FPO=4A", "ACT_EST_MAPPING=PRECISE", "FS=MRC", "CURRENCY=USD", "XLFILL=b")</f>
        <v/>
      </c>
      <c r="G278" s="9">
        <f>_xll.BQL("ULCC US Equity", "BS_ACCUMULATED_OTHER_COMP_INC/1M", "FPT=A", "FPO=3A", "ACT_EST_MAPPING=PRECISE", "FS=MRC", "CURRENCY=USD", "XLFILL=b")</f>
        <v>13.09718622444834</v>
      </c>
      <c r="H278" s="9">
        <f>_xll.BQL("ULCC US Equity", "BS_ACCUMULATED_OTHER_COMP_INC/1M", "FPT=A", "FPO=2A", "ACT_EST_MAPPING=PRECISE", "FS=MRC", "CURRENCY=USD", "XLFILL=b")</f>
        <v>13.09718622444834</v>
      </c>
      <c r="I278" s="9">
        <f>_xll.BQL("ULCC US Equity", "BS_ACCUMULATED_OTHER_COMP_INC/1M", "FPT=A", "FPO=1A", "ACT_EST_MAPPING=PRECISE", "FS=MRC", "CURRENCY=USD", "XLFILL=b")</f>
        <v>13.09718622444834</v>
      </c>
      <c r="J278" s="9">
        <f>_xll.BQL("ULCC US Equity", "BS_ACCUMULATED_OTHER_COMP_INC/1M", "FPT=A", "FPO=0A", "ACT_EST_MAPPING=PRECISE", "FS=MRC", "CURRENCY=USD", "XLFILL=b")</f>
        <v>-7</v>
      </c>
      <c r="K278" s="9">
        <f>_xll.BQL("ULCC US Equity", "BS_ACCUMULATED_OTHER_COMP_INC/1M", "FPT=A", "FPO=-1A", "ACT_EST_MAPPING=PRECISE", "FS=MRC", "CURRENCY=USD", "XLFILL=b")</f>
        <v>-6</v>
      </c>
      <c r="L278" s="9">
        <f>_xll.BQL("ULCC US Equity", "BS_ACCUMULATED_OTHER_COMP_INC/1M", "FPT=A", "FPO=-2A", "ACT_EST_MAPPING=PRECISE", "FS=MRC", "CURRENCY=USD", "XLFILL=b")</f>
        <v>-10</v>
      </c>
      <c r="M278" s="9">
        <f>_xll.BQL("ULCC US Equity", "BS_ACCUMULATED_OTHER_COMP_INC/1M", "FPT=A", "FPO=-3A", "ACT_EST_MAPPING=PRECISE", "FS=MRC", "CURRENCY=USD", "XLFILL=b")</f>
        <v>-11</v>
      </c>
      <c r="N278" s="9">
        <f>_xll.BQL("ULCC US Equity", "BS_ACCUMULATED_OTHER_COMP_INC/1M", "FPT=A", "FPO=-4A", "ACT_EST_MAPPING=PRECISE", "FS=MRC", "CURRENCY=USD", "XLFILL=b")</f>
        <v>4</v>
      </c>
    </row>
    <row r="279" spans="1:14" x14ac:dyDescent="0.2">
      <c r="A279" s="8" t="s">
        <v>71</v>
      </c>
      <c r="B279" s="4" t="s">
        <v>293</v>
      </c>
      <c r="C279" s="4"/>
      <c r="D279" s="4"/>
      <c r="E279" s="9" t="str">
        <f>_xll.BQL("ULCC US Equity", "FA_GROWTH(BS_ACCUMULATED_OTHER_COMP_INC, YOY)", "FPT=A", "FPO=5A", "ACT_EST_MAPPING=PRECISE", "FS=MRC", "CURRENCY=USD", "XLFILL=b")</f>
        <v/>
      </c>
      <c r="F279" s="9" t="str">
        <f>_xll.BQL("ULCC US Equity", "FA_GROWTH(BS_ACCUMULATED_OTHER_COMP_INC, YOY)", "FPT=A", "FPO=4A", "ACT_EST_MAPPING=PRECISE", "FS=MRC", "CURRENCY=USD", "XLFILL=b")</f>
        <v/>
      </c>
      <c r="G279" s="9">
        <f>_xll.BQL("ULCC US Equity", "FA_GROWTH(BS_ACCUMULATED_OTHER_COMP_INC, YOY)", "FPT=A", "FPO=3A", "ACT_EST_MAPPING=PRECISE", "FS=MRC", "CURRENCY=USD", "XLFILL=b")</f>
        <v>0</v>
      </c>
      <c r="H279" s="9">
        <f>_xll.BQL("ULCC US Equity", "FA_GROWTH(BS_ACCUMULATED_OTHER_COMP_INC, YOY)", "FPT=A", "FPO=2A", "ACT_EST_MAPPING=PRECISE", "FS=MRC", "CURRENCY=USD", "XLFILL=b")</f>
        <v>0</v>
      </c>
      <c r="I279" s="9">
        <f>_xll.BQL("ULCC US Equity", "FA_GROWTH(BS_ACCUMULATED_OTHER_COMP_INC, YOY)", "FPT=A", "FPO=1A", "ACT_EST_MAPPING=PRECISE", "FS=MRC", "CURRENCY=USD", "XLFILL=b")</f>
        <v>287.10266034926195</v>
      </c>
      <c r="J279" s="9">
        <f>_xll.BQL("ULCC US Equity", "FA_GROWTH(BS_ACCUMULATED_OTHER_COMP_INC, YOY)", "FPT=A", "FPO=0A", "ACT_EST_MAPPING=PRECISE", "FS=MRC", "CURRENCY=USD", "XLFILL=b")</f>
        <v>-16.666666666666668</v>
      </c>
      <c r="K279" s="9">
        <f>_xll.BQL("ULCC US Equity", "FA_GROWTH(BS_ACCUMULATED_OTHER_COMP_INC, YOY)", "FPT=A", "FPO=-1A", "ACT_EST_MAPPING=PRECISE", "FS=MRC", "CURRENCY=USD", "XLFILL=b")</f>
        <v>40</v>
      </c>
      <c r="L279" s="9">
        <f>_xll.BQL("ULCC US Equity", "FA_GROWTH(BS_ACCUMULATED_OTHER_COMP_INC, YOY)", "FPT=A", "FPO=-2A", "ACT_EST_MAPPING=PRECISE", "FS=MRC", "CURRENCY=USD", "XLFILL=b")</f>
        <v>9.0909090909090917</v>
      </c>
      <c r="M279" s="9">
        <f>_xll.BQL("ULCC US Equity", "FA_GROWTH(BS_ACCUMULATED_OTHER_COMP_INC, YOY)", "FPT=A", "FPO=-3A", "ACT_EST_MAPPING=PRECISE", "FS=MRC", "CURRENCY=USD", "XLFILL=b")</f>
        <v>-375</v>
      </c>
      <c r="N279" s="9" t="str">
        <f>_xll.BQL("ULCC US Equity", "FA_GROWTH(BS_ACCUMULATED_OTHER_COMP_INC, YOY)", "FPT=A", "FPO=-4A", "ACT_EST_MAPPING=PRECISE", "FS=MRC", "CURRENCY=USD", "XLFILL=b")</f>
        <v/>
      </c>
    </row>
    <row r="280" spans="1:14" x14ac:dyDescent="0.2">
      <c r="A280" s="8" t="s">
        <v>294</v>
      </c>
      <c r="B280" s="4" t="s">
        <v>244</v>
      </c>
      <c r="C280" s="4"/>
      <c r="D280" s="4"/>
      <c r="E280" s="9">
        <f>_xll.BQL("ULCC US Equity", "BS_TOT_ASSET/1M", "FPT=A", "FPO=5A", "ACT_EST_MAPPING=PRECISE", "FS=MRC", "CURRENCY=USD", "XLFILL=b")</f>
        <v>10302.712758753152</v>
      </c>
      <c r="F280" s="9">
        <f>_xll.BQL("ULCC US Equity", "BS_TOT_ASSET/1M", "FPT=A", "FPO=4A", "ACT_EST_MAPPING=PRECISE", "FS=MRC", "CURRENCY=USD", "XLFILL=b")</f>
        <v>9127.7664459081843</v>
      </c>
      <c r="G280" s="9">
        <f>_xll.BQL("ULCC US Equity", "BS_TOT_ASSET/1M", "FPT=A", "FPO=3A", "ACT_EST_MAPPING=PRECISE", "FS=MRC", "CURRENCY=USD", "XLFILL=b")</f>
        <v>6312.1147952251467</v>
      </c>
      <c r="H280" s="9">
        <f>_xll.BQL("ULCC US Equity", "BS_TOT_ASSET/1M", "FPT=A", "FPO=2A", "ACT_EST_MAPPING=PRECISE", "FS=MRC", "CURRENCY=USD", "XLFILL=b")</f>
        <v>5908.6787237635108</v>
      </c>
      <c r="I280" s="9">
        <f>_xll.BQL("ULCC US Equity", "BS_TOT_ASSET/1M", "FPT=A", "FPO=1A", "ACT_EST_MAPPING=PRECISE", "FS=MRC", "CURRENCY=USD", "XLFILL=b")</f>
        <v>5577.7695738603279</v>
      </c>
      <c r="J280" s="9">
        <f>_xll.BQL("ULCC US Equity", "BS_TOT_ASSET/1M", "FPT=A", "FPO=0A", "ACT_EST_MAPPING=PRECISE", "FS=MRC", "CURRENCY=USD", "XLFILL=b")</f>
        <v>4993</v>
      </c>
      <c r="K280" s="9">
        <f>_xll.BQL("ULCC US Equity", "BS_TOT_ASSET/1M", "FPT=A", "FPO=-1A", "ACT_EST_MAPPING=PRECISE", "FS=MRC", "CURRENCY=USD", "XLFILL=b")</f>
        <v>4499</v>
      </c>
      <c r="L280" s="9">
        <f>_xll.BQL("ULCC US Equity", "BS_TOT_ASSET/1M", "FPT=A", "FPO=-2A", "ACT_EST_MAPPING=PRECISE", "FS=MRC", "CURRENCY=USD", "XLFILL=b")</f>
        <v>4235</v>
      </c>
      <c r="M280" s="9">
        <f>_xll.BQL("ULCC US Equity", "BS_TOT_ASSET/1M", "FPT=A", "FPO=-3A", "ACT_EST_MAPPING=PRECISE", "FS=MRC", "CURRENCY=USD", "XLFILL=b")</f>
        <v>3554</v>
      </c>
      <c r="N280" s="9">
        <f>_xll.BQL("ULCC US Equity", "BS_TOT_ASSET/1M", "FPT=A", "FPO=-4A", "ACT_EST_MAPPING=PRECISE", "FS=MRC", "CURRENCY=USD", "XLFILL=b")</f>
        <v>3864</v>
      </c>
    </row>
    <row r="281" spans="1:14" x14ac:dyDescent="0.2">
      <c r="A281" s="8" t="s">
        <v>28</v>
      </c>
      <c r="B281" s="4" t="s">
        <v>244</v>
      </c>
      <c r="C281" s="4"/>
      <c r="D281" s="4"/>
      <c r="E281" s="9">
        <f>_xll.BQL("ULCC US Equity", "FA_GROWTH(BS_TOT_ASSET, YOY)", "FPT=A", "FPO=5A", "ACT_EST_MAPPING=PRECISE", "FS=MRC", "CURRENCY=USD", "XLFILL=b")</f>
        <v>12.872221477267054</v>
      </c>
      <c r="F281" s="9">
        <f>_xll.BQL("ULCC US Equity", "FA_GROWTH(BS_TOT_ASSET, YOY)", "FPT=A", "FPO=4A", "ACT_EST_MAPPING=PRECISE", "FS=MRC", "CURRENCY=USD", "XLFILL=b")</f>
        <v>44.607104623841153</v>
      </c>
      <c r="G281" s="9">
        <f>_xll.BQL("ULCC US Equity", "FA_GROWTH(BS_TOT_ASSET, YOY)", "FPT=A", "FPO=3A", "ACT_EST_MAPPING=PRECISE", "FS=MRC", "CURRENCY=USD", "XLFILL=b")</f>
        <v>6.8278559441571485</v>
      </c>
      <c r="H281" s="9">
        <f>_xll.BQL("ULCC US Equity", "FA_GROWTH(BS_TOT_ASSET, YOY)", "FPT=A", "FPO=2A", "ACT_EST_MAPPING=PRECISE", "FS=MRC", "CURRENCY=USD", "XLFILL=b")</f>
        <v>5.9326428874716584</v>
      </c>
      <c r="I281" s="9">
        <f>_xll.BQL("ULCC US Equity", "FA_GROWTH(BS_TOT_ASSET, YOY)", "FPT=A", "FPO=1A", "ACT_EST_MAPPING=PRECISE", "FS=MRC", "CURRENCY=USD", "XLFILL=b")</f>
        <v>11.711787980379086</v>
      </c>
      <c r="J281" s="9">
        <f>_xll.BQL("ULCC US Equity", "FA_GROWTH(BS_TOT_ASSET, YOY)", "FPT=A", "FPO=0A", "ACT_EST_MAPPING=PRECISE", "FS=MRC", "CURRENCY=USD", "XLFILL=b")</f>
        <v>10.980217826183596</v>
      </c>
      <c r="K281" s="9">
        <f>_xll.BQL("ULCC US Equity", "FA_GROWTH(BS_TOT_ASSET, YOY)", "FPT=A", "FPO=-1A", "ACT_EST_MAPPING=PRECISE", "FS=MRC", "CURRENCY=USD", "XLFILL=b")</f>
        <v>6.2337662337662341</v>
      </c>
      <c r="L281" s="9">
        <f>_xll.BQL("ULCC US Equity", "FA_GROWTH(BS_TOT_ASSET, YOY)", "FPT=A", "FPO=-2A", "ACT_EST_MAPPING=PRECISE", "FS=MRC", "CURRENCY=USD", "XLFILL=b")</f>
        <v>19.16150815981992</v>
      </c>
      <c r="M281" s="9">
        <f>_xll.BQL("ULCC US Equity", "FA_GROWTH(BS_TOT_ASSET, YOY)", "FPT=A", "FPO=-3A", "ACT_EST_MAPPING=PRECISE", "FS=MRC", "CURRENCY=USD", "XLFILL=b")</f>
        <v>-8.0227743271221534</v>
      </c>
      <c r="N281" s="9" t="str">
        <f>_xll.BQL("ULCC US Equity", "FA_GROWTH(BS_TOT_ASSET, YOY)", "FPT=A", "FPO=-4A", "ACT_EST_MAPPING=PRECISE", "FS=MRC", "CURRENCY=USD", "XLFILL=b")</f>
        <v/>
      </c>
    </row>
    <row r="282" spans="1:14" x14ac:dyDescent="0.2">
      <c r="A282" s="8" t="s">
        <v>16</v>
      </c>
      <c r="B282" s="4"/>
      <c r="C282" s="4"/>
      <c r="D282" s="4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1:14" x14ac:dyDescent="0.2">
      <c r="A283" s="8" t="s">
        <v>295</v>
      </c>
      <c r="B283" s="4"/>
      <c r="C283" s="4"/>
      <c r="D283" s="4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1:14" x14ac:dyDescent="0.2">
      <c r="A284" s="8" t="s">
        <v>296</v>
      </c>
      <c r="B284" s="4" t="s">
        <v>297</v>
      </c>
      <c r="C284" s="4"/>
      <c r="D284" s="4"/>
      <c r="E284" s="9">
        <f>_xll.BQL("ULCC US Equity", "CB_BS_TOTAL_DEBT/1M", "FPT=A", "FPO=5A", "ACT_EST_MAPPING=PRECISE", "FS=MRC", "CURRENCY=USD", "XLFILL=b")</f>
        <v>1218</v>
      </c>
      <c r="F284" s="9">
        <f>_xll.BQL("ULCC US Equity", "CB_BS_TOTAL_DEBT/1M", "FPT=A", "FPO=4A", "ACT_EST_MAPPING=PRECISE", "FS=MRC", "CURRENCY=USD", "XLFILL=b")</f>
        <v>1018</v>
      </c>
      <c r="G284" s="9">
        <f>_xll.BQL("ULCC US Equity", "CB_BS_TOTAL_DEBT/1M", "FPT=A", "FPO=3A", "ACT_EST_MAPPING=PRECISE", "FS=MRC", "CURRENCY=USD", "XLFILL=b")</f>
        <v>568.97364383720969</v>
      </c>
      <c r="H284" s="9">
        <f>_xll.BQL("ULCC US Equity", "CB_BS_TOTAL_DEBT/1M", "FPT=A", "FPO=2A", "ACT_EST_MAPPING=PRECISE", "FS=MRC", "CURRENCY=USD", "XLFILL=b")</f>
        <v>367.94031549591426</v>
      </c>
      <c r="I284" s="9">
        <f>_xll.BQL("ULCC US Equity", "CB_BS_TOTAL_DEBT/1M", "FPT=A", "FPO=1A", "ACT_EST_MAPPING=PRECISE", "FS=MRC", "CURRENCY=USD", "XLFILL=b")</f>
        <v>399.01859532291803</v>
      </c>
      <c r="J284" s="9">
        <f>_xll.BQL("ULCC US Equity", "CB_BS_TOTAL_DEBT/1M", "FPT=A", "FPO=0A", "ACT_EST_MAPPING=PRECISE", "FS=MRC", "CURRENCY=USD", "XLFILL=b")</f>
        <v>470</v>
      </c>
      <c r="K284" s="9">
        <f>_xll.BQL("ULCC US Equity", "CB_BS_TOTAL_DEBT/1M", "FPT=A", "FPO=-1A", "ACT_EST_MAPPING=PRECISE", "FS=MRC", "CURRENCY=USD", "XLFILL=b")</f>
        <v>429</v>
      </c>
      <c r="L284" s="9">
        <f>_xll.BQL("ULCC US Equity", "CB_BS_TOTAL_DEBT/1M", "FPT=A", "FPO=-2A", "ACT_EST_MAPPING=PRECISE", "FS=MRC", "CURRENCY=USD", "XLFILL=b")</f>
        <v>414</v>
      </c>
      <c r="M284" s="9">
        <f>_xll.BQL("ULCC US Equity", "CB_BS_TOTAL_DEBT/1M", "FPT=A", "FPO=-3A", "ACT_EST_MAPPING=PRECISE", "FS=MRC", "CURRENCY=USD", "XLFILL=b")</f>
        <v>348</v>
      </c>
      <c r="N284" s="9" t="str">
        <f>_xll.BQL("ULCC US Equity", "CB_BS_TOTAL_DEBT/1M", "FPT=A", "FPO=-4A", "ACT_EST_MAPPING=PRECISE", "FS=MRC", "CURRENCY=USD", "XLFILL=b")</f>
        <v/>
      </c>
    </row>
    <row r="285" spans="1:14" x14ac:dyDescent="0.2">
      <c r="A285" s="8" t="s">
        <v>28</v>
      </c>
      <c r="B285" s="4" t="s">
        <v>297</v>
      </c>
      <c r="C285" s="4"/>
      <c r="D285" s="4"/>
      <c r="E285" s="9">
        <f>_xll.BQL("ULCC US Equity", "FA_GROWTH(CB_BS_TOTAL_DEBT, YOY)", "FPT=A", "FPO=5A", "ACT_EST_MAPPING=PRECISE", "FS=MRC", "CURRENCY=USD", "XLFILL=b")</f>
        <v>19.646365422396858</v>
      </c>
      <c r="F285" s="9">
        <f>_xll.BQL("ULCC US Equity", "FA_GROWTH(CB_BS_TOTAL_DEBT, YOY)", "FPT=A", "FPO=4A", "ACT_EST_MAPPING=PRECISE", "FS=MRC", "CURRENCY=USD", "XLFILL=b")</f>
        <v>78.918656606748243</v>
      </c>
      <c r="G285" s="9">
        <f>_xll.BQL("ULCC US Equity", "FA_GROWTH(CB_BS_TOTAL_DEBT, YOY)", "FPT=A", "FPO=3A", "ACT_EST_MAPPING=PRECISE", "FS=MRC", "CURRENCY=USD", "XLFILL=b")</f>
        <v>54.637483275063332</v>
      </c>
      <c r="H285" s="9">
        <f>_xll.BQL("ULCC US Equity", "FA_GROWTH(CB_BS_TOTAL_DEBT, YOY)", "FPT=A", "FPO=2A", "ACT_EST_MAPPING=PRECISE", "FS=MRC", "CURRENCY=USD", "XLFILL=b")</f>
        <v>-7.7886795731544094</v>
      </c>
      <c r="I285" s="9">
        <f>_xll.BQL("ULCC US Equity", "FA_GROWTH(CB_BS_TOTAL_DEBT, YOY)", "FPT=A", "FPO=1A", "ACT_EST_MAPPING=PRECISE", "FS=MRC", "CURRENCY=USD", "XLFILL=b")</f>
        <v>-15.102426527038713</v>
      </c>
      <c r="J285" s="9">
        <f>_xll.BQL("ULCC US Equity", "FA_GROWTH(CB_BS_TOTAL_DEBT, YOY)", "FPT=A", "FPO=0A", "ACT_EST_MAPPING=PRECISE", "FS=MRC", "CURRENCY=USD", "XLFILL=b")</f>
        <v>9.5571095571095572</v>
      </c>
      <c r="K285" s="9">
        <f>_xll.BQL("ULCC US Equity", "FA_GROWTH(CB_BS_TOTAL_DEBT, YOY)", "FPT=A", "FPO=-1A", "ACT_EST_MAPPING=PRECISE", "FS=MRC", "CURRENCY=USD", "XLFILL=b")</f>
        <v>3.6231884057971016</v>
      </c>
      <c r="L285" s="9">
        <f>_xll.BQL("ULCC US Equity", "FA_GROWTH(CB_BS_TOTAL_DEBT, YOY)", "FPT=A", "FPO=-2A", "ACT_EST_MAPPING=PRECISE", "FS=MRC", "CURRENCY=USD", "XLFILL=b")</f>
        <v>18.96551724137931</v>
      </c>
      <c r="M285" s="9" t="str">
        <f>_xll.BQL("ULCC US Equity", "FA_GROWTH(CB_BS_TOTAL_DEBT, YOY)", "FPT=A", "FPO=-3A", "ACT_EST_MAPPING=PRECISE", "FS=MRC", "CURRENCY=USD", "XLFILL=b")</f>
        <v/>
      </c>
      <c r="N285" s="9" t="str">
        <f>_xll.BQL("ULCC US Equity", "FA_GROWTH(CB_BS_TOTAL_DEBT, YOY)", "FPT=A", "FPO=-4A", "ACT_EST_MAPPING=PRECISE", "FS=MRC", "CURRENCY=USD", "XLFILL=b")</f>
        <v/>
      </c>
    </row>
    <row r="286" spans="1:14" x14ac:dyDescent="0.2">
      <c r="A286" s="8" t="s">
        <v>298</v>
      </c>
      <c r="B286" s="4" t="s">
        <v>299</v>
      </c>
      <c r="C286" s="4"/>
      <c r="D286" s="4"/>
      <c r="E286" s="9">
        <f>_xll.BQL("ULCC US Equity", "SHORT_AND_LONG_TERM_DEBT/1M", "FPT=A", "FPO=5A", "ACT_EST_MAPPING=PRECISE", "FS=MRC", "CURRENCY=USD", "XLFILL=b")</f>
        <v>7135</v>
      </c>
      <c r="F286" s="9">
        <f>_xll.BQL("ULCC US Equity", "SHORT_AND_LONG_TERM_DEBT/1M", "FPT=A", "FPO=4A", "ACT_EST_MAPPING=PRECISE", "FS=MRC", "CURRENCY=USD", "XLFILL=b")</f>
        <v>6435</v>
      </c>
      <c r="G286" s="9">
        <f>_xll.BQL("ULCC US Equity", "SHORT_AND_LONG_TERM_DEBT/1M", "FPT=A", "FPO=3A", "ACT_EST_MAPPING=PRECISE", "FS=MRC", "CURRENCY=USD", "XLFILL=b")</f>
        <v>4188.6094414450881</v>
      </c>
      <c r="H286" s="9">
        <f>_xll.BQL("ULCC US Equity", "SHORT_AND_LONG_TERM_DEBT/1M", "FPT=A", "FPO=2A", "ACT_EST_MAPPING=PRECISE", "FS=MRC", "CURRENCY=USD", "XLFILL=b")</f>
        <v>4130.694823354198</v>
      </c>
      <c r="I286" s="9">
        <f>_xll.BQL("ULCC US Equity", "SHORT_AND_LONG_TERM_DEBT/1M", "FPT=A", "FPO=1A", "ACT_EST_MAPPING=PRECISE", "FS=MRC", "CURRENCY=USD", "XLFILL=b")</f>
        <v>3986.3618598939156</v>
      </c>
      <c r="J286" s="9">
        <f>_xll.BQL("ULCC US Equity", "SHORT_AND_LONG_TERM_DEBT/1M", "FPT=A", "FPO=0A", "ACT_EST_MAPPING=PRECISE", "FS=MRC", "CURRENCY=USD", "XLFILL=b")</f>
        <v>3459</v>
      </c>
      <c r="K286" s="9">
        <f>_xll.BQL("ULCC US Equity", "SHORT_AND_LONG_TERM_DEBT/1M", "FPT=A", "FPO=-1A", "ACT_EST_MAPPING=PRECISE", "FS=MRC", "CURRENCY=USD", "XLFILL=b")</f>
        <v>2928</v>
      </c>
      <c r="L286" s="9">
        <f>_xll.BQL("ULCC US Equity", "SHORT_AND_LONG_TERM_DEBT/1M", "FPT=A", "FPO=-2A", "ACT_EST_MAPPING=PRECISE", "FS=MRC", "CURRENCY=USD", "XLFILL=b")</f>
        <v>2849</v>
      </c>
      <c r="M286" s="9">
        <f>_xll.BQL("ULCC US Equity", "SHORT_AND_LONG_TERM_DEBT/1M", "FPT=A", "FPO=-3A", "ACT_EST_MAPPING=PRECISE", "FS=MRC", "CURRENCY=USD", "XLFILL=b")</f>
        <v>2612</v>
      </c>
      <c r="N286" s="9">
        <f>_xll.BQL("ULCC US Equity", "SHORT_AND_LONG_TERM_DEBT/1M", "FPT=A", "FPO=-4A", "ACT_EST_MAPPING=PRECISE", "FS=MRC", "CURRENCY=USD", "XLFILL=b")</f>
        <v>2506</v>
      </c>
    </row>
    <row r="287" spans="1:14" x14ac:dyDescent="0.2">
      <c r="A287" s="8" t="s">
        <v>28</v>
      </c>
      <c r="B287" s="4" t="s">
        <v>299</v>
      </c>
      <c r="C287" s="4"/>
      <c r="D287" s="4"/>
      <c r="E287" s="9">
        <f>_xll.BQL("ULCC US Equity", "FA_GROWTH(SHORT_AND_LONG_TERM_DEBT, YOY)", "FPT=A", "FPO=5A", "ACT_EST_MAPPING=PRECISE", "FS=MRC", "CURRENCY=USD", "XLFILL=b")</f>
        <v>10.878010878010878</v>
      </c>
      <c r="F287" s="9">
        <f>_xll.BQL("ULCC US Equity", "FA_GROWTH(SHORT_AND_LONG_TERM_DEBT, YOY)", "FPT=A", "FPO=4A", "ACT_EST_MAPPING=PRECISE", "FS=MRC", "CURRENCY=USD", "XLFILL=b")</f>
        <v>53.630938619569577</v>
      </c>
      <c r="G287" s="9">
        <f>_xll.BQL("ULCC US Equity", "FA_GROWTH(SHORT_AND_LONG_TERM_DEBT, YOY)", "FPT=A", "FPO=3A", "ACT_EST_MAPPING=PRECISE", "FS=MRC", "CURRENCY=USD", "XLFILL=b")</f>
        <v>1.4020551158476215</v>
      </c>
      <c r="H287" s="9">
        <f>_xll.BQL("ULCC US Equity", "FA_GROWTH(SHORT_AND_LONG_TERM_DEBT, YOY)", "FPT=A", "FPO=2A", "ACT_EST_MAPPING=PRECISE", "FS=MRC", "CURRENCY=USD", "XLFILL=b")</f>
        <v>3.6206688838861028</v>
      </c>
      <c r="I287" s="9">
        <f>_xll.BQL("ULCC US Equity", "FA_GROWTH(SHORT_AND_LONG_TERM_DEBT, YOY)", "FPT=A", "FPO=1A", "ACT_EST_MAPPING=PRECISE", "FS=MRC", "CURRENCY=USD", "XLFILL=b")</f>
        <v>15.246078632376861</v>
      </c>
      <c r="J287" s="9">
        <f>_xll.BQL("ULCC US Equity", "FA_GROWTH(SHORT_AND_LONG_TERM_DEBT, YOY)", "FPT=A", "FPO=0A", "ACT_EST_MAPPING=PRECISE", "FS=MRC", "CURRENCY=USD", "XLFILL=b")</f>
        <v>18.135245901639344</v>
      </c>
      <c r="K287" s="9">
        <f>_xll.BQL("ULCC US Equity", "FA_GROWTH(SHORT_AND_LONG_TERM_DEBT, YOY)", "FPT=A", "FPO=-1A", "ACT_EST_MAPPING=PRECISE", "FS=MRC", "CURRENCY=USD", "XLFILL=b")</f>
        <v>2.7729027729027731</v>
      </c>
      <c r="L287" s="9">
        <f>_xll.BQL("ULCC US Equity", "FA_GROWTH(SHORT_AND_LONG_TERM_DEBT, YOY)", "FPT=A", "FPO=-2A", "ACT_EST_MAPPING=PRECISE", "FS=MRC", "CURRENCY=USD", "XLFILL=b")</f>
        <v>9.073506891271057</v>
      </c>
      <c r="M287" s="9">
        <f>_xll.BQL("ULCC US Equity", "FA_GROWTH(SHORT_AND_LONG_TERM_DEBT, YOY)", "FPT=A", "FPO=-3A", "ACT_EST_MAPPING=PRECISE", "FS=MRC", "CURRENCY=USD", "XLFILL=b")</f>
        <v>4.2298483639265765</v>
      </c>
      <c r="N287" s="9" t="str">
        <f>_xll.BQL("ULCC US Equity", "FA_GROWTH(SHORT_AND_LONG_TERM_DEBT, YOY)", "FPT=A", "FPO=-4A", "ACT_EST_MAPPING=PRECISE", "FS=MRC", "CURRENCY=USD", "XLFILL=b")</f>
        <v/>
      </c>
    </row>
    <row r="288" spans="1:14" x14ac:dyDescent="0.2">
      <c r="A288" s="8" t="s">
        <v>300</v>
      </c>
      <c r="B288" s="4" t="s">
        <v>301</v>
      </c>
      <c r="C288" s="4"/>
      <c r="D288" s="4"/>
      <c r="E288" s="9">
        <f>_xll.BQL("ULCC US Equity", "NET_DEBT/1M", "FPT=A", "FPO=5A", "ACT_EST_MAPPING=PRECISE", "FS=MRC", "CURRENCY=USD", "XLFILL=b")</f>
        <v>7001.0372412468478</v>
      </c>
      <c r="F288" s="9">
        <f>_xll.BQL("ULCC US Equity", "NET_DEBT/1M", "FPT=A", "FPO=4A", "ACT_EST_MAPPING=PRECISE", "FS=MRC", "CURRENCY=USD", "XLFILL=b")</f>
        <v>6243.7335540918166</v>
      </c>
      <c r="G288" s="9">
        <f>_xll.BQL("ULCC US Equity", "NET_DEBT/1M", "FPT=A", "FPO=3A", "ACT_EST_MAPPING=PRECISE", "FS=MRC", "CURRENCY=USD", "XLFILL=b")</f>
        <v>4678.9045045097964</v>
      </c>
      <c r="H288" s="9">
        <f>_xll.BQL("ULCC US Equity", "NET_DEBT/1M", "FPT=A", "FPO=2A", "ACT_EST_MAPPING=PRECISE", "FS=MRC", "CURRENCY=USD", "XLFILL=b")</f>
        <v>3910.9865660780938</v>
      </c>
      <c r="I288" s="9">
        <f>_xll.BQL("ULCC US Equity", "NET_DEBT/1M", "FPT=A", "FPO=1A", "ACT_EST_MAPPING=PRECISE", "FS=MRC", "CURRENCY=USD", "XLFILL=b")</f>
        <v>3518.7013332443962</v>
      </c>
      <c r="J288" s="9">
        <f>_xll.BQL("ULCC US Equity", "NET_DEBT/1M", "FPT=A", "FPO=0A", "ACT_EST_MAPPING=PRECISE", "FS=MRC", "CURRENCY=USD", "XLFILL=b")</f>
        <v>2850</v>
      </c>
      <c r="K288" s="9">
        <f>_xll.BQL("ULCC US Equity", "NET_DEBT/1M", "FPT=A", "FPO=-1A", "ACT_EST_MAPPING=PRECISE", "FS=MRC", "CURRENCY=USD", "XLFILL=b")</f>
        <v>2167</v>
      </c>
      <c r="L288" s="9">
        <f>_xll.BQL("ULCC US Equity", "NET_DEBT/1M", "FPT=A", "FPO=-2A", "ACT_EST_MAPPING=PRECISE", "FS=MRC", "CURRENCY=USD", "XLFILL=b")</f>
        <v>1931</v>
      </c>
      <c r="M288" s="9">
        <f>_xll.BQL("ULCC US Equity", "NET_DEBT/1M", "FPT=A", "FPO=-3A", "ACT_EST_MAPPING=PRECISE", "FS=MRC", "CURRENCY=USD", "XLFILL=b")</f>
        <v>2234</v>
      </c>
      <c r="N288" s="9">
        <f>_xll.BQL("ULCC US Equity", "NET_DEBT/1M", "FPT=A", "FPO=-4A", "ACT_EST_MAPPING=PRECISE", "FS=MRC", "CURRENCY=USD", "XLFILL=b")</f>
        <v>1738</v>
      </c>
    </row>
    <row r="289" spans="1:14" x14ac:dyDescent="0.2">
      <c r="A289" s="8" t="s">
        <v>28</v>
      </c>
      <c r="B289" s="4" t="s">
        <v>301</v>
      </c>
      <c r="C289" s="4"/>
      <c r="D289" s="4"/>
      <c r="E289" s="9">
        <f>_xll.BQL("ULCC US Equity", "FA_GROWTH(NET_DEBT, YOY)", "FPT=A", "FPO=5A", "ACT_EST_MAPPING=PRECISE", "FS=MRC", "CURRENCY=USD", "XLFILL=b")</f>
        <v>12.129019930050248</v>
      </c>
      <c r="F289" s="9">
        <f>_xll.BQL("ULCC US Equity", "FA_GROWTH(NET_DEBT, YOY)", "FPT=A", "FPO=4A", "ACT_EST_MAPPING=PRECISE", "FS=MRC", "CURRENCY=USD", "XLFILL=b")</f>
        <v>33.444346813955043</v>
      </c>
      <c r="G289" s="9">
        <f>_xll.BQL("ULCC US Equity", "FA_GROWTH(NET_DEBT, YOY)", "FPT=A", "FPO=3A", "ACT_EST_MAPPING=PRECISE", "FS=MRC", "CURRENCY=USD", "XLFILL=b")</f>
        <v>19.634890722771367</v>
      </c>
      <c r="H289" s="9">
        <f>_xll.BQL("ULCC US Equity", "FA_GROWTH(NET_DEBT, YOY)", "FPT=A", "FPO=2A", "ACT_EST_MAPPING=PRECISE", "FS=MRC", "CURRENCY=USD", "XLFILL=b")</f>
        <v>11.148579992493813</v>
      </c>
      <c r="I289" s="9">
        <f>_xll.BQL("ULCC US Equity", "FA_GROWTH(NET_DEBT, YOY)", "FPT=A", "FPO=1A", "ACT_EST_MAPPING=PRECISE", "FS=MRC", "CURRENCY=USD", "XLFILL=b")</f>
        <v>23.463204675241972</v>
      </c>
      <c r="J289" s="9">
        <f>_xll.BQL("ULCC US Equity", "FA_GROWTH(NET_DEBT, YOY)", "FPT=A", "FPO=0A", "ACT_EST_MAPPING=PRECISE", "FS=MRC", "CURRENCY=USD", "XLFILL=b")</f>
        <v>31.518227964928471</v>
      </c>
      <c r="K289" s="9">
        <f>_xll.BQL("ULCC US Equity", "FA_GROWTH(NET_DEBT, YOY)", "FPT=A", "FPO=-1A", "ACT_EST_MAPPING=PRECISE", "FS=MRC", "CURRENCY=USD", "XLFILL=b")</f>
        <v>12.221646815121698</v>
      </c>
      <c r="L289" s="9">
        <f>_xll.BQL("ULCC US Equity", "FA_GROWTH(NET_DEBT, YOY)", "FPT=A", "FPO=-2A", "ACT_EST_MAPPING=PRECISE", "FS=MRC", "CURRENCY=USD", "XLFILL=b")</f>
        <v>-13.563115487914056</v>
      </c>
      <c r="M289" s="9">
        <f>_xll.BQL("ULCC US Equity", "FA_GROWTH(NET_DEBT, YOY)", "FPT=A", "FPO=-3A", "ACT_EST_MAPPING=PRECISE", "FS=MRC", "CURRENCY=USD", "XLFILL=b")</f>
        <v>28.5385500575374</v>
      </c>
      <c r="N289" s="9" t="str">
        <f>_xll.BQL("ULCC US Equity", "FA_GROWTH(NET_DEBT, YOY)", "FPT=A", "FPO=-4A", "ACT_EST_MAPPING=PRECISE", "FS=MRC", "CURRENCY=USD", "XLFILL=b")</f>
        <v/>
      </c>
    </row>
    <row r="290" spans="1:14" x14ac:dyDescent="0.2">
      <c r="A290" s="8" t="s">
        <v>302</v>
      </c>
      <c r="B290" s="4" t="s">
        <v>303</v>
      </c>
      <c r="C290" s="4"/>
      <c r="D290" s="4"/>
      <c r="E290" s="9">
        <f>_xll.BQL("ULCC US Equity", "ANNUALIZED_DAYS_SALES_OUTSTDG", "FPT=A", "FPO=5A", "ACT_EST_MAPPING=PRECISE", "FS=MRC", "CURRENCY=USD", "XLFILL=b")</f>
        <v>9.706871428925874</v>
      </c>
      <c r="F290" s="9">
        <f>_xll.BQL("ULCC US Equity", "ANNUALIZED_DAYS_SALES_OUTSTDG", "FPT=A", "FPO=4A", "ACT_EST_MAPPING=PRECISE", "FS=MRC", "CURRENCY=USD", "XLFILL=b")</f>
        <v>9.5977904612433207</v>
      </c>
      <c r="G290" s="9">
        <f>_xll.BQL("ULCC US Equity", "ANNUALIZED_DAYS_SALES_OUTSTDG", "FPT=A", "FPO=3A", "ACT_EST_MAPPING=PRECISE", "FS=MRC", "CURRENCY=USD", "XLFILL=b")</f>
        <v>9.3176166630980912</v>
      </c>
      <c r="H290" s="9">
        <f>_xll.BQL("ULCC US Equity", "ANNUALIZED_DAYS_SALES_OUTSTDG", "FPT=A", "FPO=2A", "ACT_EST_MAPPING=PRECISE", "FS=MRC", "CURRENCY=USD", "XLFILL=b")</f>
        <v>8.8868182395826061</v>
      </c>
      <c r="I290" s="9">
        <f>_xll.BQL("ULCC US Equity", "ANNUALIZED_DAYS_SALES_OUTSTDG", "FPT=A", "FPO=1A", "ACT_EST_MAPPING=PRECISE", "FS=MRC", "CURRENCY=USD", "XLFILL=b")</f>
        <v>8.286372235329841</v>
      </c>
      <c r="J290" s="9">
        <f>_xll.BQL("ULCC US Equity", "ANNUALIZED_DAYS_SALES_OUTSTDG", "FPT=A", "FPO=0A", "ACT_EST_MAPPING=PRECISE", "FS=MRC", "CURRENCY=USD", "XLFILL=b")</f>
        <v>9.4580663137364169</v>
      </c>
      <c r="K290" s="9">
        <f>_xll.BQL("ULCC US Equity", "ANNUALIZED_DAYS_SALES_OUTSTDG", "FPT=A", "FPO=-1A", "ACT_EST_MAPPING=PRECISE", "FS=MRC", "CURRENCY=USD", "XLFILL=b")</f>
        <v>9.8767288033674081</v>
      </c>
      <c r="L290" s="9">
        <f>_xll.BQL("ULCC US Equity", "ANNUALIZED_DAYS_SALES_OUTSTDG", "FPT=A", "FPO=-2A", "ACT_EST_MAPPING=PRECISE", "FS=MRC", "CURRENCY=USD", "XLFILL=b")</f>
        <v>8.8592233009708732</v>
      </c>
      <c r="M290" s="9">
        <f>_xll.BQL("ULCC US Equity", "ANNUALIZED_DAYS_SALES_OUTSTDG", "FPT=A", "FPO=-3A", "ACT_EST_MAPPING=PRECISE", "FS=MRC", "CURRENCY=USD", "XLFILL=b")</f>
        <v>8.1983999999999995</v>
      </c>
      <c r="N290" s="9">
        <f>_xll.BQL("ULCC US Equity", "ANNUALIZED_DAYS_SALES_OUTSTDG", "FPT=A", "FPO=-4A", "ACT_EST_MAPPING=PRECISE", "FS=MRC", "CURRENCY=USD", "XLFILL=b")</f>
        <v>12.079346092503986</v>
      </c>
    </row>
    <row r="291" spans="1:14" x14ac:dyDescent="0.2">
      <c r="A291" s="8" t="s">
        <v>28</v>
      </c>
      <c r="B291" s="4" t="s">
        <v>303</v>
      </c>
      <c r="C291" s="4"/>
      <c r="D291" s="4"/>
      <c r="E291" s="9">
        <f>_xll.BQL("ULCC US Equity", "FA_GROWTH(ANNUALIZED_DAYS_SALES_OUTSTDG, YOY)", "FPT=A", "FPO=5A", "ACT_EST_MAPPING=PRECISE", "FS=MRC", "CURRENCY=USD", "XLFILL=b")</f>
        <v>1.1365216621787204</v>
      </c>
      <c r="F291" s="9">
        <f>_xll.BQL("ULCC US Equity", "FA_GROWTH(ANNUALIZED_DAYS_SALES_OUTSTDG, YOY)", "FPT=A", "FPO=4A", "ACT_EST_MAPPING=PRECISE", "FS=MRC", "CURRENCY=USD", "XLFILL=b")</f>
        <v>3.0069255720171704</v>
      </c>
      <c r="G291" s="9">
        <f>_xll.BQL("ULCC US Equity", "FA_GROWTH(ANNUALIZED_DAYS_SALES_OUTSTDG, YOY)", "FPT=A", "FPO=3A", "ACT_EST_MAPPING=PRECISE", "FS=MRC", "CURRENCY=USD", "XLFILL=b")</f>
        <v>4.8476115061819787</v>
      </c>
      <c r="H291" s="9">
        <f>_xll.BQL("ULCC US Equity", "FA_GROWTH(ANNUALIZED_DAYS_SALES_OUTSTDG, YOY)", "FPT=A", "FPO=2A", "ACT_EST_MAPPING=PRECISE", "FS=MRC", "CURRENCY=USD", "XLFILL=b")</f>
        <v>7.2461867171824457</v>
      </c>
      <c r="I291" s="9">
        <f>_xll.BQL("ULCC US Equity", "FA_GROWTH(ANNUALIZED_DAYS_SALES_OUTSTDG, YOY)", "FPT=A", "FPO=1A", "ACT_EST_MAPPING=PRECISE", "FS=MRC", "CURRENCY=USD", "XLFILL=b")</f>
        <v>-12.388304750040362</v>
      </c>
      <c r="J291" s="9">
        <f>_xll.BQL("ULCC US Equity", "FA_GROWTH(ANNUALIZED_DAYS_SALES_OUTSTDG, YOY)", "FPT=A", "FPO=0A", "ACT_EST_MAPPING=PRECISE", "FS=MRC", "CURRENCY=USD", "XLFILL=b")</f>
        <v>-4.2388780533110397</v>
      </c>
      <c r="K291" s="9">
        <f>_xll.BQL("ULCC US Equity", "FA_GROWTH(ANNUALIZED_DAYS_SALES_OUTSTDG, YOY)", "FPT=A", "FPO=-1A", "ACT_EST_MAPPING=PRECISE", "FS=MRC", "CURRENCY=USD", "XLFILL=b")</f>
        <v>11.485267588695134</v>
      </c>
      <c r="L291" s="9">
        <f>_xll.BQL("ULCC US Equity", "FA_GROWTH(ANNUALIZED_DAYS_SALES_OUTSTDG, YOY)", "FPT=A", "FPO=-2A", "ACT_EST_MAPPING=PRECISE", "FS=MRC", "CURRENCY=USD", "XLFILL=b")</f>
        <v>8.0603935032551934</v>
      </c>
      <c r="M291" s="9">
        <f>_xll.BQL("ULCC US Equity", "FA_GROWTH(ANNUALIZED_DAYS_SALES_OUTSTDG, YOY)", "FPT=A", "FPO=-3A", "ACT_EST_MAPPING=PRECISE", "FS=MRC", "CURRENCY=USD", "XLFILL=b")</f>
        <v>-32.128776365736918</v>
      </c>
      <c r="N291" s="9" t="str">
        <f>_xll.BQL("ULCC US Equity", "FA_GROWTH(ANNUALIZED_DAYS_SALES_OUTSTDG, YOY)", "FPT=A", "FPO=-4A", "ACT_EST_MAPPING=PRECISE", "FS=MRC", "CURRENCY=USD", "XLFILL=b")</f>
        <v/>
      </c>
    </row>
    <row r="292" spans="1:14" x14ac:dyDescent="0.2">
      <c r="A292" s="8" t="s">
        <v>304</v>
      </c>
      <c r="B292" s="4" t="s">
        <v>305</v>
      </c>
      <c r="C292" s="4"/>
      <c r="D292" s="4"/>
      <c r="E292" s="9" t="str">
        <f>_xll.BQL("ULCC US Equity", "BOOK_VAL_PER_SH", "FPT=A", "FPO=5A", "ACT_EST_MAPPING=PRECISE", "FS=MRC", "CURRENCY=USD", "XLFILL=b")</f>
        <v/>
      </c>
      <c r="F292" s="9" t="str">
        <f>_xll.BQL("ULCC US Equity", "BOOK_VAL_PER_SH", "FPT=A", "FPO=4A", "ACT_EST_MAPPING=PRECISE", "FS=MRC", "CURRENCY=USD", "XLFILL=b")</f>
        <v/>
      </c>
      <c r="G292" s="9">
        <f>_xll.BQL("ULCC US Equity", "BOOK_VAL_PER_SH", "FPT=A", "FPO=3A", "ACT_EST_MAPPING=PRECISE", "FS=MRC", "CURRENCY=USD", "XLFILL=b")</f>
        <v>3.5544947231110036</v>
      </c>
      <c r="H292" s="9">
        <f>_xll.BQL("ULCC US Equity", "BOOK_VAL_PER_SH", "FPT=A", "FPO=2A", "ACT_EST_MAPPING=PRECISE", "FS=MRC", "CURRENCY=USD", "XLFILL=b")</f>
        <v>2.6986264218462521</v>
      </c>
      <c r="I292" s="9">
        <f>_xll.BQL("ULCC US Equity", "BOOK_VAL_PER_SH", "FPT=A", "FPO=1A", "ACT_EST_MAPPING=PRECISE", "FS=MRC", "CURRENCY=USD", "XLFILL=b")</f>
        <v>2.4681671758512103</v>
      </c>
      <c r="J292" s="9">
        <f>_xll.BQL("ULCC US Equity", "BOOK_VAL_PER_SH", "FPT=A", "FPO=0A", "ACT_EST_MAPPING=PRECISE", "FS=MRC", "CURRENCY=USD", "XLFILL=b")</f>
        <v>2.2735549372263408</v>
      </c>
      <c r="K292" s="9">
        <f>_xll.BQL("ULCC US Equity", "BOOK_VAL_PER_SH", "FPT=A", "FPO=-1A", "ACT_EST_MAPPING=PRECISE", "FS=MRC", "CURRENCY=USD", "XLFILL=b")</f>
        <v>2.3361924075215481</v>
      </c>
      <c r="L292" s="9">
        <f>_xll.BQL("ULCC US Equity", "BOOK_VAL_PER_SH", "FPT=A", "FPO=-2A", "ACT_EST_MAPPING=PRECISE", "FS=MRC", "CURRENCY=USD", "XLFILL=b")</f>
        <v>2.4416638592139197</v>
      </c>
      <c r="M292" s="9">
        <f>_xll.BQL("ULCC US Equity", "BOOK_VAL_PER_SH", "FPT=A", "FPO=-3A", "ACT_EST_MAPPING=PRECISE", "FS=MRC", "CURRENCY=USD", "XLFILL=b")</f>
        <v>1.5543670096573023</v>
      </c>
      <c r="N292" s="9">
        <f>_xll.BQL("ULCC US Equity", "BOOK_VAL_PER_SH", "FPT=A", "FPO=-4A", "ACT_EST_MAPPING=PRECISE", "FS=MRC", "CURRENCY=USD", "XLFILL=b")</f>
        <v>2.720298314939817</v>
      </c>
    </row>
    <row r="293" spans="1:14" x14ac:dyDescent="0.2">
      <c r="A293" s="8" t="s">
        <v>28</v>
      </c>
      <c r="B293" s="4" t="s">
        <v>305</v>
      </c>
      <c r="C293" s="4"/>
      <c r="D293" s="4"/>
      <c r="E293" s="9" t="str">
        <f>_xll.BQL("ULCC US Equity", "FA_GROWTH(BOOK_VAL_PER_SH, YOY)", "FPT=A", "FPO=5A", "ACT_EST_MAPPING=PRECISE", "FS=MRC", "CURRENCY=USD", "XLFILL=b")</f>
        <v/>
      </c>
      <c r="F293" s="9" t="str">
        <f>_xll.BQL("ULCC US Equity", "FA_GROWTH(BOOK_VAL_PER_SH, YOY)", "FPT=A", "FPO=4A", "ACT_EST_MAPPING=PRECISE", "FS=MRC", "CURRENCY=USD", "XLFILL=b")</f>
        <v/>
      </c>
      <c r="G293" s="9">
        <f>_xll.BQL("ULCC US Equity", "FA_GROWTH(BOOK_VAL_PER_SH, YOY)", "FPT=A", "FPO=3A", "ACT_EST_MAPPING=PRECISE", "FS=MRC", "CURRENCY=USD", "XLFILL=b")</f>
        <v>31.714960408607183</v>
      </c>
      <c r="H293" s="9">
        <f>_xll.BQL("ULCC US Equity", "FA_GROWTH(BOOK_VAL_PER_SH, YOY)", "FPT=A", "FPO=2A", "ACT_EST_MAPPING=PRECISE", "FS=MRC", "CURRENCY=USD", "XLFILL=b")</f>
        <v>9.3372624127683785</v>
      </c>
      <c r="I293" s="9">
        <f>_xll.BQL("ULCC US Equity", "FA_GROWTH(BOOK_VAL_PER_SH, YOY)", "FPT=A", "FPO=1A", "ACT_EST_MAPPING=PRECISE", "FS=MRC", "CURRENCY=USD", "XLFILL=b")</f>
        <v>8.5598212490211338</v>
      </c>
      <c r="J293" s="9">
        <f>_xll.BQL("ULCC US Equity", "FA_GROWTH(BOOK_VAL_PER_SH, YOY)", "FPT=A", "FPO=0A", "ACT_EST_MAPPING=PRECISE", "FS=MRC", "CURRENCY=USD", "XLFILL=b")</f>
        <v>-2.681177718647711</v>
      </c>
      <c r="K293" s="9">
        <f>_xll.BQL("ULCC US Equity", "FA_GROWTH(BOOK_VAL_PER_SH, YOY)", "FPT=A", "FPO=-1A", "ACT_EST_MAPPING=PRECISE", "FS=MRC", "CURRENCY=USD", "XLFILL=b")</f>
        <v>-4.3196548654460383</v>
      </c>
      <c r="L293" s="9">
        <f>_xll.BQL("ULCC US Equity", "FA_GROWTH(BOOK_VAL_PER_SH, YOY)", "FPT=A", "FPO=-2A", "ACT_EST_MAPPING=PRECISE", "FS=MRC", "CURRENCY=USD", "XLFILL=b")</f>
        <v>57.084127753859327</v>
      </c>
      <c r="M293" s="9">
        <f>_xll.BQL("ULCC US Equity", "FA_GROWTH(BOOK_VAL_PER_SH, YOY)", "FPT=A", "FPO=-3A", "ACT_EST_MAPPING=PRECISE", "FS=MRC", "CURRENCY=USD", "XLFILL=b")</f>
        <v>-42.860420817792161</v>
      </c>
      <c r="N293" s="9" t="str">
        <f>_xll.BQL("ULCC US Equity", "FA_GROWTH(BOOK_VAL_PER_SH, YOY)", "FPT=A", "FPO=-4A", "ACT_EST_MAPPING=PRECISE", "FS=MRC", "CURRENCY=USD", "XLFILL=b")</f>
        <v/>
      </c>
    </row>
    <row r="294" spans="1:14" x14ac:dyDescent="0.2">
      <c r="A294" s="8" t="s">
        <v>306</v>
      </c>
      <c r="B294" s="4" t="s">
        <v>307</v>
      </c>
      <c r="C294" s="4"/>
      <c r="D294" s="4"/>
      <c r="E294" s="9">
        <f>_xll.BQL("ULCC US Equity", "TOT_DEBT_TO_TOT_CAP", "FPT=A", "FPO=5A", "ACT_EST_MAPPING=PRECISE", "FS=MRC", "CURRENCY=USD", "XLFILL=b")</f>
        <v>76.788856750641102</v>
      </c>
      <c r="F294" s="9">
        <f>_xll.BQL("ULCC US Equity", "TOT_DEBT_TO_TOT_CAP", "FPT=A", "FPO=4A", "ACT_EST_MAPPING=PRECISE", "FS=MRC", "CURRENCY=USD", "XLFILL=b")</f>
        <v>79.177913543609918</v>
      </c>
      <c r="G294" s="9">
        <f>_xll.BQL("ULCC US Equity", "TOT_DEBT_TO_TOT_CAP", "FPT=A", "FPO=3A", "ACT_EST_MAPPING=PRECISE", "FS=MRC", "CURRENCY=USD", "XLFILL=b")</f>
        <v>81.525981138103745</v>
      </c>
      <c r="H294" s="9">
        <f>_xll.BQL("ULCC US Equity", "TOT_DEBT_TO_TOT_CAP", "FPT=A", "FPO=2A", "ACT_EST_MAPPING=PRECISE", "FS=MRC", "CURRENCY=USD", "XLFILL=b")</f>
        <v>86.745937755273772</v>
      </c>
      <c r="I294" s="9">
        <f>_xll.BQL("ULCC US Equity", "TOT_DEBT_TO_TOT_CAP", "FPT=A", "FPO=1A", "ACT_EST_MAPPING=PRECISE", "FS=MRC", "CURRENCY=USD", "XLFILL=b")</f>
        <v>88.03456765913694</v>
      </c>
      <c r="J294" s="9">
        <f>_xll.BQL("ULCC US Equity", "TOT_DEBT_TO_TOT_CAP", "FPT=A", "FPO=0A", "ACT_EST_MAPPING=PRECISE", "FS=MRC", "CURRENCY=USD", "XLFILL=b")</f>
        <v>87.216338880484116</v>
      </c>
      <c r="K294" s="9">
        <f>_xll.BQL("ULCC US Equity", "TOT_DEBT_TO_TOT_CAP", "FPT=A", "FPO=-1A", "ACT_EST_MAPPING=PRECISE", "FS=MRC", "CURRENCY=USD", "XLFILL=b")</f>
        <v>85.190573174279891</v>
      </c>
      <c r="L294" s="9">
        <f>_xll.BQL("ULCC US Equity", "TOT_DEBT_TO_TOT_CAP", "FPT=A", "FPO=-2A", "ACT_EST_MAPPING=PRECISE", "FS=MRC", "CURRENCY=USD", "XLFILL=b")</f>
        <v>84.314886060964781</v>
      </c>
      <c r="M294" s="9">
        <f>_xll.BQL("ULCC US Equity", "TOT_DEBT_TO_TOT_CAP", "FPT=A", "FPO=-3A", "ACT_EST_MAPPING=PRECISE", "FS=MRC", "CURRENCY=USD", "XLFILL=b")</f>
        <v>89.390828199863108</v>
      </c>
      <c r="N294" s="9">
        <f>_xll.BQL("ULCC US Equity", "TOT_DEBT_TO_TOT_CAP", "FPT=A", "FPO=-4A", "ACT_EST_MAPPING=PRECISE", "FS=MRC", "CURRENCY=USD", "XLFILL=b")</f>
        <v>82.217847769028879</v>
      </c>
    </row>
    <row r="295" spans="1:14" x14ac:dyDescent="0.2">
      <c r="A295" s="8" t="s">
        <v>28</v>
      </c>
      <c r="B295" s="4" t="s">
        <v>307</v>
      </c>
      <c r="C295" s="4"/>
      <c r="D295" s="4"/>
      <c r="E295" s="9">
        <f>_xll.BQL("ULCC US Equity", "FA_GROWTH(TOT_DEBT_TO_TOT_CAP, YOY)", "FPT=A", "FPO=5A", "ACT_EST_MAPPING=PRECISE", "FS=MRC", "CURRENCY=USD", "XLFILL=b")</f>
        <v>-3.0173272899556287</v>
      </c>
      <c r="F295" s="9">
        <f>_xll.BQL("ULCC US Equity", "FA_GROWTH(TOT_DEBT_TO_TOT_CAP, YOY)", "FPT=A", "FPO=4A", "ACT_EST_MAPPING=PRECISE", "FS=MRC", "CURRENCY=USD", "XLFILL=b")</f>
        <v>-2.8801463799819067</v>
      </c>
      <c r="G295" s="9">
        <f>_xll.BQL("ULCC US Equity", "FA_GROWTH(TOT_DEBT_TO_TOT_CAP, YOY)", "FPT=A", "FPO=3A", "ACT_EST_MAPPING=PRECISE", "FS=MRC", "CURRENCY=USD", "XLFILL=b")</f>
        <v>-6.0175228399703089</v>
      </c>
      <c r="H295" s="9">
        <f>_xll.BQL("ULCC US Equity", "FA_GROWTH(TOT_DEBT_TO_TOT_CAP, YOY)", "FPT=A", "FPO=2A", "ACT_EST_MAPPING=PRECISE", "FS=MRC", "CURRENCY=USD", "XLFILL=b")</f>
        <v>-1.4637771708638854</v>
      </c>
      <c r="I295" s="9">
        <f>_xll.BQL("ULCC US Equity", "FA_GROWTH(TOT_DEBT_TO_TOT_CAP, YOY)", "FPT=A", "FPO=1A", "ACT_EST_MAPPING=PRECISE", "FS=MRC", "CURRENCY=USD", "XLFILL=b")</f>
        <v>0.93815996997314199</v>
      </c>
      <c r="J295" s="9">
        <f>_xll.BQL("ULCC US Equity", "FA_GROWTH(TOT_DEBT_TO_TOT_CAP, YOY)", "FPT=A", "FPO=0A", "ACT_EST_MAPPING=PRECISE", "FS=MRC", "CURRENCY=USD", "XLFILL=b")</f>
        <v>2.3779223812240176</v>
      </c>
      <c r="K295" s="9">
        <f>_xll.BQL("ULCC US Equity", "FA_GROWTH(TOT_DEBT_TO_TOT_CAP, YOY)", "FPT=A", "FPO=-1A", "ACT_EST_MAPPING=PRECISE", "FS=MRC", "CURRENCY=USD", "XLFILL=b")</f>
        <v>1.0385913499093558</v>
      </c>
      <c r="L295" s="9">
        <f>_xll.BQL("ULCC US Equity", "FA_GROWTH(TOT_DEBT_TO_TOT_CAP, YOY)", "FPT=A", "FPO=-2A", "ACT_EST_MAPPING=PRECISE", "FS=MRC", "CURRENCY=USD", "XLFILL=b")</f>
        <v>-5.6783701875424626</v>
      </c>
      <c r="M295" s="9">
        <f>_xll.BQL("ULCC US Equity", "FA_GROWTH(TOT_DEBT_TO_TOT_CAP, YOY)", "FPT=A", "FPO=-3A", "ACT_EST_MAPPING=PRECISE", "FS=MRC", "CURRENCY=USD", "XLFILL=b")</f>
        <v>8.7243592790034832</v>
      </c>
      <c r="N295" s="9" t="str">
        <f>_xll.BQL("ULCC US Equity", "FA_GROWTH(TOT_DEBT_TO_TOT_CAP, YOY)", "FPT=A", "FPO=-4A", "ACT_EST_MAPPING=PRECISE", "FS=MRC", "CURRENCY=USD", "XLFILL=b")</f>
        <v/>
      </c>
    </row>
    <row r="296" spans="1:14" x14ac:dyDescent="0.2">
      <c r="A296" s="8" t="s">
        <v>308</v>
      </c>
      <c r="B296" s="4" t="s">
        <v>309</v>
      </c>
      <c r="C296" s="4"/>
      <c r="D296" s="4"/>
      <c r="E296" s="9">
        <f>_xll.BQL("ULCC US Equity", "NET_DEBT_PCT_CAPITAL", "FPT=A", "FPO=5A", "ACT_EST_MAPPING=PRECISE", "FS=MRC", "CURRENCY=USD", "XLFILL=b")</f>
        <v>76.449316057403266</v>
      </c>
      <c r="F296" s="9">
        <f>_xll.BQL("ULCC US Equity", "NET_DEBT_PCT_CAPITAL", "FPT=A", "FPO=4A", "ACT_EST_MAPPING=PRECISE", "FS=MRC", "CURRENCY=USD", "XLFILL=b")</f>
        <v>78.676078050552121</v>
      </c>
      <c r="G296" s="9">
        <f>_xll.BQL("ULCC US Equity", "NET_DEBT_PCT_CAPITAL", "FPT=A", "FPO=3A", "ACT_EST_MAPPING=PRECISE", "FS=MRC", "CURRENCY=USD", "XLFILL=b")</f>
        <v>80.551950502362942</v>
      </c>
      <c r="H296" s="9">
        <f>_xll.BQL("ULCC US Equity", "NET_DEBT_PCT_CAPITAL", "FPT=A", "FPO=2A", "ACT_EST_MAPPING=PRECISE", "FS=MRC", "CURRENCY=USD", "XLFILL=b")</f>
        <v>86.004557904077842</v>
      </c>
      <c r="I296" s="9">
        <f>_xll.BQL("ULCC US Equity", "NET_DEBT_PCT_CAPITAL", "FPT=A", "FPO=1A", "ACT_EST_MAPPING=PRECISE", "FS=MRC", "CURRENCY=USD", "XLFILL=b")</f>
        <v>86.091670131928652</v>
      </c>
      <c r="J296" s="9">
        <f>_xll.BQL("ULCC US Equity", "NET_DEBT_PCT_CAPITAL", "FPT=A", "FPO=0A", "ACT_EST_MAPPING=PRECISE", "FS=MRC", "CURRENCY=USD", "XLFILL=b")</f>
        <v>84.897229669347638</v>
      </c>
      <c r="K296" s="9">
        <f>_xll.BQL("ULCC US Equity", "NET_DEBT_PCT_CAPITAL", "FPT=A", "FPO=-1A", "ACT_EST_MAPPING=PRECISE", "FS=MRC", "CURRENCY=USD", "XLFILL=b")</f>
        <v>80.979073243647235</v>
      </c>
      <c r="L296" s="9">
        <f>_xll.BQL("ULCC US Equity", "NET_DEBT_PCT_CAPITAL", "FPT=A", "FPO=-2A", "ACT_EST_MAPPING=PRECISE", "FS=MRC", "CURRENCY=USD", "XLFILL=b")</f>
        <v>78.464039008533121</v>
      </c>
      <c r="M296" s="9">
        <f>_xll.BQL("ULCC US Equity", "NET_DEBT_PCT_CAPITAL", "FPT=A", "FPO=-3A", "ACT_EST_MAPPING=PRECISE", "FS=MRC", "CURRENCY=USD", "XLFILL=b")</f>
        <v>87.814465408805034</v>
      </c>
      <c r="N296" s="9">
        <f>_xll.BQL("ULCC US Equity", "NET_DEBT_PCT_CAPITAL", "FPT=A", "FPO=-4A", "ACT_EST_MAPPING=PRECISE", "FS=MRC", "CURRENCY=USD", "XLFILL=b")</f>
        <v>76.228070175438603</v>
      </c>
    </row>
    <row r="297" spans="1:14" x14ac:dyDescent="0.2">
      <c r="A297" s="8" t="s">
        <v>28</v>
      </c>
      <c r="B297" s="4" t="s">
        <v>309</v>
      </c>
      <c r="C297" s="4"/>
      <c r="D297" s="4"/>
      <c r="E297" s="9">
        <f>_xll.BQL("ULCC US Equity", "FA_GROWTH(NET_DEBT_PCT_CAPITAL, YOY)", "FPT=A", "FPO=5A", "ACT_EST_MAPPING=PRECISE", "FS=MRC", "CURRENCY=USD", "XLFILL=b")</f>
        <v>-2.8302910469407019</v>
      </c>
      <c r="F297" s="9">
        <f>_xll.BQL("ULCC US Equity", "FA_GROWTH(NET_DEBT_PCT_CAPITAL, YOY)", "FPT=A", "FPO=4A", "ACT_EST_MAPPING=PRECISE", "FS=MRC", "CURRENCY=USD", "XLFILL=b")</f>
        <v>-2.3287734686893686</v>
      </c>
      <c r="G297" s="9">
        <f>_xll.BQL("ULCC US Equity", "FA_GROWTH(NET_DEBT_PCT_CAPITAL, YOY)", "FPT=A", "FPO=3A", "ACT_EST_MAPPING=PRECISE", "FS=MRC", "CURRENCY=USD", "XLFILL=b")</f>
        <v>-6.3399051568828169</v>
      </c>
      <c r="H297" s="9">
        <f>_xll.BQL("ULCC US Equity", "FA_GROWTH(NET_DEBT_PCT_CAPITAL, YOY)", "FPT=A", "FPO=2A", "ACT_EST_MAPPING=PRECISE", "FS=MRC", "CURRENCY=USD", "XLFILL=b")</f>
        <v>-0.10118543143293313</v>
      </c>
      <c r="I297" s="9">
        <f>_xll.BQL("ULCC US Equity", "FA_GROWTH(NET_DEBT_PCT_CAPITAL, YOY)", "FPT=A", "FPO=1A", "ACT_EST_MAPPING=PRECISE", "FS=MRC", "CURRENCY=USD", "XLFILL=b")</f>
        <v>1.4069251343454254</v>
      </c>
      <c r="J297" s="9">
        <f>_xll.BQL("ULCC US Equity", "FA_GROWTH(NET_DEBT_PCT_CAPITAL, YOY)", "FPT=A", "FPO=0A", "ACT_EST_MAPPING=PRECISE", "FS=MRC", "CURRENCY=USD", "XLFILL=b")</f>
        <v>4.8384802008187711</v>
      </c>
      <c r="K297" s="9">
        <f>_xll.BQL("ULCC US Equity", "FA_GROWTH(NET_DEBT_PCT_CAPITAL, YOY)", "FPT=A", "FPO=-1A", "ACT_EST_MAPPING=PRECISE", "FS=MRC", "CURRENCY=USD", "XLFILL=b")</f>
        <v>3.2053336367767149</v>
      </c>
      <c r="L297" s="9">
        <f>_xll.BQL("ULCC US Equity", "FA_GROWTH(NET_DEBT_PCT_CAPITAL, YOY)", "FPT=A", "FPO=-2A", "ACT_EST_MAPPING=PRECISE", "FS=MRC", "CURRENCY=USD", "XLFILL=b")</f>
        <v>-10.647934092341874</v>
      </c>
      <c r="M297" s="9">
        <f>_xll.BQL("ULCC US Equity", "FA_GROWTH(NET_DEBT_PCT_CAPITAL, YOY)", "FPT=A", "FPO=-3A", "ACT_EST_MAPPING=PRECISE", "FS=MRC", "CURRENCY=USD", "XLFILL=b")</f>
        <v>15.199643919491059</v>
      </c>
      <c r="N297" s="9" t="str">
        <f>_xll.BQL("ULCC US Equity", "FA_GROWTH(NET_DEBT_PCT_CAPITAL, YOY)", "FPT=A", "FPO=-4A", "ACT_EST_MAPPING=PRECISE", "FS=MRC", "CURRENCY=USD", "XLFILL=b")</f>
        <v/>
      </c>
    </row>
    <row r="298" spans="1:14" x14ac:dyDescent="0.2">
      <c r="A298" s="8" t="s">
        <v>16</v>
      </c>
      <c r="B298" s="4"/>
      <c r="C298" s="4"/>
      <c r="D298" s="4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1:14" x14ac:dyDescent="0.2">
      <c r="A299" s="8" t="s">
        <v>310</v>
      </c>
      <c r="B299" s="4"/>
      <c r="C299" s="4" t="s">
        <v>311</v>
      </c>
      <c r="D299" s="4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1:14" x14ac:dyDescent="0.2">
      <c r="A300" s="8" t="s">
        <v>312</v>
      </c>
      <c r="B300" s="4"/>
      <c r="C300" s="4" t="s">
        <v>313</v>
      </c>
      <c r="D300" s="4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1:14" x14ac:dyDescent="0.2">
      <c r="A301" s="8" t="s">
        <v>195</v>
      </c>
      <c r="B301" s="4" t="s">
        <v>168</v>
      </c>
      <c r="C301" s="4" t="s">
        <v>169</v>
      </c>
      <c r="D301" s="4"/>
      <c r="E301" s="9">
        <f>_xll.BQL("ULCC US Equity", "IS_COMP_NET_INCOME_GAAP/1M", "FPT=A", "FPO=5A", "ACT_EST_MAPPING=PRECISE", "FS=MRC", "CURRENCY=USD", "XLFILL=b")</f>
        <v>344</v>
      </c>
      <c r="F301" s="9">
        <f>_xll.BQL("ULCC US Equity", "IS_COMP_NET_INCOME_GAAP/1M", "FPT=A", "FPO=4A", "ACT_EST_MAPPING=PRECISE", "FS=MRC", "CURRENCY=USD", "XLFILL=b")</f>
        <v>273</v>
      </c>
      <c r="G301" s="9">
        <f>_xll.BQL("ULCC US Equity", "IS_COMP_NET_INCOME_GAAP/1M", "FPT=A", "FPO=3A", "ACT_EST_MAPPING=PRECISE", "FS=MRC", "CURRENCY=USD", "XLFILL=b")</f>
        <v>235</v>
      </c>
      <c r="H301" s="9">
        <f>_xll.BQL("ULCC US Equity", "IS_COMP_NET_INCOME_GAAP/1M", "FPT=A", "FPO=2A", "ACT_EST_MAPPING=PRECISE", "FS=MRC", "CURRENCY=USD", "XLFILL=b")</f>
        <v>96.3</v>
      </c>
      <c r="I301" s="9">
        <f>_xll.BQL("ULCC US Equity", "IS_COMP_NET_INCOME_GAAP/1M", "FPT=A", "FPO=1A", "ACT_EST_MAPPING=PRECISE", "FS=MRC", "CURRENCY=USD", "XLFILL=b")</f>
        <v>-1.9207777777777773</v>
      </c>
      <c r="J301" s="9">
        <f>_xll.BQL("ULCC US Equity", "IS_COMP_NET_INCOME_GAAP/1M", "FPT=A", "FPO=0A", "ACT_EST_MAPPING=PRECISE", "FS=MRC", "CURRENCY=USD", "XLFILL=b")</f>
        <v>-11</v>
      </c>
      <c r="K301" s="9">
        <f>_xll.BQL("ULCC US Equity", "IS_COMP_NET_INCOME_GAAP/1M", "FPT=A", "FPO=-1A", "ACT_EST_MAPPING=PRECISE", "FS=MRC", "CURRENCY=USD", "XLFILL=b")</f>
        <v>-37</v>
      </c>
      <c r="L301" s="9">
        <f>_xll.BQL("ULCC US Equity", "IS_COMP_NET_INCOME_GAAP/1M", "FPT=A", "FPO=-2A", "ACT_EST_MAPPING=PRECISE", "FS=MRC", "CURRENCY=USD", "XLFILL=b")</f>
        <v>-102</v>
      </c>
      <c r="M301" s="9" t="str">
        <f>_xll.BQL("ULCC US Equity", "IS_COMP_NET_INCOME_GAAP/1M", "FPT=A", "FPO=-3A", "ACT_EST_MAPPING=PRECISE", "FS=MRC", "CURRENCY=USD", "XLFILL=b")</f>
        <v/>
      </c>
      <c r="N301" s="9" t="str">
        <f>_xll.BQL("ULCC US Equity", "IS_COMP_NET_INCOME_GAAP/1M", "FPT=A", "FPO=-4A", "ACT_EST_MAPPING=PRECISE", "FS=MRC", "CURRENCY=USD", "XLFILL=b")</f>
        <v/>
      </c>
    </row>
    <row r="302" spans="1:14" x14ac:dyDescent="0.2">
      <c r="A302" s="8" t="s">
        <v>28</v>
      </c>
      <c r="B302" s="4" t="s">
        <v>168</v>
      </c>
      <c r="C302" s="4" t="s">
        <v>169</v>
      </c>
      <c r="D302" s="4"/>
      <c r="E302" s="9">
        <f>_xll.BQL("ULCC US Equity", "FA_GROWTH(IS_COMP_NET_INCOME_GAAP, YOY)", "FPT=A", "FPO=5A", "ACT_EST_MAPPING=PRECISE", "FS=MRC", "CURRENCY=USD", "XLFILL=b")</f>
        <v>26.007326007326007</v>
      </c>
      <c r="F302" s="9">
        <f>_xll.BQL("ULCC US Equity", "FA_GROWTH(IS_COMP_NET_INCOME_GAAP, YOY)", "FPT=A", "FPO=4A", "ACT_EST_MAPPING=PRECISE", "FS=MRC", "CURRENCY=USD", "XLFILL=b")</f>
        <v>16.170212765957448</v>
      </c>
      <c r="G302" s="9">
        <f>_xll.BQL("ULCC US Equity", "FA_GROWTH(IS_COMP_NET_INCOME_GAAP, YOY)", "FPT=A", "FPO=3A", "ACT_EST_MAPPING=PRECISE", "FS=MRC", "CURRENCY=USD", "XLFILL=b")</f>
        <v>144.02907580477674</v>
      </c>
      <c r="H302" s="9">
        <f>_xll.BQL("ULCC US Equity", "FA_GROWTH(IS_COMP_NET_INCOME_GAAP, YOY)", "FPT=A", "FPO=2A", "ACT_EST_MAPPING=PRECISE", "FS=MRC", "CURRENCY=USD", "XLFILL=b")</f>
        <v>5113.5940301961018</v>
      </c>
      <c r="I302" s="9">
        <f>_xll.BQL("ULCC US Equity", "FA_GROWTH(IS_COMP_NET_INCOME_GAAP, YOY)", "FPT=A", "FPO=1A", "ACT_EST_MAPPING=PRECISE", "FS=MRC", "CURRENCY=USD", "XLFILL=b")</f>
        <v>82.538383838383837</v>
      </c>
      <c r="J302" s="9">
        <f>_xll.BQL("ULCC US Equity", "FA_GROWTH(IS_COMP_NET_INCOME_GAAP, YOY)", "FPT=A", "FPO=0A", "ACT_EST_MAPPING=PRECISE", "FS=MRC", "CURRENCY=USD", "XLFILL=b")</f>
        <v>70.270270270270274</v>
      </c>
      <c r="K302" s="9">
        <f>_xll.BQL("ULCC US Equity", "FA_GROWTH(IS_COMP_NET_INCOME_GAAP, YOY)", "FPT=A", "FPO=-1A", "ACT_EST_MAPPING=PRECISE", "FS=MRC", "CURRENCY=USD", "XLFILL=b")</f>
        <v>63.725490196078432</v>
      </c>
      <c r="L302" s="9" t="str">
        <f>_xll.BQL("ULCC US Equity", "FA_GROWTH(IS_COMP_NET_INCOME_GAAP, YOY)", "FPT=A", "FPO=-2A", "ACT_EST_MAPPING=PRECISE", "FS=MRC", "CURRENCY=USD", "XLFILL=b")</f>
        <v/>
      </c>
      <c r="M302" s="9" t="str">
        <f>_xll.BQL("ULCC US Equity", "FA_GROWTH(IS_COMP_NET_INCOME_GAAP, YOY)", "FPT=A", "FPO=-3A", "ACT_EST_MAPPING=PRECISE", "FS=MRC", "CURRENCY=USD", "XLFILL=b")</f>
        <v/>
      </c>
      <c r="N302" s="9" t="str">
        <f>_xll.BQL("ULCC US Equity", "FA_GROWTH(IS_COMP_NET_INCOME_GAAP, YOY)", "FPT=A", "FPO=-4A", "ACT_EST_MAPPING=PRECISE", "FS=MRC", "CURRENCY=USD", "XLFILL=b")</f>
        <v/>
      </c>
    </row>
    <row r="303" spans="1:14" x14ac:dyDescent="0.2">
      <c r="A303" s="8" t="s">
        <v>132</v>
      </c>
      <c r="B303" s="4" t="s">
        <v>133</v>
      </c>
      <c r="C303" s="4" t="s">
        <v>134</v>
      </c>
      <c r="D303" s="4"/>
      <c r="E303" s="9">
        <f>_xll.BQL("ULCC US Equity", "IS_D_AND_A_GAAP/1M", "FPT=A", "FPO=5A", "ACT_EST_MAPPING=PRECISE", "FS=MRC", "CURRENCY=USD", "XLFILL=b")</f>
        <v>200</v>
      </c>
      <c r="F303" s="9">
        <f>_xll.BQL("ULCC US Equity", "IS_D_AND_A_GAAP/1M", "FPT=A", "FPO=4A", "ACT_EST_MAPPING=PRECISE", "FS=MRC", "CURRENCY=USD", "XLFILL=b")</f>
        <v>168</v>
      </c>
      <c r="G303" s="9">
        <f>_xll.BQL("ULCC US Equity", "IS_D_AND_A_GAAP/1M", "FPT=A", "FPO=3A", "ACT_EST_MAPPING=PRECISE", "FS=MRC", "CURRENCY=USD", "XLFILL=b")</f>
        <v>102.26289450883999</v>
      </c>
      <c r="H303" s="9">
        <f>_xll.BQL("ULCC US Equity", "IS_D_AND_A_GAAP/1M", "FPT=A", "FPO=2A", "ACT_EST_MAPPING=PRECISE", "FS=MRC", "CURRENCY=USD", "XLFILL=b")</f>
        <v>83.995371489999997</v>
      </c>
      <c r="I303" s="9">
        <f>_xll.BQL("ULCC US Equity", "IS_D_AND_A_GAAP/1M", "FPT=A", "FPO=1A", "ACT_EST_MAPPING=PRECISE", "FS=MRC", "CURRENCY=USD", "XLFILL=b")</f>
        <v>71.993094874999997</v>
      </c>
      <c r="J303" s="9">
        <f>_xll.BQL("ULCC US Equity", "IS_D_AND_A_GAAP/1M", "FPT=A", "FPO=0A", "ACT_EST_MAPPING=PRECISE", "FS=MRC", "CURRENCY=USD", "XLFILL=b")</f>
        <v>50</v>
      </c>
      <c r="K303" s="9">
        <f>_xll.BQL("ULCC US Equity", "IS_D_AND_A_GAAP/1M", "FPT=A", "FPO=-1A", "ACT_EST_MAPPING=PRECISE", "FS=MRC", "CURRENCY=USD", "XLFILL=b")</f>
        <v>45</v>
      </c>
      <c r="L303" s="9">
        <f>_xll.BQL("ULCC US Equity", "IS_D_AND_A_GAAP/1M", "FPT=A", "FPO=-2A", "ACT_EST_MAPPING=PRECISE", "FS=MRC", "CURRENCY=USD", "XLFILL=b")</f>
        <v>38</v>
      </c>
      <c r="M303" s="9">
        <f>_xll.BQL("ULCC US Equity", "IS_D_AND_A_GAAP/1M", "FPT=A", "FPO=-3A", "ACT_EST_MAPPING=PRECISE", "FS=MRC", "CURRENCY=USD", "XLFILL=b")</f>
        <v>33</v>
      </c>
      <c r="N303" s="9">
        <f>_xll.BQL("ULCC US Equity", "IS_D_AND_A_GAAP/1M", "FPT=A", "FPO=-4A", "ACT_EST_MAPPING=PRECISE", "FS=MRC", "CURRENCY=USD", "XLFILL=b")</f>
        <v>46</v>
      </c>
    </row>
    <row r="304" spans="1:14" x14ac:dyDescent="0.2">
      <c r="A304" s="8" t="s">
        <v>28</v>
      </c>
      <c r="B304" s="4" t="s">
        <v>133</v>
      </c>
      <c r="C304" s="4" t="s">
        <v>134</v>
      </c>
      <c r="D304" s="4"/>
      <c r="E304" s="9">
        <f>_xll.BQL("ULCC US Equity", "FA_GROWTH(IS_D_AND_A_GAAP, YOY)", "FPT=A", "FPO=5A", "ACT_EST_MAPPING=PRECISE", "FS=MRC", "CURRENCY=USD", "XLFILL=b")</f>
        <v>19.047619047619047</v>
      </c>
      <c r="F304" s="9">
        <f>_xll.BQL("ULCC US Equity", "FA_GROWTH(IS_D_AND_A_GAAP, YOY)", "FPT=A", "FPO=4A", "ACT_EST_MAPPING=PRECISE", "FS=MRC", "CURRENCY=USD", "XLFILL=b")</f>
        <v>64.282461206373767</v>
      </c>
      <c r="G304" s="9">
        <f>_xll.BQL("ULCC US Equity", "FA_GROWTH(IS_D_AND_A_GAAP, YOY)", "FPT=A", "FPO=3A", "ACT_EST_MAPPING=PRECISE", "FS=MRC", "CURRENCY=USD", "XLFILL=b")</f>
        <v>21.748249569935918</v>
      </c>
      <c r="H304" s="9">
        <f>_xll.BQL("ULCC US Equity", "FA_GROWTH(IS_D_AND_A_GAAP, YOY)", "FPT=A", "FPO=2A", "ACT_EST_MAPPING=PRECISE", "FS=MRC", "CURRENCY=USD", "XLFILL=b")</f>
        <v>16.671427497094381</v>
      </c>
      <c r="I304" s="9">
        <f>_xll.BQL("ULCC US Equity", "FA_GROWTH(IS_D_AND_A_GAAP, YOY)", "FPT=A", "FPO=1A", "ACT_EST_MAPPING=PRECISE", "FS=MRC", "CURRENCY=USD", "XLFILL=b")</f>
        <v>43.986189750000001</v>
      </c>
      <c r="J304" s="9">
        <f>_xll.BQL("ULCC US Equity", "FA_GROWTH(IS_D_AND_A_GAAP, YOY)", "FPT=A", "FPO=0A", "ACT_EST_MAPPING=PRECISE", "FS=MRC", "CURRENCY=USD", "XLFILL=b")</f>
        <v>11.111111111111111</v>
      </c>
      <c r="K304" s="9">
        <f>_xll.BQL("ULCC US Equity", "FA_GROWTH(IS_D_AND_A_GAAP, YOY)", "FPT=A", "FPO=-1A", "ACT_EST_MAPPING=PRECISE", "FS=MRC", "CURRENCY=USD", "XLFILL=b")</f>
        <v>18.421052631578949</v>
      </c>
      <c r="L304" s="9">
        <f>_xll.BQL("ULCC US Equity", "FA_GROWTH(IS_D_AND_A_GAAP, YOY)", "FPT=A", "FPO=-2A", "ACT_EST_MAPPING=PRECISE", "FS=MRC", "CURRENCY=USD", "XLFILL=b")</f>
        <v>15.151515151515152</v>
      </c>
      <c r="M304" s="9">
        <f>_xll.BQL("ULCC US Equity", "FA_GROWTH(IS_D_AND_A_GAAP, YOY)", "FPT=A", "FPO=-3A", "ACT_EST_MAPPING=PRECISE", "FS=MRC", "CURRENCY=USD", "XLFILL=b")</f>
        <v>-28.260869565217391</v>
      </c>
      <c r="N304" s="9">
        <f>_xll.BQL("ULCC US Equity", "FA_GROWTH(IS_D_AND_A_GAAP, YOY)", "FPT=A", "FPO=-4A", "ACT_EST_MAPPING=PRECISE", "FS=MRC", "CURRENCY=USD", "XLFILL=b")</f>
        <v>-41.025641025641029</v>
      </c>
    </row>
    <row r="305" spans="1:14" x14ac:dyDescent="0.2">
      <c r="A305" s="8" t="s">
        <v>314</v>
      </c>
      <c r="B305" s="4" t="s">
        <v>315</v>
      </c>
      <c r="C305" s="4"/>
      <c r="D305" s="4"/>
      <c r="E305" s="9">
        <f>_xll.BQL("ULCC US Equity", "CF_DEF_INC_TAX/1M", "FPT=A", "FPO=5A", "ACT_EST_MAPPING=PRECISE", "FS=MRC", "CURRENCY=USD", "XLFILL=b")</f>
        <v>102.88656097966592</v>
      </c>
      <c r="F305" s="9">
        <f>_xll.BQL("ULCC US Equity", "CF_DEF_INC_TAX/1M", "FPT=A", "FPO=4A", "ACT_EST_MAPPING=PRECISE", "FS=MRC", "CURRENCY=USD", "XLFILL=b")</f>
        <v>81.455592754592431</v>
      </c>
      <c r="G305" s="9">
        <f>_xll.BQL("ULCC US Equity", "CF_DEF_INC_TAX/1M", "FPT=A", "FPO=3A", "ACT_EST_MAPPING=PRECISE", "FS=MRC", "CURRENCY=USD", "XLFILL=b")</f>
        <v>67.902171298799615</v>
      </c>
      <c r="H305" s="9">
        <f>_xll.BQL("ULCC US Equity", "CF_DEF_INC_TAX/1M", "FPT=A", "FPO=2A", "ACT_EST_MAPPING=PRECISE", "FS=MRC", "CURRENCY=USD", "XLFILL=b")</f>
        <v>18.746388596105405</v>
      </c>
      <c r="I305" s="9">
        <f>_xll.BQL("ULCC US Equity", "CF_DEF_INC_TAX/1M", "FPT=A", "FPO=1A", "ACT_EST_MAPPING=PRECISE", "FS=MRC", "CURRENCY=USD", "XLFILL=b")</f>
        <v>-3.5046954424709202</v>
      </c>
      <c r="J305" s="9">
        <f>_xll.BQL("ULCC US Equity", "CF_DEF_INC_TAX/1M", "FPT=A", "FPO=0A", "ACT_EST_MAPPING=PRECISE", "FS=MRC", "CURRENCY=USD", "XLFILL=b")</f>
        <v>43</v>
      </c>
      <c r="K305" s="9">
        <f>_xll.BQL("ULCC US Equity", "CF_DEF_INC_TAX/1M", "FPT=A", "FPO=-1A", "ACT_EST_MAPPING=PRECISE", "FS=MRC", "CURRENCY=USD", "XLFILL=b")</f>
        <v>-8</v>
      </c>
      <c r="L305" s="9">
        <f>_xll.BQL("ULCC US Equity", "CF_DEF_INC_TAX/1M", "FPT=A", "FPO=-2A", "ACT_EST_MAPPING=PRECISE", "FS=MRC", "CURRENCY=USD", "XLFILL=b")</f>
        <v>-32</v>
      </c>
      <c r="M305" s="9">
        <f>_xll.BQL("ULCC US Equity", "CF_DEF_INC_TAX/1M", "FPT=A", "FPO=-3A", "ACT_EST_MAPPING=PRECISE", "FS=MRC", "CURRENCY=USD", "XLFILL=b")</f>
        <v>-14</v>
      </c>
      <c r="N305" s="9">
        <f>_xll.BQL("ULCC US Equity", "CF_DEF_INC_TAX/1M", "FPT=A", "FPO=-4A", "ACT_EST_MAPPING=PRECISE", "FS=MRC", "CURRENCY=USD", "XLFILL=b")</f>
        <v>52</v>
      </c>
    </row>
    <row r="306" spans="1:14" x14ac:dyDescent="0.2">
      <c r="A306" s="8" t="s">
        <v>28</v>
      </c>
      <c r="B306" s="4" t="s">
        <v>315</v>
      </c>
      <c r="C306" s="4"/>
      <c r="D306" s="4"/>
      <c r="E306" s="9">
        <f>_xll.BQL("ULCC US Equity", "FA_GROWTH(CF_DEF_INC_TAX, YOY)", "FPT=A", "FPO=5A", "ACT_EST_MAPPING=PRECISE", "FS=MRC", "CURRENCY=USD", "XLFILL=b")</f>
        <v>26.310002174608467</v>
      </c>
      <c r="F306" s="9">
        <f>_xll.BQL("ULCC US Equity", "FA_GROWTH(CF_DEF_INC_TAX, YOY)", "FPT=A", "FPO=4A", "ACT_EST_MAPPING=PRECISE", "FS=MRC", "CURRENCY=USD", "XLFILL=b")</f>
        <v>19.960218055696274</v>
      </c>
      <c r="G306" s="9">
        <f>_xll.BQL("ULCC US Equity", "FA_GROWTH(CF_DEF_INC_TAX, YOY)", "FPT=A", "FPO=3A", "ACT_EST_MAPPING=PRECISE", "FS=MRC", "CURRENCY=USD", "XLFILL=b")</f>
        <v>262.21467911374896</v>
      </c>
      <c r="H306" s="9">
        <f>_xll.BQL("ULCC US Equity", "FA_GROWTH(CF_DEF_INC_TAX, YOY)", "FPT=A", "FPO=2A", "ACT_EST_MAPPING=PRECISE", "FS=MRC", "CURRENCY=USD", "XLFILL=b")</f>
        <v>634.89351368256439</v>
      </c>
      <c r="I306" s="9">
        <f>_xll.BQL("ULCC US Equity", "FA_GROWTH(CF_DEF_INC_TAX, YOY)", "FPT=A", "FPO=1A", "ACT_EST_MAPPING=PRECISE", "FS=MRC", "CURRENCY=USD", "XLFILL=b")</f>
        <v>-108.15045451737424</v>
      </c>
      <c r="J306" s="9">
        <f>_xll.BQL("ULCC US Equity", "FA_GROWTH(CF_DEF_INC_TAX, YOY)", "FPT=A", "FPO=0A", "ACT_EST_MAPPING=PRECISE", "FS=MRC", "CURRENCY=USD", "XLFILL=b")</f>
        <v>637.5</v>
      </c>
      <c r="K306" s="9">
        <f>_xll.BQL("ULCC US Equity", "FA_GROWTH(CF_DEF_INC_TAX, YOY)", "FPT=A", "FPO=-1A", "ACT_EST_MAPPING=PRECISE", "FS=MRC", "CURRENCY=USD", "XLFILL=b")</f>
        <v>75</v>
      </c>
      <c r="L306" s="9">
        <f>_xll.BQL("ULCC US Equity", "FA_GROWTH(CF_DEF_INC_TAX, YOY)", "FPT=A", "FPO=-2A", "ACT_EST_MAPPING=PRECISE", "FS=MRC", "CURRENCY=USD", "XLFILL=b")</f>
        <v>-128.57142857142858</v>
      </c>
      <c r="M306" s="9">
        <f>_xll.BQL("ULCC US Equity", "FA_GROWTH(CF_DEF_INC_TAX, YOY)", "FPT=A", "FPO=-3A", "ACT_EST_MAPPING=PRECISE", "FS=MRC", "CURRENCY=USD", "XLFILL=b")</f>
        <v>-126.92307692307692</v>
      </c>
      <c r="N306" s="9">
        <f>_xll.BQL("ULCC US Equity", "FA_GROWTH(CF_DEF_INC_TAX, YOY)", "FPT=A", "FPO=-4A", "ACT_EST_MAPPING=PRECISE", "FS=MRC", "CURRENCY=USD", "XLFILL=b")</f>
        <v>172.22222222222223</v>
      </c>
    </row>
    <row r="307" spans="1:14" x14ac:dyDescent="0.2">
      <c r="A307" s="8" t="s">
        <v>316</v>
      </c>
      <c r="B307" s="4" t="s">
        <v>317</v>
      </c>
      <c r="C307" s="4" t="s">
        <v>318</v>
      </c>
      <c r="D307" s="4"/>
      <c r="E307" s="9" t="str">
        <f>_xll.BQL("ULCC US Equity", "CB_CF_GAIN_LOSS_DISP_BUSINESS_SUBSIDIARIES/1M", "FPT=A", "FPO=5A", "ACT_EST_MAPPING=PRECISE", "FS=MRC", "CURRENCY=USD", "XLFILL=b")</f>
        <v/>
      </c>
      <c r="F307" s="9" t="str">
        <f>_xll.BQL("ULCC US Equity", "CB_CF_GAIN_LOSS_DISP_BUSINESS_SUBSIDIARIES/1M", "FPT=A", "FPO=4A", "ACT_EST_MAPPING=PRECISE", "FS=MRC", "CURRENCY=USD", "XLFILL=b")</f>
        <v/>
      </c>
      <c r="G307" s="9">
        <f>_xll.BQL("ULCC US Equity", "CB_CF_GAIN_LOSS_DISP_BUSINESS_SUBSIDIARIES/1M", "FPT=A", "FPO=3A", "ACT_EST_MAPPING=PRECISE", "FS=MRC", "CURRENCY=USD", "XLFILL=b")</f>
        <v>-224.5</v>
      </c>
      <c r="H307" s="9">
        <f>_xll.BQL("ULCC US Equity", "CB_CF_GAIN_LOSS_DISP_BUSINESS_SUBSIDIARIES/1M", "FPT=A", "FPO=2A", "ACT_EST_MAPPING=PRECISE", "FS=MRC", "CURRENCY=USD", "XLFILL=b")</f>
        <v>-200</v>
      </c>
      <c r="I307" s="9">
        <f>_xll.BQL("ULCC US Equity", "CB_CF_GAIN_LOSS_DISP_BUSINESS_SUBSIDIARIES/1M", "FPT=A", "FPO=1A", "ACT_EST_MAPPING=PRECISE", "FS=MRC", "CURRENCY=USD", "XLFILL=b")</f>
        <v>-223.54166666666669</v>
      </c>
      <c r="J307" s="9">
        <f>_xll.BQL("ULCC US Equity", "CB_CF_GAIN_LOSS_DISP_BUSINESS_SUBSIDIARIES/1M", "FPT=A", "FPO=0A", "ACT_EST_MAPPING=PRECISE", "FS=MRC", "CURRENCY=USD", "XLFILL=b")</f>
        <v>-147</v>
      </c>
      <c r="K307" s="9">
        <f>_xll.BQL("ULCC US Equity", "CB_CF_GAIN_LOSS_DISP_BUSINESS_SUBSIDIARIES/1M", "FPT=A", "FPO=-1A", "ACT_EST_MAPPING=PRECISE", "FS=MRC", "CURRENCY=USD", "XLFILL=b")</f>
        <v>-87</v>
      </c>
      <c r="L307" s="9">
        <f>_xll.BQL("ULCC US Equity", "CB_CF_GAIN_LOSS_DISP_BUSINESS_SUBSIDIARIES/1M", "FPT=A", "FPO=-2A", "ACT_EST_MAPPING=PRECISE", "FS=MRC", "CURRENCY=USD", "XLFILL=b")</f>
        <v>-60</v>
      </c>
      <c r="M307" s="9">
        <f>_xll.BQL("ULCC US Equity", "CB_CF_GAIN_LOSS_DISP_BUSINESS_SUBSIDIARIES/1M", "FPT=A", "FPO=-3A", "ACT_EST_MAPPING=PRECISE", "FS=MRC", "CURRENCY=USD", "XLFILL=b")</f>
        <v>-48</v>
      </c>
      <c r="N307" s="9">
        <f>_xll.BQL("ULCC US Equity", "CB_CF_GAIN_LOSS_DISP_BUSINESS_SUBSIDIARIES/1M", "FPT=A", "FPO=-4A", "ACT_EST_MAPPING=PRECISE", "FS=MRC", "CURRENCY=USD", "XLFILL=b")</f>
        <v>-107</v>
      </c>
    </row>
    <row r="308" spans="1:14" x14ac:dyDescent="0.2">
      <c r="A308" s="8" t="s">
        <v>28</v>
      </c>
      <c r="B308" s="4" t="s">
        <v>317</v>
      </c>
      <c r="C308" s="4" t="s">
        <v>318</v>
      </c>
      <c r="D308" s="4"/>
      <c r="E308" s="9" t="str">
        <f>_xll.BQL("ULCC US Equity", "FA_GROWTH(CB_CF_GAIN_LOSS_DISP_BUSINESS_SUBSIDIARIES, YOY)", "FPT=A", "FPO=5A", "ACT_EST_MAPPING=PRECISE", "FS=MRC", "CURRENCY=USD", "XLFILL=b")</f>
        <v/>
      </c>
      <c r="F308" s="9" t="str">
        <f>_xll.BQL("ULCC US Equity", "FA_GROWTH(CB_CF_GAIN_LOSS_DISP_BUSINESS_SUBSIDIARIES, YOY)", "FPT=A", "FPO=4A", "ACT_EST_MAPPING=PRECISE", "FS=MRC", "CURRENCY=USD", "XLFILL=b")</f>
        <v/>
      </c>
      <c r="G308" s="9">
        <f>_xll.BQL("ULCC US Equity", "FA_GROWTH(CB_CF_GAIN_LOSS_DISP_BUSINESS_SUBSIDIARIES, YOY)", "FPT=A", "FPO=3A", "ACT_EST_MAPPING=PRECISE", "FS=MRC", "CURRENCY=USD", "XLFILL=b")</f>
        <v>-12.25</v>
      </c>
      <c r="H308" s="9">
        <f>_xll.BQL("ULCC US Equity", "FA_GROWTH(CB_CF_GAIN_LOSS_DISP_BUSINESS_SUBSIDIARIES, YOY)", "FPT=A", "FPO=2A", "ACT_EST_MAPPING=PRECISE", "FS=MRC", "CURRENCY=USD", "XLFILL=b")</f>
        <v>10.53122087604847</v>
      </c>
      <c r="I308" s="9">
        <f>_xll.BQL("ULCC US Equity", "FA_GROWTH(CB_CF_GAIN_LOSS_DISP_BUSINESS_SUBSIDIARIES, YOY)", "FPT=A", "FPO=1A", "ACT_EST_MAPPING=PRECISE", "FS=MRC", "CURRENCY=USD", "XLFILL=b")</f>
        <v>-52.069160997732439</v>
      </c>
      <c r="J308" s="9">
        <f>_xll.BQL("ULCC US Equity", "FA_GROWTH(CB_CF_GAIN_LOSS_DISP_BUSINESS_SUBSIDIARIES, YOY)", "FPT=A", "FPO=0A", "ACT_EST_MAPPING=PRECISE", "FS=MRC", "CURRENCY=USD", "XLFILL=b")</f>
        <v>-68.965517241379317</v>
      </c>
      <c r="K308" s="9">
        <f>_xll.BQL("ULCC US Equity", "FA_GROWTH(CB_CF_GAIN_LOSS_DISP_BUSINESS_SUBSIDIARIES, YOY)", "FPT=A", "FPO=-1A", "ACT_EST_MAPPING=PRECISE", "FS=MRC", "CURRENCY=USD", "XLFILL=b")</f>
        <v>-45</v>
      </c>
      <c r="L308" s="9">
        <f>_xll.BQL("ULCC US Equity", "FA_GROWTH(CB_CF_GAIN_LOSS_DISP_BUSINESS_SUBSIDIARIES, YOY)", "FPT=A", "FPO=-2A", "ACT_EST_MAPPING=PRECISE", "FS=MRC", "CURRENCY=USD", "XLFILL=b")</f>
        <v>-25</v>
      </c>
      <c r="M308" s="9">
        <f>_xll.BQL("ULCC US Equity", "FA_GROWTH(CB_CF_GAIN_LOSS_DISP_BUSINESS_SUBSIDIARIES, YOY)", "FPT=A", "FPO=-3A", "ACT_EST_MAPPING=PRECISE", "FS=MRC", "CURRENCY=USD", "XLFILL=b")</f>
        <v>55.140186915887853</v>
      </c>
      <c r="N308" s="9">
        <f>_xll.BQL("ULCC US Equity", "FA_GROWTH(CB_CF_GAIN_LOSS_DISP_BUSINESS_SUBSIDIARIES, YOY)", "FPT=A", "FPO=-4A", "ACT_EST_MAPPING=PRECISE", "FS=MRC", "CURRENCY=USD", "XLFILL=b")</f>
        <v>-528</v>
      </c>
    </row>
    <row r="309" spans="1:14" x14ac:dyDescent="0.2">
      <c r="A309" s="8" t="s">
        <v>319</v>
      </c>
      <c r="B309" s="4"/>
      <c r="C309" s="4"/>
      <c r="D309" s="4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1:14" x14ac:dyDescent="0.2">
      <c r="A310" s="8" t="s">
        <v>216</v>
      </c>
      <c r="B310" s="4" t="s">
        <v>320</v>
      </c>
      <c r="C310" s="4"/>
      <c r="D310" s="4"/>
      <c r="E310" s="9" t="str">
        <f>_xll.BQL("ULCC US Equity", "CF_ACCT_RCV_UNBILLED_REV/1M", "FPT=A", "FPO=5A", "ACT_EST_MAPPING=PRECISE", "FS=MRC", "CURRENCY=USD", "XLFILL=b")</f>
        <v/>
      </c>
      <c r="F310" s="9" t="str">
        <f>_xll.BQL("ULCC US Equity", "CF_ACCT_RCV_UNBILLED_REV/1M", "FPT=A", "FPO=4A", "ACT_EST_MAPPING=PRECISE", "FS=MRC", "CURRENCY=USD", "XLFILL=b")</f>
        <v/>
      </c>
      <c r="G310" s="9">
        <f>_xll.BQL("ULCC US Equity", "CF_ACCT_RCV_UNBILLED_REV/1M", "FPT=A", "FPO=3A", "ACT_EST_MAPPING=PRECISE", "FS=MRC", "CURRENCY=USD", "XLFILL=b")</f>
        <v>-13.556804064530091</v>
      </c>
      <c r="H310" s="9">
        <f>_xll.BQL("ULCC US Equity", "CF_ACCT_RCV_UNBILLED_REV/1M", "FPT=A", "FPO=2A", "ACT_EST_MAPPING=PRECISE", "FS=MRC", "CURRENCY=USD", "XLFILL=b")</f>
        <v>-5.9990080254415421</v>
      </c>
      <c r="I310" s="9">
        <f>_xll.BQL("ULCC US Equity", "CF_ACCT_RCV_UNBILLED_REV/1M", "FPT=A", "FPO=1A", "ACT_EST_MAPPING=PRECISE", "FS=MRC", "CURRENCY=USD", "XLFILL=b")</f>
        <v>-6.3090417668528254</v>
      </c>
      <c r="J310" s="9">
        <f>_xll.BQL("ULCC US Equity", "CF_ACCT_RCV_UNBILLED_REV/1M", "FPT=A", "FPO=0A", "ACT_EST_MAPPING=PRECISE", "FS=MRC", "CURRENCY=USD", "XLFILL=b")</f>
        <v>33</v>
      </c>
      <c r="K310" s="9">
        <f>_xll.BQL("ULCC US Equity", "CF_ACCT_RCV_UNBILLED_REV/1M", "FPT=A", "FPO=-1A", "ACT_EST_MAPPING=PRECISE", "FS=MRC", "CURRENCY=USD", "XLFILL=b")</f>
        <v>-28</v>
      </c>
      <c r="L310" s="9">
        <f>_xll.BQL("ULCC US Equity", "CF_ACCT_RCV_UNBILLED_REV/1M", "FPT=A", "FPO=-2A", "ACT_EST_MAPPING=PRECISE", "FS=MRC", "CURRENCY=USD", "XLFILL=b")</f>
        <v>-14</v>
      </c>
      <c r="M310" s="9">
        <f>_xll.BQL("ULCC US Equity", "CF_ACCT_RCV_UNBILLED_REV/1M", "FPT=A", "FPO=-3A", "ACT_EST_MAPPING=PRECISE", "FS=MRC", "CURRENCY=USD", "XLFILL=b")</f>
        <v>61</v>
      </c>
      <c r="N310" s="9">
        <f>_xll.BQL("ULCC US Equity", "CF_ACCT_RCV_UNBILLED_REV/1M", "FPT=A", "FPO=-4A", "ACT_EST_MAPPING=PRECISE", "FS=MRC", "CURRENCY=USD", "XLFILL=b")</f>
        <v>-6</v>
      </c>
    </row>
    <row r="311" spans="1:14" x14ac:dyDescent="0.2">
      <c r="A311" s="8" t="s">
        <v>71</v>
      </c>
      <c r="B311" s="4" t="s">
        <v>320</v>
      </c>
      <c r="C311" s="4"/>
      <c r="D311" s="4"/>
      <c r="E311" s="9" t="str">
        <f>_xll.BQL("ULCC US Equity", "FA_GROWTH(CF_ACCT_RCV_UNBILLED_REV, YOY)", "FPT=A", "FPO=5A", "ACT_EST_MAPPING=PRECISE", "FS=MRC", "CURRENCY=USD", "XLFILL=b")</f>
        <v/>
      </c>
      <c r="F311" s="9" t="str">
        <f>_xll.BQL("ULCC US Equity", "FA_GROWTH(CF_ACCT_RCV_UNBILLED_REV, YOY)", "FPT=A", "FPO=4A", "ACT_EST_MAPPING=PRECISE", "FS=MRC", "CURRENCY=USD", "XLFILL=b")</f>
        <v/>
      </c>
      <c r="G311" s="9">
        <f>_xll.BQL("ULCC US Equity", "FA_GROWTH(CF_ACCT_RCV_UNBILLED_REV, YOY)", "FPT=A", "FPO=3A", "ACT_EST_MAPPING=PRECISE", "FS=MRC", "CURRENCY=USD", "XLFILL=b")</f>
        <v>-125.98409615450176</v>
      </c>
      <c r="H311" s="9">
        <f>_xll.BQL("ULCC US Equity", "FA_GROWTH(CF_ACCT_RCV_UNBILLED_REV, YOY)", "FPT=A", "FPO=2A", "ACT_EST_MAPPING=PRECISE", "FS=MRC", "CURRENCY=USD", "XLFILL=b")</f>
        <v>4.9141177514495764</v>
      </c>
      <c r="I311" s="9">
        <f>_xll.BQL("ULCC US Equity", "FA_GROWTH(CF_ACCT_RCV_UNBILLED_REV, YOY)", "FPT=A", "FPO=1A", "ACT_EST_MAPPING=PRECISE", "FS=MRC", "CURRENCY=USD", "XLFILL=b")</f>
        <v>-119.11830838440251</v>
      </c>
      <c r="J311" s="9">
        <f>_xll.BQL("ULCC US Equity", "FA_GROWTH(CF_ACCT_RCV_UNBILLED_REV, YOY)", "FPT=A", "FPO=0A", "ACT_EST_MAPPING=PRECISE", "FS=MRC", "CURRENCY=USD", "XLFILL=b")</f>
        <v>217.85714285714286</v>
      </c>
      <c r="K311" s="9">
        <f>_xll.BQL("ULCC US Equity", "FA_GROWTH(CF_ACCT_RCV_UNBILLED_REV, YOY)", "FPT=A", "FPO=-1A", "ACT_EST_MAPPING=PRECISE", "FS=MRC", "CURRENCY=USD", "XLFILL=b")</f>
        <v>-100</v>
      </c>
      <c r="L311" s="9">
        <f>_xll.BQL("ULCC US Equity", "FA_GROWTH(CF_ACCT_RCV_UNBILLED_REV, YOY)", "FPT=A", "FPO=-2A", "ACT_EST_MAPPING=PRECISE", "FS=MRC", "CURRENCY=USD", "XLFILL=b")</f>
        <v>-122.95081967213115</v>
      </c>
      <c r="M311" s="9">
        <f>_xll.BQL("ULCC US Equity", "FA_GROWTH(CF_ACCT_RCV_UNBILLED_REV, YOY)", "FPT=A", "FPO=-3A", "ACT_EST_MAPPING=PRECISE", "FS=MRC", "CURRENCY=USD", "XLFILL=b")</f>
        <v>1116.6666666666667</v>
      </c>
      <c r="N311" s="9">
        <f>_xll.BQL("ULCC US Equity", "FA_GROWTH(CF_ACCT_RCV_UNBILLED_REV, YOY)", "FPT=A", "FPO=-4A", "ACT_EST_MAPPING=PRECISE", "FS=MRC", "CURRENCY=USD", "XLFILL=b")</f>
        <v>-121.42857142857143</v>
      </c>
    </row>
    <row r="312" spans="1:14" x14ac:dyDescent="0.2">
      <c r="A312" s="8" t="s">
        <v>251</v>
      </c>
      <c r="B312" s="4" t="s">
        <v>321</v>
      </c>
      <c r="C312" s="4"/>
      <c r="D312" s="4"/>
      <c r="E312" s="9" t="str">
        <f>_xll.BQL("ULCC US Equity", "CF_CHANGE_IN_ACCOUNTS_PAYABLE/1M", "FPT=A", "FPO=5A", "ACT_EST_MAPPING=PRECISE", "FS=MRC", "CURRENCY=USD", "XLFILL=b")</f>
        <v/>
      </c>
      <c r="F312" s="9" t="str">
        <f>_xll.BQL("ULCC US Equity", "CF_CHANGE_IN_ACCOUNTS_PAYABLE/1M", "FPT=A", "FPO=4A", "ACT_EST_MAPPING=PRECISE", "FS=MRC", "CURRENCY=USD", "XLFILL=b")</f>
        <v/>
      </c>
      <c r="G312" s="9">
        <f>_xll.BQL("ULCC US Equity", "CF_CHANGE_IN_ACCOUNTS_PAYABLE/1M", "FPT=A", "FPO=3A", "ACT_EST_MAPPING=PRECISE", "FS=MRC", "CURRENCY=USD", "XLFILL=b")</f>
        <v>11.06653303728833</v>
      </c>
      <c r="H312" s="9">
        <f>_xll.BQL("ULCC US Equity", "CF_CHANGE_IN_ACCOUNTS_PAYABLE/1M", "FPT=A", "FPO=2A", "ACT_EST_MAPPING=PRECISE", "FS=MRC", "CURRENCY=USD", "XLFILL=b")</f>
        <v>7.5146018830732455</v>
      </c>
      <c r="I312" s="9">
        <f>_xll.BQL("ULCC US Equity", "CF_CHANGE_IN_ACCOUNTS_PAYABLE/1M", "FPT=A", "FPO=1A", "ACT_EST_MAPPING=PRECISE", "FS=MRC", "CURRENCY=USD", "XLFILL=b")</f>
        <v>-16.029463747827233</v>
      </c>
      <c r="J312" s="9">
        <f>_xll.BQL("ULCC US Equity", "CF_CHANGE_IN_ACCOUNTS_PAYABLE/1M", "FPT=A", "FPO=0A", "ACT_EST_MAPPING=PRECISE", "FS=MRC", "CURRENCY=USD", "XLFILL=b")</f>
        <v>47</v>
      </c>
      <c r="K312" s="9">
        <f>_xll.BQL("ULCC US Equity", "CF_CHANGE_IN_ACCOUNTS_PAYABLE/1M", "FPT=A", "FPO=-1A", "ACT_EST_MAPPING=PRECISE", "FS=MRC", "CURRENCY=USD", "XLFILL=b")</f>
        <v>-4</v>
      </c>
      <c r="L312" s="9">
        <f>_xll.BQL("ULCC US Equity", "CF_CHANGE_IN_ACCOUNTS_PAYABLE/1M", "FPT=A", "FPO=-2A", "ACT_EST_MAPPING=PRECISE", "FS=MRC", "CURRENCY=USD", "XLFILL=b")</f>
        <v>13</v>
      </c>
      <c r="M312" s="9">
        <f>_xll.BQL("ULCC US Equity", "CF_CHANGE_IN_ACCOUNTS_PAYABLE/1M", "FPT=A", "FPO=-3A", "ACT_EST_MAPPING=PRECISE", "FS=MRC", "CURRENCY=USD", "XLFILL=b")</f>
        <v>0</v>
      </c>
      <c r="N312" s="9">
        <f>_xll.BQL("ULCC US Equity", "CF_CHANGE_IN_ACCOUNTS_PAYABLE/1M", "FPT=A", "FPO=-4A", "ACT_EST_MAPPING=PRECISE", "FS=MRC", "CURRENCY=USD", "XLFILL=b")</f>
        <v>24</v>
      </c>
    </row>
    <row r="313" spans="1:14" x14ac:dyDescent="0.2">
      <c r="A313" s="8" t="s">
        <v>71</v>
      </c>
      <c r="B313" s="4" t="s">
        <v>321</v>
      </c>
      <c r="C313" s="4"/>
      <c r="D313" s="4"/>
      <c r="E313" s="9" t="str">
        <f>_xll.BQL("ULCC US Equity", "FA_GROWTH(CF_CHANGE_IN_ACCOUNTS_PAYABLE, YOY)", "FPT=A", "FPO=5A", "ACT_EST_MAPPING=PRECISE", "FS=MRC", "CURRENCY=USD", "XLFILL=b")</f>
        <v/>
      </c>
      <c r="F313" s="9" t="str">
        <f>_xll.BQL("ULCC US Equity", "FA_GROWTH(CF_CHANGE_IN_ACCOUNTS_PAYABLE, YOY)", "FPT=A", "FPO=4A", "ACT_EST_MAPPING=PRECISE", "FS=MRC", "CURRENCY=USD", "XLFILL=b")</f>
        <v/>
      </c>
      <c r="G313" s="9">
        <f>_xll.BQL("ULCC US Equity", "FA_GROWTH(CF_CHANGE_IN_ACCOUNTS_PAYABLE, YOY)", "FPT=A", "FPO=3A", "ACT_EST_MAPPING=PRECISE", "FS=MRC", "CURRENCY=USD", "XLFILL=b")</f>
        <v>47.267056984294328</v>
      </c>
      <c r="H313" s="9">
        <f>_xll.BQL("ULCC US Equity", "FA_GROWTH(CF_CHANGE_IN_ACCOUNTS_PAYABLE, YOY)", "FPT=A", "FPO=2A", "ACT_EST_MAPPING=PRECISE", "FS=MRC", "CURRENCY=USD", "XLFILL=b")</f>
        <v>146.87993311124859</v>
      </c>
      <c r="I313" s="9">
        <f>_xll.BQL("ULCC US Equity", "FA_GROWTH(CF_CHANGE_IN_ACCOUNTS_PAYABLE, YOY)", "FPT=A", "FPO=1A", "ACT_EST_MAPPING=PRECISE", "FS=MRC", "CURRENCY=USD", "XLFILL=b")</f>
        <v>-134.10524201665368</v>
      </c>
      <c r="J313" s="9">
        <f>_xll.BQL("ULCC US Equity", "FA_GROWTH(CF_CHANGE_IN_ACCOUNTS_PAYABLE, YOY)", "FPT=A", "FPO=0A", "ACT_EST_MAPPING=PRECISE", "FS=MRC", "CURRENCY=USD", "XLFILL=b")</f>
        <v>1275</v>
      </c>
      <c r="K313" s="9">
        <f>_xll.BQL("ULCC US Equity", "FA_GROWTH(CF_CHANGE_IN_ACCOUNTS_PAYABLE, YOY)", "FPT=A", "FPO=-1A", "ACT_EST_MAPPING=PRECISE", "FS=MRC", "CURRENCY=USD", "XLFILL=b")</f>
        <v>-130.76923076923077</v>
      </c>
      <c r="L313" s="9" t="str">
        <f>_xll.BQL("ULCC US Equity", "FA_GROWTH(CF_CHANGE_IN_ACCOUNTS_PAYABLE, YOY)", "FPT=A", "FPO=-2A", "ACT_EST_MAPPING=PRECISE", "FS=MRC", "CURRENCY=USD", "XLFILL=b")</f>
        <v/>
      </c>
      <c r="M313" s="9">
        <f>_xll.BQL("ULCC US Equity", "FA_GROWTH(CF_CHANGE_IN_ACCOUNTS_PAYABLE, YOY)", "FPT=A", "FPO=-3A", "ACT_EST_MAPPING=PRECISE", "FS=MRC", "CURRENCY=USD", "XLFILL=b")</f>
        <v>-100</v>
      </c>
      <c r="N313" s="9">
        <f>_xll.BQL("ULCC US Equity", "FA_GROWTH(CF_CHANGE_IN_ACCOUNTS_PAYABLE, YOY)", "FPT=A", "FPO=-4A", "ACT_EST_MAPPING=PRECISE", "FS=MRC", "CURRENCY=USD", "XLFILL=b")</f>
        <v>442.85714285714283</v>
      </c>
    </row>
    <row r="314" spans="1:14" x14ac:dyDescent="0.2">
      <c r="A314" s="8" t="s">
        <v>235</v>
      </c>
      <c r="B314" s="4" t="s">
        <v>322</v>
      </c>
      <c r="C314" s="4"/>
      <c r="D314" s="4"/>
      <c r="E314" s="9" t="str">
        <f>_xll.BQL("ULCC US Equity", "CB_CF_CHANGE_IN_DEPOSITS_ADVANCES/1M", "FPT=A", "FPO=5A", "ACT_EST_MAPPING=PRECISE", "FS=MRC", "CURRENCY=USD", "XLFILL=b")</f>
        <v/>
      </c>
      <c r="F314" s="9" t="str">
        <f>_xll.BQL("ULCC US Equity", "CB_CF_CHANGE_IN_DEPOSITS_ADVANCES/1M", "FPT=A", "FPO=4A", "ACT_EST_MAPPING=PRECISE", "FS=MRC", "CURRENCY=USD", "XLFILL=b")</f>
        <v/>
      </c>
      <c r="G314" s="9">
        <f>_xll.BQL("ULCC US Equity", "CB_CF_CHANGE_IN_DEPOSITS_ADVANCES/1M", "FPT=A", "FPO=3A", "ACT_EST_MAPPING=PRECISE", "FS=MRC", "CURRENCY=USD", "XLFILL=b")</f>
        <v>-16</v>
      </c>
      <c r="H314" s="9">
        <f>_xll.BQL("ULCC US Equity", "CB_CF_CHANGE_IN_DEPOSITS_ADVANCES/1M", "FPT=A", "FPO=2A", "ACT_EST_MAPPING=PRECISE", "FS=MRC", "CURRENCY=USD", "XLFILL=b")</f>
        <v>-16</v>
      </c>
      <c r="I314" s="9">
        <f>_xll.BQL("ULCC US Equity", "CB_CF_CHANGE_IN_DEPOSITS_ADVANCES/1M", "FPT=A", "FPO=1A", "ACT_EST_MAPPING=PRECISE", "FS=MRC", "CURRENCY=USD", "XLFILL=b")</f>
        <v>79.333333333333329</v>
      </c>
      <c r="J314" s="9">
        <f>_xll.BQL("ULCC US Equity", "CB_CF_CHANGE_IN_DEPOSITS_ADVANCES/1M", "FPT=A", "FPO=0A", "ACT_EST_MAPPING=PRECISE", "FS=MRC", "CURRENCY=USD", "XLFILL=b")</f>
        <v>-16</v>
      </c>
      <c r="K314" s="9">
        <f>_xll.BQL("ULCC US Equity", "CB_CF_CHANGE_IN_DEPOSITS_ADVANCES/1M", "FPT=A", "FPO=-1A", "ACT_EST_MAPPING=PRECISE", "FS=MRC", "CURRENCY=USD", "XLFILL=b")</f>
        <v>-18</v>
      </c>
      <c r="L314" s="9">
        <f>_xll.BQL("ULCC US Equity", "CB_CF_CHANGE_IN_DEPOSITS_ADVANCES/1M", "FPT=A", "FPO=-2A", "ACT_EST_MAPPING=PRECISE", "FS=MRC", "CURRENCY=USD", "XLFILL=b")</f>
        <v>-20</v>
      </c>
      <c r="M314" s="9">
        <f>_xll.BQL("ULCC US Equity", "CB_CF_CHANGE_IN_DEPOSITS_ADVANCES/1M", "FPT=A", "FPO=-3A", "ACT_EST_MAPPING=PRECISE", "FS=MRC", "CURRENCY=USD", "XLFILL=b")</f>
        <v>-15</v>
      </c>
      <c r="N314" s="9">
        <f>_xll.BQL("ULCC US Equity", "CB_CF_CHANGE_IN_DEPOSITS_ADVANCES/1M", "FPT=A", "FPO=-4A", "ACT_EST_MAPPING=PRECISE", "FS=MRC", "CURRENCY=USD", "XLFILL=b")</f>
        <v>-18</v>
      </c>
    </row>
    <row r="315" spans="1:14" x14ac:dyDescent="0.2">
      <c r="A315" s="8" t="s">
        <v>71</v>
      </c>
      <c r="B315" s="4" t="s">
        <v>322</v>
      </c>
      <c r="C315" s="4"/>
      <c r="D315" s="4"/>
      <c r="E315" s="9" t="str">
        <f>_xll.BQL("ULCC US Equity", "FA_GROWTH(CB_CF_CHANGE_IN_DEPOSITS_ADVANCES, YOY)", "FPT=A", "FPO=5A", "ACT_EST_MAPPING=PRECISE", "FS=MRC", "CURRENCY=USD", "XLFILL=b")</f>
        <v/>
      </c>
      <c r="F315" s="9" t="str">
        <f>_xll.BQL("ULCC US Equity", "FA_GROWTH(CB_CF_CHANGE_IN_DEPOSITS_ADVANCES, YOY)", "FPT=A", "FPO=4A", "ACT_EST_MAPPING=PRECISE", "FS=MRC", "CURRENCY=USD", "XLFILL=b")</f>
        <v/>
      </c>
      <c r="G315" s="9">
        <f>_xll.BQL("ULCC US Equity", "FA_GROWTH(CB_CF_CHANGE_IN_DEPOSITS_ADVANCES, YOY)", "FPT=A", "FPO=3A", "ACT_EST_MAPPING=PRECISE", "FS=MRC", "CURRENCY=USD", "XLFILL=b")</f>
        <v>0</v>
      </c>
      <c r="H315" s="9">
        <f>_xll.BQL("ULCC US Equity", "FA_GROWTH(CB_CF_CHANGE_IN_DEPOSITS_ADVANCES, YOY)", "FPT=A", "FPO=2A", "ACT_EST_MAPPING=PRECISE", "FS=MRC", "CURRENCY=USD", "XLFILL=b")</f>
        <v>-120.16806722689074</v>
      </c>
      <c r="I315" s="9">
        <f>_xll.BQL("ULCC US Equity", "FA_GROWTH(CB_CF_CHANGE_IN_DEPOSITS_ADVANCES, YOY)", "FPT=A", "FPO=1A", "ACT_EST_MAPPING=PRECISE", "FS=MRC", "CURRENCY=USD", "XLFILL=b")</f>
        <v>595.83333333333326</v>
      </c>
      <c r="J315" s="9">
        <f>_xll.BQL("ULCC US Equity", "FA_GROWTH(CB_CF_CHANGE_IN_DEPOSITS_ADVANCES, YOY)", "FPT=A", "FPO=0A", "ACT_EST_MAPPING=PRECISE", "FS=MRC", "CURRENCY=USD", "XLFILL=b")</f>
        <v>11.111111111111111</v>
      </c>
      <c r="K315" s="9">
        <f>_xll.BQL("ULCC US Equity", "FA_GROWTH(CB_CF_CHANGE_IN_DEPOSITS_ADVANCES, YOY)", "FPT=A", "FPO=-1A", "ACT_EST_MAPPING=PRECISE", "FS=MRC", "CURRENCY=USD", "XLFILL=b")</f>
        <v>10</v>
      </c>
      <c r="L315" s="9">
        <f>_xll.BQL("ULCC US Equity", "FA_GROWTH(CB_CF_CHANGE_IN_DEPOSITS_ADVANCES, YOY)", "FPT=A", "FPO=-2A", "ACT_EST_MAPPING=PRECISE", "FS=MRC", "CURRENCY=USD", "XLFILL=b")</f>
        <v>-33.333333333333336</v>
      </c>
      <c r="M315" s="9">
        <f>_xll.BQL("ULCC US Equity", "FA_GROWTH(CB_CF_CHANGE_IN_DEPOSITS_ADVANCES, YOY)", "FPT=A", "FPO=-3A", "ACT_EST_MAPPING=PRECISE", "FS=MRC", "CURRENCY=USD", "XLFILL=b")</f>
        <v>16.666666666666668</v>
      </c>
      <c r="N315" s="9">
        <f>_xll.BQL("ULCC US Equity", "FA_GROWTH(CB_CF_CHANGE_IN_DEPOSITS_ADVANCES, YOY)", "FPT=A", "FPO=-4A", "ACT_EST_MAPPING=PRECISE", "FS=MRC", "CURRENCY=USD", "XLFILL=b")</f>
        <v>35.714285714285715</v>
      </c>
    </row>
    <row r="316" spans="1:14" x14ac:dyDescent="0.2">
      <c r="A316" s="8" t="s">
        <v>323</v>
      </c>
      <c r="B316" s="4" t="s">
        <v>324</v>
      </c>
      <c r="C316" s="4"/>
      <c r="D316" s="4"/>
      <c r="E316" s="9" t="str">
        <f>_xll.BQL("ULCC US Equity", "CB_CF_CHG_IN_NONCURR_ASSETS/1M", "FPT=A", "FPO=5A", "ACT_EST_MAPPING=PRECISE", "FS=MRC", "CURRENCY=USD", "XLFILL=b")</f>
        <v/>
      </c>
      <c r="F316" s="9" t="str">
        <f>_xll.BQL("ULCC US Equity", "CB_CF_CHG_IN_NONCURR_ASSETS/1M", "FPT=A", "FPO=4A", "ACT_EST_MAPPING=PRECISE", "FS=MRC", "CURRENCY=USD", "XLFILL=b")</f>
        <v/>
      </c>
      <c r="G316" s="9">
        <f>_xll.BQL("ULCC US Equity", "CB_CF_CHG_IN_NONCURR_ASSETS/1M", "FPT=A", "FPO=3A", "ACT_EST_MAPPING=PRECISE", "FS=MRC", "CURRENCY=USD", "XLFILL=b")</f>
        <v>-7.6098787902809022</v>
      </c>
      <c r="H316" s="9">
        <f>_xll.BQL("ULCC US Equity", "CB_CF_CHG_IN_NONCURR_ASSETS/1M", "FPT=A", "FPO=2A", "ACT_EST_MAPPING=PRECISE", "FS=MRC", "CURRENCY=USD", "XLFILL=b")</f>
        <v>-32.457254552734497</v>
      </c>
      <c r="I316" s="9">
        <f>_xll.BQL("ULCC US Equity", "CB_CF_CHG_IN_NONCURR_ASSETS/1M", "FPT=A", "FPO=1A", "ACT_EST_MAPPING=PRECISE", "FS=MRC", "CURRENCY=USD", "XLFILL=b")</f>
        <v>-62.591901346059998</v>
      </c>
      <c r="J316" s="9">
        <f>_xll.BQL("ULCC US Equity", "CB_CF_CHG_IN_NONCURR_ASSETS/1M", "FPT=A", "FPO=0A", "ACT_EST_MAPPING=PRECISE", "FS=MRC", "CURRENCY=USD", "XLFILL=b")</f>
        <v>-163</v>
      </c>
      <c r="K316" s="9">
        <f>_xll.BQL("ULCC US Equity", "CB_CF_CHG_IN_NONCURR_ASSETS/1M", "FPT=A", "FPO=-1A", "ACT_EST_MAPPING=PRECISE", "FS=MRC", "CURRENCY=USD", "XLFILL=b")</f>
        <v>-94</v>
      </c>
      <c r="L316" s="9">
        <f>_xll.BQL("ULCC US Equity", "CB_CF_CHG_IN_NONCURR_ASSETS/1M", "FPT=A", "FPO=-2A", "ACT_EST_MAPPING=PRECISE", "FS=MRC", "CURRENCY=USD", "XLFILL=b")</f>
        <v>-37</v>
      </c>
      <c r="M316" s="9">
        <f>_xll.BQL("ULCC US Equity", "CB_CF_CHG_IN_NONCURR_ASSETS/1M", "FPT=A", "FPO=-3A", "ACT_EST_MAPPING=PRECISE", "FS=MRC", "CURRENCY=USD", "XLFILL=b")</f>
        <v>-32</v>
      </c>
      <c r="N316" s="9">
        <f>_xll.BQL("ULCC US Equity", "CB_CF_CHG_IN_NONCURR_ASSETS/1M", "FPT=A", "FPO=-4A", "ACT_EST_MAPPING=PRECISE", "FS=MRC", "CURRENCY=USD", "XLFILL=b")</f>
        <v>-29</v>
      </c>
    </row>
    <row r="317" spans="1:14" x14ac:dyDescent="0.2">
      <c r="A317" s="8" t="s">
        <v>71</v>
      </c>
      <c r="B317" s="4" t="s">
        <v>324</v>
      </c>
      <c r="C317" s="4"/>
      <c r="D317" s="4"/>
      <c r="E317" s="9" t="str">
        <f>_xll.BQL("ULCC US Equity", "FA_GROWTH(CB_CF_CHG_IN_NONCURR_ASSETS, YOY)", "FPT=A", "FPO=5A", "ACT_EST_MAPPING=PRECISE", "FS=MRC", "CURRENCY=USD", "XLFILL=b")</f>
        <v/>
      </c>
      <c r="F317" s="9" t="str">
        <f>_xll.BQL("ULCC US Equity", "FA_GROWTH(CB_CF_CHG_IN_NONCURR_ASSETS, YOY)", "FPT=A", "FPO=4A", "ACT_EST_MAPPING=PRECISE", "FS=MRC", "CURRENCY=USD", "XLFILL=b")</f>
        <v/>
      </c>
      <c r="G317" s="9">
        <f>_xll.BQL("ULCC US Equity", "FA_GROWTH(CB_CF_CHG_IN_NONCURR_ASSETS, YOY)", "FPT=A", "FPO=3A", "ACT_EST_MAPPING=PRECISE", "FS=MRC", "CURRENCY=USD", "XLFILL=b")</f>
        <v>76.554151313331673</v>
      </c>
      <c r="H317" s="9">
        <f>_xll.BQL("ULCC US Equity", "FA_GROWTH(CB_CF_CHG_IN_NONCURR_ASSETS, YOY)", "FPT=A", "FPO=2A", "ACT_EST_MAPPING=PRECISE", "FS=MRC", "CURRENCY=USD", "XLFILL=b")</f>
        <v>48.144641950906959</v>
      </c>
      <c r="I317" s="9">
        <f>_xll.BQL("ULCC US Equity", "FA_GROWTH(CB_CF_CHG_IN_NONCURR_ASSETS, YOY)", "FPT=A", "FPO=1A", "ACT_EST_MAPPING=PRECISE", "FS=MRC", "CURRENCY=USD", "XLFILL=b")</f>
        <v>61.600060523889567</v>
      </c>
      <c r="J317" s="9">
        <f>_xll.BQL("ULCC US Equity", "FA_GROWTH(CB_CF_CHG_IN_NONCURR_ASSETS, YOY)", "FPT=A", "FPO=0A", "ACT_EST_MAPPING=PRECISE", "FS=MRC", "CURRENCY=USD", "XLFILL=b")</f>
        <v>-73.40425531914893</v>
      </c>
      <c r="K317" s="9">
        <f>_xll.BQL("ULCC US Equity", "FA_GROWTH(CB_CF_CHG_IN_NONCURR_ASSETS, YOY)", "FPT=A", "FPO=-1A", "ACT_EST_MAPPING=PRECISE", "FS=MRC", "CURRENCY=USD", "XLFILL=b")</f>
        <v>-154.05405405405406</v>
      </c>
      <c r="L317" s="9">
        <f>_xll.BQL("ULCC US Equity", "FA_GROWTH(CB_CF_CHG_IN_NONCURR_ASSETS, YOY)", "FPT=A", "FPO=-2A", "ACT_EST_MAPPING=PRECISE", "FS=MRC", "CURRENCY=USD", "XLFILL=b")</f>
        <v>-15.625</v>
      </c>
      <c r="M317" s="9">
        <f>_xll.BQL("ULCC US Equity", "FA_GROWTH(CB_CF_CHG_IN_NONCURR_ASSETS, YOY)", "FPT=A", "FPO=-3A", "ACT_EST_MAPPING=PRECISE", "FS=MRC", "CURRENCY=USD", "XLFILL=b")</f>
        <v>-10.344827586206897</v>
      </c>
      <c r="N317" s="9">
        <f>_xll.BQL("ULCC US Equity", "FA_GROWTH(CB_CF_CHG_IN_NONCURR_ASSETS, YOY)", "FPT=A", "FPO=-4A", "ACT_EST_MAPPING=PRECISE", "FS=MRC", "CURRENCY=USD", "XLFILL=b")</f>
        <v>42</v>
      </c>
    </row>
    <row r="318" spans="1:14" x14ac:dyDescent="0.2">
      <c r="A318" s="8" t="s">
        <v>222</v>
      </c>
      <c r="B318" s="4" t="s">
        <v>325</v>
      </c>
      <c r="C318" s="4"/>
      <c r="D318" s="4"/>
      <c r="E318" s="9" t="str">
        <f>_xll.BQL("ULCC US Equity", "CF_CHANGE_IN_OTHR_CURRNT_ASSTS/1M", "FPT=A", "FPO=5A", "ACT_EST_MAPPING=PRECISE", "FS=MRC", "CURRENCY=USD", "XLFILL=b")</f>
        <v/>
      </c>
      <c r="F318" s="9" t="str">
        <f>_xll.BQL("ULCC US Equity", "CF_CHANGE_IN_OTHR_CURRNT_ASSTS/1M", "FPT=A", "FPO=4A", "ACT_EST_MAPPING=PRECISE", "FS=MRC", "CURRENCY=USD", "XLFILL=b")</f>
        <v/>
      </c>
      <c r="G318" s="9">
        <f>_xll.BQL("ULCC US Equity", "CF_CHANGE_IN_OTHR_CURRNT_ASSTS/1M", "FPT=A", "FPO=3A", "ACT_EST_MAPPING=PRECISE", "FS=MRC", "CURRENCY=USD", "XLFILL=b")</f>
        <v>-15.681349016912774</v>
      </c>
      <c r="H318" s="9">
        <f>_xll.BQL("ULCC US Equity", "CF_CHANGE_IN_OTHR_CURRNT_ASSTS/1M", "FPT=A", "FPO=2A", "ACT_EST_MAPPING=PRECISE", "FS=MRC", "CURRENCY=USD", "XLFILL=b")</f>
        <v>-27.807087761270918</v>
      </c>
      <c r="I318" s="9">
        <f>_xll.BQL("ULCC US Equity", "CF_CHANGE_IN_OTHR_CURRNT_ASSTS/1M", "FPT=A", "FPO=1A", "ACT_EST_MAPPING=PRECISE", "FS=MRC", "CURRENCY=USD", "XLFILL=b")</f>
        <v>0.42965673438282903</v>
      </c>
      <c r="J318" s="9">
        <f>_xll.BQL("ULCC US Equity", "CF_CHANGE_IN_OTHR_CURRNT_ASSTS/1M", "FPT=A", "FPO=0A", "ACT_EST_MAPPING=PRECISE", "FS=MRC", "CURRENCY=USD", "XLFILL=b")</f>
        <v>-7</v>
      </c>
      <c r="K318" s="9">
        <f>_xll.BQL("ULCC US Equity", "CF_CHANGE_IN_OTHR_CURRNT_ASSTS/1M", "FPT=A", "FPO=-1A", "ACT_EST_MAPPING=PRECISE", "FS=MRC", "CURRENCY=USD", "XLFILL=b")</f>
        <v>-40</v>
      </c>
      <c r="L318" s="9">
        <f>_xll.BQL("ULCC US Equity", "CF_CHANGE_IN_OTHR_CURRNT_ASSTS/1M", "FPT=A", "FPO=-2A", "ACT_EST_MAPPING=PRECISE", "FS=MRC", "CURRENCY=USD", "XLFILL=b")</f>
        <v>174</v>
      </c>
      <c r="M318" s="9">
        <f>_xll.BQL("ULCC US Equity", "CF_CHANGE_IN_OTHR_CURRNT_ASSTS/1M", "FPT=A", "FPO=-3A", "ACT_EST_MAPPING=PRECISE", "FS=MRC", "CURRENCY=USD", "XLFILL=b")</f>
        <v>-166</v>
      </c>
      <c r="N318" s="9">
        <f>_xll.BQL("ULCC US Equity", "CF_CHANGE_IN_OTHR_CURRNT_ASSTS/1M", "FPT=A", "FPO=-4A", "ACT_EST_MAPPING=PRECISE", "FS=MRC", "CURRENCY=USD", "XLFILL=b")</f>
        <v>-18</v>
      </c>
    </row>
    <row r="319" spans="1:14" x14ac:dyDescent="0.2">
      <c r="A319" s="8" t="s">
        <v>71</v>
      </c>
      <c r="B319" s="4" t="s">
        <v>325</v>
      </c>
      <c r="C319" s="4"/>
      <c r="D319" s="4"/>
      <c r="E319" s="9" t="str">
        <f>_xll.BQL("ULCC US Equity", "FA_GROWTH(CF_CHANGE_IN_OTHR_CURRNT_ASSTS, YOY)", "FPT=A", "FPO=5A", "ACT_EST_MAPPING=PRECISE", "FS=MRC", "CURRENCY=USD", "XLFILL=b")</f>
        <v/>
      </c>
      <c r="F319" s="9" t="str">
        <f>_xll.BQL("ULCC US Equity", "FA_GROWTH(CF_CHANGE_IN_OTHR_CURRNT_ASSTS, YOY)", "FPT=A", "FPO=4A", "ACT_EST_MAPPING=PRECISE", "FS=MRC", "CURRENCY=USD", "XLFILL=b")</f>
        <v/>
      </c>
      <c r="G319" s="9">
        <f>_xll.BQL("ULCC US Equity", "FA_GROWTH(CF_CHANGE_IN_OTHR_CURRNT_ASSTS, YOY)", "FPT=A", "FPO=3A", "ACT_EST_MAPPING=PRECISE", "FS=MRC", "CURRENCY=USD", "XLFILL=b")</f>
        <v>43.606647515410074</v>
      </c>
      <c r="H319" s="9">
        <f>_xll.BQL("ULCC US Equity", "FA_GROWTH(CF_CHANGE_IN_OTHR_CURRNT_ASSTS, YOY)", "FPT=A", "FPO=2A", "ACT_EST_MAPPING=PRECISE", "FS=MRC", "CURRENCY=USD", "XLFILL=b")</f>
        <v>-6571.9310873164359</v>
      </c>
      <c r="I319" s="9">
        <f>_xll.BQL("ULCC US Equity", "FA_GROWTH(CF_CHANGE_IN_OTHR_CURRNT_ASSTS, YOY)", "FPT=A", "FPO=1A", "ACT_EST_MAPPING=PRECISE", "FS=MRC", "CURRENCY=USD", "XLFILL=b")</f>
        <v>106.13795334832612</v>
      </c>
      <c r="J319" s="9">
        <f>_xll.BQL("ULCC US Equity", "FA_GROWTH(CF_CHANGE_IN_OTHR_CURRNT_ASSTS, YOY)", "FPT=A", "FPO=0A", "ACT_EST_MAPPING=PRECISE", "FS=MRC", "CURRENCY=USD", "XLFILL=b")</f>
        <v>82.5</v>
      </c>
      <c r="K319" s="9">
        <f>_xll.BQL("ULCC US Equity", "FA_GROWTH(CF_CHANGE_IN_OTHR_CURRNT_ASSTS, YOY)", "FPT=A", "FPO=-1A", "ACT_EST_MAPPING=PRECISE", "FS=MRC", "CURRENCY=USD", "XLFILL=b")</f>
        <v>-122.98850574712644</v>
      </c>
      <c r="L319" s="9">
        <f>_xll.BQL("ULCC US Equity", "FA_GROWTH(CF_CHANGE_IN_OTHR_CURRNT_ASSTS, YOY)", "FPT=A", "FPO=-2A", "ACT_EST_MAPPING=PRECISE", "FS=MRC", "CURRENCY=USD", "XLFILL=b")</f>
        <v>204.81927710843374</v>
      </c>
      <c r="M319" s="9">
        <f>_xll.BQL("ULCC US Equity", "FA_GROWTH(CF_CHANGE_IN_OTHR_CURRNT_ASSTS, YOY)", "FPT=A", "FPO=-3A", "ACT_EST_MAPPING=PRECISE", "FS=MRC", "CURRENCY=USD", "XLFILL=b")</f>
        <v>-822.22222222222217</v>
      </c>
      <c r="N319" s="9">
        <f>_xll.BQL("ULCC US Equity", "FA_GROWTH(CF_CHANGE_IN_OTHR_CURRNT_ASSTS, YOY)", "FPT=A", "FPO=-4A", "ACT_EST_MAPPING=PRECISE", "FS=MRC", "CURRENCY=USD", "XLFILL=b")</f>
        <v>-162.06896551724137</v>
      </c>
    </row>
    <row r="320" spans="1:14" x14ac:dyDescent="0.2">
      <c r="A320" s="8" t="s">
        <v>326</v>
      </c>
      <c r="B320" s="4" t="s">
        <v>327</v>
      </c>
      <c r="C320" s="4"/>
      <c r="D320" s="4"/>
      <c r="E320" s="9" t="str">
        <f>_xll.BQL("ULCC US Equity", "CF_CHANGE_IN_OTHR_LIBLTS/1M", "FPT=A", "FPO=5A", "ACT_EST_MAPPING=PRECISE", "FS=MRC", "CURRENCY=USD", "XLFILL=b")</f>
        <v/>
      </c>
      <c r="F320" s="9" t="str">
        <f>_xll.BQL("ULCC US Equity", "CF_CHANGE_IN_OTHR_LIBLTS/1M", "FPT=A", "FPO=4A", "ACT_EST_MAPPING=PRECISE", "FS=MRC", "CURRENCY=USD", "XLFILL=b")</f>
        <v/>
      </c>
      <c r="G320" s="9">
        <f>_xll.BQL("ULCC US Equity", "CF_CHANGE_IN_OTHR_LIBLTS/1M", "FPT=A", "FPO=3A", "ACT_EST_MAPPING=PRECISE", "FS=MRC", "CURRENCY=USD", "XLFILL=b")</f>
        <v>40.989311276051694</v>
      </c>
      <c r="H320" s="9">
        <f>_xll.BQL("ULCC US Equity", "CF_CHANGE_IN_OTHR_LIBLTS/1M", "FPT=A", "FPO=2A", "ACT_EST_MAPPING=PRECISE", "FS=MRC", "CURRENCY=USD", "XLFILL=b")</f>
        <v>31.457077704897078</v>
      </c>
      <c r="I320" s="9">
        <f>_xll.BQL("ULCC US Equity", "CF_CHANGE_IN_OTHR_LIBLTS/1M", "FPT=A", "FPO=1A", "ACT_EST_MAPPING=PRECISE", "FS=MRC", "CURRENCY=USD", "XLFILL=b")</f>
        <v>39.081261630026226</v>
      </c>
      <c r="J320" s="9">
        <f>_xll.BQL("ULCC US Equity", "CF_CHANGE_IN_OTHR_LIBLTS/1M", "FPT=A", "FPO=0A", "ACT_EST_MAPPING=PRECISE", "FS=MRC", "CURRENCY=USD", "XLFILL=b")</f>
        <v>-45</v>
      </c>
      <c r="K320" s="9">
        <f>_xll.BQL("ULCC US Equity", "CF_CHANGE_IN_OTHR_LIBLTS/1M", "FPT=A", "FPO=-1A", "ACT_EST_MAPPING=PRECISE", "FS=MRC", "CURRENCY=USD", "XLFILL=b")</f>
        <v>130</v>
      </c>
      <c r="L320" s="9">
        <f>_xll.BQL("ULCC US Equity", "CF_CHANGE_IN_OTHR_LIBLTS/1M", "FPT=A", "FPO=-2A", "ACT_EST_MAPPING=PRECISE", "FS=MRC", "CURRENCY=USD", "XLFILL=b")</f>
        <v>84</v>
      </c>
      <c r="M320" s="9">
        <f>_xll.BQL("ULCC US Equity", "CF_CHANGE_IN_OTHR_LIBLTS/1M", "FPT=A", "FPO=-3A", "ACT_EST_MAPPING=PRECISE", "FS=MRC", "CURRENCY=USD", "XLFILL=b")</f>
        <v>-67</v>
      </c>
      <c r="N320" s="9">
        <f>_xll.BQL("ULCC US Equity", "CF_CHANGE_IN_OTHR_LIBLTS/1M", "FPT=A", "FPO=-4A", "ACT_EST_MAPPING=PRECISE", "FS=MRC", "CURRENCY=USD", "XLFILL=b")</f>
        <v>-67</v>
      </c>
    </row>
    <row r="321" spans="1:14" x14ac:dyDescent="0.2">
      <c r="A321" s="8" t="s">
        <v>71</v>
      </c>
      <c r="B321" s="4" t="s">
        <v>327</v>
      </c>
      <c r="C321" s="4"/>
      <c r="D321" s="4"/>
      <c r="E321" s="9" t="str">
        <f>_xll.BQL("ULCC US Equity", "FA_GROWTH(CF_CHANGE_IN_OTHR_LIBLTS, YOY)", "FPT=A", "FPO=5A", "ACT_EST_MAPPING=PRECISE", "FS=MRC", "CURRENCY=USD", "XLFILL=b")</f>
        <v/>
      </c>
      <c r="F321" s="9" t="str">
        <f>_xll.BQL("ULCC US Equity", "FA_GROWTH(CF_CHANGE_IN_OTHR_LIBLTS, YOY)", "FPT=A", "FPO=4A", "ACT_EST_MAPPING=PRECISE", "FS=MRC", "CURRENCY=USD", "XLFILL=b")</f>
        <v/>
      </c>
      <c r="G321" s="9">
        <f>_xll.BQL("ULCC US Equity", "FA_GROWTH(CF_CHANGE_IN_OTHR_LIBLTS, YOY)", "FPT=A", "FPO=3A", "ACT_EST_MAPPING=PRECISE", "FS=MRC", "CURRENCY=USD", "XLFILL=b")</f>
        <v>30.302349317307016</v>
      </c>
      <c r="H321" s="9">
        <f>_xll.BQL("ULCC US Equity", "FA_GROWTH(CF_CHANGE_IN_OTHR_LIBLTS, YOY)", "FPT=A", "FPO=2A", "ACT_EST_MAPPING=PRECISE", "FS=MRC", "CURRENCY=USD", "XLFILL=b")</f>
        <v>-19.508540940427249</v>
      </c>
      <c r="I321" s="9">
        <f>_xll.BQL("ULCC US Equity", "FA_GROWTH(CF_CHANGE_IN_OTHR_LIBLTS, YOY)", "FPT=A", "FPO=1A", "ACT_EST_MAPPING=PRECISE", "FS=MRC", "CURRENCY=USD", "XLFILL=b")</f>
        <v>186.84724806672494</v>
      </c>
      <c r="J321" s="9">
        <f>_xll.BQL("ULCC US Equity", "FA_GROWTH(CF_CHANGE_IN_OTHR_LIBLTS, YOY)", "FPT=A", "FPO=0A", "ACT_EST_MAPPING=PRECISE", "FS=MRC", "CURRENCY=USD", "XLFILL=b")</f>
        <v>-134.61538461538461</v>
      </c>
      <c r="K321" s="9">
        <f>_xll.BQL("ULCC US Equity", "FA_GROWTH(CF_CHANGE_IN_OTHR_LIBLTS, YOY)", "FPT=A", "FPO=-1A", "ACT_EST_MAPPING=PRECISE", "FS=MRC", "CURRENCY=USD", "XLFILL=b")</f>
        <v>54.761904761904759</v>
      </c>
      <c r="L321" s="9">
        <f>_xll.BQL("ULCC US Equity", "FA_GROWTH(CF_CHANGE_IN_OTHR_LIBLTS, YOY)", "FPT=A", "FPO=-2A", "ACT_EST_MAPPING=PRECISE", "FS=MRC", "CURRENCY=USD", "XLFILL=b")</f>
        <v>225.37313432835822</v>
      </c>
      <c r="M321" s="9">
        <f>_xll.BQL("ULCC US Equity", "FA_GROWTH(CF_CHANGE_IN_OTHR_LIBLTS, YOY)", "FPT=A", "FPO=-3A", "ACT_EST_MAPPING=PRECISE", "FS=MRC", "CURRENCY=USD", "XLFILL=b")</f>
        <v>0</v>
      </c>
      <c r="N321" s="9">
        <f>_xll.BQL("ULCC US Equity", "FA_GROWTH(CF_CHANGE_IN_OTHR_LIBLTS, YOY)", "FPT=A", "FPO=-4A", "ACT_EST_MAPPING=PRECISE", "FS=MRC", "CURRENCY=USD", "XLFILL=b")</f>
        <v>-180.72289156626505</v>
      </c>
    </row>
    <row r="322" spans="1:14" x14ac:dyDescent="0.2">
      <c r="A322" s="8" t="s">
        <v>328</v>
      </c>
      <c r="B322" s="4" t="s">
        <v>329</v>
      </c>
      <c r="C322" s="4" t="s">
        <v>330</v>
      </c>
      <c r="D322" s="4"/>
      <c r="E322" s="9">
        <f>_xll.BQL("ULCC US Equity", "CB_CF_NET_CASH_OPERATING_ACT/1M", "FPT=A", "FPO=5A", "ACT_EST_MAPPING=PRECISE", "FS=MRC", "CURRENCY=USD", "XLFILL=b")</f>
        <v>482.69631284496847</v>
      </c>
      <c r="F322" s="9">
        <f>_xll.BQL("ULCC US Equity", "CB_CF_NET_CASH_OPERATING_ACT/1M", "FPT=A", "FPO=4A", "ACT_EST_MAPPING=PRECISE", "FS=MRC", "CURRENCY=USD", "XLFILL=b")</f>
        <v>378.94915835233115</v>
      </c>
      <c r="G322" s="9">
        <f>_xll.BQL("ULCC US Equity", "CB_CF_NET_CASH_OPERATING_ACT/1M", "FPT=A", "FPO=3A", "ACT_EST_MAPPING=PRECISE", "FS=MRC", "CURRENCY=USD", "XLFILL=b")</f>
        <v>220.04087485129386</v>
      </c>
      <c r="H322" s="9">
        <f>_xll.BQL("ULCC US Equity", "CB_CF_NET_CASH_OPERATING_ACT/1M", "FPT=A", "FPO=2A", "ACT_EST_MAPPING=PRECISE", "FS=MRC", "CURRENCY=USD", "XLFILL=b")</f>
        <v>84.051146708172524</v>
      </c>
      <c r="I322" s="9">
        <f>_xll.BQL("ULCC US Equity", "CB_CF_NET_CASH_OPERATING_ACT/1M", "FPT=A", "FPO=1A", "ACT_EST_MAPPING=PRECISE", "FS=MRC", "CURRENCY=USD", "XLFILL=b")</f>
        <v>-0.27262046409186719</v>
      </c>
      <c r="J322" s="9">
        <f>_xll.BQL("ULCC US Equity", "CB_CF_NET_CASH_OPERATING_ACT/1M", "FPT=A", "FPO=0A", "ACT_EST_MAPPING=PRECISE", "FS=MRC", "CURRENCY=USD", "XLFILL=b")</f>
        <v>-261</v>
      </c>
      <c r="K322" s="9">
        <f>_xll.BQL("ULCC US Equity", "CB_CF_NET_CASH_OPERATING_ACT/1M", "FPT=A", "FPO=-1A", "ACT_EST_MAPPING=PRECISE", "FS=MRC", "CURRENCY=USD", "XLFILL=b")</f>
        <v>-78</v>
      </c>
      <c r="L322" s="9">
        <f>_xll.BQL("ULCC US Equity", "CB_CF_NET_CASH_OPERATING_ACT/1M", "FPT=A", "FPO=-2A", "ACT_EST_MAPPING=PRECISE", "FS=MRC", "CURRENCY=USD", "XLFILL=b")</f>
        <v>216</v>
      </c>
      <c r="M322" s="9">
        <f>_xll.BQL("ULCC US Equity", "CB_CF_NET_CASH_OPERATING_ACT/1M", "FPT=A", "FPO=-3A", "ACT_EST_MAPPING=PRECISE", "FS=MRC", "CURRENCY=USD", "XLFILL=b")</f>
        <v>-557</v>
      </c>
      <c r="N322" s="9">
        <f>_xll.BQL("ULCC US Equity", "CB_CF_NET_CASH_OPERATING_ACT/1M", "FPT=A", "FPO=-4A", "ACT_EST_MAPPING=PRECISE", "FS=MRC", "CURRENCY=USD", "XLFILL=b")</f>
        <v>171</v>
      </c>
    </row>
    <row r="323" spans="1:14" x14ac:dyDescent="0.2">
      <c r="A323" s="8" t="s">
        <v>12</v>
      </c>
      <c r="B323" s="4" t="s">
        <v>329</v>
      </c>
      <c r="C323" s="4" t="s">
        <v>330</v>
      </c>
      <c r="D323" s="4"/>
      <c r="E323" s="9">
        <f>_xll.BQL("ULCC US Equity", "FA_GROWTH(CB_CF_NET_CASH_OPERATING_ACT, YOY)", "FPT=A", "FPO=5A", "ACT_EST_MAPPING=PRECISE", "FS=MRC", "CURRENCY=USD", "XLFILL=b")</f>
        <v>27.377592008313037</v>
      </c>
      <c r="F323" s="9">
        <f>_xll.BQL("ULCC US Equity", "FA_GROWTH(CB_CF_NET_CASH_OPERATING_ACT, YOY)", "FPT=A", "FPO=4A", "ACT_EST_MAPPING=PRECISE", "FS=MRC", "CURRENCY=USD", "XLFILL=b")</f>
        <v>72.217620298242011</v>
      </c>
      <c r="G323" s="9">
        <f>_xll.BQL("ULCC US Equity", "FA_GROWTH(CB_CF_NET_CASH_OPERATING_ACT, YOY)", "FPT=A", "FPO=3A", "ACT_EST_MAPPING=PRECISE", "FS=MRC", "CURRENCY=USD", "XLFILL=b")</f>
        <v>161.7940188434082</v>
      </c>
      <c r="H323" s="9">
        <f>_xll.BQL("ULCC US Equity", "FA_GROWTH(CB_CF_NET_CASH_OPERATING_ACT, YOY)", "FPT=A", "FPO=2A", "ACT_EST_MAPPING=PRECISE", "FS=MRC", "CURRENCY=USD", "XLFILL=b")</f>
        <v>30930.828121490213</v>
      </c>
      <c r="I323" s="9">
        <f>_xll.BQL("ULCC US Equity", "FA_GROWTH(CB_CF_NET_CASH_OPERATING_ACT, YOY)", "FPT=A", "FPO=1A", "ACT_EST_MAPPING=PRECISE", "FS=MRC", "CURRENCY=USD", "XLFILL=b")</f>
        <v>99.895547714907323</v>
      </c>
      <c r="J323" s="9">
        <f>_xll.BQL("ULCC US Equity", "FA_GROWTH(CB_CF_NET_CASH_OPERATING_ACT, YOY)", "FPT=A", "FPO=0A", "ACT_EST_MAPPING=PRECISE", "FS=MRC", "CURRENCY=USD", "XLFILL=b")</f>
        <v>-234.61538461538461</v>
      </c>
      <c r="K323" s="9">
        <f>_xll.BQL("ULCC US Equity", "FA_GROWTH(CB_CF_NET_CASH_OPERATING_ACT, YOY)", "FPT=A", "FPO=-1A", "ACT_EST_MAPPING=PRECISE", "FS=MRC", "CURRENCY=USD", "XLFILL=b")</f>
        <v>-136.11111111111111</v>
      </c>
      <c r="L323" s="9">
        <f>_xll.BQL("ULCC US Equity", "FA_GROWTH(CB_CF_NET_CASH_OPERATING_ACT, YOY)", "FPT=A", "FPO=-2A", "ACT_EST_MAPPING=PRECISE", "FS=MRC", "CURRENCY=USD", "XLFILL=b")</f>
        <v>138.77917414721725</v>
      </c>
      <c r="M323" s="9">
        <f>_xll.BQL("ULCC US Equity", "FA_GROWTH(CB_CF_NET_CASH_OPERATING_ACT, YOY)", "FPT=A", "FPO=-3A", "ACT_EST_MAPPING=PRECISE", "FS=MRC", "CURRENCY=USD", "XLFILL=b")</f>
        <v>-425.73099415204678</v>
      </c>
      <c r="N323" s="9">
        <f>_xll.BQL("ULCC US Equity", "FA_GROWTH(CB_CF_NET_CASH_OPERATING_ACT, YOY)", "FPT=A", "FPO=-4A", "ACT_EST_MAPPING=PRECISE", "FS=MRC", "CURRENCY=USD", "XLFILL=b")</f>
        <v>-9.5238095238095237</v>
      </c>
    </row>
    <row r="324" spans="1:14" x14ac:dyDescent="0.2">
      <c r="A324" s="8" t="s">
        <v>16</v>
      </c>
      <c r="B324" s="4"/>
      <c r="C324" s="4"/>
      <c r="D324" s="4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x14ac:dyDescent="0.2">
      <c r="A325" s="8" t="s">
        <v>331</v>
      </c>
      <c r="B325" s="4"/>
      <c r="C325" s="4" t="s">
        <v>332</v>
      </c>
      <c r="D325" s="4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1:14" x14ac:dyDescent="0.2">
      <c r="A326" s="8" t="s">
        <v>333</v>
      </c>
      <c r="B326" s="4" t="s">
        <v>334</v>
      </c>
      <c r="C326" s="4" t="s">
        <v>335</v>
      </c>
      <c r="D326" s="4"/>
      <c r="E326" s="9">
        <f>_xll.BQL("ULCC US Equity", "HEADLINE_CAPEX/1M", "FPT=A", "FPO=5A", "ACT_EST_MAPPING=PRECISE", "FS=MRC", "CURRENCY=USD", "XLFILL=b")</f>
        <v>-800</v>
      </c>
      <c r="F326" s="9">
        <f>_xll.BQL("ULCC US Equity", "HEADLINE_CAPEX/1M", "FPT=A", "FPO=4A", "ACT_EST_MAPPING=PRECISE", "FS=MRC", "CURRENCY=USD", "XLFILL=b")</f>
        <v>-800</v>
      </c>
      <c r="G326" s="9">
        <f>_xll.BQL("ULCC US Equity", "HEADLINE_CAPEX/1M", "FPT=A", "FPO=3A", "ACT_EST_MAPPING=PRECISE", "FS=MRC", "CURRENCY=USD", "XLFILL=b")</f>
        <v>-274.7</v>
      </c>
      <c r="H326" s="9">
        <f>_xll.BQL("ULCC US Equity", "HEADLINE_CAPEX/1M", "FPT=A", "FPO=2A", "ACT_EST_MAPPING=PRECISE", "FS=MRC", "CURRENCY=USD", "XLFILL=b")</f>
        <v>-173.35555555555555</v>
      </c>
      <c r="I326" s="9">
        <f>_xll.BQL("ULCC US Equity", "HEADLINE_CAPEX/1M", "FPT=A", "FPO=1A", "ACT_EST_MAPPING=PRECISE", "FS=MRC", "CURRENCY=USD", "XLFILL=b")</f>
        <v>-132.33333333333331</v>
      </c>
      <c r="J326" s="9">
        <f>_xll.BQL("ULCC US Equity", "HEADLINE_CAPEX/1M", "FPT=A", "FPO=0A", "ACT_EST_MAPPING=PRECISE", "FS=MRC", "CURRENCY=USD", "XLFILL=b")</f>
        <v>-51</v>
      </c>
      <c r="K326" s="9">
        <f>_xll.BQL("ULCC US Equity", "HEADLINE_CAPEX/1M", "FPT=A", "FPO=-1A", "ACT_EST_MAPPING=PRECISE", "FS=MRC", "CURRENCY=USD", "XLFILL=b")</f>
        <v>-41</v>
      </c>
      <c r="L326" s="9">
        <f>_xll.BQL("ULCC US Equity", "HEADLINE_CAPEX/1M", "FPT=A", "FPO=-2A", "ACT_EST_MAPPING=PRECISE", "FS=MRC", "CURRENCY=USD", "XLFILL=b")</f>
        <v>-27</v>
      </c>
      <c r="M326" s="9">
        <f>_xll.BQL("ULCC US Equity", "HEADLINE_CAPEX/1M", "FPT=A", "FPO=-3A", "ACT_EST_MAPPING=PRECISE", "FS=MRC", "CURRENCY=USD", "XLFILL=b")</f>
        <v>-16</v>
      </c>
      <c r="N326" s="9">
        <f>_xll.BQL("ULCC US Equity", "HEADLINE_CAPEX/1M", "FPT=A", "FPO=-4A", "ACT_EST_MAPPING=PRECISE", "FS=MRC", "CURRENCY=USD", "XLFILL=b")</f>
        <v>-45</v>
      </c>
    </row>
    <row r="327" spans="1:14" x14ac:dyDescent="0.2">
      <c r="A327" s="8" t="s">
        <v>28</v>
      </c>
      <c r="B327" s="4" t="s">
        <v>334</v>
      </c>
      <c r="C327" s="4" t="s">
        <v>335</v>
      </c>
      <c r="D327" s="4"/>
      <c r="E327" s="9">
        <f>_xll.BQL("ULCC US Equity", "FA_GROWTH(HEADLINE_CAPEX, YOY)", "FPT=A", "FPO=5A", "ACT_EST_MAPPING=PRECISE", "FS=MRC", "CURRENCY=USD", "XLFILL=b")</f>
        <v>0</v>
      </c>
      <c r="F327" s="9">
        <f>_xll.BQL("ULCC US Equity", "FA_GROWTH(HEADLINE_CAPEX, YOY)", "FPT=A", "FPO=4A", "ACT_EST_MAPPING=PRECISE", "FS=MRC", "CURRENCY=USD", "XLFILL=b")</f>
        <v>-191.22679286494358</v>
      </c>
      <c r="G327" s="9">
        <f>_xll.BQL("ULCC US Equity", "FA_GROWTH(HEADLINE_CAPEX, YOY)", "FPT=A", "FPO=3A", "ACT_EST_MAPPING=PRECISE", "FS=MRC", "CURRENCY=USD", "XLFILL=b")</f>
        <v>-58.460453787975901</v>
      </c>
      <c r="H327" s="9">
        <f>_xll.BQL("ULCC US Equity", "FA_GROWTH(HEADLINE_CAPEX, YOY)", "FPT=A", "FPO=2A", "ACT_EST_MAPPING=PRECISE", "FS=MRC", "CURRENCY=USD", "XLFILL=b")</f>
        <v>-30.999160369437451</v>
      </c>
      <c r="I327" s="9">
        <f>_xll.BQL("ULCC US Equity", "FA_GROWTH(HEADLINE_CAPEX, YOY)", "FPT=A", "FPO=1A", "ACT_EST_MAPPING=PRECISE", "FS=MRC", "CURRENCY=USD", "XLFILL=b")</f>
        <v>-159.47712418300654</v>
      </c>
      <c r="J327" s="9">
        <f>_xll.BQL("ULCC US Equity", "FA_GROWTH(HEADLINE_CAPEX, YOY)", "FPT=A", "FPO=0A", "ACT_EST_MAPPING=PRECISE", "FS=MRC", "CURRENCY=USD", "XLFILL=b")</f>
        <v>-24.390243902439025</v>
      </c>
      <c r="K327" s="9">
        <f>_xll.BQL("ULCC US Equity", "FA_GROWTH(HEADLINE_CAPEX, YOY)", "FPT=A", "FPO=-1A", "ACT_EST_MAPPING=PRECISE", "FS=MRC", "CURRENCY=USD", "XLFILL=b")</f>
        <v>-51.851851851851855</v>
      </c>
      <c r="L327" s="9">
        <f>_xll.BQL("ULCC US Equity", "FA_GROWTH(HEADLINE_CAPEX, YOY)", "FPT=A", "FPO=-2A", "ACT_EST_MAPPING=PRECISE", "FS=MRC", "CURRENCY=USD", "XLFILL=b")</f>
        <v>-68.75</v>
      </c>
      <c r="M327" s="9">
        <f>_xll.BQL("ULCC US Equity", "FA_GROWTH(HEADLINE_CAPEX, YOY)", "FPT=A", "FPO=-3A", "ACT_EST_MAPPING=PRECISE", "FS=MRC", "CURRENCY=USD", "XLFILL=b")</f>
        <v>64.444444444444443</v>
      </c>
      <c r="N327" s="9">
        <f>_xll.BQL("ULCC US Equity", "FA_GROWTH(HEADLINE_CAPEX, YOY)", "FPT=A", "FPO=-4A", "ACT_EST_MAPPING=PRECISE", "FS=MRC", "CURRENCY=USD", "XLFILL=b")</f>
        <v>-87.5</v>
      </c>
    </row>
    <row r="328" spans="1:14" x14ac:dyDescent="0.2">
      <c r="A328" s="8" t="s">
        <v>73</v>
      </c>
      <c r="B328" s="4" t="s">
        <v>336</v>
      </c>
      <c r="C328" s="4" t="s">
        <v>337</v>
      </c>
      <c r="D328" s="4"/>
      <c r="E328" s="9" t="str">
        <f>_xll.BQL("ULCC US Equity", "CB_CF_OTHER_FINANCING_ACTIVITIES/1M", "FPT=A", "FPO=5A", "ACT_EST_MAPPING=PRECISE", "FS=MRC", "CURRENCY=USD", "XLFILL=b")</f>
        <v/>
      </c>
      <c r="F328" s="9" t="str">
        <f>_xll.BQL("ULCC US Equity", "CB_CF_OTHER_FINANCING_ACTIVITIES/1M", "FPT=A", "FPO=4A", "ACT_EST_MAPPING=PRECISE", "FS=MRC", "CURRENCY=USD", "XLFILL=b")</f>
        <v/>
      </c>
      <c r="G328" s="9" t="str">
        <f>_xll.BQL("ULCC US Equity", "CB_CF_OTHER_FINANCING_ACTIVITIES/1M", "FPT=A", "FPO=3A", "ACT_EST_MAPPING=PRECISE", "FS=MRC", "CURRENCY=USD", "XLFILL=b")</f>
        <v/>
      </c>
      <c r="H328" s="9">
        <f>_xll.BQL("ULCC US Equity", "CB_CF_OTHER_FINANCING_ACTIVITIES/1M", "FPT=A", "FPO=2A", "ACT_EST_MAPPING=PRECISE", "FS=MRC", "CURRENCY=USD", "XLFILL=b")</f>
        <v>-1</v>
      </c>
      <c r="I328" s="9">
        <f>_xll.BQL("ULCC US Equity", "CB_CF_OTHER_FINANCING_ACTIVITIES/1M", "FPT=A", "FPO=1A", "ACT_EST_MAPPING=PRECISE", "FS=MRC", "CURRENCY=USD", "XLFILL=b")</f>
        <v>37.094507438751656</v>
      </c>
      <c r="J328" s="9">
        <f>_xll.BQL("ULCC US Equity", "CB_CF_OTHER_FINANCING_ACTIVITIES/1M", "FPT=A", "FPO=0A", "ACT_EST_MAPPING=PRECISE", "FS=MRC", "CURRENCY=USD", "XLFILL=b")</f>
        <v>0</v>
      </c>
      <c r="K328" s="9">
        <f>_xll.BQL("ULCC US Equity", "CB_CF_OTHER_FINANCING_ACTIVITIES/1M", "FPT=A", "FPO=-1A", "ACT_EST_MAPPING=PRECISE", "FS=MRC", "CURRENCY=USD", "XLFILL=b")</f>
        <v>0</v>
      </c>
      <c r="L328" s="9">
        <f>_xll.BQL("ULCC US Equity", "CB_CF_OTHER_FINANCING_ACTIVITIES/1M", "FPT=A", "FPO=-2A", "ACT_EST_MAPPING=PRECISE", "FS=MRC", "CURRENCY=USD", "XLFILL=b")</f>
        <v>266</v>
      </c>
      <c r="M328" s="9">
        <f>_xll.BQL("ULCC US Equity", "CB_CF_OTHER_FINANCING_ACTIVITIES/1M", "FPT=A", "FPO=-3A", "ACT_EST_MAPPING=PRECISE", "FS=MRC", "CURRENCY=USD", "XLFILL=b")</f>
        <v>-1</v>
      </c>
      <c r="N328" s="9">
        <f>_xll.BQL("ULCC US Equity", "CB_CF_OTHER_FINANCING_ACTIVITIES/1M", "FPT=A", "FPO=-4A", "ACT_EST_MAPPING=PRECISE", "FS=MRC", "CURRENCY=USD", "XLFILL=b")</f>
        <v>-3</v>
      </c>
    </row>
    <row r="329" spans="1:14" x14ac:dyDescent="0.2">
      <c r="A329" s="8" t="s">
        <v>28</v>
      </c>
      <c r="B329" s="4" t="s">
        <v>336</v>
      </c>
      <c r="C329" s="4" t="s">
        <v>337</v>
      </c>
      <c r="D329" s="4"/>
      <c r="E329" s="9" t="str">
        <f>_xll.BQL("ULCC US Equity", "FA_GROWTH(CB_CF_OTHER_FINANCING_ACTIVITIES, YOY)", "FPT=A", "FPO=5A", "ACT_EST_MAPPING=PRECISE", "FS=MRC", "CURRENCY=USD", "XLFILL=b")</f>
        <v/>
      </c>
      <c r="F329" s="9" t="str">
        <f>_xll.BQL("ULCC US Equity", "FA_GROWTH(CB_CF_OTHER_FINANCING_ACTIVITIES, YOY)", "FPT=A", "FPO=4A", "ACT_EST_MAPPING=PRECISE", "FS=MRC", "CURRENCY=USD", "XLFILL=b")</f>
        <v/>
      </c>
      <c r="G329" s="9" t="str">
        <f>_xll.BQL("ULCC US Equity", "FA_GROWTH(CB_CF_OTHER_FINANCING_ACTIVITIES, YOY)", "FPT=A", "FPO=3A", "ACT_EST_MAPPING=PRECISE", "FS=MRC", "CURRENCY=USD", "XLFILL=b")</f>
        <v/>
      </c>
      <c r="H329" s="9">
        <f>_xll.BQL("ULCC US Equity", "FA_GROWTH(CB_CF_OTHER_FINANCING_ACTIVITIES, YOY)", "FPT=A", "FPO=2A", "ACT_EST_MAPPING=PRECISE", "FS=MRC", "CURRENCY=USD", "XLFILL=b")</f>
        <v>-102.69581689863693</v>
      </c>
      <c r="I329" s="9" t="str">
        <f>_xll.BQL("ULCC US Equity", "FA_GROWTH(CB_CF_OTHER_FINANCING_ACTIVITIES, YOY)", "FPT=A", "FPO=1A", "ACT_EST_MAPPING=PRECISE", "FS=MRC", "CURRENCY=USD", "XLFILL=b")</f>
        <v/>
      </c>
      <c r="J329" s="9" t="str">
        <f>_xll.BQL("ULCC US Equity", "FA_GROWTH(CB_CF_OTHER_FINANCING_ACTIVITIES, YOY)", "FPT=A", "FPO=0A", "ACT_EST_MAPPING=PRECISE", "FS=MRC", "CURRENCY=USD", "XLFILL=b")</f>
        <v/>
      </c>
      <c r="K329" s="9">
        <f>_xll.BQL("ULCC US Equity", "FA_GROWTH(CB_CF_OTHER_FINANCING_ACTIVITIES, YOY)", "FPT=A", "FPO=-1A", "ACT_EST_MAPPING=PRECISE", "FS=MRC", "CURRENCY=USD", "XLFILL=b")</f>
        <v>-100</v>
      </c>
      <c r="L329" s="9">
        <f>_xll.BQL("ULCC US Equity", "FA_GROWTH(CB_CF_OTHER_FINANCING_ACTIVITIES, YOY)", "FPT=A", "FPO=-2A", "ACT_EST_MAPPING=PRECISE", "FS=MRC", "CURRENCY=USD", "XLFILL=b")</f>
        <v>26700</v>
      </c>
      <c r="M329" s="9">
        <f>_xll.BQL("ULCC US Equity", "FA_GROWTH(CB_CF_OTHER_FINANCING_ACTIVITIES, YOY)", "FPT=A", "FPO=-3A", "ACT_EST_MAPPING=PRECISE", "FS=MRC", "CURRENCY=USD", "XLFILL=b")</f>
        <v>66.666666666666671</v>
      </c>
      <c r="N329" s="9" t="str">
        <f>_xll.BQL("ULCC US Equity", "FA_GROWTH(CB_CF_OTHER_FINANCING_ACTIVITIES, YOY)", "FPT=A", "FPO=-4A", "ACT_EST_MAPPING=PRECISE", "FS=MRC", "CURRENCY=USD", "XLFILL=b")</f>
        <v/>
      </c>
    </row>
    <row r="330" spans="1:14" x14ac:dyDescent="0.2">
      <c r="A330" s="8" t="s">
        <v>338</v>
      </c>
      <c r="B330" s="4" t="s">
        <v>339</v>
      </c>
      <c r="C330" s="4" t="s">
        <v>340</v>
      </c>
      <c r="D330" s="4"/>
      <c r="E330" s="9">
        <f>_xll.BQL("ULCC US Equity", "CB_CF_NET_CASH_INVESTING_ACT/1M", "FPT=A", "FPO=5A", "ACT_EST_MAPPING=PRECISE", "FS=MRC", "CURRENCY=USD", "XLFILL=b")</f>
        <v>-860</v>
      </c>
      <c r="F330" s="9">
        <f>_xll.BQL("ULCC US Equity", "CB_CF_NET_CASH_INVESTING_ACT/1M", "FPT=A", "FPO=4A", "ACT_EST_MAPPING=PRECISE", "FS=MRC", "CURRENCY=USD", "XLFILL=b")</f>
        <v>-860</v>
      </c>
      <c r="G330" s="9">
        <f>_xll.BQL("ULCC US Equity", "CB_CF_NET_CASH_INVESTING_ACT/1M", "FPT=A", "FPO=3A", "ACT_EST_MAPPING=PRECISE", "FS=MRC", "CURRENCY=USD", "XLFILL=b")</f>
        <v>-400.07175054992206</v>
      </c>
      <c r="H330" s="9">
        <f>_xll.BQL("ULCC US Equity", "CB_CF_NET_CASH_INVESTING_ACT/1M", "FPT=A", "FPO=2A", "ACT_EST_MAPPING=PRECISE", "FS=MRC", "CURRENCY=USD", "XLFILL=b")</f>
        <v>-267.92504316626167</v>
      </c>
      <c r="I330" s="9">
        <f>_xll.BQL("ULCC US Equity", "CB_CF_NET_CASH_INVESTING_ACT/1M", "FPT=A", "FPO=1A", "ACT_EST_MAPPING=PRECISE", "FS=MRC", "CURRENCY=USD", "XLFILL=b")</f>
        <v>-164.8820218431776</v>
      </c>
      <c r="J330" s="9">
        <f>_xll.BQL("ULCC US Equity", "CB_CF_NET_CASH_INVESTING_ACT/1M", "FPT=A", "FPO=0A", "ACT_EST_MAPPING=PRECISE", "FS=MRC", "CURRENCY=USD", "XLFILL=b")</f>
        <v>-90</v>
      </c>
      <c r="K330" s="9">
        <f>_xll.BQL("ULCC US Equity", "CB_CF_NET_CASH_INVESTING_ACT/1M", "FPT=A", "FPO=-1A", "ACT_EST_MAPPING=PRECISE", "FS=MRC", "CURRENCY=USD", "XLFILL=b")</f>
        <v>-154</v>
      </c>
      <c r="L330" s="9">
        <f>_xll.BQL("ULCC US Equity", "CB_CF_NET_CASH_INVESTING_ACT/1M", "FPT=A", "FPO=-2A", "ACT_EST_MAPPING=PRECISE", "FS=MRC", "CURRENCY=USD", "XLFILL=b")</f>
        <v>-67</v>
      </c>
      <c r="M330" s="9">
        <f>_xll.BQL("ULCC US Equity", "CB_CF_NET_CASH_INVESTING_ACT/1M", "FPT=A", "FPO=-3A", "ACT_EST_MAPPING=PRECISE", "FS=MRC", "CURRENCY=USD", "XLFILL=b")</f>
        <v>11</v>
      </c>
      <c r="N330" s="9">
        <f>_xll.BQL("ULCC US Equity", "CB_CF_NET_CASH_INVESTING_ACT/1M", "FPT=A", "FPO=-4A", "ACT_EST_MAPPING=PRECISE", "FS=MRC", "CURRENCY=USD", "XLFILL=b")</f>
        <v>-62</v>
      </c>
    </row>
    <row r="331" spans="1:14" x14ac:dyDescent="0.2">
      <c r="A331" s="8" t="s">
        <v>12</v>
      </c>
      <c r="B331" s="4" t="s">
        <v>339</v>
      </c>
      <c r="C331" s="4" t="s">
        <v>340</v>
      </c>
      <c r="D331" s="4"/>
      <c r="E331" s="9">
        <f>_xll.BQL("ULCC US Equity", "FA_GROWTH(CB_CF_NET_CASH_INVESTING_ACT, YOY)", "FPT=A", "FPO=5A", "ACT_EST_MAPPING=PRECISE", "FS=MRC", "CURRENCY=USD", "XLFILL=b")</f>
        <v>0</v>
      </c>
      <c r="F331" s="9">
        <f>_xll.BQL("ULCC US Equity", "FA_GROWTH(CB_CF_NET_CASH_INVESTING_ACT, YOY)", "FPT=A", "FPO=4A", "ACT_EST_MAPPING=PRECISE", "FS=MRC", "CURRENCY=USD", "XLFILL=b")</f>
        <v>-114.96144099599125</v>
      </c>
      <c r="G331" s="9">
        <f>_xll.BQL("ULCC US Equity", "FA_GROWTH(CB_CF_NET_CASH_INVESTING_ACT, YOY)", "FPT=A", "FPO=3A", "ACT_EST_MAPPING=PRECISE", "FS=MRC", "CURRENCY=USD", "XLFILL=b")</f>
        <v>-49.322267833565803</v>
      </c>
      <c r="H331" s="9">
        <f>_xll.BQL("ULCC US Equity", "FA_GROWTH(CB_CF_NET_CASH_INVESTING_ACT, YOY)", "FPT=A", "FPO=2A", "ACT_EST_MAPPING=PRECISE", "FS=MRC", "CURRENCY=USD", "XLFILL=b")</f>
        <v>-62.495001074823222</v>
      </c>
      <c r="I331" s="9">
        <f>_xll.BQL("ULCC US Equity", "FA_GROWTH(CB_CF_NET_CASH_INVESTING_ACT, YOY)", "FPT=A", "FPO=1A", "ACT_EST_MAPPING=PRECISE", "FS=MRC", "CURRENCY=USD", "XLFILL=b")</f>
        <v>-83.202246492419533</v>
      </c>
      <c r="J331" s="9">
        <f>_xll.BQL("ULCC US Equity", "FA_GROWTH(CB_CF_NET_CASH_INVESTING_ACT, YOY)", "FPT=A", "FPO=0A", "ACT_EST_MAPPING=PRECISE", "FS=MRC", "CURRENCY=USD", "XLFILL=b")</f>
        <v>41.558441558441558</v>
      </c>
      <c r="K331" s="9">
        <f>_xll.BQL("ULCC US Equity", "FA_GROWTH(CB_CF_NET_CASH_INVESTING_ACT, YOY)", "FPT=A", "FPO=-1A", "ACT_EST_MAPPING=PRECISE", "FS=MRC", "CURRENCY=USD", "XLFILL=b")</f>
        <v>-129.85074626865671</v>
      </c>
      <c r="L331" s="9">
        <f>_xll.BQL("ULCC US Equity", "FA_GROWTH(CB_CF_NET_CASH_INVESTING_ACT, YOY)", "FPT=A", "FPO=-2A", "ACT_EST_MAPPING=PRECISE", "FS=MRC", "CURRENCY=USD", "XLFILL=b")</f>
        <v>-709.09090909090912</v>
      </c>
      <c r="M331" s="9">
        <f>_xll.BQL("ULCC US Equity", "FA_GROWTH(CB_CF_NET_CASH_INVESTING_ACT, YOY)", "FPT=A", "FPO=-3A", "ACT_EST_MAPPING=PRECISE", "FS=MRC", "CURRENCY=USD", "XLFILL=b")</f>
        <v>117.74193548387096</v>
      </c>
      <c r="N331" s="9">
        <f>_xll.BQL("ULCC US Equity", "FA_GROWTH(CB_CF_NET_CASH_INVESTING_ACT, YOY)", "FPT=A", "FPO=-4A", "ACT_EST_MAPPING=PRECISE", "FS=MRC", "CURRENCY=USD", "XLFILL=b")</f>
        <v>-5.0847457627118642</v>
      </c>
    </row>
    <row r="332" spans="1:14" x14ac:dyDescent="0.2">
      <c r="A332" s="8" t="s">
        <v>16</v>
      </c>
      <c r="B332" s="4"/>
      <c r="C332" s="4"/>
      <c r="D332" s="4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4" x14ac:dyDescent="0.2">
      <c r="A333" s="8" t="s">
        <v>341</v>
      </c>
      <c r="B333" s="4"/>
      <c r="C333" s="4" t="s">
        <v>342</v>
      </c>
      <c r="D333" s="4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4" x14ac:dyDescent="0.2">
      <c r="A334" s="8" t="s">
        <v>343</v>
      </c>
      <c r="B334" s="4" t="s">
        <v>344</v>
      </c>
      <c r="C334" s="4" t="s">
        <v>345</v>
      </c>
      <c r="D334" s="4"/>
      <c r="E334" s="9" t="str">
        <f>_xll.BQL("ULCC US Equity", "CF_INCR_LT_BORROW/1M", "FPT=A", "FPO=5A", "ACT_EST_MAPPING=PRECISE", "FS=MRC", "CURRENCY=USD", "XLFILL=b")</f>
        <v/>
      </c>
      <c r="F334" s="9" t="str">
        <f>_xll.BQL("ULCC US Equity", "CF_INCR_LT_BORROW/1M", "FPT=A", "FPO=4A", "ACT_EST_MAPPING=PRECISE", "FS=MRC", "CURRENCY=USD", "XLFILL=b")</f>
        <v/>
      </c>
      <c r="G334" s="9" t="str">
        <f>_xll.BQL("ULCC US Equity", "CF_INCR_LT_BORROW/1M", "FPT=A", "FPO=3A", "ACT_EST_MAPPING=PRECISE", "FS=MRC", "CURRENCY=USD", "XLFILL=b")</f>
        <v/>
      </c>
      <c r="H334" s="9" t="str">
        <f>_xll.BQL("ULCC US Equity", "CF_INCR_LT_BORROW/1M", "FPT=A", "FPO=2A", "ACT_EST_MAPPING=PRECISE", "FS=MRC", "CURRENCY=USD", "XLFILL=b")</f>
        <v/>
      </c>
      <c r="I334" s="9" t="str">
        <f>_xll.BQL("ULCC US Equity", "CF_INCR_LT_BORROW/1M", "FPT=A", "FPO=1A", "ACT_EST_MAPPING=PRECISE", "FS=MRC", "CURRENCY=USD", "XLFILL=b")</f>
        <v/>
      </c>
      <c r="J334" s="9">
        <f>_xll.BQL("ULCC US Equity", "CF_INCR_LT_BORROW/1M", "FPT=A", "FPO=0A", "ACT_EST_MAPPING=PRECISE", "FS=MRC", "CURRENCY=USD", "XLFILL=b")</f>
        <v>334</v>
      </c>
      <c r="K334" s="9">
        <f>_xll.BQL("ULCC US Equity", "CF_INCR_LT_BORROW/1M", "FPT=A", "FPO=-1A", "ACT_EST_MAPPING=PRECISE", "FS=MRC", "CURRENCY=USD", "XLFILL=b")</f>
        <v>344</v>
      </c>
      <c r="L334" s="9">
        <f>_xll.BQL("ULCC US Equity", "CF_INCR_LT_BORROW/1M", "FPT=A", "FPO=-2A", "ACT_EST_MAPPING=PRECISE", "FS=MRC", "CURRENCY=USD", "XLFILL=b")</f>
        <v>222</v>
      </c>
      <c r="M334" s="9">
        <f>_xll.BQL("ULCC US Equity", "CF_INCR_LT_BORROW/1M", "FPT=A", "FPO=-3A", "ACT_EST_MAPPING=PRECISE", "FS=MRC", "CURRENCY=USD", "XLFILL=b")</f>
        <v>283</v>
      </c>
      <c r="N334" s="9">
        <f>_xll.BQL("ULCC US Equity", "CF_INCR_LT_BORROW/1M", "FPT=A", "FPO=-4A", "ACT_EST_MAPPING=PRECISE", "FS=MRC", "CURRENCY=USD", "XLFILL=b")</f>
        <v>262</v>
      </c>
    </row>
    <row r="335" spans="1:14" x14ac:dyDescent="0.2">
      <c r="A335" s="8" t="s">
        <v>28</v>
      </c>
      <c r="B335" s="4" t="s">
        <v>344</v>
      </c>
      <c r="C335" s="4" t="s">
        <v>345</v>
      </c>
      <c r="D335" s="4"/>
      <c r="E335" s="9" t="str">
        <f>_xll.BQL("ULCC US Equity", "FA_GROWTH(CF_INCR_LT_BORROW, YOY)", "FPT=A", "FPO=5A", "ACT_EST_MAPPING=PRECISE", "FS=MRC", "CURRENCY=USD", "XLFILL=b")</f>
        <v/>
      </c>
      <c r="F335" s="9" t="str">
        <f>_xll.BQL("ULCC US Equity", "FA_GROWTH(CF_INCR_LT_BORROW, YOY)", "FPT=A", "FPO=4A", "ACT_EST_MAPPING=PRECISE", "FS=MRC", "CURRENCY=USD", "XLFILL=b")</f>
        <v/>
      </c>
      <c r="G335" s="9" t="str">
        <f>_xll.BQL("ULCC US Equity", "FA_GROWTH(CF_INCR_LT_BORROW, YOY)", "FPT=A", "FPO=3A", "ACT_EST_MAPPING=PRECISE", "FS=MRC", "CURRENCY=USD", "XLFILL=b")</f>
        <v/>
      </c>
      <c r="H335" s="9" t="str">
        <f>_xll.BQL("ULCC US Equity", "FA_GROWTH(CF_INCR_LT_BORROW, YOY)", "FPT=A", "FPO=2A", "ACT_EST_MAPPING=PRECISE", "FS=MRC", "CURRENCY=USD", "XLFILL=b")</f>
        <v/>
      </c>
      <c r="I335" s="9" t="str">
        <f>_xll.BQL("ULCC US Equity", "FA_GROWTH(CF_INCR_LT_BORROW, YOY)", "FPT=A", "FPO=1A", "ACT_EST_MAPPING=PRECISE", "FS=MRC", "CURRENCY=USD", "XLFILL=b")</f>
        <v/>
      </c>
      <c r="J335" s="9">
        <f>_xll.BQL("ULCC US Equity", "FA_GROWTH(CF_INCR_LT_BORROW, YOY)", "FPT=A", "FPO=0A", "ACT_EST_MAPPING=PRECISE", "FS=MRC", "CURRENCY=USD", "XLFILL=b")</f>
        <v>-2.9069767441860463</v>
      </c>
      <c r="K335" s="9">
        <f>_xll.BQL("ULCC US Equity", "FA_GROWTH(CF_INCR_LT_BORROW, YOY)", "FPT=A", "FPO=-1A", "ACT_EST_MAPPING=PRECISE", "FS=MRC", "CURRENCY=USD", "XLFILL=b")</f>
        <v>54.954954954954957</v>
      </c>
      <c r="L335" s="9">
        <f>_xll.BQL("ULCC US Equity", "FA_GROWTH(CF_INCR_LT_BORROW, YOY)", "FPT=A", "FPO=-2A", "ACT_EST_MAPPING=PRECISE", "FS=MRC", "CURRENCY=USD", "XLFILL=b")</f>
        <v>-21.554770318021202</v>
      </c>
      <c r="M335" s="9">
        <f>_xll.BQL("ULCC US Equity", "FA_GROWTH(CF_INCR_LT_BORROW, YOY)", "FPT=A", "FPO=-3A", "ACT_EST_MAPPING=PRECISE", "FS=MRC", "CURRENCY=USD", "XLFILL=b")</f>
        <v>8.0152671755725198</v>
      </c>
      <c r="N335" s="9">
        <f>_xll.BQL("ULCC US Equity", "FA_GROWTH(CF_INCR_LT_BORROW, YOY)", "FPT=A", "FPO=-4A", "ACT_EST_MAPPING=PRECISE", "FS=MRC", "CURRENCY=USD", "XLFILL=b")</f>
        <v>-12.080536912751677</v>
      </c>
    </row>
    <row r="336" spans="1:14" x14ac:dyDescent="0.2">
      <c r="A336" s="8" t="s">
        <v>346</v>
      </c>
      <c r="B336" s="4" t="s">
        <v>347</v>
      </c>
      <c r="C336" s="4"/>
      <c r="D336" s="4"/>
      <c r="E336" s="9">
        <f>_xll.BQL("ULCC US Equity", "CB_CF_PURCHASE_OF_OTHER_ASSETS/1M", "FPT=A", "FPO=5A", "ACT_EST_MAPPING=PRECISE", "FS=MRC", "CURRENCY=USD", "XLFILL=b")</f>
        <v>-60</v>
      </c>
      <c r="F336" s="9">
        <f>_xll.BQL("ULCC US Equity", "CB_CF_PURCHASE_OF_OTHER_ASSETS/1M", "FPT=A", "FPO=4A", "ACT_EST_MAPPING=PRECISE", "FS=MRC", "CURRENCY=USD", "XLFILL=b")</f>
        <v>-60</v>
      </c>
      <c r="G336" s="9">
        <f>_xll.BQL("ULCC US Equity", "CB_CF_PURCHASE_OF_OTHER_ASSETS/1M", "FPT=A", "FPO=3A", "ACT_EST_MAPPING=PRECISE", "FS=MRC", "CURRENCY=USD", "XLFILL=b")</f>
        <v>-125.38453041794077</v>
      </c>
      <c r="H336" s="9">
        <f>_xll.BQL("ULCC US Equity", "CB_CF_PURCHASE_OF_OTHER_ASSETS/1M", "FPT=A", "FPO=2A", "ACT_EST_MAPPING=PRECISE", "FS=MRC", "CURRENCY=USD", "XLFILL=b")</f>
        <v>-87.474461377787449</v>
      </c>
      <c r="I336" s="9">
        <f>_xll.BQL("ULCC US Equity", "CB_CF_PURCHASE_OF_OTHER_ASSETS/1M", "FPT=A", "FPO=1A", "ACT_EST_MAPPING=PRECISE", "FS=MRC", "CURRENCY=USD", "XLFILL=b")</f>
        <v>-20.741128185463399</v>
      </c>
      <c r="J336" s="9">
        <f>_xll.BQL("ULCC US Equity", "CB_CF_PURCHASE_OF_OTHER_ASSETS/1M", "FPT=A", "FPO=0A", "ACT_EST_MAPPING=PRECISE", "FS=MRC", "CURRENCY=USD", "XLFILL=b")</f>
        <v>-36</v>
      </c>
      <c r="K336" s="9">
        <f>_xll.BQL("ULCC US Equity", "CB_CF_PURCHASE_OF_OTHER_ASSETS/1M", "FPT=A", "FPO=-1A", "ACT_EST_MAPPING=PRECISE", "FS=MRC", "CURRENCY=USD", "XLFILL=b")</f>
        <v>-111</v>
      </c>
      <c r="L336" s="9">
        <f>_xll.BQL("ULCC US Equity", "CB_CF_PURCHASE_OF_OTHER_ASSETS/1M", "FPT=A", "FPO=-2A", "ACT_EST_MAPPING=PRECISE", "FS=MRC", "CURRENCY=USD", "XLFILL=b")</f>
        <v>-36</v>
      </c>
      <c r="M336" s="9">
        <f>_xll.BQL("ULCC US Equity", "CB_CF_PURCHASE_OF_OTHER_ASSETS/1M", "FPT=A", "FPO=-3A", "ACT_EST_MAPPING=PRECISE", "FS=MRC", "CURRENCY=USD", "XLFILL=b")</f>
        <v>28</v>
      </c>
      <c r="N336" s="9" t="str">
        <f>_xll.BQL("ULCC US Equity", "CB_CF_PURCHASE_OF_OTHER_ASSETS/1M", "FPT=A", "FPO=-4A", "ACT_EST_MAPPING=PRECISE", "FS=MRC", "CURRENCY=USD", "XLFILL=b")</f>
        <v/>
      </c>
    </row>
    <row r="337" spans="1:14" x14ac:dyDescent="0.2">
      <c r="A337" s="8" t="s">
        <v>28</v>
      </c>
      <c r="B337" s="4" t="s">
        <v>347</v>
      </c>
      <c r="C337" s="4"/>
      <c r="D337" s="4"/>
      <c r="E337" s="9">
        <f>_xll.BQL("ULCC US Equity", "FA_GROWTH(CB_CF_PURCHASE_OF_OTHER_ASSETS, YOY)", "FPT=A", "FPO=5A", "ACT_EST_MAPPING=PRECISE", "FS=MRC", "CURRENCY=USD", "XLFILL=b")</f>
        <v>0</v>
      </c>
      <c r="F337" s="9">
        <f>_xll.BQL("ULCC US Equity", "FA_GROWTH(CB_CF_PURCHASE_OF_OTHER_ASSETS, YOY)", "FPT=A", "FPO=4A", "ACT_EST_MAPPING=PRECISE", "FS=MRC", "CURRENCY=USD", "XLFILL=b")</f>
        <v>52.147206836438542</v>
      </c>
      <c r="G337" s="9">
        <f>_xll.BQL("ULCC US Equity", "FA_GROWTH(CB_CF_PURCHASE_OF_OTHER_ASSETS, YOY)", "FPT=A", "FPO=3A", "ACT_EST_MAPPING=PRECISE", "FS=MRC", "CURRENCY=USD", "XLFILL=b")</f>
        <v>-43.338442378543043</v>
      </c>
      <c r="H337" s="9">
        <f>_xll.BQL("ULCC US Equity", "FA_GROWTH(CB_CF_PURCHASE_OF_OTHER_ASSETS, YOY)", "FPT=A", "FPO=2A", "ACT_EST_MAPPING=PRECISE", "FS=MRC", "CURRENCY=USD", "XLFILL=b")</f>
        <v>-321.7439890231945</v>
      </c>
      <c r="I337" s="9">
        <f>_xll.BQL("ULCC US Equity", "FA_GROWTH(CB_CF_PURCHASE_OF_OTHER_ASSETS, YOY)", "FPT=A", "FPO=1A", "ACT_EST_MAPPING=PRECISE", "FS=MRC", "CURRENCY=USD", "XLFILL=b")</f>
        <v>42.385755040379443</v>
      </c>
      <c r="J337" s="9">
        <f>_xll.BQL("ULCC US Equity", "FA_GROWTH(CB_CF_PURCHASE_OF_OTHER_ASSETS, YOY)", "FPT=A", "FPO=0A", "ACT_EST_MAPPING=PRECISE", "FS=MRC", "CURRENCY=USD", "XLFILL=b")</f>
        <v>67.567567567567565</v>
      </c>
      <c r="K337" s="9">
        <f>_xll.BQL("ULCC US Equity", "FA_GROWTH(CB_CF_PURCHASE_OF_OTHER_ASSETS, YOY)", "FPT=A", "FPO=-1A", "ACT_EST_MAPPING=PRECISE", "FS=MRC", "CURRENCY=USD", "XLFILL=b")</f>
        <v>-208.33333333333334</v>
      </c>
      <c r="L337" s="9">
        <f>_xll.BQL("ULCC US Equity", "FA_GROWTH(CB_CF_PURCHASE_OF_OTHER_ASSETS, YOY)", "FPT=A", "FPO=-2A", "ACT_EST_MAPPING=PRECISE", "FS=MRC", "CURRENCY=USD", "XLFILL=b")</f>
        <v>-228.57142857142858</v>
      </c>
      <c r="M337" s="9" t="str">
        <f>_xll.BQL("ULCC US Equity", "FA_GROWTH(CB_CF_PURCHASE_OF_OTHER_ASSETS, YOY)", "FPT=A", "FPO=-3A", "ACT_EST_MAPPING=PRECISE", "FS=MRC", "CURRENCY=USD", "XLFILL=b")</f>
        <v/>
      </c>
      <c r="N337" s="9" t="str">
        <f>_xll.BQL("ULCC US Equity", "FA_GROWTH(CB_CF_PURCHASE_OF_OTHER_ASSETS, YOY)", "FPT=A", "FPO=-4A", "ACT_EST_MAPPING=PRECISE", "FS=MRC", "CURRENCY=USD", "XLFILL=b")</f>
        <v/>
      </c>
    </row>
    <row r="338" spans="1:14" x14ac:dyDescent="0.2">
      <c r="A338" s="8" t="s">
        <v>348</v>
      </c>
      <c r="B338" s="4" t="s">
        <v>349</v>
      </c>
      <c r="C338" s="4" t="s">
        <v>350</v>
      </c>
      <c r="D338" s="4"/>
      <c r="E338" s="9">
        <f>_xll.BQL("ULCC US Equity", "CF_PYMT_LT_DEBT_AND_CAPITAL_LEASE/1M", "FPT=A", "FPO=5A", "ACT_EST_MAPPING=PRECISE", "FS=MRC", "CURRENCY=USD", "XLFILL=b")</f>
        <v>-200</v>
      </c>
      <c r="F338" s="9">
        <f>_xll.BQL("ULCC US Equity", "CF_PYMT_LT_DEBT_AND_CAPITAL_LEASE/1M", "FPT=A", "FPO=4A", "ACT_EST_MAPPING=PRECISE", "FS=MRC", "CURRENCY=USD", "XLFILL=b")</f>
        <v>-200</v>
      </c>
      <c r="G338" s="9">
        <f>_xll.BQL("ULCC US Equity", "CF_PYMT_LT_DEBT_AND_CAPITAL_LEASE/1M", "FPT=A", "FPO=3A", "ACT_EST_MAPPING=PRECISE", "FS=MRC", "CURRENCY=USD", "XLFILL=b")</f>
        <v>-200</v>
      </c>
      <c r="H338" s="9">
        <f>_xll.BQL("ULCC US Equity", "CF_PYMT_LT_DEBT_AND_CAPITAL_LEASE/1M", "FPT=A", "FPO=2A", "ACT_EST_MAPPING=PRECISE", "FS=MRC", "CURRENCY=USD", "XLFILL=b")</f>
        <v>-129.5</v>
      </c>
      <c r="I338" s="9">
        <f>_xll.BQL("ULCC US Equity", "CF_PYMT_LT_DEBT_AND_CAPITAL_LEASE/1M", "FPT=A", "FPO=1A", "ACT_EST_MAPPING=PRECISE", "FS=MRC", "CURRENCY=USD", "XLFILL=b")</f>
        <v>-262.875</v>
      </c>
      <c r="J338" s="9">
        <f>_xll.BQL("ULCC US Equity", "CF_PYMT_LT_DEBT_AND_CAPITAL_LEASE/1M", "FPT=A", "FPO=0A", "ACT_EST_MAPPING=PRECISE", "FS=MRC", "CURRENCY=USD", "XLFILL=b")</f>
        <v>-131</v>
      </c>
      <c r="K338" s="9">
        <f>_xll.BQL("ULCC US Equity", "CF_PYMT_LT_DEBT_AND_CAPITAL_LEASE/1M", "FPT=A", "FPO=-1A", "ACT_EST_MAPPING=PRECISE", "FS=MRC", "CURRENCY=USD", "XLFILL=b")</f>
        <v>-266</v>
      </c>
      <c r="L338" s="9">
        <f>_xll.BQL("ULCC US Equity", "CF_PYMT_LT_DEBT_AND_CAPITAL_LEASE/1M", "FPT=A", "FPO=-2A", "ACT_EST_MAPPING=PRECISE", "FS=MRC", "CURRENCY=USD", "XLFILL=b")</f>
        <v>-97</v>
      </c>
      <c r="M338" s="9">
        <f>_xll.BQL("ULCC US Equity", "CF_PYMT_LT_DEBT_AND_CAPITAL_LEASE/1M", "FPT=A", "FPO=-3A", "ACT_EST_MAPPING=PRECISE", "FS=MRC", "CURRENCY=USD", "XLFILL=b")</f>
        <v>-126</v>
      </c>
      <c r="N338" s="9">
        <f>_xll.BQL("ULCC US Equity", "CF_PYMT_LT_DEBT_AND_CAPITAL_LEASE/1M", "FPT=A", "FPO=-4A", "ACT_EST_MAPPING=PRECISE", "FS=MRC", "CURRENCY=USD", "XLFILL=b")</f>
        <v>-139</v>
      </c>
    </row>
    <row r="339" spans="1:14" x14ac:dyDescent="0.2">
      <c r="A339" s="8" t="s">
        <v>28</v>
      </c>
      <c r="B339" s="4" t="s">
        <v>349</v>
      </c>
      <c r="C339" s="4" t="s">
        <v>350</v>
      </c>
      <c r="D339" s="4"/>
      <c r="E339" s="9">
        <f>_xll.BQL("ULCC US Equity", "FA_GROWTH(CF_PYMT_LT_DEBT_AND_CAPITAL_LEASE, YOY)", "FPT=A", "FPO=5A", "ACT_EST_MAPPING=PRECISE", "FS=MRC", "CURRENCY=USD", "XLFILL=b")</f>
        <v>0</v>
      </c>
      <c r="F339" s="9">
        <f>_xll.BQL("ULCC US Equity", "FA_GROWTH(CF_PYMT_LT_DEBT_AND_CAPITAL_LEASE, YOY)", "FPT=A", "FPO=4A", "ACT_EST_MAPPING=PRECISE", "FS=MRC", "CURRENCY=USD", "XLFILL=b")</f>
        <v>0</v>
      </c>
      <c r="G339" s="9">
        <f>_xll.BQL("ULCC US Equity", "FA_GROWTH(CF_PYMT_LT_DEBT_AND_CAPITAL_LEASE, YOY)", "FPT=A", "FPO=3A", "ACT_EST_MAPPING=PRECISE", "FS=MRC", "CURRENCY=USD", "XLFILL=b")</f>
        <v>-54.440154440154437</v>
      </c>
      <c r="H339" s="9">
        <f>_xll.BQL("ULCC US Equity", "FA_GROWTH(CF_PYMT_LT_DEBT_AND_CAPITAL_LEASE, YOY)", "FPT=A", "FPO=2A", "ACT_EST_MAPPING=PRECISE", "FS=MRC", "CURRENCY=USD", "XLFILL=b")</f>
        <v>50.737042320494531</v>
      </c>
      <c r="I339" s="9">
        <f>_xll.BQL("ULCC US Equity", "FA_GROWTH(CF_PYMT_LT_DEBT_AND_CAPITAL_LEASE, YOY)", "FPT=A", "FPO=1A", "ACT_EST_MAPPING=PRECISE", "FS=MRC", "CURRENCY=USD", "XLFILL=b")</f>
        <v>-100.66793893129771</v>
      </c>
      <c r="J339" s="9">
        <f>_xll.BQL("ULCC US Equity", "FA_GROWTH(CF_PYMT_LT_DEBT_AND_CAPITAL_LEASE, YOY)", "FPT=A", "FPO=0A", "ACT_EST_MAPPING=PRECISE", "FS=MRC", "CURRENCY=USD", "XLFILL=b")</f>
        <v>50.751879699248121</v>
      </c>
      <c r="K339" s="9">
        <f>_xll.BQL("ULCC US Equity", "FA_GROWTH(CF_PYMT_LT_DEBT_AND_CAPITAL_LEASE, YOY)", "FPT=A", "FPO=-1A", "ACT_EST_MAPPING=PRECISE", "FS=MRC", "CURRENCY=USD", "XLFILL=b")</f>
        <v>-174.22680412371133</v>
      </c>
      <c r="L339" s="9">
        <f>_xll.BQL("ULCC US Equity", "FA_GROWTH(CF_PYMT_LT_DEBT_AND_CAPITAL_LEASE, YOY)", "FPT=A", "FPO=-2A", "ACT_EST_MAPPING=PRECISE", "FS=MRC", "CURRENCY=USD", "XLFILL=b")</f>
        <v>23.015873015873016</v>
      </c>
      <c r="M339" s="9">
        <f>_xll.BQL("ULCC US Equity", "FA_GROWTH(CF_PYMT_LT_DEBT_AND_CAPITAL_LEASE, YOY)", "FPT=A", "FPO=-3A", "ACT_EST_MAPPING=PRECISE", "FS=MRC", "CURRENCY=USD", "XLFILL=b")</f>
        <v>9.3525179856115113</v>
      </c>
      <c r="N339" s="9">
        <f>_xll.BQL("ULCC US Equity", "FA_GROWTH(CF_PYMT_LT_DEBT_AND_CAPITAL_LEASE, YOY)", "FPT=A", "FPO=-4A", "ACT_EST_MAPPING=PRECISE", "FS=MRC", "CURRENCY=USD", "XLFILL=b")</f>
        <v>41.101694915254235</v>
      </c>
    </row>
    <row r="340" spans="1:14" x14ac:dyDescent="0.2">
      <c r="A340" s="8" t="s">
        <v>351</v>
      </c>
      <c r="B340" s="4" t="s">
        <v>352</v>
      </c>
      <c r="C340" s="4" t="s">
        <v>353</v>
      </c>
      <c r="D340" s="4"/>
      <c r="E340" s="9">
        <f>_xll.BQL("ULCC US Equity", "CB_CF_INCREASE_IN_FINANCE_LEASE_OBLIG/1M", "FPT=A", "FPO=5A", "ACT_EST_MAPPING=PRECISE", "FS=MRC", "CURRENCY=USD", "XLFILL=b")</f>
        <v>120</v>
      </c>
      <c r="F340" s="9">
        <f>_xll.BQL("ULCC US Equity", "CB_CF_INCREASE_IN_FINANCE_LEASE_OBLIG/1M", "FPT=A", "FPO=4A", "ACT_EST_MAPPING=PRECISE", "FS=MRC", "CURRENCY=USD", "XLFILL=b")</f>
        <v>120</v>
      </c>
      <c r="G340" s="9">
        <f>_xll.BQL("ULCC US Equity", "CB_CF_INCREASE_IN_FINANCE_LEASE_OBLIG/1M", "FPT=A", "FPO=3A", "ACT_EST_MAPPING=PRECISE", "FS=MRC", "CURRENCY=USD", "XLFILL=b")</f>
        <v>159.5</v>
      </c>
      <c r="H340" s="9">
        <f>_xll.BQL("ULCC US Equity", "CB_CF_INCREASE_IN_FINANCE_LEASE_OBLIG/1M", "FPT=A", "FPO=2A", "ACT_EST_MAPPING=PRECISE", "FS=MRC", "CURRENCY=USD", "XLFILL=b")</f>
        <v>173.91666666666666</v>
      </c>
      <c r="I340" s="9">
        <f>_xll.BQL("ULCC US Equity", "CB_CF_INCREASE_IN_FINANCE_LEASE_OBLIG/1M", "FPT=A", "FPO=1A", "ACT_EST_MAPPING=PRECISE", "FS=MRC", "CURRENCY=USD", "XLFILL=b")</f>
        <v>227.44444444444446</v>
      </c>
      <c r="J340" s="9">
        <f>_xll.BQL("ULCC US Equity", "CB_CF_INCREASE_IN_FINANCE_LEASE_OBLIG/1M", "FPT=A", "FPO=0A", "ACT_EST_MAPPING=PRECISE", "FS=MRC", "CURRENCY=USD", "XLFILL=b")</f>
        <v>163</v>
      </c>
      <c r="K340" s="9">
        <f>_xll.BQL("ULCC US Equity", "CB_CF_INCREASE_IN_FINANCE_LEASE_OBLIG/1M", "FPT=A", "FPO=-1A", "ACT_EST_MAPPING=PRECISE", "FS=MRC", "CURRENCY=USD", "XLFILL=b")</f>
        <v>71</v>
      </c>
      <c r="L340" s="9">
        <f>_xll.BQL("ULCC US Equity", "CB_CF_INCREASE_IN_FINANCE_LEASE_OBLIG/1M", "FPT=A", "FPO=-2A", "ACT_EST_MAPPING=PRECISE", "FS=MRC", "CURRENCY=USD", "XLFILL=b")</f>
        <v>59</v>
      </c>
      <c r="M340" s="9">
        <f>_xll.BQL("ULCC US Equity", "CB_CF_INCREASE_IN_FINANCE_LEASE_OBLIG/1M", "FPT=A", "FPO=-3A", "ACT_EST_MAPPING=PRECISE", "FS=MRC", "CURRENCY=USD", "XLFILL=b")</f>
        <v>47</v>
      </c>
      <c r="N340" s="9">
        <f>_xll.BQL("ULCC US Equity", "CB_CF_INCREASE_IN_FINANCE_LEASE_OBLIG/1M", "FPT=A", "FPO=-4A", "ACT_EST_MAPPING=PRECISE", "FS=MRC", "CURRENCY=USD", "XLFILL=b")</f>
        <v>92</v>
      </c>
    </row>
    <row r="341" spans="1:14" x14ac:dyDescent="0.2">
      <c r="A341" s="8" t="s">
        <v>28</v>
      </c>
      <c r="B341" s="4" t="s">
        <v>352</v>
      </c>
      <c r="C341" s="4" t="s">
        <v>353</v>
      </c>
      <c r="D341" s="4"/>
      <c r="E341" s="9">
        <f>_xll.BQL("ULCC US Equity", "FA_GROWTH(CB_CF_INCREASE_IN_FINANCE_LEASE_OBLIG, YOY)", "FPT=A", "FPO=5A", "ACT_EST_MAPPING=PRECISE", "FS=MRC", "CURRENCY=USD", "XLFILL=b")</f>
        <v>0</v>
      </c>
      <c r="F341" s="9">
        <f>_xll.BQL("ULCC US Equity", "FA_GROWTH(CB_CF_INCREASE_IN_FINANCE_LEASE_OBLIG, YOY)", "FPT=A", "FPO=4A", "ACT_EST_MAPPING=PRECISE", "FS=MRC", "CURRENCY=USD", "XLFILL=b")</f>
        <v>-24.764890282131663</v>
      </c>
      <c r="G341" s="9">
        <f>_xll.BQL("ULCC US Equity", "FA_GROWTH(CB_CF_INCREASE_IN_FINANCE_LEASE_OBLIG, YOY)", "FPT=A", "FPO=3A", "ACT_EST_MAPPING=PRECISE", "FS=MRC", "CURRENCY=USD", "XLFILL=b")</f>
        <v>-8.2894106372783849</v>
      </c>
      <c r="H341" s="9">
        <f>_xll.BQL("ULCC US Equity", "FA_GROWTH(CB_CF_INCREASE_IN_FINANCE_LEASE_OBLIG, YOY)", "FPT=A", "FPO=2A", "ACT_EST_MAPPING=PRECISE", "FS=MRC", "CURRENCY=USD", "XLFILL=b")</f>
        <v>-23.534440644846121</v>
      </c>
      <c r="I341" s="9">
        <f>_xll.BQL("ULCC US Equity", "FA_GROWTH(CB_CF_INCREASE_IN_FINANCE_LEASE_OBLIG, YOY)", "FPT=A", "FPO=1A", "ACT_EST_MAPPING=PRECISE", "FS=MRC", "CURRENCY=USD", "XLFILL=b")</f>
        <v>39.536468984321743</v>
      </c>
      <c r="J341" s="9">
        <f>_xll.BQL("ULCC US Equity", "FA_GROWTH(CB_CF_INCREASE_IN_FINANCE_LEASE_OBLIG, YOY)", "FPT=A", "FPO=0A", "ACT_EST_MAPPING=PRECISE", "FS=MRC", "CURRENCY=USD", "XLFILL=b")</f>
        <v>129.57746478873239</v>
      </c>
      <c r="K341" s="9">
        <f>_xll.BQL("ULCC US Equity", "FA_GROWTH(CB_CF_INCREASE_IN_FINANCE_LEASE_OBLIG, YOY)", "FPT=A", "FPO=-1A", "ACT_EST_MAPPING=PRECISE", "FS=MRC", "CURRENCY=USD", "XLFILL=b")</f>
        <v>20.338983050847457</v>
      </c>
      <c r="L341" s="9">
        <f>_xll.BQL("ULCC US Equity", "FA_GROWTH(CB_CF_INCREASE_IN_FINANCE_LEASE_OBLIG, YOY)", "FPT=A", "FPO=-2A", "ACT_EST_MAPPING=PRECISE", "FS=MRC", "CURRENCY=USD", "XLFILL=b")</f>
        <v>25.531914893617021</v>
      </c>
      <c r="M341" s="9">
        <f>_xll.BQL("ULCC US Equity", "FA_GROWTH(CB_CF_INCREASE_IN_FINANCE_LEASE_OBLIG, YOY)", "FPT=A", "FPO=-3A", "ACT_EST_MAPPING=PRECISE", "FS=MRC", "CURRENCY=USD", "XLFILL=b")</f>
        <v>-48.913043478260867</v>
      </c>
      <c r="N341" s="9">
        <f>_xll.BQL("ULCC US Equity", "FA_GROWTH(CB_CF_INCREASE_IN_FINANCE_LEASE_OBLIG, YOY)", "FPT=A", "FPO=-4A", "ACT_EST_MAPPING=PRECISE", "FS=MRC", "CURRENCY=USD", "XLFILL=b")</f>
        <v>-39.473684210526315</v>
      </c>
    </row>
    <row r="342" spans="1:14" x14ac:dyDescent="0.2">
      <c r="A342" s="8" t="s">
        <v>73</v>
      </c>
      <c r="B342" s="4" t="s">
        <v>354</v>
      </c>
      <c r="C342" s="4" t="s">
        <v>355</v>
      </c>
      <c r="D342" s="4"/>
      <c r="E342" s="9" t="str">
        <f>_xll.BQL("ULCC US Equity", "CF_OTHER_FNC_ACT/1M", "FPT=A", "FPO=5A", "ACT_EST_MAPPING=PRECISE", "FS=MRC", "CURRENCY=USD", "XLFILL=b")</f>
        <v/>
      </c>
      <c r="F342" s="9" t="str">
        <f>_xll.BQL("ULCC US Equity", "CF_OTHER_FNC_ACT/1M", "FPT=A", "FPO=4A", "ACT_EST_MAPPING=PRECISE", "FS=MRC", "CURRENCY=USD", "XLFILL=b")</f>
        <v/>
      </c>
      <c r="G342" s="9" t="str">
        <f>_xll.BQL("ULCC US Equity", "CF_OTHER_FNC_ACT/1M", "FPT=A", "FPO=3A", "ACT_EST_MAPPING=PRECISE", "FS=MRC", "CURRENCY=USD", "XLFILL=b")</f>
        <v/>
      </c>
      <c r="H342" s="9" t="str">
        <f>_xll.BQL("ULCC US Equity", "CF_OTHER_FNC_ACT/1M", "FPT=A", "FPO=2A", "ACT_EST_MAPPING=PRECISE", "FS=MRC", "CURRENCY=USD", "XLFILL=b")</f>
        <v/>
      </c>
      <c r="I342" s="9">
        <f>_xll.BQL("ULCC US Equity", "CF_OTHER_FNC_ACT/1M", "FPT=A", "FPO=1A", "ACT_EST_MAPPING=PRECISE", "FS=MRC", "CURRENCY=USD", "XLFILL=b")</f>
        <v>-1.5</v>
      </c>
      <c r="J342" s="9">
        <f>_xll.BQL("ULCC US Equity", "CF_OTHER_FNC_ACT/1M", "FPT=A", "FPO=0A", "ACT_EST_MAPPING=PRECISE", "FS=MRC", "CURRENCY=USD", "XLFILL=b")</f>
        <v>0</v>
      </c>
      <c r="K342" s="9">
        <f>_xll.BQL("ULCC US Equity", "CF_OTHER_FNC_ACT/1M", "FPT=A", "FPO=-1A", "ACT_EST_MAPPING=PRECISE", "FS=MRC", "CURRENCY=USD", "XLFILL=b")</f>
        <v>0</v>
      </c>
      <c r="L342" s="9">
        <f>_xll.BQL("ULCC US Equity", "CF_OTHER_FNC_ACT/1M", "FPT=A", "FPO=-2A", "ACT_EST_MAPPING=PRECISE", "FS=MRC", "CURRENCY=USD", "XLFILL=b")</f>
        <v>266</v>
      </c>
      <c r="M342" s="9">
        <f>_xll.BQL("ULCC US Equity", "CF_OTHER_FNC_ACT/1M", "FPT=A", "FPO=-3A", "ACT_EST_MAPPING=PRECISE", "FS=MRC", "CURRENCY=USD", "XLFILL=b")</f>
        <v>-1</v>
      </c>
      <c r="N342" s="9">
        <f>_xll.BQL("ULCC US Equity", "CF_OTHER_FNC_ACT/1M", "FPT=A", "FPO=-4A", "ACT_EST_MAPPING=PRECISE", "FS=MRC", "CURRENCY=USD", "XLFILL=b")</f>
        <v>-3</v>
      </c>
    </row>
    <row r="343" spans="1:14" x14ac:dyDescent="0.2">
      <c r="A343" s="8" t="s">
        <v>28</v>
      </c>
      <c r="B343" s="4" t="s">
        <v>354</v>
      </c>
      <c r="C343" s="4" t="s">
        <v>355</v>
      </c>
      <c r="D343" s="4"/>
      <c r="E343" s="9" t="str">
        <f>_xll.BQL("ULCC US Equity", "FA_GROWTH(CF_OTHER_FNC_ACT, YOY)", "FPT=A", "FPO=5A", "ACT_EST_MAPPING=PRECISE", "FS=MRC", "CURRENCY=USD", "XLFILL=b")</f>
        <v/>
      </c>
      <c r="F343" s="9" t="str">
        <f>_xll.BQL("ULCC US Equity", "FA_GROWTH(CF_OTHER_FNC_ACT, YOY)", "FPT=A", "FPO=4A", "ACT_EST_MAPPING=PRECISE", "FS=MRC", "CURRENCY=USD", "XLFILL=b")</f>
        <v/>
      </c>
      <c r="G343" s="9" t="str">
        <f>_xll.BQL("ULCC US Equity", "FA_GROWTH(CF_OTHER_FNC_ACT, YOY)", "FPT=A", "FPO=3A", "ACT_EST_MAPPING=PRECISE", "FS=MRC", "CURRENCY=USD", "XLFILL=b")</f>
        <v/>
      </c>
      <c r="H343" s="9" t="str">
        <f>_xll.BQL("ULCC US Equity", "FA_GROWTH(CF_OTHER_FNC_ACT, YOY)", "FPT=A", "FPO=2A", "ACT_EST_MAPPING=PRECISE", "FS=MRC", "CURRENCY=USD", "XLFILL=b")</f>
        <v/>
      </c>
      <c r="I343" s="9" t="str">
        <f>_xll.BQL("ULCC US Equity", "FA_GROWTH(CF_OTHER_FNC_ACT, YOY)", "FPT=A", "FPO=1A", "ACT_EST_MAPPING=PRECISE", "FS=MRC", "CURRENCY=USD", "XLFILL=b")</f>
        <v/>
      </c>
      <c r="J343" s="9" t="str">
        <f>_xll.BQL("ULCC US Equity", "FA_GROWTH(CF_OTHER_FNC_ACT, YOY)", "FPT=A", "FPO=0A", "ACT_EST_MAPPING=PRECISE", "FS=MRC", "CURRENCY=USD", "XLFILL=b")</f>
        <v/>
      </c>
      <c r="K343" s="9">
        <f>_xll.BQL("ULCC US Equity", "FA_GROWTH(CF_OTHER_FNC_ACT, YOY)", "FPT=A", "FPO=-1A", "ACT_EST_MAPPING=PRECISE", "FS=MRC", "CURRENCY=USD", "XLFILL=b")</f>
        <v>-100</v>
      </c>
      <c r="L343" s="9">
        <f>_xll.BQL("ULCC US Equity", "FA_GROWTH(CF_OTHER_FNC_ACT, YOY)", "FPT=A", "FPO=-2A", "ACT_EST_MAPPING=PRECISE", "FS=MRC", "CURRENCY=USD", "XLFILL=b")</f>
        <v>26700</v>
      </c>
      <c r="M343" s="9">
        <f>_xll.BQL("ULCC US Equity", "FA_GROWTH(CF_OTHER_FNC_ACT, YOY)", "FPT=A", "FPO=-3A", "ACT_EST_MAPPING=PRECISE", "FS=MRC", "CURRENCY=USD", "XLFILL=b")</f>
        <v>66.666666666666671</v>
      </c>
      <c r="N343" s="9" t="str">
        <f>_xll.BQL("ULCC US Equity", "FA_GROWTH(CF_OTHER_FNC_ACT, YOY)", "FPT=A", "FPO=-4A", "ACT_EST_MAPPING=PRECISE", "FS=MRC", "CURRENCY=USD", "XLFILL=b")</f>
        <v/>
      </c>
    </row>
    <row r="344" spans="1:14" x14ac:dyDescent="0.2">
      <c r="A344" s="8" t="s">
        <v>356</v>
      </c>
      <c r="B344" s="4" t="s">
        <v>357</v>
      </c>
      <c r="C344" s="4" t="s">
        <v>358</v>
      </c>
      <c r="D344" s="4"/>
      <c r="E344" s="9">
        <f>_xll.BQL("ULCC US Equity", "CB_CF_NET_CASH_FINANCING_ACT/1M", "FPT=A", "FPO=5A", "ACT_EST_MAPPING=PRECISE", "FS=MRC", "CURRENCY=USD", "XLFILL=b")</f>
        <v>320</v>
      </c>
      <c r="F344" s="9">
        <f>_xll.BQL("ULCC US Equity", "CB_CF_NET_CASH_FINANCING_ACT/1M", "FPT=A", "FPO=4A", "ACT_EST_MAPPING=PRECISE", "FS=MRC", "CURRENCY=USD", "XLFILL=b")</f>
        <v>320</v>
      </c>
      <c r="G344" s="9">
        <f>_xll.BQL("ULCC US Equity", "CB_CF_NET_CASH_FINANCING_ACT/1M", "FPT=A", "FPO=3A", "ACT_EST_MAPPING=PRECISE", "FS=MRC", "CURRENCY=USD", "XLFILL=b")</f>
        <v>284.5</v>
      </c>
      <c r="H344" s="9">
        <f>_xll.BQL("ULCC US Equity", "CB_CF_NET_CASH_FINANCING_ACT/1M", "FPT=A", "FPO=2A", "ACT_EST_MAPPING=PRECISE", "FS=MRC", "CURRENCY=USD", "XLFILL=b")</f>
        <v>134.21428571428572</v>
      </c>
      <c r="I344" s="9">
        <f>_xll.BQL("ULCC US Equity", "CB_CF_NET_CASH_FINANCING_ACT/1M", "FPT=A", "FPO=1A", "ACT_EST_MAPPING=PRECISE", "FS=MRC", "CURRENCY=USD", "XLFILL=b")</f>
        <v>105.38095238095239</v>
      </c>
      <c r="J344" s="9">
        <f>_xll.BQL("ULCC US Equity", "CB_CF_NET_CASH_FINANCING_ACT/1M", "FPT=A", "FPO=0A", "ACT_EST_MAPPING=PRECISE", "FS=MRC", "CURRENCY=USD", "XLFILL=b")</f>
        <v>199</v>
      </c>
      <c r="K344" s="9">
        <f>_xll.BQL("ULCC US Equity", "CB_CF_NET_CASH_FINANCING_ACT/1M", "FPT=A", "FPO=-1A", "ACT_EST_MAPPING=PRECISE", "FS=MRC", "CURRENCY=USD", "XLFILL=b")</f>
        <v>75</v>
      </c>
      <c r="L344" s="9">
        <f>_xll.BQL("ULCC US Equity", "CB_CF_NET_CASH_FINANCING_ACT/1M", "FPT=A", "FPO=-2A", "ACT_EST_MAPPING=PRECISE", "FS=MRC", "CURRENCY=USD", "XLFILL=b")</f>
        <v>391</v>
      </c>
      <c r="M344" s="9">
        <f>_xll.BQL("ULCC US Equity", "CB_CF_NET_CASH_FINANCING_ACT/1M", "FPT=A", "FPO=-3A", "ACT_EST_MAPPING=PRECISE", "FS=MRC", "CURRENCY=USD", "XLFILL=b")</f>
        <v>156</v>
      </c>
      <c r="N344" s="9">
        <f>_xll.BQL("ULCC US Equity", "CB_CF_NET_CASH_FINANCING_ACT/1M", "FPT=A", "FPO=-4A", "ACT_EST_MAPPING=PRECISE", "FS=MRC", "CURRENCY=USD", "XLFILL=b")</f>
        <v>-39</v>
      </c>
    </row>
    <row r="345" spans="1:14" x14ac:dyDescent="0.2">
      <c r="A345" s="8" t="s">
        <v>12</v>
      </c>
      <c r="B345" s="4" t="s">
        <v>357</v>
      </c>
      <c r="C345" s="4" t="s">
        <v>358</v>
      </c>
      <c r="D345" s="4"/>
      <c r="E345" s="9">
        <f>_xll.BQL("ULCC US Equity", "FA_GROWTH(CB_CF_NET_CASH_FINANCING_ACT, YOY)", "FPT=A", "FPO=5A", "ACT_EST_MAPPING=PRECISE", "FS=MRC", "CURRENCY=USD", "XLFILL=b")</f>
        <v>0</v>
      </c>
      <c r="F345" s="9">
        <f>_xll.BQL("ULCC US Equity", "FA_GROWTH(CB_CF_NET_CASH_FINANCING_ACT, YOY)", "FPT=A", "FPO=4A", "ACT_EST_MAPPING=PRECISE", "FS=MRC", "CURRENCY=USD", "XLFILL=b")</f>
        <v>12.478031634446397</v>
      </c>
      <c r="G345" s="9">
        <f>_xll.BQL("ULCC US Equity", "FA_GROWTH(CB_CF_NET_CASH_FINANCING_ACT, YOY)", "FPT=A", "FPO=3A", "ACT_EST_MAPPING=PRECISE", "FS=MRC", "CURRENCY=USD", "XLFILL=b")</f>
        <v>111.9744544970729</v>
      </c>
      <c r="H345" s="9">
        <f>_xll.BQL("ULCC US Equity", "FA_GROWTH(CB_CF_NET_CASH_FINANCING_ACT, YOY)", "FPT=A", "FPO=2A", "ACT_EST_MAPPING=PRECISE", "FS=MRC", "CURRENCY=USD", "XLFILL=b")</f>
        <v>27.361048350655214</v>
      </c>
      <c r="I345" s="9">
        <f>_xll.BQL("ULCC US Equity", "FA_GROWTH(CB_CF_NET_CASH_FINANCING_ACT, YOY)", "FPT=A", "FPO=1A", "ACT_EST_MAPPING=PRECISE", "FS=MRC", "CURRENCY=USD", "XLFILL=b")</f>
        <v>-47.044747547260101</v>
      </c>
      <c r="J345" s="9">
        <f>_xll.BQL("ULCC US Equity", "FA_GROWTH(CB_CF_NET_CASH_FINANCING_ACT, YOY)", "FPT=A", "FPO=0A", "ACT_EST_MAPPING=PRECISE", "FS=MRC", "CURRENCY=USD", "XLFILL=b")</f>
        <v>165.33333333333334</v>
      </c>
      <c r="K345" s="9">
        <f>_xll.BQL("ULCC US Equity", "FA_GROWTH(CB_CF_NET_CASH_FINANCING_ACT, YOY)", "FPT=A", "FPO=-1A", "ACT_EST_MAPPING=PRECISE", "FS=MRC", "CURRENCY=USD", "XLFILL=b")</f>
        <v>-80.818414322250646</v>
      </c>
      <c r="L345" s="9">
        <f>_xll.BQL("ULCC US Equity", "FA_GROWTH(CB_CF_NET_CASH_FINANCING_ACT, YOY)", "FPT=A", "FPO=-2A", "ACT_EST_MAPPING=PRECISE", "FS=MRC", "CURRENCY=USD", "XLFILL=b")</f>
        <v>150.64102564102564</v>
      </c>
      <c r="M345" s="9">
        <f>_xll.BQL("ULCC US Equity", "FA_GROWTH(CB_CF_NET_CASH_FINANCING_ACT, YOY)", "FPT=A", "FPO=-3A", "ACT_EST_MAPPING=PRECISE", "FS=MRC", "CURRENCY=USD", "XLFILL=b")</f>
        <v>500</v>
      </c>
      <c r="N345" s="9">
        <f>_xll.BQL("ULCC US Equity", "FA_GROWTH(CB_CF_NET_CASH_FINANCING_ACT, YOY)", "FPT=A", "FPO=-4A", "ACT_EST_MAPPING=PRECISE", "FS=MRC", "CURRENCY=USD", "XLFILL=b")</f>
        <v>73.825503355704697</v>
      </c>
    </row>
    <row r="346" spans="1:14" x14ac:dyDescent="0.2">
      <c r="A346" s="8" t="s">
        <v>16</v>
      </c>
      <c r="B346" s="4"/>
      <c r="C346" s="4"/>
      <c r="D346" s="4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x14ac:dyDescent="0.2">
      <c r="A347" s="8" t="s">
        <v>295</v>
      </c>
      <c r="B347" s="4"/>
      <c r="C347" s="4" t="s">
        <v>359</v>
      </c>
      <c r="D347" s="4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x14ac:dyDescent="0.2">
      <c r="A348" s="8" t="s">
        <v>360</v>
      </c>
      <c r="B348" s="4" t="s">
        <v>361</v>
      </c>
      <c r="C348" s="4" t="s">
        <v>362</v>
      </c>
      <c r="D348" s="4"/>
      <c r="E348" s="9">
        <f>_xll.BQL("ULCC US Equity", "CF_NET_CHNG_CASH/1M", "FPT=A", "FPO=5A", "ACT_EST_MAPPING=PRECISE", "FS=MRC", "CURRENCY=USD", "XLFILL=b")</f>
        <v>-57.303687155031497</v>
      </c>
      <c r="F348" s="9">
        <f>_xll.BQL("ULCC US Equity", "CF_NET_CHNG_CASH/1M", "FPT=A", "FPO=4A", "ACT_EST_MAPPING=PRECISE", "FS=MRC", "CURRENCY=USD", "XLFILL=b")</f>
        <v>-161.05084164766882</v>
      </c>
      <c r="G348" s="9">
        <f>_xll.BQL("ULCC US Equity", "CF_NET_CHNG_CASH/1M", "FPT=A", "FPO=3A", "ACT_EST_MAPPING=PRECISE", "FS=MRC", "CURRENCY=USD", "XLFILL=b")</f>
        <v>104.46912430137179</v>
      </c>
      <c r="H348" s="9">
        <f>_xll.BQL("ULCC US Equity", "CF_NET_CHNG_CASH/1M", "FPT=A", "FPO=2A", "ACT_EST_MAPPING=PRECISE", "FS=MRC", "CURRENCY=USD", "XLFILL=b")</f>
        <v>-50.990849038492613</v>
      </c>
      <c r="I348" s="9">
        <f>_xll.BQL("ULCC US Equity", "CF_NET_CHNG_CASH/1M", "FPT=A", "FPO=1A", "ACT_EST_MAPPING=PRECISE", "FS=MRC", "CURRENCY=USD", "XLFILL=b")</f>
        <v>-51.086056243538941</v>
      </c>
      <c r="J348" s="9">
        <f>_xll.BQL("ULCC US Equity", "CF_NET_CHNG_CASH/1M", "FPT=A", "FPO=0A", "ACT_EST_MAPPING=PRECISE", "FS=MRC", "CURRENCY=USD", "XLFILL=b")</f>
        <v>-152</v>
      </c>
      <c r="K348" s="9">
        <f>_xll.BQL("ULCC US Equity", "CF_NET_CHNG_CASH/1M", "FPT=A", "FPO=-1A", "ACT_EST_MAPPING=PRECISE", "FS=MRC", "CURRENCY=USD", "XLFILL=b")</f>
        <v>-157</v>
      </c>
      <c r="L348" s="9">
        <f>_xll.BQL("ULCC US Equity", "CF_NET_CHNG_CASH/1M", "FPT=A", "FPO=-2A", "ACT_EST_MAPPING=PRECISE", "FS=MRC", "CURRENCY=USD", "XLFILL=b")</f>
        <v>540</v>
      </c>
      <c r="M348" s="9">
        <f>_xll.BQL("ULCC US Equity", "CF_NET_CHNG_CASH/1M", "FPT=A", "FPO=-3A", "ACT_EST_MAPPING=PRECISE", "FS=MRC", "CURRENCY=USD", "XLFILL=b")</f>
        <v>-390</v>
      </c>
      <c r="N348" s="9">
        <f>_xll.BQL("ULCC US Equity", "CF_NET_CHNG_CASH/1M", "FPT=A", "FPO=-4A", "ACT_EST_MAPPING=PRECISE", "FS=MRC", "CURRENCY=USD", "XLFILL=b")</f>
        <v>70</v>
      </c>
    </row>
    <row r="349" spans="1:14" x14ac:dyDescent="0.2">
      <c r="A349" s="8" t="s">
        <v>28</v>
      </c>
      <c r="B349" s="4" t="s">
        <v>361</v>
      </c>
      <c r="C349" s="4" t="s">
        <v>362</v>
      </c>
      <c r="D349" s="4"/>
      <c r="E349" s="9">
        <f>_xll.BQL("ULCC US Equity", "FA_GROWTH(CF_NET_CHNG_CASH, YOY)", "FPT=A", "FPO=5A", "ACT_EST_MAPPING=PRECISE", "FS=MRC", "CURRENCY=USD", "XLFILL=b")</f>
        <v>64.41888377063259</v>
      </c>
      <c r="F349" s="9">
        <f>_xll.BQL("ULCC US Equity", "FA_GROWTH(CF_NET_CHNG_CASH, YOY)", "FPT=A", "FPO=4A", "ACT_EST_MAPPING=PRECISE", "FS=MRC", "CURRENCY=USD", "XLFILL=b")</f>
        <v>-254.16118659429983</v>
      </c>
      <c r="G349" s="9">
        <f>_xll.BQL("ULCC US Equity", "FA_GROWTH(CF_NET_CHNG_CASH, YOY)", "FPT=A", "FPO=3A", "ACT_EST_MAPPING=PRECISE", "FS=MRC", "CURRENCY=USD", "XLFILL=b")</f>
        <v>304.87818161746793</v>
      </c>
      <c r="H349" s="9">
        <f>_xll.BQL("ULCC US Equity", "FA_GROWTH(CF_NET_CHNG_CASH, YOY)", "FPT=A", "FPO=2A", "ACT_EST_MAPPING=PRECISE", "FS=MRC", "CURRENCY=USD", "XLFILL=b")</f>
        <v>0.18636632389952232</v>
      </c>
      <c r="I349" s="9">
        <f>_xll.BQL("ULCC US Equity", "FA_GROWTH(CF_NET_CHNG_CASH, YOY)", "FPT=A", "FPO=1A", "ACT_EST_MAPPING=PRECISE", "FS=MRC", "CURRENCY=USD", "XLFILL=b")</f>
        <v>66.390752471355952</v>
      </c>
      <c r="J349" s="9">
        <f>_xll.BQL("ULCC US Equity", "FA_GROWTH(CF_NET_CHNG_CASH, YOY)", "FPT=A", "FPO=0A", "ACT_EST_MAPPING=PRECISE", "FS=MRC", "CURRENCY=USD", "XLFILL=b")</f>
        <v>3.1847133757961785</v>
      </c>
      <c r="K349" s="9">
        <f>_xll.BQL("ULCC US Equity", "FA_GROWTH(CF_NET_CHNG_CASH, YOY)", "FPT=A", "FPO=-1A", "ACT_EST_MAPPING=PRECISE", "FS=MRC", "CURRENCY=USD", "XLFILL=b")</f>
        <v>-129.07407407407408</v>
      </c>
      <c r="L349" s="9">
        <f>_xll.BQL("ULCC US Equity", "FA_GROWTH(CF_NET_CHNG_CASH, YOY)", "FPT=A", "FPO=-2A", "ACT_EST_MAPPING=PRECISE", "FS=MRC", "CURRENCY=USD", "XLFILL=b")</f>
        <v>238.46153846153845</v>
      </c>
      <c r="M349" s="9">
        <f>_xll.BQL("ULCC US Equity", "FA_GROWTH(CF_NET_CHNG_CASH, YOY)", "FPT=A", "FPO=-3A", "ACT_EST_MAPPING=PRECISE", "FS=MRC", "CURRENCY=USD", "XLFILL=b")</f>
        <v>-657.14285714285711</v>
      </c>
      <c r="N349" s="9">
        <f>_xll.BQL("ULCC US Equity", "FA_GROWTH(CF_NET_CHNG_CASH, YOY)", "FPT=A", "FPO=-4A", "ACT_EST_MAPPING=PRECISE", "FS=MRC", "CURRENCY=USD", "XLFILL=b")</f>
        <v>468.42105263157896</v>
      </c>
    </row>
    <row r="350" spans="1:14" x14ac:dyDescent="0.2">
      <c r="A350" s="8" t="s">
        <v>363</v>
      </c>
      <c r="B350" s="4" t="s">
        <v>364</v>
      </c>
      <c r="C350" s="4" t="s">
        <v>365</v>
      </c>
      <c r="D350" s="4"/>
      <c r="E350" s="9">
        <f>_xll.BQL("ULCC US Equity", "CF_CASH_AND_CASH_EQUIV_BEG_BAL/1M", "FPT=A", "FPO=5A", "ACT_EST_MAPPING=PRECISE", "FS=MRC", "CURRENCY=USD", "XLFILL=b")</f>
        <v>191.26644590818367</v>
      </c>
      <c r="F350" s="9">
        <f>_xll.BQL("ULCC US Equity", "CF_CASH_AND_CASH_EQUIV_BEG_BAL/1M", "FPT=A", "FPO=4A", "ACT_EST_MAPPING=PRECISE", "FS=MRC", "CURRENCY=USD", "XLFILL=b")</f>
        <v>352.31728755585249</v>
      </c>
      <c r="G350" s="9">
        <f>_xll.BQL("ULCC US Equity", "CF_CASH_AND_CASH_EQUIV_BEG_BAL/1M", "FPT=A", "FPO=3A", "ACT_EST_MAPPING=PRECISE", "FS=MRC", "CURRENCY=USD", "XLFILL=b")</f>
        <v>395.30053868998743</v>
      </c>
      <c r="H350" s="9">
        <f>_xll.BQL("ULCC US Equity", "CF_CASH_AND_CASH_EQUIV_BEG_BAL/1M", "FPT=A", "FPO=2A", "ACT_EST_MAPPING=PRECISE", "FS=MRC", "CURRENCY=USD", "XLFILL=b")</f>
        <v>558.54579715024147</v>
      </c>
      <c r="I350" s="9">
        <f>_xll.BQL("ULCC US Equity", "CF_CASH_AND_CASH_EQUIV_BEG_BAL/1M", "FPT=A", "FPO=1A", "ACT_EST_MAPPING=PRECISE", "FS=MRC", "CURRENCY=USD", "XLFILL=b")</f>
        <v>608.89868285714306</v>
      </c>
      <c r="J350" s="9">
        <f>_xll.BQL("ULCC US Equity", "CF_CASH_AND_CASH_EQUIV_BEG_BAL/1M", "FPT=A", "FPO=0A", "ACT_EST_MAPPING=PRECISE", "FS=MRC", "CURRENCY=USD", "XLFILL=b")</f>
        <v>761</v>
      </c>
      <c r="K350" s="9">
        <f>_xll.BQL("ULCC US Equity", "CF_CASH_AND_CASH_EQUIV_BEG_BAL/1M", "FPT=A", "FPO=-1A", "ACT_EST_MAPPING=PRECISE", "FS=MRC", "CURRENCY=USD", "XLFILL=b")</f>
        <v>918</v>
      </c>
      <c r="L350" s="9">
        <f>_xll.BQL("ULCC US Equity", "CF_CASH_AND_CASH_EQUIV_BEG_BAL/1M", "FPT=A", "FPO=-2A", "ACT_EST_MAPPING=PRECISE", "FS=MRC", "CURRENCY=USD", "XLFILL=b")</f>
        <v>378</v>
      </c>
      <c r="M350" s="9">
        <f>_xll.BQL("ULCC US Equity", "CF_CASH_AND_CASH_EQUIV_BEG_BAL/1M", "FPT=A", "FPO=-3A", "ACT_EST_MAPPING=PRECISE", "FS=MRC", "CURRENCY=USD", "XLFILL=b")</f>
        <v>768</v>
      </c>
      <c r="N350" s="9">
        <f>_xll.BQL("ULCC US Equity", "CF_CASH_AND_CASH_EQUIV_BEG_BAL/1M", "FPT=A", "FPO=-4A", "ACT_EST_MAPPING=PRECISE", "FS=MRC", "CURRENCY=USD", "XLFILL=b")</f>
        <v>698</v>
      </c>
    </row>
    <row r="351" spans="1:14" x14ac:dyDescent="0.2">
      <c r="A351" s="8" t="s">
        <v>71</v>
      </c>
      <c r="B351" s="4" t="s">
        <v>364</v>
      </c>
      <c r="C351" s="4" t="s">
        <v>365</v>
      </c>
      <c r="D351" s="4"/>
      <c r="E351" s="9">
        <f>_xll.BQL("ULCC US Equity", "FA_GROWTH(CF_CASH_AND_CASH_EQUIV_BEG_BAL, YOY)", "FPT=A", "FPO=5A", "ACT_EST_MAPPING=PRECISE", "FS=MRC", "CURRENCY=USD", "XLFILL=b")</f>
        <v>-45.711876009529504</v>
      </c>
      <c r="F351" s="9">
        <f>_xll.BQL("ULCC US Equity", "FA_GROWTH(CF_CASH_AND_CASH_EQUIV_BEG_BAL, YOY)", "FPT=A", "FPO=4A", "ACT_EST_MAPPING=PRECISE", "FS=MRC", "CURRENCY=USD", "XLFILL=b")</f>
        <v>-10.873562499201237</v>
      </c>
      <c r="G351" s="9">
        <f>_xll.BQL("ULCC US Equity", "FA_GROWTH(CF_CASH_AND_CASH_EQUIV_BEG_BAL, YOY)", "FPT=A", "FPO=3A", "ACT_EST_MAPPING=PRECISE", "FS=MRC", "CURRENCY=USD", "XLFILL=b")</f>
        <v>-29.226834987058947</v>
      </c>
      <c r="H351" s="9">
        <f>_xll.BQL("ULCC US Equity", "FA_GROWTH(CF_CASH_AND_CASH_EQUIV_BEG_BAL, YOY)", "FPT=A", "FPO=2A", "ACT_EST_MAPPING=PRECISE", "FS=MRC", "CURRENCY=USD", "XLFILL=b")</f>
        <v>-8.2695014991049192</v>
      </c>
      <c r="I351" s="9">
        <f>_xll.BQL("ULCC US Equity", "FA_GROWTH(CF_CASH_AND_CASH_EQUIV_BEG_BAL, YOY)", "FPT=A", "FPO=1A", "ACT_EST_MAPPING=PRECISE", "FS=MRC", "CURRENCY=USD", "XLFILL=b")</f>
        <v>-19.987032476065302</v>
      </c>
      <c r="J351" s="9">
        <f>_xll.BQL("ULCC US Equity", "FA_GROWTH(CF_CASH_AND_CASH_EQUIV_BEG_BAL, YOY)", "FPT=A", "FPO=0A", "ACT_EST_MAPPING=PRECISE", "FS=MRC", "CURRENCY=USD", "XLFILL=b")</f>
        <v>-17.102396514161221</v>
      </c>
      <c r="K351" s="9">
        <f>_xll.BQL("ULCC US Equity", "FA_GROWTH(CF_CASH_AND_CASH_EQUIV_BEG_BAL, YOY)", "FPT=A", "FPO=-1A", "ACT_EST_MAPPING=PRECISE", "FS=MRC", "CURRENCY=USD", "XLFILL=b")</f>
        <v>142.85714285714286</v>
      </c>
      <c r="L351" s="9">
        <f>_xll.BQL("ULCC US Equity", "FA_GROWTH(CF_CASH_AND_CASH_EQUIV_BEG_BAL, YOY)", "FPT=A", "FPO=-2A", "ACT_EST_MAPPING=PRECISE", "FS=MRC", "CURRENCY=USD", "XLFILL=b")</f>
        <v>-50.78125</v>
      </c>
      <c r="M351" s="9">
        <f>_xll.BQL("ULCC US Equity", "FA_GROWTH(CF_CASH_AND_CASH_EQUIV_BEG_BAL, YOY)", "FPT=A", "FPO=-3A", "ACT_EST_MAPPING=PRECISE", "FS=MRC", "CURRENCY=USD", "XLFILL=b")</f>
        <v>10.02865329512894</v>
      </c>
      <c r="N351" s="9">
        <f>_xll.BQL("ULCC US Equity", "FA_GROWTH(CF_CASH_AND_CASH_EQUIV_BEG_BAL, YOY)", "FPT=A", "FPO=-4A", "ACT_EST_MAPPING=PRECISE", "FS=MRC", "CURRENCY=USD", "XLFILL=b")</f>
        <v>-2.6499302649930265</v>
      </c>
    </row>
    <row r="352" spans="1:14" x14ac:dyDescent="0.2">
      <c r="A352" s="8" t="s">
        <v>366</v>
      </c>
      <c r="B352" s="4" t="s">
        <v>214</v>
      </c>
      <c r="C352" s="4" t="s">
        <v>367</v>
      </c>
      <c r="D352" s="4"/>
      <c r="E352" s="9">
        <f>_xll.BQL("ULCC US Equity", "BS_CASH_NEAR_CASH_ITEM/1M", "FPT=A", "FPO=5A", "ACT_EST_MAPPING=PRECISE", "FS=MRC", "CURRENCY=USD", "XLFILL=b")</f>
        <v>133.96275875315217</v>
      </c>
      <c r="F352" s="9">
        <f>_xll.BQL("ULCC US Equity", "BS_CASH_NEAR_CASH_ITEM/1M", "FPT=A", "FPO=4A", "ACT_EST_MAPPING=PRECISE", "FS=MRC", "CURRENCY=USD", "XLFILL=b")</f>
        <v>191.26644590818367</v>
      </c>
      <c r="G352" s="9">
        <f>_xll.BQL("ULCC US Equity", "BS_CASH_NEAR_CASH_ITEM/1M", "FPT=A", "FPO=3A", "ACT_EST_MAPPING=PRECISE", "FS=MRC", "CURRENCY=USD", "XLFILL=b")</f>
        <v>499.76966299135921</v>
      </c>
      <c r="H352" s="9">
        <f>_xll.BQL("ULCC US Equity", "BS_CASH_NEAR_CASH_ITEM/1M", "FPT=A", "FPO=2A", "ACT_EST_MAPPING=PRECISE", "FS=MRC", "CURRENCY=USD", "XLFILL=b")</f>
        <v>506.98672346796849</v>
      </c>
      <c r="I352" s="9">
        <f>_xll.BQL("ULCC US Equity", "BS_CASH_NEAR_CASH_ITEM/1M", "FPT=A", "FPO=1A", "ACT_EST_MAPPING=PRECISE", "FS=MRC", "CURRENCY=USD", "XLFILL=b")</f>
        <v>557.85257250646123</v>
      </c>
      <c r="J352" s="9">
        <f>_xll.BQL("ULCC US Equity", "BS_CASH_NEAR_CASH_ITEM/1M", "FPT=A", "FPO=0A", "ACT_EST_MAPPING=PRECISE", "FS=MRC", "CURRENCY=USD", "XLFILL=b")</f>
        <v>609</v>
      </c>
      <c r="K352" s="9">
        <f>_xll.BQL("ULCC US Equity", "BS_CASH_NEAR_CASH_ITEM/1M", "FPT=A", "FPO=-1A", "ACT_EST_MAPPING=PRECISE", "FS=MRC", "CURRENCY=USD", "XLFILL=b")</f>
        <v>761</v>
      </c>
      <c r="L352" s="9">
        <f>_xll.BQL("ULCC US Equity", "BS_CASH_NEAR_CASH_ITEM/1M", "FPT=A", "FPO=-2A", "ACT_EST_MAPPING=PRECISE", "FS=MRC", "CURRENCY=USD", "XLFILL=b")</f>
        <v>918</v>
      </c>
      <c r="M352" s="9">
        <f>_xll.BQL("ULCC US Equity", "BS_CASH_NEAR_CASH_ITEM/1M", "FPT=A", "FPO=-3A", "ACT_EST_MAPPING=PRECISE", "FS=MRC", "CURRENCY=USD", "XLFILL=b")</f>
        <v>378</v>
      </c>
      <c r="N352" s="9">
        <f>_xll.BQL("ULCC US Equity", "BS_CASH_NEAR_CASH_ITEM/1M", "FPT=A", "FPO=-4A", "ACT_EST_MAPPING=PRECISE", "FS=MRC", "CURRENCY=USD", "XLFILL=b")</f>
        <v>768</v>
      </c>
    </row>
    <row r="353" spans="1:14" x14ac:dyDescent="0.2">
      <c r="A353" s="8" t="s">
        <v>71</v>
      </c>
      <c r="B353" s="4" t="s">
        <v>214</v>
      </c>
      <c r="C353" s="4" t="s">
        <v>367</v>
      </c>
      <c r="D353" s="4"/>
      <c r="E353" s="9">
        <f>_xll.BQL("ULCC US Equity", "FA_GROWTH(BS_CASH_NEAR_CASH_ITEM, YOY)", "FPT=A", "FPO=5A", "ACT_EST_MAPPING=PRECISE", "FS=MRC", "CURRENCY=USD", "XLFILL=b")</f>
        <v>-29.960135915601104</v>
      </c>
      <c r="F353" s="9">
        <f>_xll.BQL("ULCC US Equity", "FA_GROWTH(BS_CASH_NEAR_CASH_ITEM, YOY)", "FPT=A", "FPO=4A", "ACT_EST_MAPPING=PRECISE", "FS=MRC", "CURRENCY=USD", "XLFILL=b")</f>
        <v>-61.729080400086112</v>
      </c>
      <c r="G353" s="9">
        <f>_xll.BQL("ULCC US Equity", "FA_GROWTH(BS_CASH_NEAR_CASH_ITEM, YOY)", "FPT=A", "FPO=3A", "ACT_EST_MAPPING=PRECISE", "FS=MRC", "CURRENCY=USD", "XLFILL=b")</f>
        <v>-1.4235206056762166</v>
      </c>
      <c r="H353" s="9">
        <f>_xll.BQL("ULCC US Equity", "FA_GROWTH(BS_CASH_NEAR_CASH_ITEM, YOY)", "FPT=A", "FPO=2A", "ACT_EST_MAPPING=PRECISE", "FS=MRC", "CURRENCY=USD", "XLFILL=b")</f>
        <v>-9.1181526348350115</v>
      </c>
      <c r="I353" s="9">
        <f>_xll.BQL("ULCC US Equity", "FA_GROWTH(BS_CASH_NEAR_CASH_ITEM, YOY)", "FPT=A", "FPO=1A", "ACT_EST_MAPPING=PRECISE", "FS=MRC", "CURRENCY=USD", "XLFILL=b")</f>
        <v>-8.3985923634710584</v>
      </c>
      <c r="J353" s="9">
        <f>_xll.BQL("ULCC US Equity", "FA_GROWTH(BS_CASH_NEAR_CASH_ITEM, YOY)", "FPT=A", "FPO=0A", "ACT_EST_MAPPING=PRECISE", "FS=MRC", "CURRENCY=USD", "XLFILL=b")</f>
        <v>-19.973718791064389</v>
      </c>
      <c r="K353" s="9">
        <f>_xll.BQL("ULCC US Equity", "FA_GROWTH(BS_CASH_NEAR_CASH_ITEM, YOY)", "FPT=A", "FPO=-1A", "ACT_EST_MAPPING=PRECISE", "FS=MRC", "CURRENCY=USD", "XLFILL=b")</f>
        <v>-17.102396514161221</v>
      </c>
      <c r="L353" s="9">
        <f>_xll.BQL("ULCC US Equity", "FA_GROWTH(BS_CASH_NEAR_CASH_ITEM, YOY)", "FPT=A", "FPO=-2A", "ACT_EST_MAPPING=PRECISE", "FS=MRC", "CURRENCY=USD", "XLFILL=b")</f>
        <v>142.85714285714286</v>
      </c>
      <c r="M353" s="9">
        <f>_xll.BQL("ULCC US Equity", "FA_GROWTH(BS_CASH_NEAR_CASH_ITEM, YOY)", "FPT=A", "FPO=-3A", "ACT_EST_MAPPING=PRECISE", "FS=MRC", "CURRENCY=USD", "XLFILL=b")</f>
        <v>-50.78125</v>
      </c>
      <c r="N353" s="9" t="str">
        <f>_xll.BQL("ULCC US Equity", "FA_GROWTH(BS_CASH_NEAR_CASH_ITEM, YOY)", "FPT=A", "FPO=-4A", "ACT_EST_MAPPING=PRECISE", "FS=MRC", "CURRENCY=USD", "XLFILL=b")</f>
        <v/>
      </c>
    </row>
    <row r="354" spans="1:14" x14ac:dyDescent="0.2">
      <c r="A354" s="8" t="s">
        <v>368</v>
      </c>
      <c r="B354" s="4"/>
      <c r="C354" s="4"/>
      <c r="D354" s="4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x14ac:dyDescent="0.2">
      <c r="A355" s="8" t="s">
        <v>369</v>
      </c>
      <c r="B355" s="4" t="s">
        <v>370</v>
      </c>
      <c r="C355" s="4"/>
      <c r="D355" s="4"/>
      <c r="E355" s="9" t="str">
        <f>_xll.BQL("ULCC US Equity", "CASH_FLOW_PER_SH", "FPT=A", "FPO=5A", "ACT_EST_MAPPING=PRECISE", "FS=MRC", "CURRENCY=USD", "XLFILL=b")</f>
        <v/>
      </c>
      <c r="F355" s="9" t="str">
        <f>_xll.BQL("ULCC US Equity", "CASH_FLOW_PER_SH", "FPT=A", "FPO=4A", "ACT_EST_MAPPING=PRECISE", "FS=MRC", "CURRENCY=USD", "XLFILL=b")</f>
        <v/>
      </c>
      <c r="G355" s="9" t="str">
        <f>_xll.BQL("ULCC US Equity", "CASH_FLOW_PER_SH", "FPT=A", "FPO=3A", "ACT_EST_MAPPING=PRECISE", "FS=MRC", "CURRENCY=USD", "XLFILL=b")</f>
        <v/>
      </c>
      <c r="H355" s="9" t="str">
        <f>_xll.BQL("ULCC US Equity", "CASH_FLOW_PER_SH", "FPT=A", "FPO=2A", "ACT_EST_MAPPING=PRECISE", "FS=MRC", "CURRENCY=USD", "XLFILL=b")</f>
        <v/>
      </c>
      <c r="I355" s="9" t="str">
        <f>_xll.BQL("ULCC US Equity", "CASH_FLOW_PER_SH", "FPT=A", "FPO=1A", "ACT_EST_MAPPING=PRECISE", "FS=MRC", "CURRENCY=USD", "XLFILL=b")</f>
        <v/>
      </c>
      <c r="J355" s="9">
        <f>_xll.BQL("ULCC US Equity", "CASH_FLOW_PER_SH", "FPT=A", "FPO=0A", "ACT_EST_MAPPING=PRECISE", "FS=MRC", "CURRENCY=USD", "XLFILL=b")</f>
        <v>-1.1858354598596537</v>
      </c>
      <c r="K355" s="9">
        <f>_xll.BQL("ULCC US Equity", "CASH_FLOW_PER_SH", "FPT=A", "FPO=-1A", "ACT_EST_MAPPING=PRECISE", "FS=MRC", "CURRENCY=USD", "XLFILL=b")</f>
        <v>-0.3577981651376147</v>
      </c>
      <c r="L355" s="9">
        <f>_xll.BQL("ULCC US Equity", "CASH_FLOW_PER_SH", "FPT=A", "FPO=-2A", "ACT_EST_MAPPING=PRECISE", "FS=MRC", "CURRENCY=USD", "XLFILL=b")</f>
        <v>1.0236966824644549</v>
      </c>
      <c r="M355" s="9">
        <f>_xll.BQL("ULCC US Equity", "CASH_FLOW_PER_SH", "FPT=A", "FPO=-3A", "ACT_EST_MAPPING=PRECISE", "FS=MRC", "CURRENCY=USD", "XLFILL=b")</f>
        <v>-2.7953370165202411</v>
      </c>
      <c r="N355" s="9">
        <f>_xll.BQL("ULCC US Equity", "CASH_FLOW_PER_SH", "FPT=A", "FPO=-4A", "ACT_EST_MAPPING=PRECISE", "FS=MRC", "CURRENCY=USD", "XLFILL=b")</f>
        <v>0.85868767716396455</v>
      </c>
    </row>
    <row r="356" spans="1:14" x14ac:dyDescent="0.2">
      <c r="A356" s="8" t="s">
        <v>28</v>
      </c>
      <c r="B356" s="4" t="s">
        <v>370</v>
      </c>
      <c r="C356" s="4"/>
      <c r="D356" s="4"/>
      <c r="E356" s="9" t="str">
        <f>_xll.BQL("ULCC US Equity", "FA_GROWTH(CASH_FLOW_PER_SH, YOY)", "FPT=A", "FPO=5A", "ACT_EST_MAPPING=PRECISE", "FS=MRC", "CURRENCY=USD", "XLFILL=b")</f>
        <v/>
      </c>
      <c r="F356" s="9" t="str">
        <f>_xll.BQL("ULCC US Equity", "FA_GROWTH(CASH_FLOW_PER_SH, YOY)", "FPT=A", "FPO=4A", "ACT_EST_MAPPING=PRECISE", "FS=MRC", "CURRENCY=USD", "XLFILL=b")</f>
        <v/>
      </c>
      <c r="G356" s="9" t="str">
        <f>_xll.BQL("ULCC US Equity", "FA_GROWTH(CASH_FLOW_PER_SH, YOY)", "FPT=A", "FPO=3A", "ACT_EST_MAPPING=PRECISE", "FS=MRC", "CURRENCY=USD", "XLFILL=b")</f>
        <v/>
      </c>
      <c r="H356" s="9" t="str">
        <f>_xll.BQL("ULCC US Equity", "FA_GROWTH(CASH_FLOW_PER_SH, YOY)", "FPT=A", "FPO=2A", "ACT_EST_MAPPING=PRECISE", "FS=MRC", "CURRENCY=USD", "XLFILL=b")</f>
        <v/>
      </c>
      <c r="I356" s="9" t="str">
        <f>_xll.BQL("ULCC US Equity", "FA_GROWTH(CASH_FLOW_PER_SH, YOY)", "FPT=A", "FPO=1A", "ACT_EST_MAPPING=PRECISE", "FS=MRC", "CURRENCY=USD", "XLFILL=b")</f>
        <v/>
      </c>
      <c r="J356" s="9">
        <f>_xll.BQL("ULCC US Equity", "FA_GROWTH(CASH_FLOW_PER_SH, YOY)", "FPT=A", "FPO=0A", "ACT_EST_MAPPING=PRECISE", "FS=MRC", "CURRENCY=USD", "XLFILL=b")</f>
        <v>-231.42580801205699</v>
      </c>
      <c r="K356" s="9">
        <f>_xll.BQL("ULCC US Equity", "FA_GROWTH(CASH_FLOW_PER_SH, YOY)", "FPT=A", "FPO=-1A", "ACT_EST_MAPPING=PRECISE", "FS=MRC", "CURRENCY=USD", "XLFILL=b")</f>
        <v>-134.95158002038738</v>
      </c>
      <c r="L356" s="9">
        <f>_xll.BQL("ULCC US Equity", "FA_GROWTH(CASH_FLOW_PER_SH, YOY)", "FPT=A", "FPO=-2A", "ACT_EST_MAPPING=PRECISE", "FS=MRC", "CURRENCY=USD", "XLFILL=b")</f>
        <v>136.6215836020659</v>
      </c>
      <c r="M356" s="9">
        <f>_xll.BQL("ULCC US Equity", "FA_GROWTH(CASH_FLOW_PER_SH, YOY)", "FPT=A", "FPO=-3A", "ACT_EST_MAPPING=PRECISE", "FS=MRC", "CURRENCY=USD", "XLFILL=b")</f>
        <v>-425.53594174689403</v>
      </c>
      <c r="N356" s="9">
        <f>_xll.BQL("ULCC US Equity", "FA_GROWTH(CASH_FLOW_PER_SH, YOY)", "FPT=A", "FPO=-4A", "ACT_EST_MAPPING=PRECISE", "FS=MRC", "CURRENCY=USD", "XLFILL=b")</f>
        <v>-9.5572510926800582</v>
      </c>
    </row>
    <row r="357" spans="1:14" x14ac:dyDescent="0.2">
      <c r="A357" s="8" t="s">
        <v>371</v>
      </c>
      <c r="B357" s="4" t="s">
        <v>372</v>
      </c>
      <c r="C357" s="4"/>
      <c r="D357" s="4"/>
      <c r="E357" s="9" t="str">
        <f>_xll.BQL("ULCC US Equity", "CF_FREE_CASH_FLOW/1M", "FPT=A", "FPO=5A", "ACT_EST_MAPPING=PRECISE", "FS=MRC", "CURRENCY=USD", "XLFILL=b")</f>
        <v/>
      </c>
      <c r="F357" s="9" t="str">
        <f>_xll.BQL("ULCC US Equity", "CF_FREE_CASH_FLOW/1M", "FPT=A", "FPO=4A", "ACT_EST_MAPPING=PRECISE", "FS=MRC", "CURRENCY=USD", "XLFILL=b")</f>
        <v/>
      </c>
      <c r="G357" s="9">
        <f>_xll.BQL("ULCC US Equity", "CF_FREE_CASH_FLOW/1M", "FPT=A", "FPO=3A", "ACT_EST_MAPPING=PRECISE", "FS=MRC", "CURRENCY=USD", "XLFILL=b")</f>
        <v>-143.89155954889509</v>
      </c>
      <c r="H357" s="9">
        <f>_xll.BQL("ULCC US Equity", "CF_FREE_CASH_FLOW/1M", "FPT=A", "FPO=2A", "ACT_EST_MAPPING=PRECISE", "FS=MRC", "CURRENCY=USD", "XLFILL=b")</f>
        <v>-96.272581432255095</v>
      </c>
      <c r="I357" s="9">
        <f>_xll.BQL("ULCC US Equity", "CF_FREE_CASH_FLOW/1M", "FPT=A", "FPO=1A", "ACT_EST_MAPPING=PRECISE", "FS=MRC", "CURRENCY=USD", "XLFILL=b")</f>
        <v>-131.96642580777947</v>
      </c>
      <c r="J357" s="9">
        <f>_xll.BQL("ULCC US Equity", "CF_FREE_CASH_FLOW/1M", "FPT=A", "FPO=0A", "ACT_EST_MAPPING=PRECISE", "FS=MRC", "CURRENCY=USD", "XLFILL=b")</f>
        <v>-312</v>
      </c>
      <c r="K357" s="9">
        <f>_xll.BQL("ULCC US Equity", "CF_FREE_CASH_FLOW/1M", "FPT=A", "FPO=-1A", "ACT_EST_MAPPING=PRECISE", "FS=MRC", "CURRENCY=USD", "XLFILL=b")</f>
        <v>-119</v>
      </c>
      <c r="L357" s="9">
        <f>_xll.BQL("ULCC US Equity", "CF_FREE_CASH_FLOW/1M", "FPT=A", "FPO=-2A", "ACT_EST_MAPPING=PRECISE", "FS=MRC", "CURRENCY=USD", "XLFILL=b")</f>
        <v>189</v>
      </c>
      <c r="M357" s="9">
        <f>_xll.BQL("ULCC US Equity", "CF_FREE_CASH_FLOW/1M", "FPT=A", "FPO=-3A", "ACT_EST_MAPPING=PRECISE", "FS=MRC", "CURRENCY=USD", "XLFILL=b")</f>
        <v>-573</v>
      </c>
      <c r="N357" s="9">
        <f>_xll.BQL("ULCC US Equity", "CF_FREE_CASH_FLOW/1M", "FPT=A", "FPO=-4A", "ACT_EST_MAPPING=PRECISE", "FS=MRC", "CURRENCY=USD", "XLFILL=b")</f>
        <v>126</v>
      </c>
    </row>
    <row r="358" spans="1:14" x14ac:dyDescent="0.2">
      <c r="A358" s="8" t="s">
        <v>28</v>
      </c>
      <c r="B358" s="4" t="s">
        <v>372</v>
      </c>
      <c r="C358" s="4"/>
      <c r="D358" s="4"/>
      <c r="E358" s="9" t="str">
        <f>_xll.BQL("ULCC US Equity", "FA_GROWTH(CF_FREE_CASH_FLOW, YOY)", "FPT=A", "FPO=5A", "ACT_EST_MAPPING=PRECISE", "FS=MRC", "CURRENCY=USD", "XLFILL=b")</f>
        <v/>
      </c>
      <c r="F358" s="9" t="str">
        <f>_xll.BQL("ULCC US Equity", "FA_GROWTH(CF_FREE_CASH_FLOW, YOY)", "FPT=A", "FPO=4A", "ACT_EST_MAPPING=PRECISE", "FS=MRC", "CURRENCY=USD", "XLFILL=b")</f>
        <v/>
      </c>
      <c r="G358" s="9">
        <f>_xll.BQL("ULCC US Equity", "FA_GROWTH(CF_FREE_CASH_FLOW, YOY)", "FPT=A", "FPO=3A", "ACT_EST_MAPPING=PRECISE", "FS=MRC", "CURRENCY=USD", "XLFILL=b")</f>
        <v>-49.462658431101111</v>
      </c>
      <c r="H358" s="9">
        <f>_xll.BQL("ULCC US Equity", "FA_GROWTH(CF_FREE_CASH_FLOW, YOY)", "FPT=A", "FPO=2A", "ACT_EST_MAPPING=PRECISE", "FS=MRC", "CURRENCY=USD", "XLFILL=b")</f>
        <v>27.047670767044615</v>
      </c>
      <c r="I358" s="9">
        <f>_xll.BQL("ULCC US Equity", "FA_GROWTH(CF_FREE_CASH_FLOW, YOY)", "FPT=A", "FPO=1A", "ACT_EST_MAPPING=PRECISE", "FS=MRC", "CURRENCY=USD", "XLFILL=b")</f>
        <v>57.703068651352723</v>
      </c>
      <c r="J358" s="9">
        <f>_xll.BQL("ULCC US Equity", "FA_GROWTH(CF_FREE_CASH_FLOW, YOY)", "FPT=A", "FPO=0A", "ACT_EST_MAPPING=PRECISE", "FS=MRC", "CURRENCY=USD", "XLFILL=b")</f>
        <v>-162.18487394957984</v>
      </c>
      <c r="K358" s="9">
        <f>_xll.BQL("ULCC US Equity", "FA_GROWTH(CF_FREE_CASH_FLOW, YOY)", "FPT=A", "FPO=-1A", "ACT_EST_MAPPING=PRECISE", "FS=MRC", "CURRENCY=USD", "XLFILL=b")</f>
        <v>-162.96296296296296</v>
      </c>
      <c r="L358" s="9">
        <f>_xll.BQL("ULCC US Equity", "FA_GROWTH(CF_FREE_CASH_FLOW, YOY)", "FPT=A", "FPO=-2A", "ACT_EST_MAPPING=PRECISE", "FS=MRC", "CURRENCY=USD", "XLFILL=b")</f>
        <v>132.98429319371726</v>
      </c>
      <c r="M358" s="9">
        <f>_xll.BQL("ULCC US Equity", "FA_GROWTH(CF_FREE_CASH_FLOW, YOY)", "FPT=A", "FPO=-3A", "ACT_EST_MAPPING=PRECISE", "FS=MRC", "CURRENCY=USD", "XLFILL=b")</f>
        <v>-554.76190476190482</v>
      </c>
      <c r="N358" s="9">
        <f>_xll.BQL("ULCC US Equity", "FA_GROWTH(CF_FREE_CASH_FLOW, YOY)", "FPT=A", "FPO=-4A", "ACT_EST_MAPPING=PRECISE", "FS=MRC", "CURRENCY=USD", "XLFILL=b")</f>
        <v>-23.636363636363637</v>
      </c>
    </row>
    <row r="359" spans="1:14" x14ac:dyDescent="0.2">
      <c r="A359" s="8" t="s">
        <v>373</v>
      </c>
      <c r="B359" s="4" t="s">
        <v>374</v>
      </c>
      <c r="C359" s="4"/>
      <c r="D359" s="4"/>
      <c r="E359" s="9" t="str">
        <f>_xll.BQL("ULCC US Equity", "CAP_EXPEND_TO_SALES", "FPT=A", "FPO=5A", "ACT_EST_MAPPING=PRECISE", "FS=MRC", "CURRENCY=USD", "XLFILL=b")</f>
        <v/>
      </c>
      <c r="F359" s="9" t="str">
        <f>_xll.BQL("ULCC US Equity", "CAP_EXPEND_TO_SALES", "FPT=A", "FPO=4A", "ACT_EST_MAPPING=PRECISE", "FS=MRC", "CURRENCY=USD", "XLFILL=b")</f>
        <v/>
      </c>
      <c r="G359" s="9">
        <f>_xll.BQL("ULCC US Equity", "CAP_EXPEND_TO_SALES", "FPT=A", "FPO=3A", "ACT_EST_MAPPING=PRECISE", "FS=MRC", "CURRENCY=USD", "XLFILL=b")</f>
        <v>2.0000600290864785</v>
      </c>
      <c r="H359" s="9">
        <f>_xll.BQL("ULCC US Equity", "CAP_EXPEND_TO_SALES", "FPT=A", "FPO=2A", "ACT_EST_MAPPING=PRECISE", "FS=MRC", "CURRENCY=USD", "XLFILL=b")</f>
        <v>2.1586031087364916</v>
      </c>
      <c r="I359" s="9">
        <f>_xll.BQL("ULCC US Equity", "CAP_EXPEND_TO_SALES", "FPT=A", "FPO=1A", "ACT_EST_MAPPING=PRECISE", "FS=MRC", "CURRENCY=USD", "XLFILL=b")</f>
        <v>4.0180394294510293</v>
      </c>
      <c r="J359" s="9">
        <f>_xll.BQL("ULCC US Equity", "CAP_EXPEND_TO_SALES", "FPT=A", "FPO=0A", "ACT_EST_MAPPING=PRECISE", "FS=MRC", "CURRENCY=USD", "XLFILL=b")</f>
        <v>1.4210086375034827</v>
      </c>
      <c r="K359" s="9">
        <f>_xll.BQL("ULCC US Equity", "CAP_EXPEND_TO_SALES", "FPT=A", "FPO=-1A", "ACT_EST_MAPPING=PRECISE", "FS=MRC", "CURRENCY=USD", "XLFILL=b")</f>
        <v>1.2327119663259172</v>
      </c>
      <c r="L359" s="9">
        <f>_xll.BQL("ULCC US Equity", "CAP_EXPEND_TO_SALES", "FPT=A", "FPO=-2A", "ACT_EST_MAPPING=PRECISE", "FS=MRC", "CURRENCY=USD", "XLFILL=b")</f>
        <v>1.3106796116504855</v>
      </c>
      <c r="M359" s="9">
        <f>_xll.BQL("ULCC US Equity", "CAP_EXPEND_TO_SALES", "FPT=A", "FPO=-3A", "ACT_EST_MAPPING=PRECISE", "FS=MRC", "CURRENCY=USD", "XLFILL=b")</f>
        <v>1.28</v>
      </c>
      <c r="N359" s="9">
        <f>_xll.BQL("ULCC US Equity", "CAP_EXPEND_TO_SALES", "FPT=A", "FPO=-4A", "ACT_EST_MAPPING=PRECISE", "FS=MRC", "CURRENCY=USD", "XLFILL=b")</f>
        <v>1.7942583732057416</v>
      </c>
    </row>
    <row r="360" spans="1:14" x14ac:dyDescent="0.2">
      <c r="A360" s="8" t="s">
        <v>28</v>
      </c>
      <c r="B360" s="4" t="s">
        <v>374</v>
      </c>
      <c r="C360" s="4"/>
      <c r="D360" s="4"/>
      <c r="E360" s="9" t="str">
        <f>_xll.BQL("ULCC US Equity", "FA_GROWTH(CAP_EXPEND_TO_SALES, YOY)", "FPT=A", "FPO=5A", "ACT_EST_MAPPING=PRECISE", "FS=MRC", "CURRENCY=USD", "XLFILL=b")</f>
        <v/>
      </c>
      <c r="F360" s="9" t="str">
        <f>_xll.BQL("ULCC US Equity", "FA_GROWTH(CAP_EXPEND_TO_SALES, YOY)", "FPT=A", "FPO=4A", "ACT_EST_MAPPING=PRECISE", "FS=MRC", "CURRENCY=USD", "XLFILL=b")</f>
        <v/>
      </c>
      <c r="G360" s="9">
        <f>_xll.BQL("ULCC US Equity", "FA_GROWTH(CAP_EXPEND_TO_SALES, YOY)", "FPT=A", "FPO=3A", "ACT_EST_MAPPING=PRECISE", "FS=MRC", "CURRENCY=USD", "XLFILL=b")</f>
        <v>-7.3447072789038153</v>
      </c>
      <c r="H360" s="9">
        <f>_xll.BQL("ULCC US Equity", "FA_GROWTH(CAP_EXPEND_TO_SALES, YOY)", "FPT=A", "FPO=2A", "ACT_EST_MAPPING=PRECISE", "FS=MRC", "CURRENCY=USD", "XLFILL=b")</f>
        <v>-46.277204426751631</v>
      </c>
      <c r="I360" s="9">
        <f>_xll.BQL("ULCC US Equity", "FA_GROWTH(CAP_EXPEND_TO_SALES, YOY)", "FPT=A", "FPO=1A", "ACT_EST_MAPPING=PRECISE", "FS=MRC", "CURRENCY=USD", "XLFILL=b")</f>
        <v>182.75967671175977</v>
      </c>
      <c r="J360" s="9">
        <f>_xll.BQL("ULCC US Equity", "FA_GROWTH(CAP_EXPEND_TO_SALES, YOY)", "FPT=A", "FPO=0A", "ACT_EST_MAPPING=PRECISE", "FS=MRC", "CURRENCY=USD", "XLFILL=b")</f>
        <v>15.274993374062998</v>
      </c>
      <c r="K360" s="9">
        <f>_xll.BQL("ULCC US Equity", "FA_GROWTH(CAP_EXPEND_TO_SALES, YOY)", "FPT=A", "FPO=-1A", "ACT_EST_MAPPING=PRECISE", "FS=MRC", "CURRENCY=USD", "XLFILL=b")</f>
        <v>-5.9486425692078067</v>
      </c>
      <c r="L360" s="9">
        <f>_xll.BQL("ULCC US Equity", "FA_GROWTH(CAP_EXPEND_TO_SALES, YOY)", "FPT=A", "FPO=-2A", "ACT_EST_MAPPING=PRECISE", "FS=MRC", "CURRENCY=USD", "XLFILL=b")</f>
        <v>2.3968446601941791</v>
      </c>
      <c r="M360" s="9">
        <f>_xll.BQL("ULCC US Equity", "FA_GROWTH(CAP_EXPEND_TO_SALES, YOY)", "FPT=A", "FPO=-3A", "ACT_EST_MAPPING=PRECISE", "FS=MRC", "CURRENCY=USD", "XLFILL=b")</f>
        <v>-28.661333333333328</v>
      </c>
      <c r="N360" s="9">
        <f>_xll.BQL("ULCC US Equity", "FA_GROWTH(CAP_EXPEND_TO_SALES, YOY)", "FPT=A", "FPO=-4A", "ACT_EST_MAPPING=PRECISE", "FS=MRC", "CURRENCY=USD", "XLFILL=b")</f>
        <v>61.184210526315802</v>
      </c>
    </row>
    <row r="361" spans="1:14" x14ac:dyDescent="0.2">
      <c r="A361" s="5" t="s">
        <v>375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9A930CDD3054DBC716B01DADABC2F" ma:contentTypeVersion="6" ma:contentTypeDescription="Create a new document." ma:contentTypeScope="" ma:versionID="44e1c9a8f18c8400ac2913167fe8d885">
  <xsd:schema xmlns:xsd="http://www.w3.org/2001/XMLSchema" xmlns:xs="http://www.w3.org/2001/XMLSchema" xmlns:p="http://schemas.microsoft.com/office/2006/metadata/properties" xmlns:ns3="e1ffb5b7-7f01-49f9-bb97-00985892725c" targetNamespace="http://schemas.microsoft.com/office/2006/metadata/properties" ma:root="true" ma:fieldsID="c749bd41d9ee63dddd32e6e1d85d6323" ns3:_="">
    <xsd:import namespace="e1ffb5b7-7f01-49f9-bb97-00985892725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b5b7-7f01-49f9-bb97-00985892725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ffb5b7-7f01-49f9-bb97-00985892725c" xsi:nil="true"/>
  </documentManagement>
</p:properties>
</file>

<file path=customXml/itemProps1.xml><?xml version="1.0" encoding="utf-8"?>
<ds:datastoreItem xmlns:ds="http://schemas.openxmlformats.org/officeDocument/2006/customXml" ds:itemID="{706B1BD4-4347-4723-807A-9D398AFCEF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b5b7-7f01-49f9-bb97-009858927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E20F57-76DE-47A9-98AD-AD9ED0A03A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9C4DC2-BFEF-42F4-B9E4-4EA851633A60}">
  <ds:schemaRefs>
    <ds:schemaRef ds:uri="http://schemas.microsoft.com/office/2006/metadata/properties"/>
    <ds:schemaRef ds:uri="http://schemas.microsoft.com/office/infopath/2007/PartnerControls"/>
    <ds:schemaRef ds:uri="e1ffb5b7-7f01-49f9-bb97-0098589272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Periods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Salian, Nithi Dinesh</cp:lastModifiedBy>
  <cp:revision/>
  <dcterms:created xsi:type="dcterms:W3CDTF">2013-04-03T15:49:21Z</dcterms:created>
  <dcterms:modified xsi:type="dcterms:W3CDTF">2024-09-29T03:29:12Z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0x0101006069A930CDD3054DBC716B01DADABC2F</vt:lpwstr>
  </property>
</Properties>
</file>