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1C7C01A4-FEA3-394E-AC76-A66088AAD8F4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6" i="2" l="1"/>
  <c r="E238" i="2"/>
  <c r="E310" i="2"/>
  <c r="E203" i="2"/>
  <c r="E268" i="2"/>
  <c r="E133" i="2"/>
  <c r="E236" i="2"/>
  <c r="E34" i="2"/>
  <c r="E126" i="2"/>
  <c r="E346" i="2"/>
  <c r="E168" i="2"/>
  <c r="E335" i="2"/>
  <c r="E283" i="2"/>
  <c r="E292" i="2"/>
  <c r="E321" i="2"/>
  <c r="E210" i="2"/>
  <c r="E224" i="2"/>
  <c r="E157" i="2"/>
  <c r="E219" i="2"/>
  <c r="E207" i="2"/>
  <c r="E237" i="2"/>
  <c r="E55" i="2"/>
  <c r="E15" i="2"/>
  <c r="E105" i="2"/>
  <c r="E49" i="2"/>
  <c r="E13" i="2"/>
  <c r="E66" i="2"/>
  <c r="E279" i="2"/>
  <c r="E94" i="2"/>
  <c r="E332" i="2"/>
  <c r="E241" i="2"/>
  <c r="E138" i="2"/>
  <c r="E259" i="2"/>
  <c r="E308" i="2"/>
  <c r="E119" i="2"/>
  <c r="E97" i="2"/>
  <c r="E153" i="2"/>
  <c r="E122" i="2"/>
  <c r="E145" i="2"/>
  <c r="E258" i="2"/>
  <c r="E289" i="2"/>
  <c r="E177" i="2"/>
  <c r="E191" i="2"/>
  <c r="E338" i="2"/>
  <c r="E218" i="2"/>
  <c r="E209" i="2"/>
  <c r="E267" i="2"/>
  <c r="E247" i="2"/>
  <c r="E109" i="2"/>
  <c r="E121" i="2"/>
  <c r="E171" i="2"/>
  <c r="E205" i="2"/>
  <c r="E342" i="2"/>
  <c r="E307" i="2"/>
  <c r="E85" i="2"/>
  <c r="E108" i="2"/>
  <c r="E202" i="2"/>
  <c r="E329" i="2"/>
  <c r="E222" i="2"/>
  <c r="E116" i="2"/>
  <c r="E262" i="2"/>
  <c r="E276" i="2"/>
  <c r="E264" i="2"/>
  <c r="E129" i="2"/>
  <c r="E150" i="2"/>
  <c r="E155" i="2"/>
  <c r="E250" i="2"/>
  <c r="E204" i="2"/>
  <c r="E4" i="2"/>
  <c r="E188" i="2"/>
  <c r="E227" i="2"/>
  <c r="E199" i="2"/>
  <c r="E215" i="2"/>
  <c r="E248" i="2"/>
  <c r="E180" i="2"/>
  <c r="E167" i="2"/>
  <c r="E141" i="2"/>
  <c r="E350" i="2"/>
  <c r="E176" i="2"/>
  <c r="E265" i="2"/>
  <c r="E266" i="2"/>
  <c r="E112" i="2"/>
  <c r="E318" i="2"/>
  <c r="E304" i="2"/>
  <c r="E53" i="2"/>
  <c r="E19" i="2"/>
  <c r="E70" i="2"/>
  <c r="E31" i="2"/>
  <c r="E302" i="2"/>
  <c r="E186" i="2"/>
  <c r="E170" i="2"/>
  <c r="E132" i="2"/>
  <c r="E216" i="2"/>
  <c r="E107" i="2"/>
  <c r="E156" i="2"/>
  <c r="E287" i="2"/>
  <c r="E117" i="2"/>
  <c r="E99" i="2"/>
  <c r="E253" i="2"/>
  <c r="E135" i="2"/>
  <c r="E193" i="2"/>
  <c r="E233" i="2"/>
  <c r="E328" i="2"/>
  <c r="E291" i="2"/>
  <c r="E149" i="2"/>
  <c r="E226" i="2"/>
  <c r="E349" i="2"/>
  <c r="E261" i="2"/>
  <c r="E316" i="2"/>
  <c r="E174" i="2"/>
  <c r="E221" i="2"/>
  <c r="E130" i="2"/>
  <c r="E90" i="2"/>
  <c r="E96" i="2"/>
  <c r="E278" i="2"/>
  <c r="E120" i="2"/>
  <c r="E100" i="2"/>
  <c r="E311" i="2"/>
  <c r="E309" i="2"/>
  <c r="E169" i="2"/>
  <c r="E6" i="2"/>
  <c r="E182" i="2"/>
  <c r="E162" i="2"/>
  <c r="E68" i="2"/>
  <c r="E225" i="2"/>
  <c r="E244" i="2"/>
  <c r="E200" i="2"/>
  <c r="E212" i="2"/>
  <c r="E281" i="2"/>
  <c r="E334" i="2"/>
  <c r="E345" i="2"/>
  <c r="E139" i="2"/>
  <c r="E115" i="2"/>
  <c r="E144" i="2"/>
  <c r="E239" i="2"/>
  <c r="E243" i="2"/>
  <c r="E56" i="2"/>
  <c r="E16" i="2"/>
  <c r="E48" i="2"/>
  <c r="E12" i="2"/>
  <c r="E270" i="2"/>
  <c r="E84" i="2"/>
  <c r="E18" i="2"/>
  <c r="E77" i="2"/>
  <c r="E271" i="2"/>
  <c r="E294" i="2"/>
  <c r="E290" i="2"/>
  <c r="E42" i="2"/>
  <c r="E315" i="2"/>
  <c r="E324" i="2"/>
  <c r="E344" i="2"/>
  <c r="E192" i="2"/>
  <c r="E62" i="2"/>
  <c r="E28" i="2"/>
  <c r="E78" i="2"/>
  <c r="E125" i="2"/>
  <c r="E39" i="2"/>
  <c r="E299" i="2"/>
  <c r="E179" i="2"/>
  <c r="E58" i="2"/>
  <c r="E24" i="2"/>
  <c r="E88" i="2"/>
  <c r="E72" i="2"/>
  <c r="E29" i="2"/>
  <c r="E260" i="2"/>
  <c r="E47" i="2"/>
  <c r="E11" i="2"/>
  <c r="E163" i="2"/>
  <c r="E319" i="2"/>
  <c r="E269" i="2"/>
  <c r="E114" i="2"/>
  <c r="E52" i="2"/>
  <c r="E22" i="2"/>
  <c r="E235" i="2"/>
  <c r="E245" i="2"/>
  <c r="E71" i="2"/>
  <c r="E32" i="2"/>
  <c r="E351" i="2"/>
  <c r="E158" i="2"/>
  <c r="E160" i="2"/>
  <c r="E35" i="2"/>
  <c r="E127" i="2"/>
  <c r="E303" i="2"/>
  <c r="E187" i="2"/>
  <c r="E63" i="2"/>
  <c r="E331" i="2"/>
  <c r="E326" i="2"/>
  <c r="E50" i="2"/>
  <c r="E14" i="2"/>
  <c r="E142" i="2"/>
  <c r="E255" i="2"/>
  <c r="E251" i="2"/>
  <c r="E257" i="2"/>
  <c r="E91" i="2"/>
  <c r="E54" i="2"/>
  <c r="E20" i="2"/>
  <c r="E152" i="2"/>
  <c r="E337" i="2"/>
  <c r="E60" i="2"/>
  <c r="E26" i="2"/>
  <c r="E95" i="2"/>
  <c r="E306" i="2"/>
  <c r="E67" i="2"/>
  <c r="E284" i="2"/>
  <c r="E83" i="2"/>
  <c r="E17" i="2"/>
  <c r="E37" i="2"/>
  <c r="E173" i="2"/>
  <c r="E327" i="2"/>
  <c r="E277" i="2"/>
  <c r="E73" i="2"/>
  <c r="E30" i="2"/>
  <c r="E263" i="2"/>
  <c r="E305" i="2"/>
  <c r="E282" i="2"/>
  <c r="E98" i="2"/>
  <c r="E57" i="2"/>
  <c r="E23" i="2"/>
  <c r="E104" i="2"/>
  <c r="E285" i="2"/>
  <c r="E166" i="2"/>
  <c r="E220" i="2"/>
  <c r="E111" i="2"/>
  <c r="E189" i="2"/>
  <c r="E106" i="2"/>
  <c r="E195" i="2"/>
  <c r="E223" i="2"/>
  <c r="E252" i="2"/>
  <c r="E214" i="2"/>
  <c r="E301" i="2"/>
  <c r="E103" i="2"/>
  <c r="E320" i="2"/>
  <c r="E41" i="2"/>
  <c r="E314" i="2"/>
  <c r="E242" i="2"/>
  <c r="E240" i="2"/>
  <c r="E76" i="2"/>
  <c r="E51" i="2"/>
  <c r="E21" i="2"/>
  <c r="E246" i="2"/>
  <c r="E213" i="2"/>
  <c r="E341" i="2"/>
  <c r="E293" i="2"/>
  <c r="E280" i="2"/>
  <c r="E175" i="2"/>
  <c r="E333" i="2"/>
  <c r="E272" i="2"/>
  <c r="E229" i="2"/>
  <c r="E86" i="2"/>
  <c r="E254" i="2"/>
  <c r="E92" i="2"/>
  <c r="E234" i="2"/>
  <c r="E131" i="2"/>
  <c r="E137" i="2"/>
  <c r="E65" i="2"/>
  <c r="E89" i="2"/>
  <c r="E110" i="2"/>
  <c r="E147" i="2"/>
  <c r="E75" i="2"/>
  <c r="E59" i="2"/>
  <c r="E25" i="2"/>
  <c r="E181" i="2"/>
  <c r="E134" i="2"/>
  <c r="E190" i="2"/>
  <c r="E9" i="2"/>
  <c r="E82" i="2"/>
  <c r="E348" i="2"/>
  <c r="E317" i="2"/>
  <c r="E140" i="2"/>
  <c r="E101" i="2"/>
  <c r="E3" i="2"/>
  <c r="E206" i="2"/>
  <c r="E36" i="2"/>
  <c r="E172" i="2"/>
  <c r="E217" i="2"/>
  <c r="E194" i="2"/>
  <c r="E38" i="2"/>
  <c r="E298" i="2"/>
  <c r="E178" i="2"/>
  <c r="E93" i="2"/>
  <c r="E146" i="2"/>
  <c r="E273" i="2"/>
  <c r="E230" i="2"/>
  <c r="E325" i="2"/>
  <c r="E64" i="2"/>
  <c r="E211" i="2"/>
  <c r="E343" i="2"/>
  <c r="E228" i="2"/>
  <c r="E124" i="2"/>
  <c r="E113" i="2"/>
  <c r="E61" i="2"/>
  <c r="E27" i="2"/>
  <c r="E81" i="2"/>
  <c r="E8" i="2"/>
  <c r="E336" i="2"/>
  <c r="E7" i="2"/>
  <c r="E183" i="2"/>
  <c r="E208" i="2"/>
  <c r="E256" i="2"/>
  <c r="E136" i="2"/>
  <c r="E201" i="2"/>
  <c r="E161" i="2"/>
  <c r="E300" i="2"/>
  <c r="E102" i="2"/>
  <c r="N351" i="2"/>
  <c r="N349" i="2"/>
  <c r="N346" i="2"/>
  <c r="N344" i="2"/>
  <c r="N342" i="2"/>
  <c r="N338" i="2"/>
  <c r="N336" i="2"/>
  <c r="N334" i="2"/>
  <c r="N332" i="2"/>
  <c r="N329" i="2"/>
  <c r="N327" i="2"/>
  <c r="N325" i="2"/>
  <c r="N321" i="2"/>
  <c r="N319" i="2"/>
  <c r="N317" i="2"/>
  <c r="N315" i="2"/>
  <c r="N311" i="2"/>
  <c r="N309" i="2"/>
  <c r="N307" i="2"/>
  <c r="N305" i="2"/>
  <c r="N303" i="2"/>
  <c r="N301" i="2"/>
  <c r="N299" i="2"/>
  <c r="N294" i="2"/>
  <c r="N292" i="2"/>
  <c r="N290" i="2"/>
  <c r="N287" i="2"/>
  <c r="N285" i="2"/>
  <c r="N283" i="2"/>
  <c r="N281" i="2"/>
  <c r="N279" i="2"/>
  <c r="N277" i="2"/>
  <c r="N273" i="2"/>
  <c r="N271" i="2"/>
  <c r="N269" i="2"/>
  <c r="N267" i="2"/>
  <c r="N265" i="2"/>
  <c r="N263" i="2"/>
  <c r="N261" i="2"/>
  <c r="N259" i="2"/>
  <c r="N257" i="2"/>
  <c r="N255" i="2"/>
  <c r="N253" i="2"/>
  <c r="N251" i="2"/>
  <c r="N248" i="2"/>
  <c r="N246" i="2"/>
  <c r="N244" i="2"/>
  <c r="N242" i="2"/>
  <c r="N240" i="2"/>
  <c r="N238" i="2"/>
  <c r="N236" i="2"/>
  <c r="N234" i="2"/>
  <c r="N230" i="2"/>
  <c r="N228" i="2"/>
  <c r="N226" i="2"/>
  <c r="N224" i="2"/>
  <c r="N222" i="2"/>
  <c r="N220" i="2"/>
  <c r="N218" i="2"/>
  <c r="N216" i="2"/>
  <c r="N214" i="2"/>
  <c r="N212" i="2"/>
  <c r="N210" i="2"/>
  <c r="N208" i="2"/>
  <c r="N206" i="2"/>
  <c r="N204" i="2"/>
  <c r="N202" i="2"/>
  <c r="N200" i="2"/>
  <c r="N195" i="2"/>
  <c r="N193" i="2"/>
  <c r="N191" i="2"/>
  <c r="N189" i="2"/>
  <c r="N187" i="2"/>
  <c r="N183" i="2"/>
  <c r="N181" i="2"/>
  <c r="N179" i="2"/>
  <c r="N177" i="2"/>
  <c r="N175" i="2"/>
  <c r="N173" i="2"/>
  <c r="N171" i="2"/>
  <c r="N169" i="2"/>
  <c r="N167" i="2"/>
  <c r="N163" i="2"/>
  <c r="N161" i="2"/>
  <c r="N158" i="2"/>
  <c r="N156" i="2"/>
  <c r="N153" i="2"/>
  <c r="N150" i="2"/>
  <c r="N147" i="2"/>
  <c r="N145" i="2"/>
  <c r="N142" i="2"/>
  <c r="N140" i="2"/>
  <c r="N138" i="2"/>
  <c r="N136" i="2"/>
  <c r="N134" i="2"/>
  <c r="N132" i="2"/>
  <c r="N130" i="2"/>
  <c r="N127" i="2"/>
  <c r="N125" i="2"/>
  <c r="N122" i="2"/>
  <c r="N120" i="2"/>
  <c r="N117" i="2"/>
  <c r="N115" i="2"/>
  <c r="N113" i="2"/>
  <c r="N111" i="2"/>
  <c r="N109" i="2"/>
  <c r="N107" i="2"/>
  <c r="N105" i="2"/>
  <c r="N103" i="2"/>
  <c r="N101" i="2"/>
  <c r="N99" i="2"/>
  <c r="N97" i="2"/>
  <c r="N95" i="2"/>
  <c r="N93" i="2"/>
  <c r="N91" i="2"/>
  <c r="N89" i="2"/>
  <c r="N86" i="2"/>
  <c r="N84" i="2"/>
  <c r="N82" i="2"/>
  <c r="N78" i="2"/>
  <c r="N76" i="2"/>
  <c r="N73" i="2"/>
  <c r="N71" i="2"/>
  <c r="N68" i="2"/>
  <c r="N66" i="2"/>
  <c r="N64" i="2"/>
  <c r="N62" i="2"/>
  <c r="M351" i="2"/>
  <c r="M349" i="2"/>
  <c r="M346" i="2"/>
  <c r="M344" i="2"/>
  <c r="M342" i="2"/>
  <c r="M338" i="2"/>
  <c r="M336" i="2"/>
  <c r="M334" i="2"/>
  <c r="M332" i="2"/>
  <c r="M329" i="2"/>
  <c r="M327" i="2"/>
  <c r="M325" i="2"/>
  <c r="M321" i="2"/>
  <c r="M319" i="2"/>
  <c r="M317" i="2"/>
  <c r="M315" i="2"/>
  <c r="M311" i="2"/>
  <c r="M309" i="2"/>
  <c r="M307" i="2"/>
  <c r="M305" i="2"/>
  <c r="M303" i="2"/>
  <c r="M301" i="2"/>
  <c r="M299" i="2"/>
  <c r="M294" i="2"/>
  <c r="M292" i="2"/>
  <c r="M290" i="2"/>
  <c r="M287" i="2"/>
  <c r="M285" i="2"/>
  <c r="M283" i="2"/>
  <c r="M281" i="2"/>
  <c r="M279" i="2"/>
  <c r="M277" i="2"/>
  <c r="M273" i="2"/>
  <c r="M271" i="2"/>
  <c r="M269" i="2"/>
  <c r="M267" i="2"/>
  <c r="M265" i="2"/>
  <c r="M263" i="2"/>
  <c r="M261" i="2"/>
  <c r="M259" i="2"/>
  <c r="M257" i="2"/>
  <c r="M255" i="2"/>
  <c r="M253" i="2"/>
  <c r="M251" i="2"/>
  <c r="M248" i="2"/>
  <c r="M246" i="2"/>
  <c r="M244" i="2"/>
  <c r="M242" i="2"/>
  <c r="M240" i="2"/>
  <c r="M238" i="2"/>
  <c r="M236" i="2"/>
  <c r="M234" i="2"/>
  <c r="M230" i="2"/>
  <c r="M228" i="2"/>
  <c r="M226" i="2"/>
  <c r="M224" i="2"/>
  <c r="M222" i="2"/>
  <c r="M220" i="2"/>
  <c r="M218" i="2"/>
  <c r="M216" i="2"/>
  <c r="M214" i="2"/>
  <c r="M212" i="2"/>
  <c r="M210" i="2"/>
  <c r="M208" i="2"/>
  <c r="M206" i="2"/>
  <c r="M204" i="2"/>
  <c r="M202" i="2"/>
  <c r="M200" i="2"/>
  <c r="M195" i="2"/>
  <c r="M193" i="2"/>
  <c r="M191" i="2"/>
  <c r="M189" i="2"/>
  <c r="M187" i="2"/>
  <c r="M183" i="2"/>
  <c r="M181" i="2"/>
  <c r="M179" i="2"/>
  <c r="M177" i="2"/>
  <c r="M175" i="2"/>
  <c r="M173" i="2"/>
  <c r="M171" i="2"/>
  <c r="M169" i="2"/>
  <c r="M167" i="2"/>
  <c r="M163" i="2"/>
  <c r="M161" i="2"/>
  <c r="M158" i="2"/>
  <c r="M156" i="2"/>
  <c r="M153" i="2"/>
  <c r="M150" i="2"/>
  <c r="M147" i="2"/>
  <c r="M145" i="2"/>
  <c r="M142" i="2"/>
  <c r="M140" i="2"/>
  <c r="M138" i="2"/>
  <c r="M136" i="2"/>
  <c r="M134" i="2"/>
  <c r="M132" i="2"/>
  <c r="M130" i="2"/>
  <c r="M127" i="2"/>
  <c r="M125" i="2"/>
  <c r="M122" i="2"/>
  <c r="M120" i="2"/>
  <c r="M117" i="2"/>
  <c r="M115" i="2"/>
  <c r="M113" i="2"/>
  <c r="M111" i="2"/>
  <c r="M109" i="2"/>
  <c r="M107" i="2"/>
  <c r="M105" i="2"/>
  <c r="M103" i="2"/>
  <c r="M101" i="2"/>
  <c r="M99" i="2"/>
  <c r="M97" i="2"/>
  <c r="M95" i="2"/>
  <c r="M93" i="2"/>
  <c r="M91" i="2"/>
  <c r="M89" i="2"/>
  <c r="M86" i="2"/>
  <c r="M84" i="2"/>
  <c r="M82" i="2"/>
  <c r="M78" i="2"/>
  <c r="M76" i="2"/>
  <c r="M73" i="2"/>
  <c r="L351" i="2"/>
  <c r="J349" i="2"/>
  <c r="H346" i="2"/>
  <c r="F344" i="2"/>
  <c r="N341" i="2"/>
  <c r="L337" i="2"/>
  <c r="J335" i="2"/>
  <c r="H333" i="2"/>
  <c r="F331" i="2"/>
  <c r="L327" i="2"/>
  <c r="J325" i="2"/>
  <c r="H321" i="2"/>
  <c r="F319" i="2"/>
  <c r="N316" i="2"/>
  <c r="L314" i="2"/>
  <c r="J310" i="2"/>
  <c r="H308" i="2"/>
  <c r="F306" i="2"/>
  <c r="L303" i="2"/>
  <c r="J301" i="2"/>
  <c r="H299" i="2"/>
  <c r="F294" i="2"/>
  <c r="N291" i="2"/>
  <c r="L289" i="2"/>
  <c r="J286" i="2"/>
  <c r="H284" i="2"/>
  <c r="F282" i="2"/>
  <c r="L279" i="2"/>
  <c r="J277" i="2"/>
  <c r="H273" i="2"/>
  <c r="F271" i="2"/>
  <c r="N268" i="2"/>
  <c r="L266" i="2"/>
  <c r="J264" i="2"/>
  <c r="H262" i="2"/>
  <c r="F260" i="2"/>
  <c r="L257" i="2"/>
  <c r="J255" i="2"/>
  <c r="H253" i="2"/>
  <c r="F251" i="2"/>
  <c r="N247" i="2"/>
  <c r="L245" i="2"/>
  <c r="J243" i="2"/>
  <c r="H241" i="2"/>
  <c r="F239" i="2"/>
  <c r="L236" i="2"/>
  <c r="J234" i="2"/>
  <c r="H230" i="2"/>
  <c r="F228" i="2"/>
  <c r="N225" i="2"/>
  <c r="L223" i="2"/>
  <c r="J221" i="2"/>
  <c r="H219" i="2"/>
  <c r="F217" i="2"/>
  <c r="L214" i="2"/>
  <c r="J212" i="2"/>
  <c r="H210" i="2"/>
  <c r="F208" i="2"/>
  <c r="N205" i="2"/>
  <c r="L203" i="2"/>
  <c r="J201" i="2"/>
  <c r="H199" i="2"/>
  <c r="F194" i="2"/>
  <c r="L191" i="2"/>
  <c r="J189" i="2"/>
  <c r="H187" i="2"/>
  <c r="F183" i="2"/>
  <c r="N180" i="2"/>
  <c r="L178" i="2"/>
  <c r="J176" i="2"/>
  <c r="H174" i="2"/>
  <c r="F172" i="2"/>
  <c r="L169" i="2"/>
  <c r="J167" i="2"/>
  <c r="H163" i="2"/>
  <c r="F161" i="2"/>
  <c r="N157" i="2"/>
  <c r="L155" i="2"/>
  <c r="J152" i="2"/>
  <c r="H149" i="2"/>
  <c r="F146" i="2"/>
  <c r="L142" i="2"/>
  <c r="J140" i="2"/>
  <c r="H138" i="2"/>
  <c r="F136" i="2"/>
  <c r="N133" i="2"/>
  <c r="L131" i="2"/>
  <c r="J129" i="2"/>
  <c r="H126" i="2"/>
  <c r="F124" i="2"/>
  <c r="L120" i="2"/>
  <c r="J117" i="2"/>
  <c r="H115" i="2"/>
  <c r="F113" i="2"/>
  <c r="N110" i="2"/>
  <c r="L108" i="2"/>
  <c r="J106" i="2"/>
  <c r="H104" i="2"/>
  <c r="F102" i="2"/>
  <c r="L99" i="2"/>
  <c r="J97" i="2"/>
  <c r="H95" i="2"/>
  <c r="F93" i="2"/>
  <c r="N90" i="2"/>
  <c r="L88" i="2"/>
  <c r="J85" i="2"/>
  <c r="H83" i="2"/>
  <c r="F81" i="2"/>
  <c r="L76" i="2"/>
  <c r="J73" i="2"/>
  <c r="I71" i="2"/>
  <c r="H68" i="2"/>
  <c r="G66" i="2"/>
  <c r="F64" i="2"/>
  <c r="K351" i="2"/>
  <c r="I349" i="2"/>
  <c r="G346" i="2"/>
  <c r="M341" i="2"/>
  <c r="K337" i="2"/>
  <c r="I335" i="2"/>
  <c r="G333" i="2"/>
  <c r="K327" i="2"/>
  <c r="I325" i="2"/>
  <c r="G321" i="2"/>
  <c r="M316" i="2"/>
  <c r="K314" i="2"/>
  <c r="I310" i="2"/>
  <c r="G308" i="2"/>
  <c r="K303" i="2"/>
  <c r="I301" i="2"/>
  <c r="G299" i="2"/>
  <c r="M291" i="2"/>
  <c r="K289" i="2"/>
  <c r="I286" i="2"/>
  <c r="G284" i="2"/>
  <c r="K279" i="2"/>
  <c r="I277" i="2"/>
  <c r="G273" i="2"/>
  <c r="M268" i="2"/>
  <c r="K266" i="2"/>
  <c r="I264" i="2"/>
  <c r="G262" i="2"/>
  <c r="K257" i="2"/>
  <c r="I255" i="2"/>
  <c r="G253" i="2"/>
  <c r="M247" i="2"/>
  <c r="K245" i="2"/>
  <c r="I243" i="2"/>
  <c r="G241" i="2"/>
  <c r="K236" i="2"/>
  <c r="I234" i="2"/>
  <c r="G230" i="2"/>
  <c r="M225" i="2"/>
  <c r="K223" i="2"/>
  <c r="I221" i="2"/>
  <c r="G219" i="2"/>
  <c r="K214" i="2"/>
  <c r="I212" i="2"/>
  <c r="G210" i="2"/>
  <c r="M205" i="2"/>
  <c r="K203" i="2"/>
  <c r="I201" i="2"/>
  <c r="G199" i="2"/>
  <c r="K191" i="2"/>
  <c r="I189" i="2"/>
  <c r="G187" i="2"/>
  <c r="M180" i="2"/>
  <c r="K178" i="2"/>
  <c r="I176" i="2"/>
  <c r="G174" i="2"/>
  <c r="K169" i="2"/>
  <c r="I167" i="2"/>
  <c r="G163" i="2"/>
  <c r="M157" i="2"/>
  <c r="K155" i="2"/>
  <c r="I152" i="2"/>
  <c r="G149" i="2"/>
  <c r="K142" i="2"/>
  <c r="I140" i="2"/>
  <c r="G138" i="2"/>
  <c r="M133" i="2"/>
  <c r="K131" i="2"/>
  <c r="I129" i="2"/>
  <c r="G126" i="2"/>
  <c r="K120" i="2"/>
  <c r="I117" i="2"/>
  <c r="G115" i="2"/>
  <c r="M110" i="2"/>
  <c r="K108" i="2"/>
  <c r="I106" i="2"/>
  <c r="G104" i="2"/>
  <c r="K99" i="2"/>
  <c r="I97" i="2"/>
  <c r="G95" i="2"/>
  <c r="M90" i="2"/>
  <c r="K88" i="2"/>
  <c r="I85" i="2"/>
  <c r="G83" i="2"/>
  <c r="K76" i="2"/>
  <c r="I73" i="2"/>
  <c r="H71" i="2"/>
  <c r="G68" i="2"/>
  <c r="F66" i="2"/>
  <c r="N61" i="2"/>
  <c r="N59" i="2"/>
  <c r="N57" i="2"/>
  <c r="N55" i="2"/>
  <c r="N53" i="2"/>
  <c r="N51" i="2"/>
  <c r="N49" i="2"/>
  <c r="N47" i="2"/>
  <c r="N41" i="2"/>
  <c r="N38" i="2"/>
  <c r="N36" i="2"/>
  <c r="N34" i="2"/>
  <c r="N31" i="2"/>
  <c r="J351" i="2"/>
  <c r="F349" i="2"/>
  <c r="L345" i="2"/>
  <c r="H343" i="2"/>
  <c r="L338" i="2"/>
  <c r="H336" i="2"/>
  <c r="N333" i="2"/>
  <c r="J331" i="2"/>
  <c r="F328" i="2"/>
  <c r="H325" i="2"/>
  <c r="N320" i="2"/>
  <c r="J318" i="2"/>
  <c r="F316" i="2"/>
  <c r="J311" i="2"/>
  <c r="F309" i="2"/>
  <c r="L306" i="2"/>
  <c r="H304" i="2"/>
  <c r="L301" i="2"/>
  <c r="F299" i="2"/>
  <c r="L293" i="2"/>
  <c r="H291" i="2"/>
  <c r="L287" i="2"/>
  <c r="H285" i="2"/>
  <c r="N282" i="2"/>
  <c r="J280" i="2"/>
  <c r="F278" i="2"/>
  <c r="J273" i="2"/>
  <c r="N270" i="2"/>
  <c r="J268" i="2"/>
  <c r="F266" i="2"/>
  <c r="J263" i="2"/>
  <c r="F261" i="2"/>
  <c r="L258" i="2"/>
  <c r="H256" i="2"/>
  <c r="L253" i="2"/>
  <c r="H251" i="2"/>
  <c r="L247" i="2"/>
  <c r="H245" i="2"/>
  <c r="L242" i="2"/>
  <c r="H240" i="2"/>
  <c r="N237" i="2"/>
  <c r="J235" i="2"/>
  <c r="F233" i="2"/>
  <c r="J228" i="2"/>
  <c r="F226" i="2"/>
  <c r="J223" i="2"/>
  <c r="F221" i="2"/>
  <c r="J218" i="2"/>
  <c r="F216" i="2"/>
  <c r="L213" i="2"/>
  <c r="H211" i="2"/>
  <c r="L208" i="2"/>
  <c r="H206" i="2"/>
  <c r="N203" i="2"/>
  <c r="H201" i="2"/>
  <c r="L195" i="2"/>
  <c r="H193" i="2"/>
  <c r="N190" i="2"/>
  <c r="J188" i="2"/>
  <c r="F186" i="2"/>
  <c r="J181" i="2"/>
  <c r="F179" i="2"/>
  <c r="L176" i="2"/>
  <c r="F174" i="2"/>
  <c r="J171" i="2"/>
  <c r="F169" i="2"/>
  <c r="L166" i="2"/>
  <c r="H162" i="2"/>
  <c r="L158" i="2"/>
  <c r="H156" i="2"/>
  <c r="N152" i="2"/>
  <c r="J149" i="2"/>
  <c r="L145" i="2"/>
  <c r="H142" i="2"/>
  <c r="N139" i="2"/>
  <c r="J137" i="2"/>
  <c r="F135" i="2"/>
  <c r="J132" i="2"/>
  <c r="F130" i="2"/>
  <c r="L126" i="2"/>
  <c r="H124" i="2"/>
  <c r="J120" i="2"/>
  <c r="F117" i="2"/>
  <c r="L114" i="2"/>
  <c r="H112" i="2"/>
  <c r="L109" i="2"/>
  <c r="H107" i="2"/>
  <c r="N104" i="2"/>
  <c r="J102" i="2"/>
  <c r="F100" i="2"/>
  <c r="H97" i="2"/>
  <c r="N94" i="2"/>
  <c r="J92" i="2"/>
  <c r="F90" i="2"/>
  <c r="J86" i="2"/>
  <c r="F84" i="2"/>
  <c r="L81" i="2"/>
  <c r="H77" i="2"/>
  <c r="L73" i="2"/>
  <c r="G71" i="2"/>
  <c r="N67" i="2"/>
  <c r="K65" i="2"/>
  <c r="H63" i="2"/>
  <c r="M58" i="2"/>
  <c r="K56" i="2"/>
  <c r="I54" i="2"/>
  <c r="G52" i="2"/>
  <c r="M49" i="2"/>
  <c r="K47" i="2"/>
  <c r="I41" i="2"/>
  <c r="G38" i="2"/>
  <c r="M32" i="2"/>
  <c r="K30" i="2"/>
  <c r="J28" i="2"/>
  <c r="I26" i="2"/>
  <c r="H24" i="2"/>
  <c r="G22" i="2"/>
  <c r="F20" i="2"/>
  <c r="N17" i="2"/>
  <c r="M15" i="2"/>
  <c r="M13" i="2"/>
  <c r="M11" i="2"/>
  <c r="M8" i="2"/>
  <c r="M6" i="2"/>
  <c r="M3" i="2"/>
  <c r="M94" i="2"/>
  <c r="K81" i="2"/>
  <c r="F71" i="2"/>
  <c r="J65" i="2"/>
  <c r="N60" i="2"/>
  <c r="J56" i="2"/>
  <c r="F52" i="2"/>
  <c r="J47" i="2"/>
  <c r="H41" i="2"/>
  <c r="N35" i="2"/>
  <c r="J30" i="2"/>
  <c r="H26" i="2"/>
  <c r="F22" i="2"/>
  <c r="M17" i="2"/>
  <c r="L13" i="2"/>
  <c r="L8" i="2"/>
  <c r="L3" i="2"/>
  <c r="N348" i="2"/>
  <c r="F343" i="2"/>
  <c r="F336" i="2"/>
  <c r="H331" i="2"/>
  <c r="F325" i="2"/>
  <c r="H318" i="2"/>
  <c r="L315" i="2"/>
  <c r="N308" i="2"/>
  <c r="F304" i="2"/>
  <c r="N298" i="2"/>
  <c r="F291" i="2"/>
  <c r="F285" i="2"/>
  <c r="H280" i="2"/>
  <c r="L277" i="2"/>
  <c r="L270" i="2"/>
  <c r="L265" i="2"/>
  <c r="N260" i="2"/>
  <c r="F256" i="2"/>
  <c r="N250" i="2"/>
  <c r="F245" i="2"/>
  <c r="F240" i="2"/>
  <c r="H235" i="2"/>
  <c r="H228" i="2"/>
  <c r="H223" i="2"/>
  <c r="H218" i="2"/>
  <c r="J213" i="2"/>
  <c r="J208" i="2"/>
  <c r="J203" i="2"/>
  <c r="J195" i="2"/>
  <c r="L190" i="2"/>
  <c r="L183" i="2"/>
  <c r="N178" i="2"/>
  <c r="L173" i="2"/>
  <c r="N168" i="2"/>
  <c r="F162" i="2"/>
  <c r="J158" i="2"/>
  <c r="L152" i="2"/>
  <c r="J145" i="2"/>
  <c r="F142" i="2"/>
  <c r="H137" i="2"/>
  <c r="H132" i="2"/>
  <c r="J126" i="2"/>
  <c r="H120" i="2"/>
  <c r="J114" i="2"/>
  <c r="J109" i="2"/>
  <c r="L104" i="2"/>
  <c r="J99" i="2"/>
  <c r="L94" i="2"/>
  <c r="L89" i="2"/>
  <c r="N83" i="2"/>
  <c r="F77" i="2"/>
  <c r="I65" i="2"/>
  <c r="M60" i="2"/>
  <c r="I56" i="2"/>
  <c r="M51" i="2"/>
  <c r="I47" i="2"/>
  <c r="K32" i="2"/>
  <c r="I30" i="2"/>
  <c r="G26" i="2"/>
  <c r="N21" i="2"/>
  <c r="L17" i="2"/>
  <c r="K13" i="2"/>
  <c r="K8" i="2"/>
  <c r="K3" i="2"/>
  <c r="M348" i="2"/>
  <c r="G331" i="2"/>
  <c r="G318" i="2"/>
  <c r="G311" i="2"/>
  <c r="I306" i="2"/>
  <c r="G301" i="2"/>
  <c r="I293" i="2"/>
  <c r="I287" i="2"/>
  <c r="K282" i="2"/>
  <c r="K277" i="2"/>
  <c r="G268" i="2"/>
  <c r="K265" i="2"/>
  <c r="M260" i="2"/>
  <c r="M250" i="2"/>
  <c r="I247" i="2"/>
  <c r="I242" i="2"/>
  <c r="K237" i="2"/>
  <c r="K230" i="2"/>
  <c r="K225" i="2"/>
  <c r="K220" i="2"/>
  <c r="G218" i="2"/>
  <c r="I213" i="2"/>
  <c r="G188" i="2"/>
  <c r="G181" i="2"/>
  <c r="M178" i="2"/>
  <c r="K173" i="2"/>
  <c r="M168" i="2"/>
  <c r="I145" i="2"/>
  <c r="K139" i="2"/>
  <c r="K134" i="2"/>
  <c r="M129" i="2"/>
  <c r="I126" i="2"/>
  <c r="G120" i="2"/>
  <c r="I351" i="2"/>
  <c r="K345" i="2"/>
  <c r="G343" i="2"/>
  <c r="K338" i="2"/>
  <c r="G336" i="2"/>
  <c r="M333" i="2"/>
  <c r="I331" i="2"/>
  <c r="G325" i="2"/>
  <c r="M320" i="2"/>
  <c r="I318" i="2"/>
  <c r="I311" i="2"/>
  <c r="K306" i="2"/>
  <c r="G304" i="2"/>
  <c r="K301" i="2"/>
  <c r="K293" i="2"/>
  <c r="G291" i="2"/>
  <c r="K287" i="2"/>
  <c r="G285" i="2"/>
  <c r="M282" i="2"/>
  <c r="I280" i="2"/>
  <c r="I273" i="2"/>
  <c r="M270" i="2"/>
  <c r="I268" i="2"/>
  <c r="I263" i="2"/>
  <c r="K258" i="2"/>
  <c r="G256" i="2"/>
  <c r="K253" i="2"/>
  <c r="G251" i="2"/>
  <c r="K247" i="2"/>
  <c r="G245" i="2"/>
  <c r="K242" i="2"/>
  <c r="G240" i="2"/>
  <c r="M237" i="2"/>
  <c r="I235" i="2"/>
  <c r="I228" i="2"/>
  <c r="I223" i="2"/>
  <c r="I218" i="2"/>
  <c r="K213" i="2"/>
  <c r="G211" i="2"/>
  <c r="K208" i="2"/>
  <c r="G206" i="2"/>
  <c r="M203" i="2"/>
  <c r="G201" i="2"/>
  <c r="K195" i="2"/>
  <c r="G193" i="2"/>
  <c r="M190" i="2"/>
  <c r="I188" i="2"/>
  <c r="I181" i="2"/>
  <c r="K176" i="2"/>
  <c r="I171" i="2"/>
  <c r="K166" i="2"/>
  <c r="G162" i="2"/>
  <c r="K158" i="2"/>
  <c r="G156" i="2"/>
  <c r="M152" i="2"/>
  <c r="I149" i="2"/>
  <c r="K145" i="2"/>
  <c r="G142" i="2"/>
  <c r="M139" i="2"/>
  <c r="I137" i="2"/>
  <c r="I132" i="2"/>
  <c r="K126" i="2"/>
  <c r="G124" i="2"/>
  <c r="I120" i="2"/>
  <c r="K114" i="2"/>
  <c r="G112" i="2"/>
  <c r="K109" i="2"/>
  <c r="G107" i="2"/>
  <c r="M104" i="2"/>
  <c r="I102" i="2"/>
  <c r="G97" i="2"/>
  <c r="I92" i="2"/>
  <c r="I86" i="2"/>
  <c r="G77" i="2"/>
  <c r="K73" i="2"/>
  <c r="M67" i="2"/>
  <c r="G63" i="2"/>
  <c r="L58" i="2"/>
  <c r="H54" i="2"/>
  <c r="L49" i="2"/>
  <c r="F38" i="2"/>
  <c r="L32" i="2"/>
  <c r="I28" i="2"/>
  <c r="G24" i="2"/>
  <c r="N19" i="2"/>
  <c r="L15" i="2"/>
  <c r="L11" i="2"/>
  <c r="L6" i="2"/>
  <c r="H351" i="2"/>
  <c r="J345" i="2"/>
  <c r="J338" i="2"/>
  <c r="L333" i="2"/>
  <c r="J327" i="2"/>
  <c r="L320" i="2"/>
  <c r="H311" i="2"/>
  <c r="J306" i="2"/>
  <c r="H301" i="2"/>
  <c r="J293" i="2"/>
  <c r="J287" i="2"/>
  <c r="L282" i="2"/>
  <c r="F273" i="2"/>
  <c r="H268" i="2"/>
  <c r="H263" i="2"/>
  <c r="J258" i="2"/>
  <c r="J253" i="2"/>
  <c r="J247" i="2"/>
  <c r="J242" i="2"/>
  <c r="L237" i="2"/>
  <c r="L230" i="2"/>
  <c r="L225" i="2"/>
  <c r="L220" i="2"/>
  <c r="N215" i="2"/>
  <c r="F211" i="2"/>
  <c r="F206" i="2"/>
  <c r="F201" i="2"/>
  <c r="F193" i="2"/>
  <c r="H188" i="2"/>
  <c r="H181" i="2"/>
  <c r="H176" i="2"/>
  <c r="H171" i="2"/>
  <c r="J166" i="2"/>
  <c r="F156" i="2"/>
  <c r="F149" i="2"/>
  <c r="L139" i="2"/>
  <c r="L134" i="2"/>
  <c r="N129" i="2"/>
  <c r="L122" i="2"/>
  <c r="N116" i="2"/>
  <c r="F112" i="2"/>
  <c r="F107" i="2"/>
  <c r="H102" i="2"/>
  <c r="F97" i="2"/>
  <c r="H92" i="2"/>
  <c r="H86" i="2"/>
  <c r="J81" i="2"/>
  <c r="H73" i="2"/>
  <c r="L67" i="2"/>
  <c r="F63" i="2"/>
  <c r="K58" i="2"/>
  <c r="G54" i="2"/>
  <c r="K49" i="2"/>
  <c r="G41" i="2"/>
  <c r="M35" i="2"/>
  <c r="H28" i="2"/>
  <c r="F24" i="2"/>
  <c r="M19" i="2"/>
  <c r="K15" i="2"/>
  <c r="K11" i="2"/>
  <c r="K6" i="2"/>
  <c r="G351" i="2"/>
  <c r="I345" i="2"/>
  <c r="I338" i="2"/>
  <c r="K333" i="2"/>
  <c r="I327" i="2"/>
  <c r="K320" i="2"/>
  <c r="K315" i="2"/>
  <c r="M308" i="2"/>
  <c r="M298" i="2"/>
  <c r="G280" i="2"/>
  <c r="K270" i="2"/>
  <c r="G263" i="2"/>
  <c r="I258" i="2"/>
  <c r="I253" i="2"/>
  <c r="G235" i="2"/>
  <c r="G228" i="2"/>
  <c r="G223" i="2"/>
  <c r="M215" i="2"/>
  <c r="I208" i="2"/>
  <c r="I203" i="2"/>
  <c r="I195" i="2"/>
  <c r="K190" i="2"/>
  <c r="K183" i="2"/>
  <c r="G176" i="2"/>
  <c r="G171" i="2"/>
  <c r="I166" i="2"/>
  <c r="I158" i="2"/>
  <c r="K152" i="2"/>
  <c r="G137" i="2"/>
  <c r="G132" i="2"/>
  <c r="K122" i="2"/>
  <c r="M116" i="2"/>
  <c r="F351" i="2"/>
  <c r="H348" i="2"/>
  <c r="H344" i="2"/>
  <c r="H341" i="2"/>
  <c r="N335" i="2"/>
  <c r="L332" i="2"/>
  <c r="N328" i="2"/>
  <c r="F326" i="2"/>
  <c r="J320" i="2"/>
  <c r="J317" i="2"/>
  <c r="J314" i="2"/>
  <c r="J309" i="2"/>
  <c r="H306" i="2"/>
  <c r="F303" i="2"/>
  <c r="H300" i="2"/>
  <c r="H294" i="2"/>
  <c r="L290" i="2"/>
  <c r="N286" i="2"/>
  <c r="L283" i="2"/>
  <c r="N280" i="2"/>
  <c r="H277" i="2"/>
  <c r="J272" i="2"/>
  <c r="J269" i="2"/>
  <c r="J266" i="2"/>
  <c r="F263" i="2"/>
  <c r="H260" i="2"/>
  <c r="F257" i="2"/>
  <c r="H254" i="2"/>
  <c r="L250" i="2"/>
  <c r="L246" i="2"/>
  <c r="N243" i="2"/>
  <c r="L240" i="2"/>
  <c r="J237" i="2"/>
  <c r="H234" i="2"/>
  <c r="J229" i="2"/>
  <c r="J226" i="2"/>
  <c r="F223" i="2"/>
  <c r="F220" i="2"/>
  <c r="H217" i="2"/>
  <c r="F214" i="2"/>
  <c r="L210" i="2"/>
  <c r="L207" i="2"/>
  <c r="L204" i="2"/>
  <c r="N201" i="2"/>
  <c r="H195" i="2"/>
  <c r="J192" i="2"/>
  <c r="H189" i="2"/>
  <c r="J186" i="2"/>
  <c r="F181" i="2"/>
  <c r="F178" i="2"/>
  <c r="F175" i="2"/>
  <c r="H172" i="2"/>
  <c r="L168" i="2"/>
  <c r="L163" i="2"/>
  <c r="L160" i="2"/>
  <c r="L156" i="2"/>
  <c r="H152" i="2"/>
  <c r="H147" i="2"/>
  <c r="J144" i="2"/>
  <c r="H140" i="2"/>
  <c r="F137" i="2"/>
  <c r="F134" i="2"/>
  <c r="F131" i="2"/>
  <c r="F127" i="2"/>
  <c r="J122" i="2"/>
  <c r="L119" i="2"/>
  <c r="L115" i="2"/>
  <c r="M112" i="2"/>
  <c r="F110" i="2"/>
  <c r="N106" i="2"/>
  <c r="F101" i="2"/>
  <c r="I98" i="2"/>
  <c r="J95" i="2"/>
  <c r="K92" i="2"/>
  <c r="I89" i="2"/>
  <c r="L85" i="2"/>
  <c r="K82" i="2"/>
  <c r="N77" i="2"/>
  <c r="G75" i="2"/>
  <c r="N70" i="2"/>
  <c r="H67" i="2"/>
  <c r="K64" i="2"/>
  <c r="M61" i="2"/>
  <c r="H59" i="2"/>
  <c r="M56" i="2"/>
  <c r="M53" i="2"/>
  <c r="H51" i="2"/>
  <c r="M48" i="2"/>
  <c r="H42" i="2"/>
  <c r="K38" i="2"/>
  <c r="F36" i="2"/>
  <c r="H32" i="2"/>
  <c r="L29" i="2"/>
  <c r="H27" i="2"/>
  <c r="N24" i="2"/>
  <c r="J22" i="2"/>
  <c r="L19" i="2"/>
  <c r="H17" i="2"/>
  <c r="N14" i="2"/>
  <c r="K12" i="2"/>
  <c r="H9" i="2"/>
  <c r="I3" i="2"/>
  <c r="G67" i="2"/>
  <c r="L56" i="2"/>
  <c r="G51" i="2"/>
  <c r="G42" i="2"/>
  <c r="L35" i="2"/>
  <c r="K29" i="2"/>
  <c r="M24" i="2"/>
  <c r="K19" i="2"/>
  <c r="M14" i="2"/>
  <c r="G9" i="2"/>
  <c r="N6" i="2"/>
  <c r="N350" i="2"/>
  <c r="N343" i="2"/>
  <c r="F341" i="2"/>
  <c r="J332" i="2"/>
  <c r="L325" i="2"/>
  <c r="H317" i="2"/>
  <c r="H309" i="2"/>
  <c r="N302" i="2"/>
  <c r="N293" i="2"/>
  <c r="L286" i="2"/>
  <c r="L280" i="2"/>
  <c r="H272" i="2"/>
  <c r="H266" i="2"/>
  <c r="L259" i="2"/>
  <c r="F254" i="2"/>
  <c r="J246" i="2"/>
  <c r="J240" i="2"/>
  <c r="F234" i="2"/>
  <c r="H226" i="2"/>
  <c r="N219" i="2"/>
  <c r="N213" i="2"/>
  <c r="J207" i="2"/>
  <c r="L201" i="2"/>
  <c r="H192" i="2"/>
  <c r="H186" i="2"/>
  <c r="L177" i="2"/>
  <c r="N174" i="2"/>
  <c r="J168" i="2"/>
  <c r="J160" i="2"/>
  <c r="F152" i="2"/>
  <c r="F147" i="2"/>
  <c r="F140" i="2"/>
  <c r="L133" i="2"/>
  <c r="N126" i="2"/>
  <c r="H122" i="2"/>
  <c r="J115" i="2"/>
  <c r="I109" i="2"/>
  <c r="K103" i="2"/>
  <c r="G98" i="2"/>
  <c r="F92" i="2"/>
  <c r="H85" i="2"/>
  <c r="L77" i="2"/>
  <c r="L70" i="2"/>
  <c r="I64" i="2"/>
  <c r="F59" i="2"/>
  <c r="K53" i="2"/>
  <c r="K48" i="2"/>
  <c r="I38" i="2"/>
  <c r="F32" i="2"/>
  <c r="F27" i="2"/>
  <c r="H22" i="2"/>
  <c r="F17" i="2"/>
  <c r="I12" i="2"/>
  <c r="J6" i="2"/>
  <c r="M350" i="2"/>
  <c r="M343" i="2"/>
  <c r="K335" i="2"/>
  <c r="K328" i="2"/>
  <c r="G320" i="2"/>
  <c r="G314" i="2"/>
  <c r="K305" i="2"/>
  <c r="I290" i="2"/>
  <c r="I283" i="2"/>
  <c r="G269" i="2"/>
  <c r="M262" i="2"/>
  <c r="M256" i="2"/>
  <c r="I250" i="2"/>
  <c r="K243" i="2"/>
  <c r="G237" i="2"/>
  <c r="G229" i="2"/>
  <c r="K222" i="2"/>
  <c r="K216" i="2"/>
  <c r="I210" i="2"/>
  <c r="I204" i="2"/>
  <c r="K180" i="2"/>
  <c r="M174" i="2"/>
  <c r="I168" i="2"/>
  <c r="I160" i="2"/>
  <c r="G144" i="2"/>
  <c r="K136" i="2"/>
  <c r="K130" i="2"/>
  <c r="M126" i="2"/>
  <c r="I119" i="2"/>
  <c r="J112" i="2"/>
  <c r="K106" i="2"/>
  <c r="M100" i="2"/>
  <c r="F89" i="2"/>
  <c r="H82" i="2"/>
  <c r="G73" i="2"/>
  <c r="J61" i="2"/>
  <c r="G56" i="2"/>
  <c r="J48" i="2"/>
  <c r="H38" i="2"/>
  <c r="M31" i="2"/>
  <c r="M21" i="2"/>
  <c r="H12" i="2"/>
  <c r="I6" i="2"/>
  <c r="L350" i="2"/>
  <c r="L343" i="2"/>
  <c r="H335" i="2"/>
  <c r="J328" i="2"/>
  <c r="F320" i="2"/>
  <c r="F314" i="2"/>
  <c r="J305" i="2"/>
  <c r="L302" i="2"/>
  <c r="H293" i="2"/>
  <c r="H290" i="2"/>
  <c r="H283" i="2"/>
  <c r="N276" i="2"/>
  <c r="F269" i="2"/>
  <c r="L262" i="2"/>
  <c r="L256" i="2"/>
  <c r="H250" i="2"/>
  <c r="H246" i="2"/>
  <c r="N239" i="2"/>
  <c r="F237" i="2"/>
  <c r="F229" i="2"/>
  <c r="J222" i="2"/>
  <c r="J216" i="2"/>
  <c r="F210" i="2"/>
  <c r="H207" i="2"/>
  <c r="L200" i="2"/>
  <c r="F192" i="2"/>
  <c r="J183" i="2"/>
  <c r="J177" i="2"/>
  <c r="F171" i="2"/>
  <c r="F163" i="2"/>
  <c r="N155" i="2"/>
  <c r="N146" i="2"/>
  <c r="J139" i="2"/>
  <c r="J133" i="2"/>
  <c r="F126" i="2"/>
  <c r="H119" i="2"/>
  <c r="I112" i="2"/>
  <c r="H106" i="2"/>
  <c r="I103" i="2"/>
  <c r="L91" i="2"/>
  <c r="F85" i="2"/>
  <c r="G82" i="2"/>
  <c r="F73" i="2"/>
  <c r="M66" i="2"/>
  <c r="G64" i="2"/>
  <c r="N58" i="2"/>
  <c r="I53" i="2"/>
  <c r="I48" i="2"/>
  <c r="N37" i="2"/>
  <c r="L31" i="2"/>
  <c r="N26" i="2"/>
  <c r="L21" i="2"/>
  <c r="N16" i="2"/>
  <c r="G12" i="2"/>
  <c r="H6" i="2"/>
  <c r="K350" i="2"/>
  <c r="K343" i="2"/>
  <c r="G335" i="2"/>
  <c r="I328" i="2"/>
  <c r="I305" i="2"/>
  <c r="K299" i="2"/>
  <c r="G290" i="2"/>
  <c r="G283" i="2"/>
  <c r="M276" i="2"/>
  <c r="K262" i="2"/>
  <c r="K256" i="2"/>
  <c r="G348" i="2"/>
  <c r="G344" i="2"/>
  <c r="G341" i="2"/>
  <c r="M335" i="2"/>
  <c r="K332" i="2"/>
  <c r="M328" i="2"/>
  <c r="I320" i="2"/>
  <c r="I317" i="2"/>
  <c r="I314" i="2"/>
  <c r="I309" i="2"/>
  <c r="G306" i="2"/>
  <c r="G300" i="2"/>
  <c r="G294" i="2"/>
  <c r="K290" i="2"/>
  <c r="M286" i="2"/>
  <c r="K283" i="2"/>
  <c r="M280" i="2"/>
  <c r="G277" i="2"/>
  <c r="I272" i="2"/>
  <c r="I269" i="2"/>
  <c r="I266" i="2"/>
  <c r="G260" i="2"/>
  <c r="G254" i="2"/>
  <c r="K250" i="2"/>
  <c r="K246" i="2"/>
  <c r="M243" i="2"/>
  <c r="K240" i="2"/>
  <c r="I237" i="2"/>
  <c r="G234" i="2"/>
  <c r="I229" i="2"/>
  <c r="I226" i="2"/>
  <c r="G217" i="2"/>
  <c r="K210" i="2"/>
  <c r="K207" i="2"/>
  <c r="K204" i="2"/>
  <c r="M201" i="2"/>
  <c r="G195" i="2"/>
  <c r="I192" i="2"/>
  <c r="G189" i="2"/>
  <c r="I186" i="2"/>
  <c r="G172" i="2"/>
  <c r="K168" i="2"/>
  <c r="K163" i="2"/>
  <c r="K160" i="2"/>
  <c r="K156" i="2"/>
  <c r="G152" i="2"/>
  <c r="G147" i="2"/>
  <c r="I144" i="2"/>
  <c r="G140" i="2"/>
  <c r="I122" i="2"/>
  <c r="K119" i="2"/>
  <c r="K115" i="2"/>
  <c r="L112" i="2"/>
  <c r="M106" i="2"/>
  <c r="L103" i="2"/>
  <c r="H98" i="2"/>
  <c r="I95" i="2"/>
  <c r="G92" i="2"/>
  <c r="H89" i="2"/>
  <c r="K85" i="2"/>
  <c r="J82" i="2"/>
  <c r="M77" i="2"/>
  <c r="F75" i="2"/>
  <c r="M70" i="2"/>
  <c r="J64" i="2"/>
  <c r="L61" i="2"/>
  <c r="G59" i="2"/>
  <c r="L53" i="2"/>
  <c r="L48" i="2"/>
  <c r="J38" i="2"/>
  <c r="G32" i="2"/>
  <c r="G27" i="2"/>
  <c r="I22" i="2"/>
  <c r="G17" i="2"/>
  <c r="J12" i="2"/>
  <c r="H3" i="2"/>
  <c r="F348" i="2"/>
  <c r="L335" i="2"/>
  <c r="L328" i="2"/>
  <c r="H320" i="2"/>
  <c r="H314" i="2"/>
  <c r="L305" i="2"/>
  <c r="F300" i="2"/>
  <c r="J290" i="2"/>
  <c r="J283" i="2"/>
  <c r="F277" i="2"/>
  <c r="H269" i="2"/>
  <c r="N262" i="2"/>
  <c r="N256" i="2"/>
  <c r="J250" i="2"/>
  <c r="L243" i="2"/>
  <c r="H237" i="2"/>
  <c r="H229" i="2"/>
  <c r="L222" i="2"/>
  <c r="L216" i="2"/>
  <c r="J210" i="2"/>
  <c r="J204" i="2"/>
  <c r="F195" i="2"/>
  <c r="F189" i="2"/>
  <c r="L180" i="2"/>
  <c r="L171" i="2"/>
  <c r="J163" i="2"/>
  <c r="J156" i="2"/>
  <c r="H144" i="2"/>
  <c r="L136" i="2"/>
  <c r="L130" i="2"/>
  <c r="J119" i="2"/>
  <c r="K112" i="2"/>
  <c r="L106" i="2"/>
  <c r="N100" i="2"/>
  <c r="F95" i="2"/>
  <c r="G89" i="2"/>
  <c r="I82" i="2"/>
  <c r="F67" i="2"/>
  <c r="K61" i="2"/>
  <c r="H56" i="2"/>
  <c r="F51" i="2"/>
  <c r="F42" i="2"/>
  <c r="K35" i="2"/>
  <c r="J29" i="2"/>
  <c r="L24" i="2"/>
  <c r="J19" i="2"/>
  <c r="L14" i="2"/>
  <c r="F9" i="2"/>
  <c r="G3" i="2"/>
  <c r="I332" i="2"/>
  <c r="K325" i="2"/>
  <c r="G317" i="2"/>
  <c r="G309" i="2"/>
  <c r="M302" i="2"/>
  <c r="M293" i="2"/>
  <c r="K286" i="2"/>
  <c r="K280" i="2"/>
  <c r="G272" i="2"/>
  <c r="G266" i="2"/>
  <c r="K259" i="2"/>
  <c r="I246" i="2"/>
  <c r="I240" i="2"/>
  <c r="G226" i="2"/>
  <c r="M219" i="2"/>
  <c r="M213" i="2"/>
  <c r="I207" i="2"/>
  <c r="K201" i="2"/>
  <c r="G192" i="2"/>
  <c r="G186" i="2"/>
  <c r="K177" i="2"/>
  <c r="K171" i="2"/>
  <c r="I163" i="2"/>
  <c r="I156" i="2"/>
  <c r="K133" i="2"/>
  <c r="G122" i="2"/>
  <c r="I115" i="2"/>
  <c r="H109" i="2"/>
  <c r="J103" i="2"/>
  <c r="F98" i="2"/>
  <c r="G85" i="2"/>
  <c r="K77" i="2"/>
  <c r="K70" i="2"/>
  <c r="H64" i="2"/>
  <c r="J53" i="2"/>
  <c r="M41" i="2"/>
  <c r="J35" i="2"/>
  <c r="I29" i="2"/>
  <c r="K24" i="2"/>
  <c r="I19" i="2"/>
  <c r="K14" i="2"/>
  <c r="F3" i="2"/>
  <c r="L346" i="2"/>
  <c r="H338" i="2"/>
  <c r="H332" i="2"/>
  <c r="N324" i="2"/>
  <c r="F317" i="2"/>
  <c r="L308" i="2"/>
  <c r="L299" i="2"/>
  <c r="H286" i="2"/>
  <c r="F280" i="2"/>
  <c r="F272" i="2"/>
  <c r="J265" i="2"/>
  <c r="J259" i="2"/>
  <c r="F253" i="2"/>
  <c r="H243" i="2"/>
  <c r="N233" i="2"/>
  <c r="J225" i="2"/>
  <c r="L219" i="2"/>
  <c r="H213" i="2"/>
  <c r="H204" i="2"/>
  <c r="N194" i="2"/>
  <c r="N188" i="2"/>
  <c r="J180" i="2"/>
  <c r="L174" i="2"/>
  <c r="H168" i="2"/>
  <c r="H160" i="2"/>
  <c r="L150" i="2"/>
  <c r="F144" i="2"/>
  <c r="J136" i="2"/>
  <c r="J130" i="2"/>
  <c r="F122" i="2"/>
  <c r="F115" i="2"/>
  <c r="G109" i="2"/>
  <c r="L100" i="2"/>
  <c r="K94" i="2"/>
  <c r="J77" i="2"/>
  <c r="J70" i="2"/>
  <c r="I61" i="2"/>
  <c r="F56" i="2"/>
  <c r="N50" i="2"/>
  <c r="L41" i="2"/>
  <c r="I35" i="2"/>
  <c r="H29" i="2"/>
  <c r="J24" i="2"/>
  <c r="H19" i="2"/>
  <c r="J14" i="2"/>
  <c r="N8" i="2"/>
  <c r="K346" i="2"/>
  <c r="G338" i="2"/>
  <c r="G332" i="2"/>
  <c r="M324" i="2"/>
  <c r="K308" i="2"/>
  <c r="K302" i="2"/>
  <c r="G293" i="2"/>
  <c r="G286" i="2"/>
  <c r="I265" i="2"/>
  <c r="I259" i="2"/>
  <c r="J350" i="2"/>
  <c r="H345" i="2"/>
  <c r="J341" i="2"/>
  <c r="J334" i="2"/>
  <c r="H329" i="2"/>
  <c r="J324" i="2"/>
  <c r="L318" i="2"/>
  <c r="L311" i="2"/>
  <c r="J307" i="2"/>
  <c r="H303" i="2"/>
  <c r="J298" i="2"/>
  <c r="L291" i="2"/>
  <c r="L285" i="2"/>
  <c r="J281" i="2"/>
  <c r="L276" i="2"/>
  <c r="J270" i="2"/>
  <c r="N266" i="2"/>
  <c r="L261" i="2"/>
  <c r="J257" i="2"/>
  <c r="M252" i="2"/>
  <c r="H248" i="2"/>
  <c r="G244" i="2"/>
  <c r="K239" i="2"/>
  <c r="N235" i="2"/>
  <c r="M229" i="2"/>
  <c r="G225" i="2"/>
  <c r="L221" i="2"/>
  <c r="K217" i="2"/>
  <c r="H209" i="2"/>
  <c r="G205" i="2"/>
  <c r="I200" i="2"/>
  <c r="L193" i="2"/>
  <c r="G183" i="2"/>
  <c r="J179" i="2"/>
  <c r="I175" i="2"/>
  <c r="M170" i="2"/>
  <c r="F167" i="2"/>
  <c r="G161" i="2"/>
  <c r="I155" i="2"/>
  <c r="N149" i="2"/>
  <c r="M144" i="2"/>
  <c r="G139" i="2"/>
  <c r="J135" i="2"/>
  <c r="I131" i="2"/>
  <c r="K125" i="2"/>
  <c r="H121" i="2"/>
  <c r="G116" i="2"/>
  <c r="K111" i="2"/>
  <c r="G108" i="2"/>
  <c r="J104" i="2"/>
  <c r="I100" i="2"/>
  <c r="J96" i="2"/>
  <c r="N92" i="2"/>
  <c r="J88" i="2"/>
  <c r="M83" i="2"/>
  <c r="G78" i="2"/>
  <c r="M72" i="2"/>
  <c r="K68" i="2"/>
  <c r="F61" i="2"/>
  <c r="K57" i="2"/>
  <c r="K54" i="2"/>
  <c r="K50" i="2"/>
  <c r="F47" i="2"/>
  <c r="F39" i="2"/>
  <c r="F35" i="2"/>
  <c r="N30" i="2"/>
  <c r="K27" i="2"/>
  <c r="M23" i="2"/>
  <c r="N20" i="2"/>
  <c r="K17" i="2"/>
  <c r="G14" i="2"/>
  <c r="F11" i="2"/>
  <c r="H7" i="2"/>
  <c r="I88" i="2"/>
  <c r="J68" i="2"/>
  <c r="L60" i="2"/>
  <c r="J54" i="2"/>
  <c r="M38" i="2"/>
  <c r="M30" i="2"/>
  <c r="L23" i="2"/>
  <c r="J17" i="2"/>
  <c r="H350" i="2"/>
  <c r="F338" i="2"/>
  <c r="F329" i="2"/>
  <c r="F318" i="2"/>
  <c r="H307" i="2"/>
  <c r="H298" i="2"/>
  <c r="J285" i="2"/>
  <c r="J276" i="2"/>
  <c r="H265" i="2"/>
  <c r="H257" i="2"/>
  <c r="K252" i="2"/>
  <c r="L235" i="2"/>
  <c r="I217" i="2"/>
  <c r="F209" i="2"/>
  <c r="G200" i="2"/>
  <c r="K189" i="2"/>
  <c r="H179" i="2"/>
  <c r="K170" i="2"/>
  <c r="M160" i="2"/>
  <c r="L149" i="2"/>
  <c r="G131" i="2"/>
  <c r="F121" i="2"/>
  <c r="I111" i="2"/>
  <c r="F104" i="2"/>
  <c r="H96" i="2"/>
  <c r="H88" i="2"/>
  <c r="I68" i="2"/>
  <c r="K60" i="2"/>
  <c r="F54" i="2"/>
  <c r="N42" i="2"/>
  <c r="L34" i="2"/>
  <c r="I27" i="2"/>
  <c r="L20" i="2"/>
  <c r="F7" i="2"/>
  <c r="G334" i="2"/>
  <c r="G324" i="2"/>
  <c r="I302" i="2"/>
  <c r="I291" i="2"/>
  <c r="G281" i="2"/>
  <c r="G270" i="2"/>
  <c r="I261" i="2"/>
  <c r="J252" i="2"/>
  <c r="G243" i="2"/>
  <c r="K235" i="2"/>
  <c r="G221" i="2"/>
  <c r="H212" i="2"/>
  <c r="G204" i="2"/>
  <c r="I193" i="2"/>
  <c r="L182" i="2"/>
  <c r="K174" i="2"/>
  <c r="M166" i="2"/>
  <c r="F155" i="2"/>
  <c r="G135" i="2"/>
  <c r="H125" i="2"/>
  <c r="L107" i="2"/>
  <c r="I99" i="2"/>
  <c r="K91" i="2"/>
  <c r="J83" i="2"/>
  <c r="J72" i="2"/>
  <c r="N63" i="2"/>
  <c r="H57" i="2"/>
  <c r="H50" i="2"/>
  <c r="M37" i="2"/>
  <c r="H30" i="2"/>
  <c r="J23" i="2"/>
  <c r="M16" i="2"/>
  <c r="N13" i="2"/>
  <c r="G6" i="2"/>
  <c r="L344" i="2"/>
  <c r="F334" i="2"/>
  <c r="F324" i="2"/>
  <c r="N310" i="2"/>
  <c r="H302" i="2"/>
  <c r="F290" i="2"/>
  <c r="F281" i="2"/>
  <c r="F270" i="2"/>
  <c r="H261" i="2"/>
  <c r="I252" i="2"/>
  <c r="F243" i="2"/>
  <c r="G239" i="2"/>
  <c r="L228" i="2"/>
  <c r="J220" i="2"/>
  <c r="H216" i="2"/>
  <c r="H208" i="2"/>
  <c r="L188" i="2"/>
  <c r="J178" i="2"/>
  <c r="I170" i="2"/>
  <c r="F160" i="2"/>
  <c r="L147" i="2"/>
  <c r="K138" i="2"/>
  <c r="H130" i="2"/>
  <c r="F120" i="2"/>
  <c r="G111" i="2"/>
  <c r="G103" i="2"/>
  <c r="F96" i="2"/>
  <c r="F88" i="2"/>
  <c r="I60" i="2"/>
  <c r="G53" i="2"/>
  <c r="L42" i="2"/>
  <c r="J34" i="2"/>
  <c r="L26" i="2"/>
  <c r="J20" i="2"/>
  <c r="J13" i="2"/>
  <c r="F6" i="2"/>
  <c r="K344" i="2"/>
  <c r="M310" i="2"/>
  <c r="G302" i="2"/>
  <c r="G261" i="2"/>
  <c r="H252" i="2"/>
  <c r="J224" i="2"/>
  <c r="G216" i="2"/>
  <c r="G208" i="2"/>
  <c r="N199" i="2"/>
  <c r="K188" i="2"/>
  <c r="I178" i="2"/>
  <c r="I174" i="2"/>
  <c r="G166" i="2"/>
  <c r="K147" i="2"/>
  <c r="J138" i="2"/>
  <c r="G130" i="2"/>
  <c r="F111" i="2"/>
  <c r="F103" i="2"/>
  <c r="J76" i="2"/>
  <c r="K67" i="2"/>
  <c r="H60" i="2"/>
  <c r="F53" i="2"/>
  <c r="K42" i="2"/>
  <c r="I34" i="2"/>
  <c r="K26" i="2"/>
  <c r="I20" i="2"/>
  <c r="I13" i="2"/>
  <c r="J344" i="2"/>
  <c r="J333" i="2"/>
  <c r="H327" i="2"/>
  <c r="L316" i="2"/>
  <c r="N306" i="2"/>
  <c r="L294" i="2"/>
  <c r="L284" i="2"/>
  <c r="J279" i="2"/>
  <c r="L269" i="2"/>
  <c r="L260" i="2"/>
  <c r="G252" i="2"/>
  <c r="H242" i="2"/>
  <c r="L234" i="2"/>
  <c r="I224" i="2"/>
  <c r="H220" i="2"/>
  <c r="H203" i="2"/>
  <c r="L192" i="2"/>
  <c r="I182" i="2"/>
  <c r="J173" i="2"/>
  <c r="F166" i="2"/>
  <c r="K153" i="2"/>
  <c r="N141" i="2"/>
  <c r="H134" i="2"/>
  <c r="N119" i="2"/>
  <c r="I107" i="2"/>
  <c r="F99" i="2"/>
  <c r="H91" i="2"/>
  <c r="G72" i="2"/>
  <c r="J67" i="2"/>
  <c r="G60" i="2"/>
  <c r="J49" i="2"/>
  <c r="J37" i="2"/>
  <c r="N29" i="2"/>
  <c r="G23" i="2"/>
  <c r="J16" i="2"/>
  <c r="J9" i="2"/>
  <c r="K349" i="2"/>
  <c r="I337" i="2"/>
  <c r="G327" i="2"/>
  <c r="K316" i="2"/>
  <c r="M306" i="2"/>
  <c r="M289" i="2"/>
  <c r="I279" i="2"/>
  <c r="K269" i="2"/>
  <c r="K260" i="2"/>
  <c r="F252" i="2"/>
  <c r="G242" i="2"/>
  <c r="K234" i="2"/>
  <c r="M227" i="2"/>
  <c r="G220" i="2"/>
  <c r="N211" i="2"/>
  <c r="G203" i="2"/>
  <c r="K192" i="2"/>
  <c r="H182" i="2"/>
  <c r="I173" i="2"/>
  <c r="G158" i="2"/>
  <c r="I147" i="2"/>
  <c r="F138" i="2"/>
  <c r="G134" i="2"/>
  <c r="N124" i="2"/>
  <c r="H114" i="2"/>
  <c r="L110" i="2"/>
  <c r="N102" i="2"/>
  <c r="K95" i="2"/>
  <c r="G91" i="2"/>
  <c r="L82" i="2"/>
  <c r="F72" i="2"/>
  <c r="J63" i="2"/>
  <c r="N56" i="2"/>
  <c r="I49" i="2"/>
  <c r="I37" i="2"/>
  <c r="M29" i="2"/>
  <c r="F23" i="2"/>
  <c r="I16" i="2"/>
  <c r="I9" i="2"/>
  <c r="H349" i="2"/>
  <c r="H337" i="2"/>
  <c r="F327" i="2"/>
  <c r="J316" i="2"/>
  <c r="H305" i="2"/>
  <c r="J294" i="2"/>
  <c r="J284" i="2"/>
  <c r="L273" i="2"/>
  <c r="L268" i="2"/>
  <c r="J260" i="2"/>
  <c r="G246" i="2"/>
  <c r="I238" i="2"/>
  <c r="L227" i="2"/>
  <c r="K219" i="2"/>
  <c r="M211" i="2"/>
  <c r="F203" i="2"/>
  <c r="G182" i="2"/>
  <c r="H173" i="2"/>
  <c r="I153" i="2"/>
  <c r="L141" i="2"/>
  <c r="I133" i="2"/>
  <c r="M124" i="2"/>
  <c r="G114" i="2"/>
  <c r="G106" i="2"/>
  <c r="M102" i="2"/>
  <c r="J94" i="2"/>
  <c r="G86" i="2"/>
  <c r="G76" i="2"/>
  <c r="L66" i="2"/>
  <c r="M59" i="2"/>
  <c r="M52" i="2"/>
  <c r="K41" i="2"/>
  <c r="F34" i="2"/>
  <c r="N25" i="2"/>
  <c r="G19" i="2"/>
  <c r="F13" i="2"/>
  <c r="L4" i="2"/>
  <c r="I343" i="2"/>
  <c r="I316" i="2"/>
  <c r="G310" i="2"/>
  <c r="I289" i="2"/>
  <c r="I284" i="2"/>
  <c r="K273" i="2"/>
  <c r="K268" i="2"/>
  <c r="I260" i="2"/>
  <c r="L251" i="2"/>
  <c r="L233" i="2"/>
  <c r="F224" i="2"/>
  <c r="I215" i="2"/>
  <c r="F207" i="2"/>
  <c r="J199" i="2"/>
  <c r="K187" i="2"/>
  <c r="H177" i="2"/>
  <c r="J169" i="2"/>
  <c r="L146" i="2"/>
  <c r="N137" i="2"/>
  <c r="G129" i="2"/>
  <c r="L124" i="2"/>
  <c r="F114" i="2"/>
  <c r="F106" i="2"/>
  <c r="M98" i="2"/>
  <c r="M71" i="2"/>
  <c r="L55" i="2"/>
  <c r="G49" i="2"/>
  <c r="G37" i="2"/>
  <c r="F29" i="2"/>
  <c r="N22" i="2"/>
  <c r="G16" i="2"/>
  <c r="I8" i="2"/>
  <c r="L348" i="2"/>
  <c r="F337" i="2"/>
  <c r="N326" i="2"/>
  <c r="H316" i="2"/>
  <c r="F305" i="2"/>
  <c r="F293" i="2"/>
  <c r="H289" i="2"/>
  <c r="F279" i="2"/>
  <c r="N272" i="2"/>
  <c r="H264" i="2"/>
  <c r="F255" i="2"/>
  <c r="G238" i="2"/>
  <c r="J227" i="2"/>
  <c r="I219" i="2"/>
  <c r="K211" i="2"/>
  <c r="L202" i="2"/>
  <c r="I191" i="2"/>
  <c r="F173" i="2"/>
  <c r="M162" i="2"/>
  <c r="G153" i="2"/>
  <c r="J141" i="2"/>
  <c r="G133" i="2"/>
  <c r="K124" i="2"/>
  <c r="K102" i="2"/>
  <c r="H94" i="2"/>
  <c r="J66" i="2"/>
  <c r="K59" i="2"/>
  <c r="K52" i="2"/>
  <c r="F49" i="2"/>
  <c r="F37" i="2"/>
  <c r="M22" i="2"/>
  <c r="F16" i="2"/>
  <c r="H8" i="2"/>
  <c r="K348" i="2"/>
  <c r="M326" i="2"/>
  <c r="G316" i="2"/>
  <c r="M272" i="2"/>
  <c r="G264" i="2"/>
  <c r="N245" i="2"/>
  <c r="M241" i="2"/>
  <c r="J233" i="2"/>
  <c r="N223" i="2"/>
  <c r="F219" i="2"/>
  <c r="J211" i="2"/>
  <c r="K202" i="2"/>
  <c r="H191" i="2"/>
  <c r="I187" i="2"/>
  <c r="F177" i="2"/>
  <c r="H169" i="2"/>
  <c r="K157" i="2"/>
  <c r="J146" i="2"/>
  <c r="L137" i="2"/>
  <c r="L117" i="2"/>
  <c r="H110" i="2"/>
  <c r="G102" i="2"/>
  <c r="G94" i="2"/>
  <c r="N85" i="2"/>
  <c r="N75" i="2"/>
  <c r="I66" i="2"/>
  <c r="J59" i="2"/>
  <c r="J52" i="2"/>
  <c r="J32" i="2"/>
  <c r="K25" i="2"/>
  <c r="N18" i="2"/>
  <c r="M12" i="2"/>
  <c r="I4" i="2"/>
  <c r="J342" i="2"/>
  <c r="N331" i="2"/>
  <c r="L319" i="2"/>
  <c r="L309" i="2"/>
  <c r="L300" i="2"/>
  <c r="F289" i="2"/>
  <c r="N278" i="2"/>
  <c r="L267" i="2"/>
  <c r="F259" i="2"/>
  <c r="I251" i="2"/>
  <c r="L241" i="2"/>
  <c r="I233" i="2"/>
  <c r="M223" i="2"/>
  <c r="F215" i="2"/>
  <c r="K206" i="2"/>
  <c r="F187" i="2"/>
  <c r="G169" i="2"/>
  <c r="J157" i="2"/>
  <c r="I146" i="2"/>
  <c r="K137" i="2"/>
  <c r="L127" i="2"/>
  <c r="K117" i="2"/>
  <c r="G110" i="2"/>
  <c r="L101" i="2"/>
  <c r="F94" i="2"/>
  <c r="I350" i="2"/>
  <c r="G345" i="2"/>
  <c r="I341" i="2"/>
  <c r="I334" i="2"/>
  <c r="G329" i="2"/>
  <c r="I324" i="2"/>
  <c r="K318" i="2"/>
  <c r="K311" i="2"/>
  <c r="I307" i="2"/>
  <c r="G303" i="2"/>
  <c r="I298" i="2"/>
  <c r="K291" i="2"/>
  <c r="K285" i="2"/>
  <c r="I281" i="2"/>
  <c r="K276" i="2"/>
  <c r="I270" i="2"/>
  <c r="M266" i="2"/>
  <c r="K261" i="2"/>
  <c r="I257" i="2"/>
  <c r="L252" i="2"/>
  <c r="G248" i="2"/>
  <c r="F244" i="2"/>
  <c r="J239" i="2"/>
  <c r="M235" i="2"/>
  <c r="L229" i="2"/>
  <c r="F225" i="2"/>
  <c r="K221" i="2"/>
  <c r="J217" i="2"/>
  <c r="L212" i="2"/>
  <c r="G209" i="2"/>
  <c r="F205" i="2"/>
  <c r="H200" i="2"/>
  <c r="K193" i="2"/>
  <c r="L189" i="2"/>
  <c r="N182" i="2"/>
  <c r="I179" i="2"/>
  <c r="H175" i="2"/>
  <c r="L170" i="2"/>
  <c r="N160" i="2"/>
  <c r="H155" i="2"/>
  <c r="M149" i="2"/>
  <c r="L144" i="2"/>
  <c r="F139" i="2"/>
  <c r="I135" i="2"/>
  <c r="H131" i="2"/>
  <c r="J125" i="2"/>
  <c r="G121" i="2"/>
  <c r="F116" i="2"/>
  <c r="J111" i="2"/>
  <c r="F108" i="2"/>
  <c r="I104" i="2"/>
  <c r="H100" i="2"/>
  <c r="I96" i="2"/>
  <c r="M92" i="2"/>
  <c r="L83" i="2"/>
  <c r="F78" i="2"/>
  <c r="L72" i="2"/>
  <c r="M64" i="2"/>
  <c r="J57" i="2"/>
  <c r="J50" i="2"/>
  <c r="M34" i="2"/>
  <c r="J27" i="2"/>
  <c r="M20" i="2"/>
  <c r="F14" i="2"/>
  <c r="G7" i="2"/>
  <c r="F345" i="2"/>
  <c r="H334" i="2"/>
  <c r="H324" i="2"/>
  <c r="F311" i="2"/>
  <c r="J302" i="2"/>
  <c r="J291" i="2"/>
  <c r="H281" i="2"/>
  <c r="H270" i="2"/>
  <c r="J261" i="2"/>
  <c r="F248" i="2"/>
  <c r="I239" i="2"/>
  <c r="K229" i="2"/>
  <c r="H221" i="2"/>
  <c r="K212" i="2"/>
  <c r="J193" i="2"/>
  <c r="M182" i="2"/>
  <c r="G175" i="2"/>
  <c r="N166" i="2"/>
  <c r="G155" i="2"/>
  <c r="K144" i="2"/>
  <c r="H135" i="2"/>
  <c r="I125" i="2"/>
  <c r="G100" i="2"/>
  <c r="L92" i="2"/>
  <c r="K83" i="2"/>
  <c r="K72" i="2"/>
  <c r="L64" i="2"/>
  <c r="I57" i="2"/>
  <c r="I50" i="2"/>
  <c r="L38" i="2"/>
  <c r="L30" i="2"/>
  <c r="K23" i="2"/>
  <c r="I17" i="2"/>
  <c r="N9" i="2"/>
  <c r="G350" i="2"/>
  <c r="G307" i="2"/>
  <c r="G298" i="2"/>
  <c r="I285" i="2"/>
  <c r="I276" i="2"/>
  <c r="G265" i="2"/>
  <c r="G257" i="2"/>
  <c r="H239" i="2"/>
  <c r="L224" i="2"/>
  <c r="I216" i="2"/>
  <c r="F200" i="2"/>
  <c r="M188" i="2"/>
  <c r="G179" i="2"/>
  <c r="J170" i="2"/>
  <c r="G160" i="2"/>
  <c r="K149" i="2"/>
  <c r="L138" i="2"/>
  <c r="I130" i="2"/>
  <c r="H111" i="2"/>
  <c r="H103" i="2"/>
  <c r="G96" i="2"/>
  <c r="G88" i="2"/>
  <c r="I77" i="2"/>
  <c r="F68" i="2"/>
  <c r="J60" i="2"/>
  <c r="H53" i="2"/>
  <c r="M42" i="2"/>
  <c r="K34" i="2"/>
  <c r="M26" i="2"/>
  <c r="K20" i="2"/>
  <c r="M9" i="2"/>
  <c r="F350" i="2"/>
  <c r="N337" i="2"/>
  <c r="H328" i="2"/>
  <c r="L317" i="2"/>
  <c r="F307" i="2"/>
  <c r="F298" i="2"/>
  <c r="N284" i="2"/>
  <c r="H276" i="2"/>
  <c r="F265" i="2"/>
  <c r="J256" i="2"/>
  <c r="H247" i="2"/>
  <c r="F235" i="2"/>
  <c r="K224" i="2"/>
  <c r="G212" i="2"/>
  <c r="F204" i="2"/>
  <c r="N192" i="2"/>
  <c r="K182" i="2"/>
  <c r="J174" i="2"/>
  <c r="H166" i="2"/>
  <c r="J142" i="2"/>
  <c r="J134" i="2"/>
  <c r="G125" i="2"/>
  <c r="N114" i="2"/>
  <c r="K107" i="2"/>
  <c r="H99" i="2"/>
  <c r="J91" i="2"/>
  <c r="I83" i="2"/>
  <c r="I72" i="2"/>
  <c r="M63" i="2"/>
  <c r="G57" i="2"/>
  <c r="G50" i="2"/>
  <c r="L37" i="2"/>
  <c r="G30" i="2"/>
  <c r="I23" i="2"/>
  <c r="L16" i="2"/>
  <c r="L9" i="2"/>
  <c r="M337" i="2"/>
  <c r="G328" i="2"/>
  <c r="K317" i="2"/>
  <c r="M284" i="2"/>
  <c r="G276" i="2"/>
  <c r="I256" i="2"/>
  <c r="G247" i="2"/>
  <c r="L238" i="2"/>
  <c r="K228" i="2"/>
  <c r="I220" i="2"/>
  <c r="F212" i="2"/>
  <c r="M192" i="2"/>
  <c r="J182" i="2"/>
  <c r="H170" i="2"/>
  <c r="L153" i="2"/>
  <c r="I142" i="2"/>
  <c r="I134" i="2"/>
  <c r="F125" i="2"/>
  <c r="M114" i="2"/>
  <c r="J107" i="2"/>
  <c r="G99" i="2"/>
  <c r="I91" i="2"/>
  <c r="F83" i="2"/>
  <c r="H72" i="2"/>
  <c r="L63" i="2"/>
  <c r="F57" i="2"/>
  <c r="F50" i="2"/>
  <c r="K37" i="2"/>
  <c r="F30" i="2"/>
  <c r="H23" i="2"/>
  <c r="K16" i="2"/>
  <c r="K9" i="2"/>
  <c r="L349" i="2"/>
  <c r="J337" i="2"/>
  <c r="L321" i="2"/>
  <c r="L310" i="2"/>
  <c r="F302" i="2"/>
  <c r="N289" i="2"/>
  <c r="F276" i="2"/>
  <c r="N264" i="2"/>
  <c r="L255" i="2"/>
  <c r="F247" i="2"/>
  <c r="K238" i="2"/>
  <c r="N227" i="2"/>
  <c r="L215" i="2"/>
  <c r="N207" i="2"/>
  <c r="M199" i="2"/>
  <c r="F188" i="2"/>
  <c r="H178" i="2"/>
  <c r="G170" i="2"/>
  <c r="H158" i="2"/>
  <c r="J147" i="2"/>
  <c r="I138" i="2"/>
  <c r="L129" i="2"/>
  <c r="I114" i="2"/>
  <c r="L95" i="2"/>
  <c r="L86" i="2"/>
  <c r="I76" i="2"/>
  <c r="K63" i="2"/>
  <c r="J42" i="2"/>
  <c r="H34" i="2"/>
  <c r="J26" i="2"/>
  <c r="H20" i="2"/>
  <c r="H13" i="2"/>
  <c r="N4" i="2"/>
  <c r="I344" i="2"/>
  <c r="I333" i="2"/>
  <c r="K321" i="2"/>
  <c r="K310" i="2"/>
  <c r="K294" i="2"/>
  <c r="K284" i="2"/>
  <c r="M264" i="2"/>
  <c r="K255" i="2"/>
  <c r="J238" i="2"/>
  <c r="H224" i="2"/>
  <c r="K215" i="2"/>
  <c r="M207" i="2"/>
  <c r="L199" i="2"/>
  <c r="G178" i="2"/>
  <c r="F170" i="2"/>
  <c r="J153" i="2"/>
  <c r="M141" i="2"/>
  <c r="K129" i="2"/>
  <c r="M119" i="2"/>
  <c r="K86" i="2"/>
  <c r="H76" i="2"/>
  <c r="I67" i="2"/>
  <c r="F60" i="2"/>
  <c r="N52" i="2"/>
  <c r="I42" i="2"/>
  <c r="G34" i="2"/>
  <c r="F26" i="2"/>
  <c r="G20" i="2"/>
  <c r="G13" i="2"/>
  <c r="M4" i="2"/>
  <c r="J343" i="2"/>
  <c r="F333" i="2"/>
  <c r="J321" i="2"/>
  <c r="H310" i="2"/>
  <c r="F301" i="2"/>
  <c r="J289" i="2"/>
  <c r="H279" i="2"/>
  <c r="L264" i="2"/>
  <c r="H255" i="2"/>
  <c r="F242" i="2"/>
  <c r="M233" i="2"/>
  <c r="G224" i="2"/>
  <c r="J215" i="2"/>
  <c r="G207" i="2"/>
  <c r="K199" i="2"/>
  <c r="L187" i="2"/>
  <c r="I177" i="2"/>
  <c r="F158" i="2"/>
  <c r="M146" i="2"/>
  <c r="H129" i="2"/>
  <c r="G119" i="2"/>
  <c r="K110" i="2"/>
  <c r="N98" i="2"/>
  <c r="F91" i="2"/>
  <c r="F82" i="2"/>
  <c r="I63" i="2"/>
  <c r="M55" i="2"/>
  <c r="H49" i="2"/>
  <c r="H37" i="2"/>
  <c r="G29" i="2"/>
  <c r="H16" i="2"/>
  <c r="J8" i="2"/>
  <c r="G349" i="2"/>
  <c r="G337" i="2"/>
  <c r="I321" i="2"/>
  <c r="G305" i="2"/>
  <c r="I294" i="2"/>
  <c r="G279" i="2"/>
  <c r="K264" i="2"/>
  <c r="G255" i="2"/>
  <c r="F246" i="2"/>
  <c r="H238" i="2"/>
  <c r="K227" i="2"/>
  <c r="J219" i="2"/>
  <c r="L211" i="2"/>
  <c r="J191" i="2"/>
  <c r="F182" i="2"/>
  <c r="G173" i="2"/>
  <c r="N162" i="2"/>
  <c r="H153" i="2"/>
  <c r="K141" i="2"/>
  <c r="H133" i="2"/>
  <c r="F119" i="2"/>
  <c r="J110" i="2"/>
  <c r="L102" i="2"/>
  <c r="I94" i="2"/>
  <c r="F86" i="2"/>
  <c r="F76" i="2"/>
  <c r="K66" i="2"/>
  <c r="L59" i="2"/>
  <c r="L52" i="2"/>
  <c r="J41" i="2"/>
  <c r="M25" i="2"/>
  <c r="F19" i="2"/>
  <c r="K4" i="2"/>
  <c r="L342" i="2"/>
  <c r="F332" i="2"/>
  <c r="F321" i="2"/>
  <c r="F310" i="2"/>
  <c r="N300" i="2"/>
  <c r="F284" i="2"/>
  <c r="F268" i="2"/>
  <c r="H259" i="2"/>
  <c r="K251" i="2"/>
  <c r="N241" i="2"/>
  <c r="K233" i="2"/>
  <c r="H215" i="2"/>
  <c r="I199" i="2"/>
  <c r="J187" i="2"/>
  <c r="G177" i="2"/>
  <c r="I169" i="2"/>
  <c r="L157" i="2"/>
  <c r="K146" i="2"/>
  <c r="M137" i="2"/>
  <c r="F129" i="2"/>
  <c r="I110" i="2"/>
  <c r="L98" i="2"/>
  <c r="L90" i="2"/>
  <c r="N81" i="2"/>
  <c r="L71" i="2"/>
  <c r="M62" i="2"/>
  <c r="K55" i="2"/>
  <c r="F41" i="2"/>
  <c r="N32" i="2"/>
  <c r="L25" i="2"/>
  <c r="N12" i="2"/>
  <c r="J4" i="2"/>
  <c r="K342" i="2"/>
  <c r="M300" i="2"/>
  <c r="G289" i="2"/>
  <c r="G259" i="2"/>
  <c r="J251" i="2"/>
  <c r="F238" i="2"/>
  <c r="I227" i="2"/>
  <c r="G215" i="2"/>
  <c r="L206" i="2"/>
  <c r="F199" i="2"/>
  <c r="L181" i="2"/>
  <c r="L162" i="2"/>
  <c r="F153" i="2"/>
  <c r="I141" i="2"/>
  <c r="F133" i="2"/>
  <c r="J124" i="2"/>
  <c r="L113" i="2"/>
  <c r="L105" i="2"/>
  <c r="K98" i="2"/>
  <c r="K90" i="2"/>
  <c r="M81" i="2"/>
  <c r="K71" i="2"/>
  <c r="L62" i="2"/>
  <c r="J55" i="2"/>
  <c r="M36" i="2"/>
  <c r="N28" i="2"/>
  <c r="L22" i="2"/>
  <c r="N15" i="2"/>
  <c r="G8" i="2"/>
  <c r="J348" i="2"/>
  <c r="L336" i="2"/>
  <c r="L326" i="2"/>
  <c r="J315" i="2"/>
  <c r="N304" i="2"/>
  <c r="L292" i="2"/>
  <c r="F283" i="2"/>
  <c r="L272" i="2"/>
  <c r="F264" i="2"/>
  <c r="N254" i="2"/>
  <c r="M245" i="2"/>
  <c r="H227" i="2"/>
  <c r="I211" i="2"/>
  <c r="J202" i="2"/>
  <c r="G191" i="2"/>
  <c r="K181" i="2"/>
  <c r="N172" i="2"/>
  <c r="K162" i="2"/>
  <c r="H141" i="2"/>
  <c r="I124" i="2"/>
  <c r="K113" i="2"/>
  <c r="K105" i="2"/>
  <c r="J98" i="2"/>
  <c r="J90" i="2"/>
  <c r="I348" i="2"/>
  <c r="K334" i="2"/>
  <c r="N318" i="2"/>
  <c r="I304" i="2"/>
  <c r="F287" i="2"/>
  <c r="K271" i="2"/>
  <c r="N258" i="2"/>
  <c r="J245" i="2"/>
  <c r="N221" i="2"/>
  <c r="K209" i="2"/>
  <c r="J194" i="2"/>
  <c r="G180" i="2"/>
  <c r="F168" i="2"/>
  <c r="K150" i="2"/>
  <c r="H139" i="2"/>
  <c r="N112" i="2"/>
  <c r="H101" i="2"/>
  <c r="G90" i="2"/>
  <c r="H78" i="2"/>
  <c r="M65" i="2"/>
  <c r="L57" i="2"/>
  <c r="F48" i="2"/>
  <c r="G35" i="2"/>
  <c r="G25" i="2"/>
  <c r="F18" i="2"/>
  <c r="M7" i="2"/>
  <c r="L125" i="2"/>
  <c r="G101" i="2"/>
  <c r="M75" i="2"/>
  <c r="I55" i="2"/>
  <c r="I32" i="2"/>
  <c r="J15" i="2"/>
  <c r="I346" i="2"/>
  <c r="I315" i="2"/>
  <c r="I303" i="2"/>
  <c r="I271" i="2"/>
  <c r="L244" i="2"/>
  <c r="L218" i="2"/>
  <c r="H194" i="2"/>
  <c r="L167" i="2"/>
  <c r="I150" i="2"/>
  <c r="K100" i="2"/>
  <c r="L75" i="2"/>
  <c r="H55" i="2"/>
  <c r="K31" i="2"/>
  <c r="I15" i="2"/>
  <c r="F346" i="2"/>
  <c r="H315" i="2"/>
  <c r="G258" i="2"/>
  <c r="J230" i="2"/>
  <c r="J206" i="2"/>
  <c r="L179" i="2"/>
  <c r="H150" i="2"/>
  <c r="N121" i="2"/>
  <c r="J100" i="2"/>
  <c r="K75" i="2"/>
  <c r="G55" i="2"/>
  <c r="J31" i="2"/>
  <c r="H15" i="2"/>
  <c r="G315" i="2"/>
  <c r="F258" i="2"/>
  <c r="I230" i="2"/>
  <c r="I206" i="2"/>
  <c r="K179" i="2"/>
  <c r="G150" i="2"/>
  <c r="M121" i="2"/>
  <c r="L97" i="2"/>
  <c r="J75" i="2"/>
  <c r="F55" i="2"/>
  <c r="I31" i="2"/>
  <c r="G15" i="2"/>
  <c r="N345" i="2"/>
  <c r="F315" i="2"/>
  <c r="J282" i="2"/>
  <c r="F230" i="2"/>
  <c r="L205" i="2"/>
  <c r="N176" i="2"/>
  <c r="F150" i="2"/>
  <c r="L121" i="2"/>
  <c r="K97" i="2"/>
  <c r="I75" i="2"/>
  <c r="H31" i="2"/>
  <c r="F15" i="2"/>
  <c r="M345" i="2"/>
  <c r="I282" i="2"/>
  <c r="M254" i="2"/>
  <c r="N217" i="2"/>
  <c r="J190" i="2"/>
  <c r="J162" i="2"/>
  <c r="L135" i="2"/>
  <c r="M108" i="2"/>
  <c r="H75" i="2"/>
  <c r="N54" i="2"/>
  <c r="G31" i="2"/>
  <c r="I342" i="2"/>
  <c r="N314" i="2"/>
  <c r="H282" i="2"/>
  <c r="L254" i="2"/>
  <c r="N229" i="2"/>
  <c r="J205" i="2"/>
  <c r="F176" i="2"/>
  <c r="H146" i="2"/>
  <c r="J121" i="2"/>
  <c r="N96" i="2"/>
  <c r="M54" i="2"/>
  <c r="F31" i="2"/>
  <c r="I14" i="2"/>
  <c r="H342" i="2"/>
  <c r="M314" i="2"/>
  <c r="L298" i="2"/>
  <c r="H267" i="2"/>
  <c r="J241" i="2"/>
  <c r="L217" i="2"/>
  <c r="H190" i="2"/>
  <c r="L161" i="2"/>
  <c r="L132" i="2"/>
  <c r="I108" i="2"/>
  <c r="K84" i="2"/>
  <c r="H62" i="2"/>
  <c r="K39" i="2"/>
  <c r="I21" i="2"/>
  <c r="J326" i="2"/>
  <c r="K298" i="2"/>
  <c r="G267" i="2"/>
  <c r="I241" i="2"/>
  <c r="G190" i="2"/>
  <c r="K161" i="2"/>
  <c r="H145" i="2"/>
  <c r="H117" i="2"/>
  <c r="L96" i="2"/>
  <c r="J71" i="2"/>
  <c r="I52" i="2"/>
  <c r="M28" i="2"/>
  <c r="L12" i="2"/>
  <c r="F342" i="2"/>
  <c r="J308" i="2"/>
  <c r="K281" i="2"/>
  <c r="F267" i="2"/>
  <c r="F241" i="2"/>
  <c r="J214" i="2"/>
  <c r="F190" i="2"/>
  <c r="J161" i="2"/>
  <c r="G145" i="2"/>
  <c r="G117" i="2"/>
  <c r="J105" i="2"/>
  <c r="I84" i="2"/>
  <c r="F62" i="2"/>
  <c r="H52" i="2"/>
  <c r="L28" i="2"/>
  <c r="F12" i="2"/>
  <c r="I308" i="2"/>
  <c r="M278" i="2"/>
  <c r="L226" i="2"/>
  <c r="H202" i="2"/>
  <c r="I161" i="2"/>
  <c r="I105" i="2"/>
  <c r="H84" i="2"/>
  <c r="H70" i="2"/>
  <c r="L51" i="2"/>
  <c r="K28" i="2"/>
  <c r="G326" i="2"/>
  <c r="I292" i="2"/>
  <c r="M239" i="2"/>
  <c r="H214" i="2"/>
  <c r="N186" i="2"/>
  <c r="H161" i="2"/>
  <c r="N131" i="2"/>
  <c r="H105" i="2"/>
  <c r="L93" i="2"/>
  <c r="G70" i="2"/>
  <c r="K51" i="2"/>
  <c r="G28" i="2"/>
  <c r="N11" i="2"/>
  <c r="L324" i="2"/>
  <c r="H292" i="2"/>
  <c r="L263" i="2"/>
  <c r="L239" i="2"/>
  <c r="G214" i="2"/>
  <c r="F202" i="2"/>
  <c r="L172" i="2"/>
  <c r="N144" i="2"/>
  <c r="M131" i="2"/>
  <c r="G105" i="2"/>
  <c r="I81" i="2"/>
  <c r="I59" i="2"/>
  <c r="L36" i="2"/>
  <c r="M18" i="2"/>
  <c r="K336" i="2"/>
  <c r="L307" i="2"/>
  <c r="J278" i="2"/>
  <c r="F250" i="2"/>
  <c r="H225" i="2"/>
  <c r="K172" i="2"/>
  <c r="G141" i="2"/>
  <c r="I116" i="2"/>
  <c r="J93" i="2"/>
  <c r="I51" i="2"/>
  <c r="N27" i="2"/>
  <c r="I11" i="2"/>
  <c r="J336" i="2"/>
  <c r="K307" i="2"/>
  <c r="I278" i="2"/>
  <c r="I222" i="2"/>
  <c r="K200" i="2"/>
  <c r="J172" i="2"/>
  <c r="F141" i="2"/>
  <c r="H116" i="2"/>
  <c r="I93" i="2"/>
  <c r="M68" i="2"/>
  <c r="M50" i="2"/>
  <c r="M27" i="2"/>
  <c r="H11" i="2"/>
  <c r="I336" i="2"/>
  <c r="M304" i="2"/>
  <c r="H278" i="2"/>
  <c r="L248" i="2"/>
  <c r="H222" i="2"/>
  <c r="J200" i="2"/>
  <c r="I172" i="2"/>
  <c r="J113" i="2"/>
  <c r="H93" i="2"/>
  <c r="L68" i="2"/>
  <c r="L50" i="2"/>
  <c r="L27" i="2"/>
  <c r="G11" i="2"/>
  <c r="I319" i="2"/>
  <c r="F262" i="2"/>
  <c r="H236" i="2"/>
  <c r="N209" i="2"/>
  <c r="M194" i="2"/>
  <c r="L140" i="2"/>
  <c r="I113" i="2"/>
  <c r="G93" i="2"/>
  <c r="H66" i="2"/>
  <c r="N48" i="2"/>
  <c r="J25" i="2"/>
  <c r="F8" i="2"/>
  <c r="H319" i="2"/>
  <c r="H287" i="2"/>
  <c r="G236" i="2"/>
  <c r="M209" i="2"/>
  <c r="I180" i="2"/>
  <c r="M155" i="2"/>
  <c r="H127" i="2"/>
  <c r="J101" i="2"/>
  <c r="J78" i="2"/>
  <c r="F58" i="2"/>
  <c r="G36" i="2"/>
  <c r="H18" i="2"/>
  <c r="L334" i="2"/>
  <c r="J304" i="2"/>
  <c r="L271" i="2"/>
  <c r="I248" i="2"/>
  <c r="K194" i="2"/>
  <c r="H180" i="2"/>
  <c r="J155" i="2"/>
  <c r="G127" i="2"/>
  <c r="I101" i="2"/>
  <c r="I78" i="2"/>
  <c r="M57" i="2"/>
  <c r="H35" i="2"/>
  <c r="H25" i="2"/>
  <c r="N7" i="2"/>
  <c r="J346" i="2"/>
  <c r="M331" i="2"/>
  <c r="M318" i="2"/>
  <c r="J303" i="2"/>
  <c r="J271" i="2"/>
  <c r="M258" i="2"/>
  <c r="I245" i="2"/>
  <c r="H233" i="2"/>
  <c r="M221" i="2"/>
  <c r="J209" i="2"/>
  <c r="I194" i="2"/>
  <c r="F180" i="2"/>
  <c r="J150" i="2"/>
  <c r="I136" i="2"/>
  <c r="K89" i="2"/>
  <c r="L65" i="2"/>
  <c r="M47" i="2"/>
  <c r="F25" i="2"/>
  <c r="L7" i="2"/>
  <c r="L331" i="2"/>
  <c r="F286" i="2"/>
  <c r="H258" i="2"/>
  <c r="G233" i="2"/>
  <c r="I209" i="2"/>
  <c r="H136" i="2"/>
  <c r="L111" i="2"/>
  <c r="J89" i="2"/>
  <c r="H65" i="2"/>
  <c r="L47" i="2"/>
  <c r="K7" i="2"/>
  <c r="K331" i="2"/>
  <c r="K300" i="2"/>
  <c r="H271" i="2"/>
  <c r="K244" i="2"/>
  <c r="K218" i="2"/>
  <c r="G194" i="2"/>
  <c r="K167" i="2"/>
  <c r="G136" i="2"/>
  <c r="F109" i="2"/>
  <c r="N88" i="2"/>
  <c r="G65" i="2"/>
  <c r="H47" i="2"/>
  <c r="I24" i="2"/>
  <c r="J7" i="2"/>
  <c r="L329" i="2"/>
  <c r="J300" i="2"/>
  <c r="G271" i="2"/>
  <c r="J244" i="2"/>
  <c r="F218" i="2"/>
  <c r="F191" i="2"/>
  <c r="H167" i="2"/>
  <c r="N135" i="2"/>
  <c r="M88" i="2"/>
  <c r="F65" i="2"/>
  <c r="G47" i="2"/>
  <c r="N23" i="2"/>
  <c r="I7" i="2"/>
  <c r="K329" i="2"/>
  <c r="I300" i="2"/>
  <c r="K267" i="2"/>
  <c r="I244" i="2"/>
  <c r="G167" i="2"/>
  <c r="M135" i="2"/>
  <c r="N108" i="2"/>
  <c r="M85" i="2"/>
  <c r="K62" i="2"/>
  <c r="N39" i="2"/>
  <c r="K22" i="2"/>
  <c r="H4" i="2"/>
  <c r="J329" i="2"/>
  <c r="J299" i="2"/>
  <c r="J267" i="2"/>
  <c r="H244" i="2"/>
  <c r="K205" i="2"/>
  <c r="M176" i="2"/>
  <c r="K121" i="2"/>
  <c r="J62" i="2"/>
  <c r="M39" i="2"/>
  <c r="K21" i="2"/>
  <c r="G4" i="2"/>
  <c r="I329" i="2"/>
  <c r="I299" i="2"/>
  <c r="I267" i="2"/>
  <c r="K241" i="2"/>
  <c r="M217" i="2"/>
  <c r="I190" i="2"/>
  <c r="I162" i="2"/>
  <c r="K135" i="2"/>
  <c r="J108" i="2"/>
  <c r="L84" i="2"/>
  <c r="I62" i="2"/>
  <c r="L39" i="2"/>
  <c r="J21" i="2"/>
  <c r="F4" i="2"/>
  <c r="K326" i="2"/>
  <c r="G282" i="2"/>
  <c r="K254" i="2"/>
  <c r="G227" i="2"/>
  <c r="I205" i="2"/>
  <c r="G146" i="2"/>
  <c r="I121" i="2"/>
  <c r="M96" i="2"/>
  <c r="N72" i="2"/>
  <c r="L54" i="2"/>
  <c r="H14" i="2"/>
  <c r="G342" i="2"/>
  <c r="K309" i="2"/>
  <c r="L281" i="2"/>
  <c r="J254" i="2"/>
  <c r="F227" i="2"/>
  <c r="H205" i="2"/>
  <c r="L175" i="2"/>
  <c r="K132" i="2"/>
  <c r="H108" i="2"/>
  <c r="J84" i="2"/>
  <c r="G62" i="2"/>
  <c r="J39" i="2"/>
  <c r="H21" i="2"/>
  <c r="N3" i="2"/>
  <c r="I326" i="2"/>
  <c r="K292" i="2"/>
  <c r="I254" i="2"/>
  <c r="I202" i="2"/>
  <c r="K175" i="2"/>
  <c r="F132" i="2"/>
  <c r="K96" i="2"/>
  <c r="I70" i="2"/>
  <c r="I39" i="2"/>
  <c r="G21" i="2"/>
  <c r="J3" i="2"/>
  <c r="H326" i="2"/>
  <c r="J292" i="2"/>
  <c r="I214" i="2"/>
  <c r="J175" i="2"/>
  <c r="F145" i="2"/>
  <c r="L116" i="2"/>
  <c r="H61" i="2"/>
  <c r="H39" i="2"/>
  <c r="F21" i="2"/>
  <c r="L341" i="2"/>
  <c r="F308" i="2"/>
  <c r="L278" i="2"/>
  <c r="N252" i="2"/>
  <c r="K226" i="2"/>
  <c r="G202" i="2"/>
  <c r="M172" i="2"/>
  <c r="K116" i="2"/>
  <c r="G84" i="2"/>
  <c r="G61" i="2"/>
  <c r="G39" i="2"/>
  <c r="K341" i="2"/>
  <c r="K278" i="2"/>
  <c r="G250" i="2"/>
  <c r="I225" i="2"/>
  <c r="M186" i="2"/>
  <c r="I157" i="2"/>
  <c r="J116" i="2"/>
  <c r="K93" i="2"/>
  <c r="F70" i="2"/>
  <c r="J51" i="2"/>
  <c r="F28" i="2"/>
  <c r="J11" i="2"/>
  <c r="K324" i="2"/>
  <c r="G292" i="2"/>
  <c r="K263" i="2"/>
  <c r="G213" i="2"/>
  <c r="L186" i="2"/>
  <c r="H157" i="2"/>
  <c r="J131" i="2"/>
  <c r="F105" i="2"/>
  <c r="H81" i="2"/>
  <c r="J58" i="2"/>
  <c r="K36" i="2"/>
  <c r="L18" i="2"/>
  <c r="K319" i="2"/>
  <c r="F292" i="2"/>
  <c r="J262" i="2"/>
  <c r="J236" i="2"/>
  <c r="F213" i="2"/>
  <c r="K186" i="2"/>
  <c r="G157" i="2"/>
  <c r="K127" i="2"/>
  <c r="G81" i="2"/>
  <c r="I58" i="2"/>
  <c r="J36" i="2"/>
  <c r="K18" i="2"/>
  <c r="J319" i="2"/>
  <c r="I262" i="2"/>
  <c r="I236" i="2"/>
  <c r="I183" i="2"/>
  <c r="F157" i="2"/>
  <c r="J127" i="2"/>
  <c r="K104" i="2"/>
  <c r="L78" i="2"/>
  <c r="H58" i="2"/>
  <c r="I36" i="2"/>
  <c r="J18" i="2"/>
  <c r="F335" i="2"/>
  <c r="L304" i="2"/>
  <c r="G278" i="2"/>
  <c r="K248" i="2"/>
  <c r="G222" i="2"/>
  <c r="H183" i="2"/>
  <c r="I127" i="2"/>
  <c r="K101" i="2"/>
  <c r="K78" i="2"/>
  <c r="G58" i="2"/>
  <c r="H36" i="2"/>
  <c r="I18" i="2"/>
  <c r="K304" i="2"/>
  <c r="K272" i="2"/>
  <c r="J248" i="2"/>
  <c r="F222" i="2"/>
  <c r="L194" i="2"/>
  <c r="N170" i="2"/>
  <c r="K140" i="2"/>
  <c r="H113" i="2"/>
  <c r="I90" i="2"/>
  <c r="H48" i="2"/>
  <c r="I25" i="2"/>
  <c r="G319" i="2"/>
  <c r="G287" i="2"/>
  <c r="F236" i="2"/>
  <c r="L209" i="2"/>
  <c r="G168" i="2"/>
  <c r="I139" i="2"/>
  <c r="G113" i="2"/>
  <c r="H90" i="2"/>
  <c r="N65" i="2"/>
  <c r="G48" i="2"/>
  <c r="G18" i="2"/>
</calcChain>
</file>

<file path=xl/sharedStrings.xml><?xml version="1.0" encoding="utf-8"?>
<sst xmlns="http://schemas.openxmlformats.org/spreadsheetml/2006/main" count="832" uniqueCount="382">
  <si>
    <t>JetBlue Airways Corp- Company Financial (Multiple Periods)</t>
  </si>
  <si>
    <t>JBLU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</si>
  <si>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</si>
  <si>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</si>
  <si>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</si>
  <si>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</si>
  <si>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</si>
  <si>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</si>
  <si>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</si>
  <si>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</si>
  <si>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</si>
  <si>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</si>
  <si>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</si>
  <si>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</si>
  <si>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</si>
  <si>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</si>
  <si>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</si>
  <si>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>REV_PASS_MILES_KM</t>
  </si>
  <si>
    <t>Revenue Passenger Miles (Km)</t>
  </si>
  <si>
    <t xml:space="preserve">  Available Seat Miles (Km)</t>
  </si>
  <si>
    <t>AVAIL_SEAT_MILES_KM</t>
  </si>
  <si>
    <t>Available Seat Miles (Km)</t>
  </si>
  <si>
    <t xml:space="preserve">  Load Factor (%)</t>
  </si>
  <si>
    <t>LOAD_FACTOR</t>
  </si>
  <si>
    <t>Load Factor (%)</t>
  </si>
  <si>
    <t xml:space="preserve">  Passenger Revenue</t>
  </si>
  <si>
    <t>TOTAL_PASSENGER_REVENUE</t>
  </si>
  <si>
    <t>Passenger Revenue</t>
  </si>
  <si>
    <t xml:space="preserve">  Passenger Revenue per ASM (ASK)</t>
  </si>
  <si>
    <t>PASSENGER_REVENUE_PER_ASM</t>
  </si>
  <si>
    <t xml:space="preserve">  Yield</t>
  </si>
  <si>
    <t>YIELD_PER_PASS_MILES_KM</t>
  </si>
  <si>
    <t xml:space="preserve">  Cost per ASM</t>
  </si>
  <si>
    <t>OP_EXP_PER_ASM_ASK</t>
  </si>
  <si>
    <t>CASM ex-fuel, specials, non-airline</t>
  </si>
  <si>
    <t xml:space="preserve">  CASM - Ex-Fuel</t>
  </si>
  <si>
    <t>CONS_COST_PER_ASM_EX_FUEL</t>
  </si>
  <si>
    <t xml:space="preserve">  CASM - Ex Fuel &amp; Abnormals</t>
  </si>
  <si>
    <t>COST_PER_SEAT_EXCL_ABN_ITMS</t>
  </si>
  <si>
    <t xml:space="preserve">  Passengers Carried</t>
  </si>
  <si>
    <t>REV_PASS_CARRIED</t>
  </si>
  <si>
    <t xml:space="preserve">  Average Passenger Fare</t>
  </si>
  <si>
    <t>AVERAGE_PASSENGER_FARE</t>
  </si>
  <si>
    <t>Average Passenger Fare</t>
  </si>
  <si>
    <t xml:space="preserve">  EBITDAR</t>
  </si>
  <si>
    <t>AIRLINES_EBITDAR_RATIO</t>
  </si>
  <si>
    <t>EBITDAR</t>
  </si>
  <si>
    <t xml:space="preserve">  Adjusted EBITDA</t>
  </si>
  <si>
    <t>IS_COMPARABLE_EBITDA</t>
  </si>
  <si>
    <t xml:space="preserve">  Adjusted Net Income</t>
  </si>
  <si>
    <t>IS_COMP_NET_INCOME_ADJUST_OLD</t>
  </si>
  <si>
    <t>Adjusted Net Income</t>
  </si>
  <si>
    <t xml:space="preserve">  Capital Expenditures</t>
  </si>
  <si>
    <t>HEADLINE_CAPEX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</si>
  <si>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</si>
  <si>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</si>
  <si>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</si>
  <si>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</si>
  <si>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Revenue Passenger Miles (RPM)</t>
  </si>
  <si>
    <t>Revenue Passenger Miles (RPM)</t>
  </si>
  <si>
    <t xml:space="preserve">  Available Seat Miles (ASM)</t>
  </si>
  <si>
    <t>Available Seat Miles (ASM)</t>
  </si>
  <si>
    <t xml:space="preserve">  Passenger Revenue Per ASM (PRASM) (Cents)</t>
  </si>
  <si>
    <t xml:space="preserve">  Cost per ASM (ASK)</t>
  </si>
  <si>
    <t xml:space="preserve">  Cost per ASM (ASK) - Ex-Fuel</t>
  </si>
  <si>
    <t xml:space="preserve">  Cost per ASM (ASK) - Ex Fuel &amp; Abnormals</t>
  </si>
  <si>
    <t xml:space="preserve">  Total Fuel Consumption (Gallons)</t>
  </si>
  <si>
    <t>FUEL_GALLONS_LITRES</t>
  </si>
  <si>
    <t>Total Fuel Consumption (Gallons)</t>
  </si>
  <si>
    <t xml:space="preserve">  Fuel Price per Gallon (Litre)</t>
  </si>
  <si>
    <t>FUEL_PRICE_PER_GALLON_LITRE</t>
  </si>
  <si>
    <t xml:space="preserve">  Fuel Efficiency (ASM / Gallon)</t>
  </si>
  <si>
    <t>ASM_PER_GALLON_LITER</t>
  </si>
  <si>
    <t>Fuel Efficiency (ASM / Gallon)</t>
  </si>
  <si>
    <t xml:space="preserve">  Avg. Passenger Fare</t>
  </si>
  <si>
    <t xml:space="preserve">  Fuel Cost per Available Seat Mile/Kilometer</t>
  </si>
  <si>
    <t>FUEL_COST_PER_AVAIL_SEAT_MILE</t>
  </si>
  <si>
    <t xml:space="preserve">  Avg Number of Employees</t>
  </si>
  <si>
    <t>AVG_NUM_EMPLOYEES</t>
  </si>
  <si>
    <t xml:space="preserve">  Income Statement</t>
  </si>
  <si>
    <t>Income Statement</t>
  </si>
  <si>
    <t xml:space="preserve">  Total Revenue</t>
  </si>
  <si>
    <t>Total Revenue</t>
  </si>
  <si>
    <t xml:space="preserve">    Passenger Revenue</t>
  </si>
  <si>
    <t xml:space="preserve">      YOY Growth</t>
  </si>
  <si>
    <t xml:space="preserve">    Other Revenue</t>
  </si>
  <si>
    <t>IS_OTHER_REV</t>
  </si>
  <si>
    <t>Other Revenue</t>
  </si>
  <si>
    <t xml:space="preserve">  Total Operating Expenses</t>
  </si>
  <si>
    <t>IS_OPERATING_EXPN</t>
  </si>
  <si>
    <t>Total Operating Expenses</t>
  </si>
  <si>
    <t xml:space="preserve">    Aircraft Fuel &amp; Related Taxes</t>
  </si>
  <si>
    <t>FUEL_EXPENSES</t>
  </si>
  <si>
    <t>Aircraft Fuel &amp; Related Taxes</t>
  </si>
  <si>
    <t xml:space="preserve">      As % of Revenue</t>
  </si>
  <si>
    <t>AIRLINE_FUEL_PCT_SALES</t>
  </si>
  <si>
    <t xml:space="preserve">        YOY Growth</t>
  </si>
  <si>
    <t xml:space="preserve">    Salaries, Wages &amp; Benefits</t>
  </si>
  <si>
    <t>IS_PERSONNEL_EXP</t>
  </si>
  <si>
    <t>Salaries, Wages &amp; Benefits</t>
  </si>
  <si>
    <t>PERSONNEL_EXPN_PCT_SALES</t>
  </si>
  <si>
    <t xml:space="preserve">    Landing Fees &amp; Other Rents</t>
  </si>
  <si>
    <t>OTHER_RENTALS_LANDING_FEES</t>
  </si>
  <si>
    <t>Landing Fees &amp; Other Rents</t>
  </si>
  <si>
    <t>AIRLINE_LANDING_FEES_PCT_SALES</t>
  </si>
  <si>
    <t xml:space="preserve">    Depreciation &amp; Amortization</t>
  </si>
  <si>
    <t>CF_DEPR_AMORT</t>
  </si>
  <si>
    <t>Depreciation &amp; Amortization</t>
  </si>
  <si>
    <t>D_AND_A_TO_SALES</t>
  </si>
  <si>
    <t xml:space="preserve">    Maintenance, Materials &amp; Repairs</t>
  </si>
  <si>
    <t>MAINTENANCE_MATERIALS_REPAIRS</t>
  </si>
  <si>
    <t>Maintenance, Materials &amp; Repairs</t>
  </si>
  <si>
    <t>AIRLINE_MAINTENANCE_PCT_SALES</t>
  </si>
  <si>
    <t xml:space="preserve">    Aircraft Rent</t>
  </si>
  <si>
    <t>AIRCRAFT_RENTALS</t>
  </si>
  <si>
    <t>Aircraft Rent</t>
  </si>
  <si>
    <t>AIRCRAFT_RENTALS_PCT_SALES</t>
  </si>
  <si>
    <t xml:space="preserve">    Sales &amp; Marketing</t>
  </si>
  <si>
    <t>IS_SELLING_EXPENSES</t>
  </si>
  <si>
    <t>Sales &amp; Marketing</t>
  </si>
  <si>
    <t xml:space="preserve">    Other Operating Expenses</t>
  </si>
  <si>
    <t>CB_IS_OTHER_OPEX</t>
  </si>
  <si>
    <t>Other Operating Expenses</t>
  </si>
  <si>
    <t xml:space="preserve">  Operating Income</t>
  </si>
  <si>
    <t>IS_EBIT_AS_REPORTED</t>
  </si>
  <si>
    <t>Operating Income</t>
  </si>
  <si>
    <t xml:space="preserve">    Operating Margin (%)</t>
  </si>
  <si>
    <t>OPER_MARGIN</t>
  </si>
  <si>
    <t xml:space="preserve">  EBITDA</t>
  </si>
  <si>
    <t>EBITDA</t>
  </si>
  <si>
    <t xml:space="preserve">  Total Other Income (Expense)</t>
  </si>
  <si>
    <t>IS_NON_OPERATING_INC_LOSS_GAAP</t>
  </si>
  <si>
    <t>Total Other Income (Expense)</t>
  </si>
  <si>
    <t xml:space="preserve">    Interest Expense</t>
  </si>
  <si>
    <t>CB_IS_INTEREST_EXPENSE</t>
  </si>
  <si>
    <t>Interest Expense</t>
  </si>
  <si>
    <t xml:space="preserve">    Capitalized Interest</t>
  </si>
  <si>
    <t>IS_CAP_INT_EXP</t>
  </si>
  <si>
    <t>Capitalized Interest</t>
  </si>
  <si>
    <t xml:space="preserve">    Interest Income &amp; Other</t>
  </si>
  <si>
    <t>IS_NET_NON_OPER_LOSS</t>
  </si>
  <si>
    <t>Interest Income &amp; Other</t>
  </si>
  <si>
    <t xml:space="preserve">  Other Non-Operating (Income) Expense</t>
  </si>
  <si>
    <t>CB_IS_OTHER_NON_OPER_INC_EXPN</t>
  </si>
  <si>
    <t xml:space="preserve">  Pretax Income</t>
  </si>
  <si>
    <t>PRETAX_INC</t>
  </si>
  <si>
    <t>Pretax Income</t>
  </si>
  <si>
    <t xml:space="preserve">    As % of Revenue</t>
  </si>
  <si>
    <t>PRETAX_MARGIN</t>
  </si>
  <si>
    <t xml:space="preserve">  Income Tax Expense</t>
  </si>
  <si>
    <t>CB_IS_INCOME_TAX_EXP</t>
  </si>
  <si>
    <t>Income Tax Expense</t>
  </si>
  <si>
    <t xml:space="preserve">    Tax Rate (%)</t>
  </si>
  <si>
    <t>EFF_TAX_RATE</t>
  </si>
  <si>
    <t>Tax Rate (%)</t>
  </si>
  <si>
    <t xml:space="preserve">  Net Income</t>
  </si>
  <si>
    <t>IS_COMP_NET_INCOME_GAAP</t>
  </si>
  <si>
    <t>Net Income</t>
  </si>
  <si>
    <t xml:space="preserve">  Basic Weighted Avg. Shares</t>
  </si>
  <si>
    <t>IS_AVG_NUM_SH_FOR_EPS</t>
  </si>
  <si>
    <t xml:space="preserve">  Diluted Weighted Avg. Shares</t>
  </si>
  <si>
    <t>IS_SH_FOR_DILUTED_EPS</t>
  </si>
  <si>
    <t>Diluted Weighted Avg. Shares</t>
  </si>
  <si>
    <t xml:space="preserve">  Diluted EPS</t>
  </si>
  <si>
    <t>IS_COMP_EPS_GAAP</t>
  </si>
  <si>
    <t>Diluted EPS</t>
  </si>
  <si>
    <t xml:space="preserve">  Comprehensive Income</t>
  </si>
  <si>
    <t>IS_COMPREHENSIVE_INCOME</t>
  </si>
  <si>
    <t xml:space="preserve">  Comprehensive Income Per Share</t>
  </si>
  <si>
    <t>IS_COMPREHENSIVE_INCOME_PER_SHR</t>
  </si>
  <si>
    <t xml:space="preserve">  Adjusted Results</t>
  </si>
  <si>
    <t>Non-GAAP Results</t>
  </si>
  <si>
    <t xml:space="preserve">    Total Operating Expenses</t>
  </si>
  <si>
    <t>CB_IS_ADJUSTED_OPEX</t>
  </si>
  <si>
    <t xml:space="preserve">    Operating Income</t>
  </si>
  <si>
    <t>IS_COMPARABLE_EBIT</t>
  </si>
  <si>
    <t xml:space="preserve">      Operating Margin (%)</t>
  </si>
  <si>
    <t>ADJ_OPERATING_MARGIN</t>
  </si>
  <si>
    <t>Operating Margin (%)</t>
  </si>
  <si>
    <t xml:space="preserve">    EBITDA</t>
  </si>
  <si>
    <t xml:space="preserve">    Pre-Tax Income</t>
  </si>
  <si>
    <t>IS_COMP_PTP_EX_STK_BASED_COMP</t>
  </si>
  <si>
    <t>Pre-Tax Income</t>
  </si>
  <si>
    <t xml:space="preserve">    Income Tax Expense</t>
  </si>
  <si>
    <t>CB_IS_ADJ_INC_TAX_EXPN</t>
  </si>
  <si>
    <t xml:space="preserve">    Net Income</t>
  </si>
  <si>
    <t xml:space="preserve">      Net Income Margin (%)</t>
  </si>
  <si>
    <t>ADJ_PROFIT_MARGIN</t>
  </si>
  <si>
    <t xml:space="preserve">    Diluted EPS</t>
  </si>
  <si>
    <t xml:space="preserve">  Company-Specific Adjustments</t>
  </si>
  <si>
    <t xml:space="preserve">    Stock-Based Compensation</t>
  </si>
  <si>
    <t>CF_STOCK_BASED_COMPENSATION</t>
  </si>
  <si>
    <t xml:space="preserve">    Amortization of Intangibles</t>
  </si>
  <si>
    <t>HEADLINE_AMORT_EXPN</t>
  </si>
  <si>
    <t xml:space="preserve">    Pretax Income Adjustment</t>
  </si>
  <si>
    <t>IS_ABNORMAL_ITEM</t>
  </si>
  <si>
    <t xml:space="preserve">    Other Abnormal Items</t>
  </si>
  <si>
    <t>IS_OTHER_ONE_TIME_ITEMS_OP</t>
  </si>
  <si>
    <t xml:space="preserve">    Net Income Adjustment</t>
  </si>
  <si>
    <t>IS_NET_ABNORMAL_ITEMS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</si>
  <si>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</si>
  <si>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</si>
  <si>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</si>
  <si>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</si>
  <si>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</si>
  <si>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</si>
  <si>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</si>
  <si>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 &amp; Short-Term Investments</t>
  </si>
  <si>
    <t>BS_CASH_CASH_EQUIVALENTS_AND_STI</t>
  </si>
  <si>
    <t>Cash, Cash Equivalents &amp; Short-Term Investments</t>
  </si>
  <si>
    <t xml:space="preserve">        Cash &amp; Cash Equivalents</t>
  </si>
  <si>
    <t>BS_CASH_NEAR_CASH_ITEM</t>
  </si>
  <si>
    <t>Cash &amp; Cash Equivalents</t>
  </si>
  <si>
    <t xml:space="preserve">          YOY Growth</t>
  </si>
  <si>
    <t xml:space="preserve">        Short-Term Investments</t>
  </si>
  <si>
    <t>BS_MKT_SEC_OTHER_ST_INVEST</t>
  </si>
  <si>
    <t>Short-Term Investments</t>
  </si>
  <si>
    <t xml:space="preserve">      Accounts Receivable, less Allowance</t>
  </si>
  <si>
    <t>BS_ACCTS_REC_EXCL_NOTES_REC</t>
  </si>
  <si>
    <t>Accounts Receivable, less Allowance</t>
  </si>
  <si>
    <t xml:space="preserve">      Inventories, less Allowance</t>
  </si>
  <si>
    <t>BS_INVENTORIES</t>
  </si>
  <si>
    <t>Inventories, less Allowance</t>
  </si>
  <si>
    <t xml:space="preserve">      Prepaid Expenses &amp; Other</t>
  </si>
  <si>
    <t>BS_OTHER_CUR_ASSET</t>
  </si>
  <si>
    <t>Prepaid Expenses &amp; Other</t>
  </si>
  <si>
    <t xml:space="preserve">    Non-Current Assets</t>
  </si>
  <si>
    <t>BS_TOTAL_NON_CURRENT_ASSETS</t>
  </si>
  <si>
    <t>Non-Current Assets</t>
  </si>
  <si>
    <t xml:space="preserve">      Property, Plant &amp; Equipment</t>
  </si>
  <si>
    <t>CB_BS_PP_AND_E_NET</t>
  </si>
  <si>
    <t>Property, Plant &amp; Equipment</t>
  </si>
  <si>
    <t xml:space="preserve">      Machinery &amp; Equipment - Net</t>
  </si>
  <si>
    <t>BS_MACHINERY_EQUIPMENT_NET</t>
  </si>
  <si>
    <t xml:space="preserve">      Predelivery Deposits for Flight Equipment</t>
  </si>
  <si>
    <t>CB_BS_PREPAYMENT_FIXED_ASSETS</t>
  </si>
  <si>
    <t xml:space="preserve">      Operating Lease Assets</t>
  </si>
  <si>
    <t>BS_OPER_LEA_RT_OF_USE_ASSETS</t>
  </si>
  <si>
    <t xml:space="preserve">      Investments &amp; Other Assets</t>
  </si>
  <si>
    <t>OTHER_ASSETS_AND_LT_INVESTMENTS</t>
  </si>
  <si>
    <t xml:space="preserve">      Long-Term Investments &amp; Receivables</t>
  </si>
  <si>
    <t>BS_LONG_TERM_INVESTMENTS</t>
  </si>
  <si>
    <t>Long-Term Investments &amp; Receivables</t>
  </si>
  <si>
    <t xml:space="preserve">      Long-Term Restricted Cash</t>
  </si>
  <si>
    <t>BS_LONG_TERM_RESTRCTD_CASH_INVT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</si>
  <si>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</si>
  <si>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</si>
  <si>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</si>
  <si>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</si>
  <si>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</si>
  <si>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</si>
  <si>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</si>
  <si>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</si>
  <si>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</t>
  </si>
  <si>
    <t>BS_ACCT_PAYABLE</t>
  </si>
  <si>
    <t>Accounts Payable</t>
  </si>
  <si>
    <t xml:space="preserve">      Other Accounts Payable &amp; Accruals</t>
  </si>
  <si>
    <t>BS_ACCRUAL</t>
  </si>
  <si>
    <t xml:space="preserve">      Accrued Compensation</t>
  </si>
  <si>
    <t>BS_ST_ACC_CMPNSTN_POSTRET_OBLIG</t>
  </si>
  <si>
    <t xml:space="preserve">      Accrued Expenses</t>
  </si>
  <si>
    <t>BS_SHORTTERM_ACCRUD_EXPNSS</t>
  </si>
  <si>
    <t xml:space="preserve">      Air Traffic Liability</t>
  </si>
  <si>
    <t>ST_DEFERRED_REVENUE</t>
  </si>
  <si>
    <t>Air Traffic Liability</t>
  </si>
  <si>
    <t xml:space="preserve">      Short-Term Debt &amp; Current Maturities</t>
  </si>
  <si>
    <t>CB_BS_CURRENT_PORTION_OF_LT_DEBT</t>
  </si>
  <si>
    <t>Short-Term Debt &amp; Current Maturities</t>
  </si>
  <si>
    <t xml:space="preserve">      Current Operating Lease Liabilities</t>
  </si>
  <si>
    <t>BS_ST_OPERATING_LEASE_LIABS</t>
  </si>
  <si>
    <t>Current Operating Lease Liabilities</t>
  </si>
  <si>
    <t xml:space="preserve">    Non-Current Liabilities</t>
  </si>
  <si>
    <t>Non-Current Liabilities</t>
  </si>
  <si>
    <t xml:space="preserve">      Long-Term Debt &amp; Capital Leases</t>
  </si>
  <si>
    <t>CB_BS_LT_BORROWING</t>
  </si>
  <si>
    <t>Long-Term Debt &amp; Capital Leases</t>
  </si>
  <si>
    <t xml:space="preserve">      Long-Term Operating Lease Liabilities</t>
  </si>
  <si>
    <t>BS_LT_OPERATING_LEASE_LIABS</t>
  </si>
  <si>
    <t>Long-Term Operating Lease Liabilities</t>
  </si>
  <si>
    <t xml:space="preserve">      Deferred Income Taxes</t>
  </si>
  <si>
    <t>BS_DEFERRED_TAX_LIABILITIES_LT</t>
  </si>
  <si>
    <t>Deferred Income Taxes</t>
  </si>
  <si>
    <t xml:space="preserve">      Additional Paid in Capital</t>
  </si>
  <si>
    <t>CB_BS_APIC</t>
  </si>
  <si>
    <t xml:space="preserve">      Contract Liabilities</t>
  </si>
  <si>
    <t>BS_CONTRACT_LIABS_LONG_TERM</t>
  </si>
  <si>
    <t xml:space="preserve">      Other Noncurrent Liabilities Company Basis</t>
  </si>
  <si>
    <t>CB_BS_OTHER_NONCURRENT_LIABS</t>
  </si>
  <si>
    <t xml:space="preserve">    Total Liabilities</t>
  </si>
  <si>
    <t>BS_TOTAL_LIABILITIES</t>
  </si>
  <si>
    <t>Total Liabilities</t>
  </si>
  <si>
    <t xml:space="preserve">    Total Equity</t>
  </si>
  <si>
    <t>HEADLINE_NAV</t>
  </si>
  <si>
    <t>Total Equity</t>
  </si>
  <si>
    <t>BS_ADD_PAID_IN_CAP</t>
  </si>
  <si>
    <t xml:space="preserve">      Retained Earnings</t>
  </si>
  <si>
    <t>BS_PURE_RETAINED_EARNINGS</t>
  </si>
  <si>
    <t xml:space="preserve">      Accumulated Other Comprehensive Income</t>
  </si>
  <si>
    <t>BS_ACCUMULATED_OTHER_COMP_INC</t>
  </si>
  <si>
    <t xml:space="preserve">    Total Liabilities &amp; Equity</t>
  </si>
  <si>
    <t>Total Liabilities &amp; Equity</t>
  </si>
  <si>
    <t xml:space="preserve">  Special Company Reference Items</t>
  </si>
  <si>
    <t>Special Company Reference Items</t>
  </si>
  <si>
    <t xml:space="preserve">    Net Debt</t>
  </si>
  <si>
    <t>NET_DEBT</t>
  </si>
  <si>
    <t xml:space="preserve">    EV Components</t>
  </si>
  <si>
    <t>EV_FUNDAMENTAL_COMPONENT</t>
  </si>
  <si>
    <t xml:space="preserve">    Total Debt</t>
  </si>
  <si>
    <t>SHORT_AND_LONG_TERM_DEBT</t>
  </si>
  <si>
    <t xml:space="preserve">      Debt to Total Capital (%)</t>
  </si>
  <si>
    <t>TOT_DEBT_TO_TOT_CAP</t>
  </si>
  <si>
    <t xml:space="preserve">      Total Debt Excluding Operating Lease Liabilities</t>
  </si>
  <si>
    <t>CB_BS_TOTAL_DEBT_FROM_SCHEDULE</t>
  </si>
  <si>
    <t xml:space="preserve">      Operating Lease Obligations</t>
  </si>
  <si>
    <t>BS_PV_FUTURE_MIN_OP_LEASE_OBL</t>
  </si>
  <si>
    <t xml:space="preserve">    </t>
  </si>
  <si>
    <t xml:space="preserve">    Return on Assets (%)</t>
  </si>
  <si>
    <t>RETURN_ON_ASSET</t>
  </si>
  <si>
    <t xml:space="preserve">    Return on Equity (%)</t>
  </si>
  <si>
    <t>HEADLINE_ROE</t>
  </si>
  <si>
    <t>Return on Equity (%)</t>
  </si>
  <si>
    <t xml:space="preserve">    Book Value per Share</t>
  </si>
  <si>
    <t>BOOK_VAL_PER_SH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</si>
  <si>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</si>
  <si>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</si>
  <si>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</si>
  <si>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</si>
  <si>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Deferred Income Taxes</t>
  </si>
  <si>
    <t>CF_DEF_INC_TAX</t>
  </si>
  <si>
    <t xml:space="preserve">    Change in Working Capital</t>
  </si>
  <si>
    <t>CF_CHNG_NON_CASH_WORK_CAP</t>
  </si>
  <si>
    <t xml:space="preserve">      Increase in Air Traffic Liability</t>
  </si>
  <si>
    <t>CB_CF_CHG_IN_AIR_TRAFFIC_LIAB</t>
  </si>
  <si>
    <t xml:space="preserve">  Cash Flow from Operations</t>
  </si>
  <si>
    <t>CF_CASH_FROM_OPER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</si>
  <si>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</si>
  <si>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</si>
  <si>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</si>
  <si>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</si>
  <si>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Capital Expenditures</t>
  </si>
  <si>
    <t xml:space="preserve">    Purchase of Available-for-Sale Securities</t>
  </si>
  <si>
    <t>CB_CF_PURCHASES_OF_ST_MARKTABLE_SECS</t>
  </si>
  <si>
    <t xml:space="preserve">    Other Investing Activities Company Basis</t>
  </si>
  <si>
    <t>CB_CF_OTHER_INVESTING_ACTIVITIES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</si>
  <si>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</si>
  <si>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</si>
  <si>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</si>
  <si>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</si>
  <si>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</si>
  <si>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Issuance of Long-Term Debt</t>
  </si>
  <si>
    <t>CF_INCR_LT_BORROW</t>
  </si>
  <si>
    <t>Issuance of Long-Term Debt</t>
  </si>
  <si>
    <t xml:space="preserve">    Repayment of Long-Term Debt &amp; Capital Leases</t>
  </si>
  <si>
    <t>CF_REIMB_LT_BORROW</t>
  </si>
  <si>
    <t>Repayment of Long-Term Debt &amp; Capital Leases</t>
  </si>
  <si>
    <t xml:space="preserve">    Increase/Decrease in Borrowings</t>
  </si>
  <si>
    <t>CF_PROCEEDS_REPAYMNTS_BORROWINGS</t>
  </si>
  <si>
    <t xml:space="preserve">    Change in Equity </t>
  </si>
  <si>
    <t xml:space="preserve">      Stock Issuance</t>
  </si>
  <si>
    <t>CF_INCR_CAP_STOCK</t>
  </si>
  <si>
    <t xml:space="preserve">      Repurchases of Common Stock</t>
  </si>
  <si>
    <t>CF_DECR_CAP_STOCK</t>
  </si>
  <si>
    <t xml:space="preserve">    Share Issuance (Repurchase), Net</t>
  </si>
  <si>
    <t>CF_PROCEEDS_REPURCHASE_EQUITY</t>
  </si>
  <si>
    <t>Share Issuance (Repurchase), Net</t>
  </si>
  <si>
    <t xml:space="preserve">  Cash Flow from Financing</t>
  </si>
  <si>
    <t>CF_CASH_FROM_FNC_ACT</t>
  </si>
  <si>
    <t>Cash Flow from Financing</t>
  </si>
  <si>
    <t xml:space="preserve">    Net Change in Cash</t>
  </si>
  <si>
    <t>CF_NET_CHNG_CASH</t>
  </si>
  <si>
    <t>Net Change in Cash</t>
  </si>
  <si>
    <t xml:space="preserve">      Cash &amp; Cash Equivalents (BOP)</t>
  </si>
  <si>
    <t>CF_CASH_AND_CASH_EQUIV_BEG_BAL</t>
  </si>
  <si>
    <t xml:space="preserve">      Cash &amp; Cash Equivalents (EOP)</t>
  </si>
  <si>
    <t>CF_CASH_AND_CASH_EQUIV_END_BAL</t>
  </si>
  <si>
    <t xml:space="preserve">    Free Cash Flow</t>
  </si>
  <si>
    <t>HEADLINE_FCF</t>
  </si>
  <si>
    <t>Free Cash Flow</t>
  </si>
  <si>
    <t xml:space="preserve">    Capital Expenditures/Revenue (%)</t>
  </si>
  <si>
    <t>CAP_EXPEND_TO_SALES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</si>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</sst>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_xll.BQL("JBLU US Equity", "FISCAL_PERIOD", "FPT=A", "FPO=5A", "ACT_EST_MAPPING=PRECISE", "FS=MRC", "CURRENCY=USD", "XLFILL=b")</f>
        <v>2028 A (Fwd)</v>
      </c>
      <c r="F3" s="3" t="str">
        <f>_xll.BQL("JBLU US Equity", "FISCAL_PERIOD", "FPT=A", "FPO=4A", "ACT_EST_MAPPING=PRECISE", "FS=MRC", "CURRENCY=USD", "XLFILL=b")</f>
        <v>2027 A (Fwd)</v>
      </c>
      <c r="G3" s="3" t="str">
        <f>_xll.BQL("JBLU US Equity", "FISCAL_PERIOD", "FPT=A", "FPO=3A", "ACT_EST_MAPPING=PRECISE", "FS=MRC", "CURRENCY=USD", "XLFILL=b")</f>
        <v>2026 A (Fwd)</v>
      </c>
      <c r="H3" s="3" t="str">
        <f>_xll.BQL("JBLU US Equity", "FISCAL_PERIOD", "FPT=A", "FPO=2A", "ACT_EST_MAPPING=PRECISE", "FS=MRC", "CURRENCY=USD", "XLFILL=b")</f>
        <v>2025 A (Fwd)</v>
      </c>
      <c r="I3" s="3" t="str">
        <f>_xll.BQL("JBLU US Equity", "FISCAL_PERIOD", "FPT=A", "FPO=1A", "ACT_EST_MAPPING=PRECISE", "FS=MRC", "CURRENCY=USD", "XLFILL=b")</f>
        <v>2024 A (Fwd)</v>
      </c>
      <c r="J3" s="3" t="str">
        <f>_xll.BQL("JBLU US Equity", "FISCAL_PERIOD", "FPT=A", "FPO=0A", "ACT_EST_MAPPING=PRECISE", "FS=MRC", "CURRENCY=USD", "XLFILL=b")</f>
        <v>2023 A (Rep)</v>
      </c>
      <c r="K3" s="3" t="str">
        <f>_xll.BQL("JBLU US Equity", "FISCAL_PERIOD", "FPT=A", "FPO=-1A", "ACT_EST_MAPPING=PRECISE", "FS=MRC", "CURRENCY=USD", "XLFILL=b")</f>
        <v>2022 A (Rep)</v>
      </c>
      <c r="L3" s="3" t="str">
        <f>_xll.BQL("JBLU US Equity", "FISCAL_PERIOD", "FPT=A", "FPO=-2A", "ACT_EST_MAPPING=PRECISE", "FS=MRC", "CURRENCY=USD", "XLFILL=b")</f>
        <v>2021 A (Rep)</v>
      </c>
      <c r="M3" s="3" t="str">
        <f>_xll.BQL("JBLU US Equity", "FISCAL_PERIOD", "FPT=A", "FPO=-3A", "ACT_EST_MAPPING=PRECISE", "FS=MRC", "CURRENCY=USD", "XLFILL=b")</f>
        <v>2020 A (Rep)</v>
      </c>
      <c r="N3" s="3" t="str">
        <f>_xll.BQL("JBLU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_xll.BQL("JBLU US Equity", "IS_COMP_SALES().period_end_date", "FPT=A", "FPO=5A", "ACT_EST_MAPPING=PRECISE", "FS=MRC", "CURRENCY=USD", "XLFILL=b")</f>
        <v>47118</v>
      </c>
      <c r="F4" s="7">
        <f>_xll.BQL("JBLU US Equity", "IS_COMP_SALES().period_end_date", "FPT=A", "FPO=4A", "ACT_EST_MAPPING=PRECISE", "FS=MRC", "CURRENCY=USD", "XLFILL=b")</f>
        <v>46752</v>
      </c>
      <c r="G4" s="7">
        <f>_xll.BQL("JBLU US Equity", "IS_COMP_SALES().period_end_date", "FPT=A", "FPO=3A", "ACT_EST_MAPPING=PRECISE", "FS=MRC", "CURRENCY=USD", "XLFILL=b")</f>
        <v>46387</v>
      </c>
      <c r="H4" s="7">
        <f>_xll.BQL("JBLU US Equity", "IS_COMP_SALES().period_end_date", "FPT=A", "FPO=2A", "ACT_EST_MAPPING=PRECISE", "FS=MRC", "CURRENCY=USD", "XLFILL=b")</f>
        <v>46022</v>
      </c>
      <c r="I4" s="7">
        <f>_xll.BQL("JBLU US Equity", "IS_COMP_SALES().period_end_date", "FPT=A", "FPO=1A", "ACT_EST_MAPPING=PRECISE", "FS=MRC", "CURRENCY=USD", "XLFILL=b")</f>
        <v>45657</v>
      </c>
      <c r="J4" s="7">
        <f>_xll.BQL("JBLU US Equity", "IS_COMP_SALES().period_end_date", "FPT=A", "FPO=0A", "ACT_EST_MAPPING=PRECISE", "FS=MRC", "CURRENCY=USD", "XLFILL=b")</f>
        <v>45291</v>
      </c>
      <c r="K4" s="7">
        <f>_xll.BQL("JBLU US Equity", "IS_COMP_SALES().period_end_date", "FPT=A", "FPO=-1A", "ACT_EST_MAPPING=PRECISE", "FS=MRC", "CURRENCY=USD", "XLFILL=b")</f>
        <v>44926</v>
      </c>
      <c r="L4" s="7">
        <f>_xll.BQL("JBLU US Equity", "IS_COMP_SALES().period_end_date", "FPT=A", "FPO=-2A", "ACT_EST_MAPPING=PRECISE", "FS=MRC", "CURRENCY=USD", "XLFILL=b")</f>
        <v>44561</v>
      </c>
      <c r="M4" s="7">
        <f>_xll.BQL("JBLU US Equity", "IS_COMP_SALES().period_end_date", "FPT=A", "FPO=-3A", "ACT_EST_MAPPING=PRECISE", "FS=MRC", "CURRENCY=USD", "XLFILL=b")</f>
        <v>44196</v>
      </c>
      <c r="N4" s="7">
        <f>_xll.BQL("JBLU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_xll.BQL("JBLU US Equity", "IS_COMP_EPS_ADJUSTED_OLD", "FPT=A", "FPO=5A", "ACT_EST_MAPPING=PRECISE", "FS=MRC", "CURRENCY=USD", "XLFILL=b")</f>
        <v>0.15</v>
      </c>
      <c r="F6" s="9">
        <f>_xll.BQL("JBLU US Equity", "IS_COMP_EPS_ADJUSTED_OLD", "FPT=A", "FPO=4A", "ACT_EST_MAPPING=PRECISE", "FS=MRC", "CURRENCY=USD", "XLFILL=b")</f>
        <v>0.2</v>
      </c>
      <c r="G6" s="9">
        <f>_xll.BQL("JBLU US Equity", "IS_COMP_EPS_ADJUSTED_OLD", "FPT=A", "FPO=3A", "ACT_EST_MAPPING=PRECISE", "FS=MRC", "CURRENCY=USD", "XLFILL=b")</f>
        <v>0.10777777777777779</v>
      </c>
      <c r="H6" s="9">
        <f>_xll.BQL("JBLU US Equity", "IS_COMP_EPS_ADJUSTED_OLD", "FPT=A", "FPO=2A", "ACT_EST_MAPPING=PRECISE", "FS=MRC", "CURRENCY=USD", "XLFILL=b")</f>
        <v>-0.43933333333333341</v>
      </c>
      <c r="I6" s="9">
        <f>_xll.BQL("JBLU US Equity", "IS_COMP_EPS_ADJUSTED_OLD", "FPT=A", "FPO=1A", "ACT_EST_MAPPING=PRECISE", "FS=MRC", "CURRENCY=USD", "XLFILL=b")</f>
        <v>-0.95866666666666656</v>
      </c>
      <c r="J6" s="9">
        <f>_xll.BQL("JBLU US Equity", "IS_COMP_EPS_ADJUSTED_OLD", "FPT=A", "FPO=0A", "ACT_EST_MAPPING=PRECISE", "FS=MRC", "CURRENCY=USD", "XLFILL=b")</f>
        <v>-0.45</v>
      </c>
      <c r="K6" s="9">
        <f>_xll.BQL("JBLU US Equity", "IS_COMP_EPS_ADJUSTED_OLD", "FPT=A", "FPO=-1A", "ACT_EST_MAPPING=PRECISE", "FS=MRC", "CURRENCY=USD", "XLFILL=b")</f>
        <v>-0.8</v>
      </c>
      <c r="L6" s="9">
        <f>_xll.BQL("JBLU US Equity", "IS_COMP_EPS_ADJUSTED_OLD", "FPT=A", "FPO=-2A", "ACT_EST_MAPPING=PRECISE", "FS=MRC", "CURRENCY=USD", "XLFILL=b")</f>
        <v>-2.5099999999999998</v>
      </c>
      <c r="M6" s="9">
        <f>_xll.BQL("JBLU US Equity", "IS_COMP_EPS_ADJUSTED_OLD", "FPT=A", "FPO=-3A", "ACT_EST_MAPPING=PRECISE", "FS=MRC", "CURRENCY=USD", "XLFILL=b")</f>
        <v>-5.68</v>
      </c>
      <c r="N6" s="9">
        <f>_xll.BQL("JBLU US Equity", "IS_COMP_EPS_ADJUSTED_OLD", "FPT=A", "FPO=-4A", "ACT_EST_MAPPING=PRECISE", "FS=MRC", "CURRENCY=USD", "XLFILL=b")</f>
        <v>1.9</v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_xll.BQL("JBLU US Equity", "FA_GROWTH(IS_COMP_EPS_ADJUSTED_OLD, YOY)", "FPT=A", "FPO=5A", "ACT_EST_MAPPING=PRECISE", "FS=MRC", "CURRENCY=USD", "XLFILL=b")</f>
        <v>-25.000000000000007</v>
      </c>
      <c r="F7" s="9">
        <f>_xll.BQL("JBLU US Equity", "FA_GROWTH(IS_COMP_EPS_ADJUSTED_OLD, YOY)", "FPT=A", "FPO=4A", "ACT_EST_MAPPING=PRECISE", "FS=MRC", "CURRENCY=USD", "XLFILL=b")</f>
        <v>85.567010309278331</v>
      </c>
      <c r="G7" s="9">
        <f>_xll.BQL("JBLU US Equity", "FA_GROWTH(IS_COMP_EPS_ADJUSTED_OLD, YOY)", "FPT=A", "FPO=3A", "ACT_EST_MAPPING=PRECISE", "FS=MRC", "CURRENCY=USD", "XLFILL=b")</f>
        <v>124.53211937278705</v>
      </c>
      <c r="H7" s="9">
        <f>_xll.BQL("JBLU US Equity", "FA_GROWTH(IS_COMP_EPS_ADJUSTED_OLD, YOY)", "FPT=A", "FPO=2A", "ACT_EST_MAPPING=PRECISE", "FS=MRC", "CURRENCY=USD", "XLFILL=b")</f>
        <v>54.172461752433932</v>
      </c>
      <c r="I7" s="9">
        <f>_xll.BQL("JBLU US Equity", "FA_GROWTH(IS_COMP_EPS_ADJUSTED_OLD, YOY)", "FPT=A", "FPO=1A", "ACT_EST_MAPPING=PRECISE", "FS=MRC", "CURRENCY=USD", "XLFILL=b")</f>
        <v>-113.03703703703702</v>
      </c>
      <c r="J7" s="9">
        <f>_xll.BQL("JBLU US Equity", "FA_GROWTH(IS_COMP_EPS_ADJUSTED_OLD, YOY)", "FPT=A", "FPO=0A", "ACT_EST_MAPPING=PRECISE", "FS=MRC", "CURRENCY=USD", "XLFILL=b")</f>
        <v>43.75</v>
      </c>
      <c r="K7" s="9">
        <f>_xll.BQL("JBLU US Equity", "FA_GROWTH(IS_COMP_EPS_ADJUSTED_OLD, YOY)", "FPT=A", "FPO=-1A", "ACT_EST_MAPPING=PRECISE", "FS=MRC", "CURRENCY=USD", "XLFILL=b")</f>
        <v>68.127490039840637</v>
      </c>
      <c r="L7" s="9">
        <f>_xll.BQL("JBLU US Equity", "FA_GROWTH(IS_COMP_EPS_ADJUSTED_OLD, YOY)", "FPT=A", "FPO=-2A", "ACT_EST_MAPPING=PRECISE", "FS=MRC", "CURRENCY=USD", "XLFILL=b")</f>
        <v>55.809859154929583</v>
      </c>
      <c r="M7" s="9">
        <f>_xll.BQL("JBLU US Equity", "FA_GROWTH(IS_COMP_EPS_ADJUSTED_OLD, YOY)", "FPT=A", "FPO=-3A", "ACT_EST_MAPPING=PRECISE", "FS=MRC", "CURRENCY=USD", "XLFILL=b")</f>
        <v>-398.94736842105266</v>
      </c>
      <c r="N7" s="9">
        <f>_xll.BQL("JBLU US Equity", "FA_GROWTH(IS_COMP_EPS_ADJUSTED_OLD, YOY)", "FPT=A", "FPO=-4A", "ACT_EST_MAPPING=PRECISE", "FS=MRC", "CURRENCY=USD", "XLFILL=b")</f>
        <v>22.580645161290313</v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_xll.BQL("JBLU US Equity", "IS_COMP_SALES/1M", "FPT=A", "FPO=5A", "ACT_EST_MAPPING=PRECISE", "FS=MRC", "CURRENCY=USD", "XLFILL=b")</f>
        <v>11174</v>
      </c>
      <c r="F8" s="9">
        <f>_xll.BQL("JBLU US Equity", "IS_COMP_SALES/1M", "FPT=A", "FPO=4A", "ACT_EST_MAPPING=PRECISE", "FS=MRC", "CURRENCY=USD", "XLFILL=b")</f>
        <v>10779</v>
      </c>
      <c r="G8" s="9">
        <f>_xll.BQL("JBLU US Equity", "IS_COMP_SALES/1M", "FPT=A", "FPO=3A", "ACT_EST_MAPPING=PRECISE", "FS=MRC", "CURRENCY=USD", "XLFILL=b")</f>
        <v>10414</v>
      </c>
      <c r="H8" s="9">
        <f>_xll.BQL("JBLU US Equity", "IS_COMP_SALES/1M", "FPT=A", "FPO=2A", "ACT_EST_MAPPING=PRECISE", "FS=MRC", "CURRENCY=USD", "XLFILL=b")</f>
        <v>9679.7142857142844</v>
      </c>
      <c r="I8" s="9">
        <f>_xll.BQL("JBLU US Equity", "IS_COMP_SALES/1M", "FPT=A", "FPO=1A", "ACT_EST_MAPPING=PRECISE", "FS=MRC", "CURRENCY=USD", "XLFILL=b")</f>
        <v>9258.1428571428569</v>
      </c>
      <c r="J8" s="9">
        <f>_xll.BQL("JBLU US Equity", "IS_COMP_SALES/1M", "FPT=A", "FPO=0A", "ACT_EST_MAPPING=PRECISE", "FS=MRC", "CURRENCY=USD", "XLFILL=b")</f>
        <v>9615</v>
      </c>
      <c r="K8" s="9">
        <f>_xll.BQL("JBLU US Equity", "IS_COMP_SALES/1M", "FPT=A", "FPO=-1A", "ACT_EST_MAPPING=PRECISE", "FS=MRC", "CURRENCY=USD", "XLFILL=b")</f>
        <v>9158</v>
      </c>
      <c r="L8" s="9">
        <f>_xll.BQL("JBLU US Equity", "IS_COMP_SALES/1M", "FPT=A", "FPO=-2A", "ACT_EST_MAPPING=PRECISE", "FS=MRC", "CURRENCY=USD", "XLFILL=b")</f>
        <v>6037</v>
      </c>
      <c r="M8" s="9">
        <f>_xll.BQL("JBLU US Equity", "IS_COMP_SALES/1M", "FPT=A", "FPO=-3A", "ACT_EST_MAPPING=PRECISE", "FS=MRC", "CURRENCY=USD", "XLFILL=b")</f>
        <v>2957</v>
      </c>
      <c r="N8" s="9">
        <f>_xll.BQL("JBLU US Equity", "IS_COMP_SALES/1M", "FPT=A", "FPO=-4A", "ACT_EST_MAPPING=PRECISE", "FS=MRC", "CURRENCY=USD", "XLFILL=b")</f>
        <v>8094</v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_xll.BQL("JBLU US Equity", "FA_GROWTH(IS_COMP_SALES, YOY)", "FPT=A", "FPO=5A", "ACT_EST_MAPPING=PRECISE", "FS=MRC", "CURRENCY=USD", "XLFILL=b")</f>
        <v>3.6645328880230079</v>
      </c>
      <c r="F9" s="9">
        <f>_xll.BQL("JBLU US Equity", "FA_GROWTH(IS_COMP_SALES, YOY)", "FPT=A", "FPO=4A", "ACT_EST_MAPPING=PRECISE", "FS=MRC", "CURRENCY=USD", "XLFILL=b")</f>
        <v>3.5048972536969463</v>
      </c>
      <c r="G9" s="9">
        <f>_xll.BQL("JBLU US Equity", "FA_GROWTH(IS_COMP_SALES, YOY)", "FPT=A", "FPO=3A", "ACT_EST_MAPPING=PRECISE", "FS=MRC", "CURRENCY=USD", "XLFILL=b")</f>
        <v>7.5858201245609456</v>
      </c>
      <c r="H9" s="9">
        <f>_xll.BQL("JBLU US Equity", "FA_GROWTH(IS_COMP_SALES, YOY)", "FPT=A", "FPO=2A", "ACT_EST_MAPPING=PRECISE", "FS=MRC", "CURRENCY=USD", "XLFILL=b")</f>
        <v>4.5535204530374775</v>
      </c>
      <c r="I9" s="9">
        <f>_xll.BQL("JBLU US Equity", "FA_GROWTH(IS_COMP_SALES, YOY)", "FPT=A", "FPO=1A", "ACT_EST_MAPPING=PRECISE", "FS=MRC", "CURRENCY=USD", "XLFILL=b")</f>
        <v>-3.7114627442240602</v>
      </c>
      <c r="J9" s="9">
        <f>_xll.BQL("JBLU US Equity", "FA_GROWTH(IS_COMP_SALES, YOY)", "FPT=A", "FPO=0A", "ACT_EST_MAPPING=PRECISE", "FS=MRC", "CURRENCY=USD", "XLFILL=b")</f>
        <v>4.9901725267525663</v>
      </c>
      <c r="K9" s="9">
        <f>_xll.BQL("JBLU US Equity", "FA_GROWTH(IS_COMP_SALES, YOY)", "FPT=A", "FPO=-1A", "ACT_EST_MAPPING=PRECISE", "FS=MRC", "CURRENCY=USD", "XLFILL=b")</f>
        <v>51.697863177074709</v>
      </c>
      <c r="L9" s="9">
        <f>_xll.BQL("JBLU US Equity", "FA_GROWTH(IS_COMP_SALES, YOY)", "FPT=A", "FPO=-2A", "ACT_EST_MAPPING=PRECISE", "FS=MRC", "CURRENCY=USD", "XLFILL=b")</f>
        <v>104.15962123774095</v>
      </c>
      <c r="M9" s="9">
        <f>_xll.BQL("JBLU US Equity", "FA_GROWTH(IS_COMP_SALES, YOY)", "FPT=A", "FPO=-3A", "ACT_EST_MAPPING=PRECISE", "FS=MRC", "CURRENCY=USD", "XLFILL=b")</f>
        <v>-63.46676550531258</v>
      </c>
      <c r="N9" s="9">
        <f>_xll.BQL("JBLU US Equity", "FA_GROWTH(IS_COMP_SALES, YOY)", "FPT=A", "FPO=-4A", "ACT_EST_MAPPING=PRECISE", "FS=MRC", "CURRENCY=USD", "XLFILL=b")</f>
        <v>5.6933925306868636</v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381</v>
      </c>
      <c r="B11" s="4" t="s">
        <v>17</v>
      </c>
      <c r="C11" s="4" t="s">
        <v>18</v>
      </c>
      <c r="D11" s="4"/>
      <c r="E11" s="9">
        <f>_xll.BQL("JBLU US Equity", "REV_PASS_MILES_KM/1M", "FPT=A", "FPO=5A", "ACT_EST_MAPPING=PRECISE", "FS=MRC", "CURRENCY=USD", "XLFILL=b")</f>
        <v>60516.150317542408</v>
      </c>
      <c r="F11" s="9">
        <f>_xll.BQL("JBLU US Equity", "REV_PASS_MILES_KM/1M", "FPT=A", "FPO=4A", "ACT_EST_MAPPING=PRECISE", "FS=MRC", "CURRENCY=USD", "XLFILL=b")</f>
        <v>58188.606074559997</v>
      </c>
      <c r="G11" s="9">
        <f>_xll.BQL("JBLU US Equity", "REV_PASS_MILES_KM/1M", "FPT=A", "FPO=3A", "ACT_EST_MAPPING=PRECISE", "FS=MRC", "CURRENCY=USD", "XLFILL=b")</f>
        <v>58490.235145206119</v>
      </c>
      <c r="H11" s="9">
        <f>_xll.BQL("JBLU US Equity", "REV_PASS_MILES_KM/1M", "FPT=A", "FPO=2A", "ACT_EST_MAPPING=PRECISE", "FS=MRC", "CURRENCY=USD", "XLFILL=b")</f>
        <v>55256.54485232463</v>
      </c>
      <c r="I11" s="9">
        <f>_xll.BQL("JBLU US Equity", "REV_PASS_MILES_KM/1M", "FPT=A", "FPO=1A", "ACT_EST_MAPPING=PRECISE", "FS=MRC", "CURRENCY=USD", "XLFILL=b")</f>
        <v>54526.126852305977</v>
      </c>
      <c r="J11" s="9">
        <f>_xll.BQL("JBLU US Equity", "REV_PASS_MILES_KM/1M", "FPT=A", "FPO=0A", "ACT_EST_MAPPING=PRECISE", "FS=MRC", "CURRENCY=USD", "XLFILL=b")</f>
        <v>56578</v>
      </c>
      <c r="K11" s="9">
        <f>_xll.BQL("JBLU US Equity", "REV_PASS_MILES_KM/1M", "FPT=A", "FPO=-1A", "ACT_EST_MAPPING=PRECISE", "FS=MRC", "CURRENCY=USD", "XLFILL=b")</f>
        <v>52552</v>
      </c>
      <c r="L11" s="9">
        <f>_xll.BQL("JBLU US Equity", "REV_PASS_MILES_KM/1M", "FPT=A", "FPO=-2A", "ACT_EST_MAPPING=PRECISE", "FS=MRC", "CURRENCY=USD", "XLFILL=b")</f>
        <v>41152</v>
      </c>
      <c r="M11" s="9">
        <f>_xll.BQL("JBLU US Equity", "REV_PASS_MILES_KM/1M", "FPT=A", "FPO=-3A", "ACT_EST_MAPPING=PRECISE", "FS=MRC", "CURRENCY=USD", "XLFILL=b")</f>
        <v>18598</v>
      </c>
      <c r="N11" s="9">
        <f>_xll.BQL("JBLU US Equity", "REV_PASS_MILES_KM/1M", "FPT=A", "FPO=-4A", "ACT_EST_MAPPING=PRECISE", "FS=MRC", "CURRENCY=USD", "XLFILL=b")</f>
        <v>53617</v>
      </c>
    </row>
    <row r="12" spans="1:14" x14ac:dyDescent="0.2">
      <c r="A12" s="8" t="s">
        <v>12</v>
      </c>
      <c r="B12" s="4" t="s">
        <v>17</v>
      </c>
      <c r="C12" s="4" t="s">
        <v>18</v>
      </c>
      <c r="D12" s="4"/>
      <c r="E12" s="9">
        <f>_xll.BQL("JBLU US Equity", "FA_GROWTH(REV_PASS_MILES_KM, YOY)", "FPT=A", "FPO=5A", "ACT_EST_MAPPING=PRECISE", "FS=MRC", "CURRENCY=USD", "XLFILL=b")</f>
        <v>4.0000000000000115</v>
      </c>
      <c r="F12" s="9">
        <f>_xll.BQL("JBLU US Equity", "FA_GROWTH(REV_PASS_MILES_KM, YOY)", "FPT=A", "FPO=4A", "ACT_EST_MAPPING=PRECISE", "FS=MRC", "CURRENCY=USD", "XLFILL=b")</f>
        <v>-0.51569132847098809</v>
      </c>
      <c r="G12" s="9">
        <f>_xll.BQL("JBLU US Equity", "FA_GROWTH(REV_PASS_MILES_KM, YOY)", "FPT=A", "FPO=3A", "ACT_EST_MAPPING=PRECISE", "FS=MRC", "CURRENCY=USD", "XLFILL=b")</f>
        <v>5.8521398714372284</v>
      </c>
      <c r="H12" s="9">
        <f>_xll.BQL("JBLU US Equity", "FA_GROWTH(REV_PASS_MILES_KM, YOY)", "FPT=A", "FPO=2A", "ACT_EST_MAPPING=PRECISE", "FS=MRC", "CURRENCY=USD", "XLFILL=b")</f>
        <v>1.339574332864546</v>
      </c>
      <c r="I12" s="9">
        <f>_xll.BQL("JBLU US Equity", "FA_GROWTH(REV_PASS_MILES_KM, YOY)", "FPT=A", "FPO=1A", "ACT_EST_MAPPING=PRECISE", "FS=MRC", "CURRENCY=USD", "XLFILL=b")</f>
        <v>-3.6266272185196069</v>
      </c>
      <c r="J12" s="9">
        <f>_xll.BQL("JBLU US Equity", "FA_GROWTH(REV_PASS_MILES_KM, YOY)", "FPT=A", "FPO=0A", "ACT_EST_MAPPING=PRECISE", "FS=MRC", "CURRENCY=USD", "XLFILL=b")</f>
        <v>7.6609834069112495</v>
      </c>
      <c r="K12" s="9">
        <f>_xll.BQL("JBLU US Equity", "FA_GROWTH(REV_PASS_MILES_KM, YOY)", "FPT=A", "FPO=-1A", "ACT_EST_MAPPING=PRECISE", "FS=MRC", "CURRENCY=USD", "XLFILL=b")</f>
        <v>27.702177293934682</v>
      </c>
      <c r="L12" s="9">
        <f>_xll.BQL("JBLU US Equity", "FA_GROWTH(REV_PASS_MILES_KM, YOY)", "FPT=A", "FPO=-2A", "ACT_EST_MAPPING=PRECISE", "FS=MRC", "CURRENCY=USD", "XLFILL=b")</f>
        <v>121.2711044198301</v>
      </c>
      <c r="M12" s="9">
        <f>_xll.BQL("JBLU US Equity", "FA_GROWTH(REV_PASS_MILES_KM, YOY)", "FPT=A", "FPO=-3A", "ACT_EST_MAPPING=PRECISE", "FS=MRC", "CURRENCY=USD", "XLFILL=b")</f>
        <v>-65.313240203666751</v>
      </c>
      <c r="N12" s="9">
        <f>_xll.BQL("JBLU US Equity", "FA_GROWTH(REV_PASS_MILES_KM, YOY)", "FPT=A", "FPO=-4A", "ACT_EST_MAPPING=PRECISE", "FS=MRC", "CURRENCY=USD", "XLFILL=b")</f>
        <v>5.5660563102973022</v>
      </c>
    </row>
    <row r="13" spans="1:14" x14ac:dyDescent="0.2">
      <c r="A13" s="8" t="s">
        <v>19</v>
      </c>
      <c r="B13" s="4" t="s">
        <v>20</v>
      </c>
      <c r="C13" s="4" t="s">
        <v>21</v>
      </c>
      <c r="D13" s="4"/>
      <c r="E13" s="9">
        <f>_xll.BQL("JBLU US Equity", "AVAIL_SEAT_MILES_KM/1M", "FPT=A", "FPO=5A", "ACT_EST_MAPPING=PRECISE", "FS=MRC", "CURRENCY=USD", "XLFILL=b")</f>
        <v>73561.456676614398</v>
      </c>
      <c r="F13" s="9">
        <f>_xll.BQL("JBLU US Equity", "AVAIL_SEAT_MILES_KM/1M", "FPT=A", "FPO=4A", "ACT_EST_MAPPING=PRECISE", "FS=MRC", "CURRENCY=USD", "XLFILL=b")</f>
        <v>70732.169881359994</v>
      </c>
      <c r="G13" s="9">
        <f>_xll.BQL("JBLU US Equity", "AVAIL_SEAT_MILES_KM/1M", "FPT=A", "FPO=3A", "ACT_EST_MAPPING=PRECISE", "FS=MRC", "CURRENCY=USD", "XLFILL=b")</f>
        <v>69688.011924402235</v>
      </c>
      <c r="H13" s="9">
        <f>_xll.BQL("JBLU US Equity", "AVAIL_SEAT_MILES_KM/1M", "FPT=A", "FPO=2A", "ACT_EST_MAPPING=PRECISE", "FS=MRC", "CURRENCY=USD", "XLFILL=b")</f>
        <v>66325.91120492194</v>
      </c>
      <c r="I13" s="9">
        <f>_xll.BQL("JBLU US Equity", "AVAIL_SEAT_MILES_KM/1M", "FPT=A", "FPO=1A", "ACT_EST_MAPPING=PRECISE", "FS=MRC", "CURRENCY=USD", "XLFILL=b")</f>
        <v>66090.746846386566</v>
      </c>
      <c r="J13" s="9">
        <f>_xll.BQL("JBLU US Equity", "AVAIL_SEAT_MILES_KM/1M", "FPT=A", "FPO=0A", "ACT_EST_MAPPING=PRECISE", "FS=MRC", "CURRENCY=USD", "XLFILL=b")</f>
        <v>68497</v>
      </c>
      <c r="K13" s="9">
        <f>_xll.BQL("JBLU US Equity", "AVAIL_SEAT_MILES_KM/1M", "FPT=A", "FPO=-1A", "ACT_EST_MAPPING=PRECISE", "FS=MRC", "CURRENCY=USD", "XLFILL=b")</f>
        <v>64475</v>
      </c>
      <c r="L13" s="9">
        <f>_xll.BQL("JBLU US Equity", "AVAIL_SEAT_MILES_KM/1M", "FPT=A", "FPO=-2A", "ACT_EST_MAPPING=PRECISE", "FS=MRC", "CURRENCY=USD", "XLFILL=b")</f>
        <v>54113</v>
      </c>
      <c r="M13" s="9">
        <f>_xll.BQL("JBLU US Equity", "AVAIL_SEAT_MILES_KM/1M", "FPT=A", "FPO=-3A", "ACT_EST_MAPPING=PRECISE", "FS=MRC", "CURRENCY=USD", "XLFILL=b")</f>
        <v>32689</v>
      </c>
      <c r="N13" s="9">
        <f>_xll.BQL("JBLU US Equity", "AVAIL_SEAT_MILES_KM/1M", "FPT=A", "FPO=-4A", "ACT_EST_MAPPING=PRECISE", "FS=MRC", "CURRENCY=USD", "XLFILL=b")</f>
        <v>63841</v>
      </c>
    </row>
    <row r="14" spans="1:14" x14ac:dyDescent="0.2">
      <c r="A14" s="8" t="s">
        <v>12</v>
      </c>
      <c r="B14" s="4" t="s">
        <v>20</v>
      </c>
      <c r="C14" s="4" t="s">
        <v>21</v>
      </c>
      <c r="D14" s="4"/>
      <c r="E14" s="9">
        <f>_xll.BQL("JBLU US Equity", "FA_GROWTH(AVAIL_SEAT_MILES_KM, YOY)", "FPT=A", "FPO=5A", "ACT_EST_MAPPING=PRECISE", "FS=MRC", "CURRENCY=USD", "XLFILL=b")</f>
        <v>3.9999999999999925</v>
      </c>
      <c r="F14" s="9">
        <f>_xll.BQL("JBLU US Equity", "FA_GROWTH(AVAIL_SEAT_MILES_KM, YOY)", "FPT=A", "FPO=4A", "ACT_EST_MAPPING=PRECISE", "FS=MRC", "CURRENCY=USD", "XLFILL=b")</f>
        <v>1.4983322498717131</v>
      </c>
      <c r="G14" s="9">
        <f>_xll.BQL("JBLU US Equity", "FA_GROWTH(AVAIL_SEAT_MILES_KM, YOY)", "FPT=A", "FPO=3A", "ACT_EST_MAPPING=PRECISE", "FS=MRC", "CURRENCY=USD", "XLFILL=b")</f>
        <v>5.0690607311713745</v>
      </c>
      <c r="H14" s="9">
        <f>_xll.BQL("JBLU US Equity", "FA_GROWTH(AVAIL_SEAT_MILES_KM, YOY)", "FPT=A", "FPO=2A", "ACT_EST_MAPPING=PRECISE", "FS=MRC", "CURRENCY=USD", "XLFILL=b")</f>
        <v>0.35582039809894334</v>
      </c>
      <c r="I14" s="9">
        <f>_xll.BQL("JBLU US Equity", "FA_GROWTH(AVAIL_SEAT_MILES_KM, YOY)", "FPT=A", "FPO=1A", "ACT_EST_MAPPING=PRECISE", "FS=MRC", "CURRENCY=USD", "XLFILL=b")</f>
        <v>-3.5129321774872384</v>
      </c>
      <c r="J14" s="9">
        <f>_xll.BQL("JBLU US Equity", "FA_GROWTH(AVAIL_SEAT_MILES_KM, YOY)", "FPT=A", "FPO=0A", "ACT_EST_MAPPING=PRECISE", "FS=MRC", "CURRENCY=USD", "XLFILL=b")</f>
        <v>6.2380767739433889</v>
      </c>
      <c r="K14" s="9">
        <f>_xll.BQL("JBLU US Equity", "FA_GROWTH(AVAIL_SEAT_MILES_KM, YOY)", "FPT=A", "FPO=-1A", "ACT_EST_MAPPING=PRECISE", "FS=MRC", "CURRENCY=USD", "XLFILL=b")</f>
        <v>19.148818213737918</v>
      </c>
      <c r="L14" s="9">
        <f>_xll.BQL("JBLU US Equity", "FA_GROWTH(AVAIL_SEAT_MILES_KM, YOY)", "FPT=A", "FPO=-2A", "ACT_EST_MAPPING=PRECISE", "FS=MRC", "CURRENCY=USD", "XLFILL=b")</f>
        <v>65.538866285294745</v>
      </c>
      <c r="M14" s="9">
        <f>_xll.BQL("JBLU US Equity", "FA_GROWTH(AVAIL_SEAT_MILES_KM, YOY)", "FPT=A", "FPO=-3A", "ACT_EST_MAPPING=PRECISE", "FS=MRC", "CURRENCY=USD", "XLFILL=b")</f>
        <v>-48.79622812925863</v>
      </c>
      <c r="N14" s="9">
        <f>_xll.BQL("JBLU US Equity", "FA_GROWTH(AVAIL_SEAT_MILES_KM, YOY)", "FPT=A", "FPO=-4A", "ACT_EST_MAPPING=PRECISE", "FS=MRC", "CURRENCY=USD", "XLFILL=b")</f>
        <v>6.6131160134266294</v>
      </c>
    </row>
    <row r="15" spans="1:14" x14ac:dyDescent="0.2">
      <c r="A15" s="8" t="s">
        <v>22</v>
      </c>
      <c r="B15" s="4" t="s">
        <v>23</v>
      </c>
      <c r="C15" s="4" t="s">
        <v>24</v>
      </c>
      <c r="D15" s="4"/>
      <c r="E15" s="9">
        <f>_xll.BQL("JBLU US Equity", "LOAD_FACTOR", "FPT=A", "FPO=5A", "ACT_EST_MAPPING=PRECISE", "FS=MRC", "CURRENCY=USD", "XLFILL=b")</f>
        <v>82.266111971625534</v>
      </c>
      <c r="F15" s="9">
        <f>_xll.BQL("JBLU US Equity", "LOAD_FACTOR", "FPT=A", "FPO=4A", "ACT_EST_MAPPING=PRECISE", "FS=MRC", "CURRENCY=USD", "XLFILL=b")</f>
        <v>82.26611197162552</v>
      </c>
      <c r="G15" s="9">
        <f>_xll.BQL("JBLU US Equity", "LOAD_FACTOR", "FPT=A", "FPO=3A", "ACT_EST_MAPPING=PRECISE", "FS=MRC", "CURRENCY=USD", "XLFILL=b")</f>
        <v>83.930403970969806</v>
      </c>
      <c r="H15" s="9">
        <f>_xll.BQL("JBLU US Equity", "LOAD_FACTOR", "FPT=A", "FPO=2A", "ACT_EST_MAPPING=PRECISE", "FS=MRC", "CURRENCY=USD", "XLFILL=b")</f>
        <v>83.371253864867725</v>
      </c>
      <c r="I15" s="9">
        <f>_xll.BQL("JBLU US Equity", "LOAD_FACTOR", "FPT=A", "FPO=1A", "ACT_EST_MAPPING=PRECISE", "FS=MRC", "CURRENCY=USD", "XLFILL=b")</f>
        <v>82.500483232565244</v>
      </c>
      <c r="J15" s="9">
        <f>_xll.BQL("JBLU US Equity", "LOAD_FACTOR", "FPT=A", "FPO=0A", "ACT_EST_MAPPING=PRECISE", "FS=MRC", "CURRENCY=USD", "XLFILL=b")</f>
        <v>82.6</v>
      </c>
      <c r="K15" s="9">
        <f>_xll.BQL("JBLU US Equity", "LOAD_FACTOR", "FPT=A", "FPO=-1A", "ACT_EST_MAPPING=PRECISE", "FS=MRC", "CURRENCY=USD", "XLFILL=b")</f>
        <v>81.5</v>
      </c>
      <c r="L15" s="9">
        <f>_xll.BQL("JBLU US Equity", "LOAD_FACTOR", "FPT=A", "FPO=-2A", "ACT_EST_MAPPING=PRECISE", "FS=MRC", "CURRENCY=USD", "XLFILL=b")</f>
        <v>76</v>
      </c>
      <c r="M15" s="9">
        <f>_xll.BQL("JBLU US Equity", "LOAD_FACTOR", "FPT=A", "FPO=-3A", "ACT_EST_MAPPING=PRECISE", "FS=MRC", "CURRENCY=USD", "XLFILL=b")</f>
        <v>56.9</v>
      </c>
      <c r="N15" s="9">
        <f>_xll.BQL("JBLU US Equity", "LOAD_FACTOR", "FPT=A", "FPO=-4A", "ACT_EST_MAPPING=PRECISE", "FS=MRC", "CURRENCY=USD", "XLFILL=b")</f>
        <v>84</v>
      </c>
    </row>
    <row r="16" spans="1:14" x14ac:dyDescent="0.2">
      <c r="A16" s="8" t="s">
        <v>12</v>
      </c>
      <c r="B16" s="4" t="s">
        <v>23</v>
      </c>
      <c r="C16" s="4" t="s">
        <v>24</v>
      </c>
      <c r="D16" s="4"/>
      <c r="E16" s="9">
        <f>_xll.BQL("JBLU US Equity", "FA_GROWTH(LOAD_FACTOR, YOY)", "FPT=A", "FPO=5A", "ACT_EST_MAPPING=PRECISE", "FS=MRC", "CURRENCY=USD", "XLFILL=b")</f>
        <v>1.727425105504376E-14</v>
      </c>
      <c r="F16" s="9">
        <f>_xll.BQL("JBLU US Equity", "FA_GROWTH(LOAD_FACTOR, YOY)", "FPT=A", "FPO=4A", "ACT_EST_MAPPING=PRECISE", "FS=MRC", "CURRENCY=USD", "XLFILL=b")</f>
        <v>-1.9829429153229599</v>
      </c>
      <c r="G16" s="9">
        <f>_xll.BQL("JBLU US Equity", "FA_GROWTH(LOAD_FACTOR, YOY)", "FPT=A", "FPO=3A", "ACT_EST_MAPPING=PRECISE", "FS=MRC", "CURRENCY=USD", "XLFILL=b")</f>
        <v>0.67067493912035803</v>
      </c>
      <c r="H16" s="9">
        <f>_xll.BQL("JBLU US Equity", "FA_GROWTH(LOAD_FACTOR, YOY)", "FPT=A", "FPO=2A", "ACT_EST_MAPPING=PRECISE", "FS=MRC", "CURRENCY=USD", "XLFILL=b")</f>
        <v>1.0554733720138543</v>
      </c>
      <c r="I16" s="9">
        <f>_xll.BQL("JBLU US Equity", "FA_GROWTH(LOAD_FACTOR, YOY)", "FPT=A", "FPO=1A", "ACT_EST_MAPPING=PRECISE", "FS=MRC", "CURRENCY=USD", "XLFILL=b")</f>
        <v>-0.12048034798395874</v>
      </c>
      <c r="J16" s="9">
        <f>_xll.BQL("JBLU US Equity", "FA_GROWTH(LOAD_FACTOR, YOY)", "FPT=A", "FPO=0A", "ACT_EST_MAPPING=PRECISE", "FS=MRC", "CURRENCY=USD", "XLFILL=b")</f>
        <v>1.3496932515337354</v>
      </c>
      <c r="K16" s="9">
        <f>_xll.BQL("JBLU US Equity", "FA_GROWTH(LOAD_FACTOR, YOY)", "FPT=A", "FPO=-1A", "ACT_EST_MAPPING=PRECISE", "FS=MRC", "CURRENCY=USD", "XLFILL=b")</f>
        <v>7.2368421052631575</v>
      </c>
      <c r="L16" s="9">
        <f>_xll.BQL("JBLU US Equity", "FA_GROWTH(LOAD_FACTOR, YOY)", "FPT=A", "FPO=-2A", "ACT_EST_MAPPING=PRECISE", "FS=MRC", "CURRENCY=USD", "XLFILL=b")</f>
        <v>33.567662565905103</v>
      </c>
      <c r="M16" s="9">
        <f>_xll.BQL("JBLU US Equity", "FA_GROWTH(LOAD_FACTOR, YOY)", "FPT=A", "FPO=-3A", "ACT_EST_MAPPING=PRECISE", "FS=MRC", "CURRENCY=USD", "XLFILL=b")</f>
        <v>-32.261904761904759</v>
      </c>
      <c r="N16" s="9">
        <f>_xll.BQL("JBLU US Equity", "FA_GROWTH(LOAD_FACTOR, YOY)", "FPT=A", "FPO=-4A", "ACT_EST_MAPPING=PRECISE", "FS=MRC", "CURRENCY=USD", "XLFILL=b")</f>
        <v>-0.94339622641509102</v>
      </c>
    </row>
    <row r="17" spans="1:14" x14ac:dyDescent="0.2">
      <c r="A17" s="8" t="s">
        <v>25</v>
      </c>
      <c r="B17" s="4" t="s">
        <v>26</v>
      </c>
      <c r="C17" s="4" t="s">
        <v>27</v>
      </c>
      <c r="D17" s="4"/>
      <c r="E17" s="9">
        <f>_xll.BQL("JBLU US Equity", "TOTAL_PASSENGER_REVENUE/1M", "FPT=A", "FPO=5A", "ACT_EST_MAPPING=PRECISE", "FS=MRC", "CURRENCY=USD", "XLFILL=b")</f>
        <v>10360.146213378672</v>
      </c>
      <c r="F17" s="9">
        <f>_xll.BQL("JBLU US Equity", "TOTAL_PASSENGER_REVENUE/1M", "FPT=A", "FPO=4A", "ACT_EST_MAPPING=PRECISE", "FS=MRC", "CURRENCY=USD", "XLFILL=b")</f>
        <v>10011.737740025776</v>
      </c>
      <c r="G17" s="9">
        <f>_xll.BQL("JBLU US Equity", "TOTAL_PASSENGER_REVENUE/1M", "FPT=A", "FPO=3A", "ACT_EST_MAPPING=PRECISE", "FS=MRC", "CURRENCY=USD", "XLFILL=b")</f>
        <v>9740.806331583557</v>
      </c>
      <c r="H17" s="9">
        <f>_xll.BQL("JBLU US Equity", "TOTAL_PASSENGER_REVENUE/1M", "FPT=A", "FPO=2A", "ACT_EST_MAPPING=PRECISE", "FS=MRC", "CURRENCY=USD", "XLFILL=b")</f>
        <v>9036.9879683950785</v>
      </c>
      <c r="I17" s="9">
        <f>_xll.BQL("JBLU US Equity", "TOTAL_PASSENGER_REVENUE/1M", "FPT=A", "FPO=1A", "ACT_EST_MAPPING=PRECISE", "FS=MRC", "CURRENCY=USD", "XLFILL=b")</f>
        <v>8598.8997915628152</v>
      </c>
      <c r="J17" s="9">
        <f>_xll.BQL("JBLU US Equity", "TOTAL_PASSENGER_REVENUE/1M", "FPT=A", "FPO=0A", "ACT_EST_MAPPING=PRECISE", "FS=MRC", "CURRENCY=USD", "XLFILL=b")</f>
        <v>9008</v>
      </c>
      <c r="K17" s="9">
        <f>_xll.BQL("JBLU US Equity", "TOTAL_PASSENGER_REVENUE/1M", "FPT=A", "FPO=-1A", "ACT_EST_MAPPING=PRECISE", "FS=MRC", "CURRENCY=USD", "XLFILL=b")</f>
        <v>8586</v>
      </c>
      <c r="L17" s="9">
        <f>_xll.BQL("JBLU US Equity", "TOTAL_PASSENGER_REVENUE/1M", "FPT=A", "FPO=-2A", "ACT_EST_MAPPING=PRECISE", "FS=MRC", "CURRENCY=USD", "XLFILL=b")</f>
        <v>5609</v>
      </c>
      <c r="M17" s="9">
        <f>_xll.BQL("JBLU US Equity", "TOTAL_PASSENGER_REVENUE/1M", "FPT=A", "FPO=-3A", "ACT_EST_MAPPING=PRECISE", "FS=MRC", "CURRENCY=USD", "XLFILL=b")</f>
        <v>2733</v>
      </c>
      <c r="N17" s="9">
        <f>_xll.BQL("JBLU US Equity", "TOTAL_PASSENGER_REVENUE/1M", "FPT=A", "FPO=-4A", "ACT_EST_MAPPING=PRECISE", "FS=MRC", "CURRENCY=USD", "XLFILL=b")</f>
        <v>7786</v>
      </c>
    </row>
    <row r="18" spans="1:14" x14ac:dyDescent="0.2">
      <c r="A18" s="8" t="s">
        <v>12</v>
      </c>
      <c r="B18" s="4" t="s">
        <v>26</v>
      </c>
      <c r="C18" s="4" t="s">
        <v>27</v>
      </c>
      <c r="D18" s="4"/>
      <c r="E18" s="9">
        <f>_xll.BQL("JBLU US Equity", "FA_GROWTH(TOTAL_PASSENGER_REVENUE, YOY)", "FPT=A", "FPO=5A", "ACT_EST_MAPPING=PRECISE", "FS=MRC", "CURRENCY=USD", "XLFILL=b")</f>
        <v>3.4799999999999875</v>
      </c>
      <c r="F18" s="9">
        <f>_xll.BQL("JBLU US Equity", "FA_GROWTH(TOTAL_PASSENGER_REVENUE, YOY)", "FPT=A", "FPO=4A", "ACT_EST_MAPPING=PRECISE", "FS=MRC", "CURRENCY=USD", "XLFILL=b")</f>
        <v>2.781406376633849</v>
      </c>
      <c r="G18" s="9">
        <f>_xll.BQL("JBLU US Equity", "FA_GROWTH(TOTAL_PASSENGER_REVENUE, YOY)", "FPT=A", "FPO=3A", "ACT_EST_MAPPING=PRECISE", "FS=MRC", "CURRENCY=USD", "XLFILL=b")</f>
        <v>7.788196306666908</v>
      </c>
      <c r="H18" s="9">
        <f>_xll.BQL("JBLU US Equity", "FA_GROWTH(TOTAL_PASSENGER_REVENUE, YOY)", "FPT=A", "FPO=2A", "ACT_EST_MAPPING=PRECISE", "FS=MRC", "CURRENCY=USD", "XLFILL=b")</f>
        <v>5.0947003390144543</v>
      </c>
      <c r="I18" s="9">
        <f>_xll.BQL("JBLU US Equity", "FA_GROWTH(TOTAL_PASSENGER_REVENUE, YOY)", "FPT=A", "FPO=1A", "ACT_EST_MAPPING=PRECISE", "FS=MRC", "CURRENCY=USD", "XLFILL=b")</f>
        <v>-4.5415209640007248</v>
      </c>
      <c r="J18" s="9">
        <f>_xll.BQL("JBLU US Equity", "FA_GROWTH(TOTAL_PASSENGER_REVENUE, YOY)", "FPT=A", "FPO=0A", "ACT_EST_MAPPING=PRECISE", "FS=MRC", "CURRENCY=USD", "XLFILL=b")</f>
        <v>4.9149778709527139</v>
      </c>
      <c r="K18" s="9">
        <f>_xll.BQL("JBLU US Equity", "FA_GROWTH(TOTAL_PASSENGER_REVENUE, YOY)", "FPT=A", "FPO=-1A", "ACT_EST_MAPPING=PRECISE", "FS=MRC", "CURRENCY=USD", "XLFILL=b")</f>
        <v>53.0754145123908</v>
      </c>
      <c r="L18" s="9">
        <f>_xll.BQL("JBLU US Equity", "FA_GROWTH(TOTAL_PASSENGER_REVENUE, YOY)", "FPT=A", "FPO=-2A", "ACT_EST_MAPPING=PRECISE", "FS=MRC", "CURRENCY=USD", "XLFILL=b")</f>
        <v>105.23234540797658</v>
      </c>
      <c r="M18" s="9">
        <f>_xll.BQL("JBLU US Equity", "FA_GROWTH(TOTAL_PASSENGER_REVENUE, YOY)", "FPT=A", "FPO=-3A", "ACT_EST_MAPPING=PRECISE", "FS=MRC", "CURRENCY=USD", "XLFILL=b")</f>
        <v>-64.898535833547399</v>
      </c>
      <c r="N18" s="9">
        <f>_xll.BQL("JBLU US Equity", "FA_GROWTH(TOTAL_PASSENGER_REVENUE, YOY)", "FPT=A", "FPO=-4A", "ACT_EST_MAPPING=PRECISE", "FS=MRC", "CURRENCY=USD", "XLFILL=b")</f>
        <v>5.4870613737975882</v>
      </c>
    </row>
    <row r="19" spans="1:14" x14ac:dyDescent="0.2">
      <c r="A19" s="8" t="s">
        <v>28</v>
      </c>
      <c r="B19" s="4" t="s">
        <v>29</v>
      </c>
      <c r="C19" s="4"/>
      <c r="D19" s="4"/>
      <c r="E19" s="9">
        <f>_xll.BQL("JBLU US Equity", "PASSENGER_REVENUE_PER_ASM", "FPT=A", "FPO=5A", "ACT_EST_MAPPING=PRECISE", "FS=MRC", "CURRENCY=USD", "XLFILL=b")</f>
        <v>14.083661038583294</v>
      </c>
      <c r="F19" s="9">
        <f>_xll.BQL("JBLU US Equity", "PASSENGER_REVENUE_PER_ASM", "FPT=A", "FPO=4A", "ACT_EST_MAPPING=PRECISE", "FS=MRC", "CURRENCY=USD", "XLFILL=b")</f>
        <v>14.154433204606329</v>
      </c>
      <c r="G19" s="9">
        <f>_xll.BQL("JBLU US Equity", "PASSENGER_REVENUE_PER_ASM", "FPT=A", "FPO=3A", "ACT_EST_MAPPING=PRECISE", "FS=MRC", "CURRENCY=USD", "XLFILL=b")</f>
        <v>13.84711428152325</v>
      </c>
      <c r="H19" s="9">
        <f>_xll.BQL("JBLU US Equity", "PASSENGER_REVENUE_PER_ASM", "FPT=A", "FPO=2A", "ACT_EST_MAPPING=PRECISE", "FS=MRC", "CURRENCY=USD", "XLFILL=b")</f>
        <v>13.601399856774995</v>
      </c>
      <c r="I19" s="9">
        <f>_xll.BQL("JBLU US Equity", "PASSENGER_REVENUE_PER_ASM", "FPT=A", "FPO=1A", "ACT_EST_MAPPING=PRECISE", "FS=MRC", "CURRENCY=USD", "XLFILL=b")</f>
        <v>12.996281042087531</v>
      </c>
      <c r="J19" s="9">
        <f>_xll.BQL("JBLU US Equity", "PASSENGER_REVENUE_PER_ASM", "FPT=A", "FPO=0A", "ACT_EST_MAPPING=PRECISE", "FS=MRC", "CURRENCY=USD", "XLFILL=b")</f>
        <v>13.15</v>
      </c>
      <c r="K19" s="9">
        <f>_xll.BQL("JBLU US Equity", "PASSENGER_REVENUE_PER_ASM", "FPT=A", "FPO=-1A", "ACT_EST_MAPPING=PRECISE", "FS=MRC", "CURRENCY=USD", "XLFILL=b")</f>
        <v>13.32</v>
      </c>
      <c r="L19" s="9">
        <f>_xll.BQL("JBLU US Equity", "PASSENGER_REVENUE_PER_ASM", "FPT=A", "FPO=-2A", "ACT_EST_MAPPING=PRECISE", "FS=MRC", "CURRENCY=USD", "XLFILL=b")</f>
        <v>10.37</v>
      </c>
      <c r="M19" s="9">
        <f>_xll.BQL("JBLU US Equity", "PASSENGER_REVENUE_PER_ASM", "FPT=A", "FPO=-3A", "ACT_EST_MAPPING=PRECISE", "FS=MRC", "CURRENCY=USD", "XLFILL=b")</f>
        <v>8.36</v>
      </c>
      <c r="N19" s="9">
        <f>_xll.BQL("JBLU US Equity", "PASSENGER_REVENUE_PER_ASM", "FPT=A", "FPO=-4A", "ACT_EST_MAPPING=PRECISE", "FS=MRC", "CURRENCY=USD", "XLFILL=b")</f>
        <v>12.2</v>
      </c>
    </row>
    <row r="20" spans="1:14" x14ac:dyDescent="0.2">
      <c r="A20" s="8" t="s">
        <v>12</v>
      </c>
      <c r="B20" s="4" t="s">
        <v>29</v>
      </c>
      <c r="C20" s="4"/>
      <c r="D20" s="4"/>
      <c r="E20" s="9">
        <f>_xll.BQL("JBLU US Equity", "FA_GROWTH(PASSENGER_REVENUE_PER_ASM, YOY)", "FPT=A", "FPO=5A", "ACT_EST_MAPPING=PRECISE", "FS=MRC", "CURRENCY=USD", "XLFILL=b")</f>
        <v>-0.50000000000002476</v>
      </c>
      <c r="F20" s="9">
        <f>_xll.BQL("JBLU US Equity", "FA_GROWTH(PASSENGER_REVENUE_PER_ASM, YOY)", "FPT=A", "FPO=4A", "ACT_EST_MAPPING=PRECISE", "FS=MRC", "CURRENCY=USD", "XLFILL=b")</f>
        <v>2.2193716093839608</v>
      </c>
      <c r="G20" s="9">
        <f>_xll.BQL("JBLU US Equity", "FA_GROWTH(PASSENGER_REVENUE_PER_ASM, YOY)", "FPT=A", "FPO=3A", "ACT_EST_MAPPING=PRECISE", "FS=MRC", "CURRENCY=USD", "XLFILL=b")</f>
        <v>1.8065377632866431</v>
      </c>
      <c r="H20" s="9">
        <f>_xll.BQL("JBLU US Equity", "FA_GROWTH(PASSENGER_REVENUE_PER_ASM, YOY)", "FPT=A", "FPO=2A", "ACT_EST_MAPPING=PRECISE", "FS=MRC", "CURRENCY=USD", "XLFILL=b")</f>
        <v>4.656092098407453</v>
      </c>
      <c r="I20" s="9">
        <f>_xll.BQL("JBLU US Equity", "FA_GROWTH(PASSENGER_REVENUE_PER_ASM, YOY)", "FPT=A", "FPO=1A", "ACT_EST_MAPPING=PRECISE", "FS=MRC", "CURRENCY=USD", "XLFILL=b")</f>
        <v>-1.16896545941041</v>
      </c>
      <c r="J20" s="9">
        <f>_xll.BQL("JBLU US Equity", "FA_GROWTH(PASSENGER_REVENUE_PER_ASM, YOY)", "FPT=A", "FPO=0A", "ACT_EST_MAPPING=PRECISE", "FS=MRC", "CURRENCY=USD", "XLFILL=b")</f>
        <v>-1.2762762762762758</v>
      </c>
      <c r="K20" s="9">
        <f>_xll.BQL("JBLU US Equity", "FA_GROWTH(PASSENGER_REVENUE_PER_ASM, YOY)", "FPT=A", "FPO=-1A", "ACT_EST_MAPPING=PRECISE", "FS=MRC", "CURRENCY=USD", "XLFILL=b")</f>
        <v>28.44744455159114</v>
      </c>
      <c r="L20" s="9">
        <f>_xll.BQL("JBLU US Equity", "FA_GROWTH(PASSENGER_REVENUE_PER_ASM, YOY)", "FPT=A", "FPO=-2A", "ACT_EST_MAPPING=PRECISE", "FS=MRC", "CURRENCY=USD", "XLFILL=b")</f>
        <v>24.043062200956935</v>
      </c>
      <c r="M20" s="9">
        <f>_xll.BQL("JBLU US Equity", "FA_GROWTH(PASSENGER_REVENUE_PER_ASM, YOY)", "FPT=A", "FPO=-3A", "ACT_EST_MAPPING=PRECISE", "FS=MRC", "CURRENCY=USD", "XLFILL=b")</f>
        <v>-31.475409836065577</v>
      </c>
      <c r="N20" s="9">
        <f>_xll.BQL("JBLU US Equity", "FA_GROWTH(PASSENGER_REVENUE_PER_ASM, YOY)", "FPT=A", "FPO=-4A", "ACT_EST_MAPPING=PRECISE", "FS=MRC", "CURRENCY=USD", "XLFILL=b")</f>
        <v>-1.0543390105433965</v>
      </c>
    </row>
    <row r="21" spans="1:14" x14ac:dyDescent="0.2">
      <c r="A21" s="8" t="s">
        <v>30</v>
      </c>
      <c r="B21" s="4" t="s">
        <v>31</v>
      </c>
      <c r="C21" s="4"/>
      <c r="D21" s="4"/>
      <c r="E21" s="9">
        <f>_xll.BQL("JBLU US Equity", "YIELD_PER_PASS_MILES_KM", "FPT=A", "FPO=5A", "ACT_EST_MAPPING=PRECISE", "FS=MRC", "CURRENCY=USD", "XLFILL=b")</f>
        <v>17.119638574193104</v>
      </c>
      <c r="F21" s="9">
        <f>_xll.BQL("JBLU US Equity", "YIELD_PER_PASS_MILES_KM", "FPT=A", "FPO=4A", "ACT_EST_MAPPING=PRECISE", "FS=MRC", "CURRENCY=USD", "XLFILL=b")</f>
        <v>17.205666908736791</v>
      </c>
      <c r="G21" s="9">
        <f>_xll.BQL("JBLU US Equity", "YIELD_PER_PASS_MILES_KM", "FPT=A", "FPO=3A", "ACT_EST_MAPPING=PRECISE", "FS=MRC", "CURRENCY=USD", "XLFILL=b")</f>
        <v>16.626424606332357</v>
      </c>
      <c r="H21" s="9">
        <f>_xll.BQL("JBLU US Equity", "YIELD_PER_PASS_MILES_KM", "FPT=A", "FPO=2A", "ACT_EST_MAPPING=PRECISE", "FS=MRC", "CURRENCY=USD", "XLFILL=b")</f>
        <v>16.344403813891084</v>
      </c>
      <c r="I21" s="9">
        <f>_xll.BQL("JBLU US Equity", "YIELD_PER_PASS_MILES_KM", "FPT=A", "FPO=1A", "ACT_EST_MAPPING=PRECISE", "FS=MRC", "CURRENCY=USD", "XLFILL=b")</f>
        <v>15.770307949116066</v>
      </c>
      <c r="J21" s="9">
        <f>_xll.BQL("JBLU US Equity", "YIELD_PER_PASS_MILES_KM", "FPT=A", "FPO=0A", "ACT_EST_MAPPING=PRECISE", "FS=MRC", "CURRENCY=USD", "XLFILL=b")</f>
        <v>15.92</v>
      </c>
      <c r="K21" s="9">
        <f>_xll.BQL("JBLU US Equity", "YIELD_PER_PASS_MILES_KM", "FPT=A", "FPO=-1A", "ACT_EST_MAPPING=PRECISE", "FS=MRC", "CURRENCY=USD", "XLFILL=b")</f>
        <v>16.34</v>
      </c>
      <c r="L21" s="9">
        <f>_xll.BQL("JBLU US Equity", "YIELD_PER_PASS_MILES_KM", "FPT=A", "FPO=-2A", "ACT_EST_MAPPING=PRECISE", "FS=MRC", "CURRENCY=USD", "XLFILL=b")</f>
        <v>13.63</v>
      </c>
      <c r="M21" s="9">
        <f>_xll.BQL("JBLU US Equity", "YIELD_PER_PASS_MILES_KM", "FPT=A", "FPO=-3A", "ACT_EST_MAPPING=PRECISE", "FS=MRC", "CURRENCY=USD", "XLFILL=b")</f>
        <v>14.69</v>
      </c>
      <c r="N21" s="9">
        <f>_xll.BQL("JBLU US Equity", "YIELD_PER_PASS_MILES_KM", "FPT=A", "FPO=-4A", "ACT_EST_MAPPING=PRECISE", "FS=MRC", "CURRENCY=USD", "XLFILL=b")</f>
        <v>14.52</v>
      </c>
    </row>
    <row r="22" spans="1:14" x14ac:dyDescent="0.2">
      <c r="A22" s="8" t="s">
        <v>12</v>
      </c>
      <c r="B22" s="4" t="s">
        <v>31</v>
      </c>
      <c r="C22" s="4"/>
      <c r="D22" s="4"/>
      <c r="E22" s="9">
        <f>_xll.BQL("JBLU US Equity", "FA_GROWTH(YIELD_PER_PASS_MILES_KM, YOY)", "FPT=A", "FPO=5A", "ACT_EST_MAPPING=PRECISE", "FS=MRC", "CURRENCY=USD", "XLFILL=b")</f>
        <v>-0.50000000000002132</v>
      </c>
      <c r="F22" s="9">
        <f>_xll.BQL("JBLU US Equity", "FA_GROWTH(YIELD_PER_PASS_MILES_KM, YOY)", "FPT=A", "FPO=4A", "ACT_EST_MAPPING=PRECISE", "FS=MRC", "CURRENCY=USD", "XLFILL=b")</f>
        <v>3.4838656904252514</v>
      </c>
      <c r="G22" s="9">
        <f>_xll.BQL("JBLU US Equity", "FA_GROWTH(YIELD_PER_PASS_MILES_KM, YOY)", "FPT=A", "FPO=3A", "ACT_EST_MAPPING=PRECISE", "FS=MRC", "CURRENCY=USD", "XLFILL=b")</f>
        <v>1.7254884035695675</v>
      </c>
      <c r="H22" s="9">
        <f>_xll.BQL("JBLU US Equity", "FA_GROWTH(YIELD_PER_PASS_MILES_KM, YOY)", "FPT=A", "FPO=2A", "ACT_EST_MAPPING=PRECISE", "FS=MRC", "CURRENCY=USD", "XLFILL=b")</f>
        <v>3.6403592537785285</v>
      </c>
      <c r="I22" s="9">
        <f>_xll.BQL("JBLU US Equity", "FA_GROWTH(YIELD_PER_PASS_MILES_KM, YOY)", "FPT=A", "FPO=1A", "ACT_EST_MAPPING=PRECISE", "FS=MRC", "CURRENCY=USD", "XLFILL=b")</f>
        <v>-0.9402767015322453</v>
      </c>
      <c r="J22" s="9">
        <f>_xll.BQL("JBLU US Equity", "FA_GROWTH(YIELD_PER_PASS_MILES_KM, YOY)", "FPT=A", "FPO=0A", "ACT_EST_MAPPING=PRECISE", "FS=MRC", "CURRENCY=USD", "XLFILL=b")</f>
        <v>-2.5703794369645037</v>
      </c>
      <c r="K22" s="9">
        <f>_xll.BQL("JBLU US Equity", "FA_GROWTH(YIELD_PER_PASS_MILES_KM, YOY)", "FPT=A", "FPO=-1A", "ACT_EST_MAPPING=PRECISE", "FS=MRC", "CURRENCY=USD", "XLFILL=b")</f>
        <v>19.882611885546577</v>
      </c>
      <c r="L22" s="9">
        <f>_xll.BQL("JBLU US Equity", "FA_GROWTH(YIELD_PER_PASS_MILES_KM, YOY)", "FPT=A", "FPO=-2A", "ACT_EST_MAPPING=PRECISE", "FS=MRC", "CURRENCY=USD", "XLFILL=b")</f>
        <v>-7.2157930565010124</v>
      </c>
      <c r="M22" s="9">
        <f>_xll.BQL("JBLU US Equity", "FA_GROWTH(YIELD_PER_PASS_MILES_KM, YOY)", "FPT=A", "FPO=-3A", "ACT_EST_MAPPING=PRECISE", "FS=MRC", "CURRENCY=USD", "XLFILL=b")</f>
        <v>1.1707988980716248</v>
      </c>
      <c r="N22" s="9">
        <f>_xll.BQL("JBLU US Equity", "FA_GROWTH(YIELD_PER_PASS_MILES_KM, YOY)", "FPT=A", "FPO=-4A", "ACT_EST_MAPPING=PRECISE", "FS=MRC", "CURRENCY=USD", "XLFILL=b")</f>
        <v>-6.8823124569854011E-2</v>
      </c>
    </row>
    <row r="23" spans="1:14" x14ac:dyDescent="0.2">
      <c r="A23" s="8" t="s">
        <v>32</v>
      </c>
      <c r="B23" s="4" t="s">
        <v>33</v>
      </c>
      <c r="C23" s="4" t="s">
        <v>34</v>
      </c>
      <c r="D23" s="4"/>
      <c r="E23" s="9">
        <f>_xll.BQL("JBLU US Equity", "OP_EXP_PER_ASM_ASK", "FPT=A", "FPO=5A", "ACT_EST_MAPPING=PRECISE", "FS=MRC", "CURRENCY=USD", "XLFILL=b")</f>
        <v>14.361468688877007</v>
      </c>
      <c r="F23" s="9">
        <f>_xll.BQL("JBLU US Equity", "OP_EXP_PER_ASM_ASK", "FPT=A", "FPO=4A", "ACT_EST_MAPPING=PRECISE", "FS=MRC", "CURRENCY=USD", "XLFILL=b")</f>
        <v>14.401231484591237</v>
      </c>
      <c r="G23" s="9">
        <f>_xll.BQL("JBLU US Equity", "OP_EXP_PER_ASM_ASK", "FPT=A", "FPO=3A", "ACT_EST_MAPPING=PRECISE", "FS=MRC", "CURRENCY=USD", "XLFILL=b")</f>
        <v>14.337772298231922</v>
      </c>
      <c r="H23" s="9">
        <f>_xll.BQL("JBLU US Equity", "OP_EXP_PER_ASM_ASK", "FPT=A", "FPO=2A", "ACT_EST_MAPPING=PRECISE", "FS=MRC", "CURRENCY=USD", "XLFILL=b")</f>
        <v>14.505399980321915</v>
      </c>
      <c r="I23" s="9">
        <f>_xll.BQL("JBLU US Equity", "OP_EXP_PER_ASM_ASK", "FPT=A", "FPO=1A", "ACT_EST_MAPPING=PRECISE", "FS=MRC", "CURRENCY=USD", "XLFILL=b")</f>
        <v>14.728771937550514</v>
      </c>
      <c r="J23" s="9">
        <f>_xll.BQL("JBLU US Equity", "OP_EXP_PER_ASM_ASK", "FPT=A", "FPO=0A", "ACT_EST_MAPPING=PRECISE", "FS=MRC", "CURRENCY=USD", "XLFILL=b")</f>
        <v>14.37</v>
      </c>
      <c r="K23" s="9">
        <f>_xll.BQL("JBLU US Equity", "OP_EXP_PER_ASM_ASK", "FPT=A", "FPO=-1A", "ACT_EST_MAPPING=PRECISE", "FS=MRC", "CURRENCY=USD", "XLFILL=b")</f>
        <v>14.67</v>
      </c>
      <c r="L23" s="9">
        <f>_xll.BQL("JBLU US Equity", "OP_EXP_PER_ASM_ASK", "FPT=A", "FPO=-2A", "ACT_EST_MAPPING=PRECISE", "FS=MRC", "CURRENCY=USD", "XLFILL=b")</f>
        <v>11.3</v>
      </c>
      <c r="M23" s="9">
        <f>_xll.BQL("JBLU US Equity", "OP_EXP_PER_ASM_ASK", "FPT=A", "FPO=-3A", "ACT_EST_MAPPING=PRECISE", "FS=MRC", "CURRENCY=USD", "XLFILL=b")</f>
        <v>14.29</v>
      </c>
      <c r="N23" s="9">
        <f>_xll.BQL("JBLU US Equity", "OP_EXP_PER_ASM_ASK", "FPT=A", "FPO=-4A", "ACT_EST_MAPPING=PRECISE", "FS=MRC", "CURRENCY=USD", "XLFILL=b")</f>
        <v>11.43</v>
      </c>
    </row>
    <row r="24" spans="1:14" x14ac:dyDescent="0.2">
      <c r="A24" s="8" t="s">
        <v>12</v>
      </c>
      <c r="B24" s="4" t="s">
        <v>33</v>
      </c>
      <c r="C24" s="4" t="s">
        <v>34</v>
      </c>
      <c r="D24" s="4"/>
      <c r="E24" s="9">
        <f>_xll.BQL("JBLU US Equity", "FA_GROWTH(OP_EXP_PER_ASM_ASK, YOY)", "FPT=A", "FPO=5A", "ACT_EST_MAPPING=PRECISE", "FS=MRC", "CURRENCY=USD", "XLFILL=b")</f>
        <v>-0.27610691319540831</v>
      </c>
      <c r="F24" s="9">
        <f>_xll.BQL("JBLU US Equity", "FA_GROWTH(OP_EXP_PER_ASM_ASK, YOY)", "FPT=A", "FPO=4A", "ACT_EST_MAPPING=PRECISE", "FS=MRC", "CURRENCY=USD", "XLFILL=b")</f>
        <v>0.44260143793147705</v>
      </c>
      <c r="G24" s="9">
        <f>_xll.BQL("JBLU US Equity", "FA_GROWTH(OP_EXP_PER_ASM_ASK, YOY)", "FPT=A", "FPO=3A", "ACT_EST_MAPPING=PRECISE", "FS=MRC", "CURRENCY=USD", "XLFILL=b")</f>
        <v>-1.1556226116990729</v>
      </c>
      <c r="H24" s="9">
        <f>_xll.BQL("JBLU US Equity", "FA_GROWTH(OP_EXP_PER_ASM_ASK, YOY)", "FPT=A", "FPO=2A", "ACT_EST_MAPPING=PRECISE", "FS=MRC", "CURRENCY=USD", "XLFILL=b")</f>
        <v>-1.5165687823512255</v>
      </c>
      <c r="I24" s="9">
        <f>_xll.BQL("JBLU US Equity", "FA_GROWTH(OP_EXP_PER_ASM_ASK, YOY)", "FPT=A", "FPO=1A", "ACT_EST_MAPPING=PRECISE", "FS=MRC", "CURRENCY=USD", "XLFILL=b")</f>
        <v>2.4966731910265452</v>
      </c>
      <c r="J24" s="9">
        <f>_xll.BQL("JBLU US Equity", "FA_GROWTH(OP_EXP_PER_ASM_ASK, YOY)", "FPT=A", "FPO=0A", "ACT_EST_MAPPING=PRECISE", "FS=MRC", "CURRENCY=USD", "XLFILL=b")</f>
        <v>-2.0449897750511297</v>
      </c>
      <c r="K24" s="9">
        <f>_xll.BQL("JBLU US Equity", "FA_GROWTH(OP_EXP_PER_ASM_ASK, YOY)", "FPT=A", "FPO=-1A", "ACT_EST_MAPPING=PRECISE", "FS=MRC", "CURRENCY=USD", "XLFILL=b")</f>
        <v>29.823008849557514</v>
      </c>
      <c r="L24" s="9">
        <f>_xll.BQL("JBLU US Equity", "FA_GROWTH(OP_EXP_PER_ASM_ASK, YOY)", "FPT=A", "FPO=-2A", "ACT_EST_MAPPING=PRECISE", "FS=MRC", "CURRENCY=USD", "XLFILL=b")</f>
        <v>-20.923722883135049</v>
      </c>
      <c r="M24" s="9">
        <f>_xll.BQL("JBLU US Equity", "FA_GROWTH(OP_EXP_PER_ASM_ASK, YOY)", "FPT=A", "FPO=-3A", "ACT_EST_MAPPING=PRECISE", "FS=MRC", "CURRENCY=USD", "XLFILL=b")</f>
        <v>25.021872265966749</v>
      </c>
      <c r="N24" s="9">
        <f>_xll.BQL("JBLU US Equity", "FA_GROWTH(OP_EXP_PER_ASM_ASK, YOY)", "FPT=A", "FPO=-4A", "ACT_EST_MAPPING=PRECISE", "FS=MRC", "CURRENCY=USD", "XLFILL=b")</f>
        <v>-7.3743922204213952</v>
      </c>
    </row>
    <row r="25" spans="1:14" x14ac:dyDescent="0.2">
      <c r="A25" s="8" t="s">
        <v>35</v>
      </c>
      <c r="B25" s="4" t="s">
        <v>36</v>
      </c>
      <c r="C25" s="4"/>
      <c r="D25" s="4"/>
      <c r="E25" s="9" t="str">
        <f>_xll.BQL("JBLU US Equity", "CONS_COST_PER_ASM_EX_FUEL", "FPT=A", "FPO=5A", "ACT_EST_MAPPING=PRECISE", "FS=MRC", "CURRENCY=USD", "XLFILL=b")</f>
        <v/>
      </c>
      <c r="F25" s="9" t="str">
        <f>_xll.BQL("JBLU US Equity", "CONS_COST_PER_ASM_EX_FUEL", "FPT=A", "FPO=4A", "ACT_EST_MAPPING=PRECISE", "FS=MRC", "CURRENCY=USD", "XLFILL=b")</f>
        <v/>
      </c>
      <c r="G25" s="9">
        <f>_xll.BQL("JBLU US Equity", "CONS_COST_PER_ASM_EX_FUEL", "FPT=A", "FPO=3A", "ACT_EST_MAPPING=PRECISE", "FS=MRC", "CURRENCY=USD", "XLFILL=b")</f>
        <v>10.71051121896393</v>
      </c>
      <c r="H25" s="9">
        <f>_xll.BQL("JBLU US Equity", "CONS_COST_PER_ASM_EX_FUEL", "FPT=A", "FPO=2A", "ACT_EST_MAPPING=PRECISE", "FS=MRC", "CURRENCY=USD", "XLFILL=b")</f>
        <v>10.881721678495195</v>
      </c>
      <c r="I25" s="9">
        <f>_xll.BQL("JBLU US Equity", "CONS_COST_PER_ASM_EX_FUEL", "FPT=A", "FPO=1A", "ACT_EST_MAPPING=PRECISE", "FS=MRC", "CURRENCY=USD", "XLFILL=b")</f>
        <v>10.628957192427825</v>
      </c>
      <c r="J25" s="9">
        <f>_xll.BQL("JBLU US Equity", "CONS_COST_PER_ASM_EX_FUEL", "FPT=A", "FPO=0A", "ACT_EST_MAPPING=PRECISE", "FS=MRC", "CURRENCY=USD", "XLFILL=b")</f>
        <v>10.4</v>
      </c>
      <c r="K25" s="9">
        <f>_xll.BQL("JBLU US Equity", "CONS_COST_PER_ASM_EX_FUEL", "FPT=A", "FPO=-1A", "ACT_EST_MAPPING=PRECISE", "FS=MRC", "CURRENCY=USD", "XLFILL=b")</f>
        <v>9.85</v>
      </c>
      <c r="L25" s="9">
        <f>_xll.BQL("JBLU US Equity", "CONS_COST_PER_ASM_EX_FUEL", "FPT=A", "FPO=-2A", "ACT_EST_MAPPING=PRECISE", "FS=MRC", "CURRENCY=USD", "XLFILL=b")</f>
        <v>8.65</v>
      </c>
      <c r="M25" s="9">
        <f>_xll.BQL("JBLU US Equity", "CONS_COST_PER_ASM_EX_FUEL", "FPT=A", "FPO=-3A", "ACT_EST_MAPPING=PRECISE", "FS=MRC", "CURRENCY=USD", "XLFILL=b")</f>
        <v>12.36</v>
      </c>
      <c r="N25" s="9">
        <f>_xll.BQL("JBLU US Equity", "CONS_COST_PER_ASM_EX_FUEL", "FPT=A", "FPO=-4A", "ACT_EST_MAPPING=PRECISE", "FS=MRC", "CURRENCY=USD", "XLFILL=b")</f>
        <v>8.5399999999999991</v>
      </c>
    </row>
    <row r="26" spans="1:14" x14ac:dyDescent="0.2">
      <c r="A26" s="8" t="s">
        <v>12</v>
      </c>
      <c r="B26" s="4" t="s">
        <v>36</v>
      </c>
      <c r="C26" s="4"/>
      <c r="D26" s="4"/>
      <c r="E26" s="9" t="str">
        <f>_xll.BQL("JBLU US Equity", "FA_GROWTH(CONS_COST_PER_ASM_EX_FUEL, YOY)", "FPT=A", "FPO=5A", "ACT_EST_MAPPING=PRECISE", "FS=MRC", "CURRENCY=USD", "XLFILL=b")</f>
        <v/>
      </c>
      <c r="F26" s="9" t="str">
        <f>_xll.BQL("JBLU US Equity", "FA_GROWTH(CONS_COST_PER_ASM_EX_FUEL, YOY)", "FPT=A", "FPO=4A", "ACT_EST_MAPPING=PRECISE", "FS=MRC", "CURRENCY=USD", "XLFILL=b")</f>
        <v/>
      </c>
      <c r="G26" s="9">
        <f>_xll.BQL("JBLU US Equity", "FA_GROWTH(CONS_COST_PER_ASM_EX_FUEL, YOY)", "FPT=A", "FPO=3A", "ACT_EST_MAPPING=PRECISE", "FS=MRC", "CURRENCY=USD", "XLFILL=b")</f>
        <v>-1.5733765721063835</v>
      </c>
      <c r="H26" s="9">
        <f>_xll.BQL("JBLU US Equity", "FA_GROWTH(CONS_COST_PER_ASM_EX_FUEL, YOY)", "FPT=A", "FPO=2A", "ACT_EST_MAPPING=PRECISE", "FS=MRC", "CURRENCY=USD", "XLFILL=b")</f>
        <v>2.3780741750229484</v>
      </c>
      <c r="I26" s="9">
        <f>_xll.BQL("JBLU US Equity", "FA_GROWTH(CONS_COST_PER_ASM_EX_FUEL, YOY)", "FPT=A", "FPO=1A", "ACT_EST_MAPPING=PRECISE", "FS=MRC", "CURRENCY=USD", "XLFILL=b")</f>
        <v>2.2015114656521555</v>
      </c>
      <c r="J26" s="9">
        <f>_xll.BQL("JBLU US Equity", "FA_GROWTH(CONS_COST_PER_ASM_EX_FUEL, YOY)", "FPT=A", "FPO=0A", "ACT_EST_MAPPING=PRECISE", "FS=MRC", "CURRENCY=USD", "XLFILL=b")</f>
        <v>5.5837563451776724</v>
      </c>
      <c r="K26" s="9">
        <f>_xll.BQL("JBLU US Equity", "FA_GROWTH(CONS_COST_PER_ASM_EX_FUEL, YOY)", "FPT=A", "FPO=-1A", "ACT_EST_MAPPING=PRECISE", "FS=MRC", "CURRENCY=USD", "XLFILL=b")</f>
        <v>13.872832369942188</v>
      </c>
      <c r="L26" s="9">
        <f>_xll.BQL("JBLU US Equity", "FA_GROWTH(CONS_COST_PER_ASM_EX_FUEL, YOY)", "FPT=A", "FPO=-2A", "ACT_EST_MAPPING=PRECISE", "FS=MRC", "CURRENCY=USD", "XLFILL=b")</f>
        <v>-30.016181229773455</v>
      </c>
      <c r="M26" s="9">
        <f>_xll.BQL("JBLU US Equity", "FA_GROWTH(CONS_COST_PER_ASM_EX_FUEL, YOY)", "FPT=A", "FPO=-3A", "ACT_EST_MAPPING=PRECISE", "FS=MRC", "CURRENCY=USD", "XLFILL=b")</f>
        <v>44.730679156908671</v>
      </c>
      <c r="N26" s="9">
        <f>_xll.BQL("JBLU US Equity", "FA_GROWTH(CONS_COST_PER_ASM_EX_FUEL, YOY)", "FPT=A", "FPO=-4A", "ACT_EST_MAPPING=PRECISE", "FS=MRC", "CURRENCY=USD", "XLFILL=b")</f>
        <v>-6.8702290076335961</v>
      </c>
    </row>
    <row r="27" spans="1:14" x14ac:dyDescent="0.2">
      <c r="A27" s="8" t="s">
        <v>37</v>
      </c>
      <c r="B27" s="4" t="s">
        <v>38</v>
      </c>
      <c r="C27" s="4"/>
      <c r="D27" s="4"/>
      <c r="E27" s="9">
        <f>_xll.BQL("JBLU US Equity", "COST_PER_SEAT_EXCL_ABN_ITMS", "FPT=A", "FPO=5A", "ACT_EST_MAPPING=PRECISE", "FS=MRC", "CURRENCY=USD", "XLFILL=b")</f>
        <v>10.905665564379749</v>
      </c>
      <c r="F27" s="9">
        <f>_xll.BQL("JBLU US Equity", "COST_PER_SEAT_EXCL_ABN_ITMS", "FPT=A", "FPO=4A", "ACT_EST_MAPPING=PRECISE", "FS=MRC", "CURRENCY=USD", "XLFILL=b")</f>
        <v>10.910870328849006</v>
      </c>
      <c r="G27" s="9">
        <f>_xll.BQL("JBLU US Equity", "COST_PER_SEAT_EXCL_ABN_ITMS", "FPT=A", "FPO=3A", "ACT_EST_MAPPING=PRECISE", "FS=MRC", "CURRENCY=USD", "XLFILL=b")</f>
        <v>10.94519954707501</v>
      </c>
      <c r="H27" s="9">
        <f>_xll.BQL("JBLU US Equity", "COST_PER_SEAT_EXCL_ABN_ITMS", "FPT=A", "FPO=2A", "ACT_EST_MAPPING=PRECISE", "FS=MRC", "CURRENCY=USD", "XLFILL=b")</f>
        <v>10.980560254437309</v>
      </c>
      <c r="I27" s="9">
        <f>_xll.BQL("JBLU US Equity", "COST_PER_SEAT_EXCL_ABN_ITMS", "FPT=A", "FPO=1A", "ACT_EST_MAPPING=PRECISE", "FS=MRC", "CURRENCY=USD", "XLFILL=b")</f>
        <v>10.635130258536304</v>
      </c>
      <c r="J27" s="9">
        <f>_xll.BQL("JBLU US Equity", "COST_PER_SEAT_EXCL_ABN_ITMS", "FPT=A", "FPO=0A", "ACT_EST_MAPPING=PRECISE", "FS=MRC", "CURRENCY=USD", "XLFILL=b")</f>
        <v>10.02</v>
      </c>
      <c r="K27" s="9">
        <f>_xll.BQL("JBLU US Equity", "COST_PER_SEAT_EXCL_ABN_ITMS", "FPT=A", "FPO=-1A", "ACT_EST_MAPPING=PRECISE", "FS=MRC", "CURRENCY=USD", "XLFILL=b")</f>
        <v>9.59</v>
      </c>
      <c r="L27" s="9">
        <f>_xll.BQL("JBLU US Equity", "COST_PER_SEAT_EXCL_ABN_ITMS", "FPT=A", "FPO=-2A", "ACT_EST_MAPPING=PRECISE", "FS=MRC", "CURRENCY=USD", "XLFILL=b")</f>
        <v>10.11</v>
      </c>
      <c r="M27" s="9">
        <f>_xll.BQL("JBLU US Equity", "COST_PER_SEAT_EXCL_ABN_ITMS", "FPT=A", "FPO=-3A", "ACT_EST_MAPPING=PRECISE", "FS=MRC", "CURRENCY=USD", "XLFILL=b")</f>
        <v>13.12</v>
      </c>
      <c r="N27" s="9">
        <f>_xll.BQL("JBLU US Equity", "COST_PER_SEAT_EXCL_ABN_ITMS", "FPT=A", "FPO=-4A", "ACT_EST_MAPPING=PRECISE", "FS=MRC", "CURRENCY=USD", "XLFILL=b")</f>
        <v>8.44</v>
      </c>
    </row>
    <row r="28" spans="1:14" x14ac:dyDescent="0.2">
      <c r="A28" s="8" t="s">
        <v>12</v>
      </c>
      <c r="B28" s="4" t="s">
        <v>38</v>
      </c>
      <c r="C28" s="4"/>
      <c r="D28" s="4"/>
      <c r="E28" s="9">
        <f>_xll.BQL("JBLU US Equity", "FA_GROWTH(COST_PER_SEAT_EXCL_ABN_ITMS, YOY)", "FPT=A", "FPO=5A", "ACT_EST_MAPPING=PRECISE", "FS=MRC", "CURRENCY=USD", "XLFILL=b")</f>
        <v>-4.7702560037718153E-2</v>
      </c>
      <c r="F28" s="9">
        <f>_xll.BQL("JBLU US Equity", "FA_GROWTH(COST_PER_SEAT_EXCL_ABN_ITMS, YOY)", "FPT=A", "FPO=4A", "ACT_EST_MAPPING=PRECISE", "FS=MRC", "CURRENCY=USD", "XLFILL=b")</f>
        <v>-0.31364634402831071</v>
      </c>
      <c r="G28" s="9">
        <f>_xll.BQL("JBLU US Equity", "FA_GROWTH(COST_PER_SEAT_EXCL_ABN_ITMS, YOY)", "FPT=A", "FPO=3A", "ACT_EST_MAPPING=PRECISE", "FS=MRC", "CURRENCY=USD", "XLFILL=b")</f>
        <v>-0.32203008355616253</v>
      </c>
      <c r="H28" s="9">
        <f>_xll.BQL("JBLU US Equity", "FA_GROWTH(COST_PER_SEAT_EXCL_ABN_ITMS, YOY)", "FPT=A", "FPO=2A", "ACT_EST_MAPPING=PRECISE", "FS=MRC", "CURRENCY=USD", "XLFILL=b")</f>
        <v>3.2480090746772521</v>
      </c>
      <c r="I28" s="9">
        <f>_xll.BQL("JBLU US Equity", "FA_GROWTH(COST_PER_SEAT_EXCL_ABN_ITMS, YOY)", "FPT=A", "FPO=1A", "ACT_EST_MAPPING=PRECISE", "FS=MRC", "CURRENCY=USD", "XLFILL=b")</f>
        <v>6.1390245362904601</v>
      </c>
      <c r="J28" s="9">
        <f>_xll.BQL("JBLU US Equity", "FA_GROWTH(COST_PER_SEAT_EXCL_ABN_ITMS, YOY)", "FPT=A", "FPO=0A", "ACT_EST_MAPPING=PRECISE", "FS=MRC", "CURRENCY=USD", "XLFILL=b")</f>
        <v>4.4838373305526558</v>
      </c>
      <c r="K28" s="9">
        <f>_xll.BQL("JBLU US Equity", "FA_GROWTH(COST_PER_SEAT_EXCL_ABN_ITMS, YOY)", "FPT=A", "FPO=-1A", "ACT_EST_MAPPING=PRECISE", "FS=MRC", "CURRENCY=USD", "XLFILL=b")</f>
        <v>-5.1434223541048425</v>
      </c>
      <c r="L28" s="9">
        <f>_xll.BQL("JBLU US Equity", "FA_GROWTH(COST_PER_SEAT_EXCL_ABN_ITMS, YOY)", "FPT=A", "FPO=-2A", "ACT_EST_MAPPING=PRECISE", "FS=MRC", "CURRENCY=USD", "XLFILL=b")</f>
        <v>-22.94207317073171</v>
      </c>
      <c r="M28" s="9">
        <f>_xll.BQL("JBLU US Equity", "FA_GROWTH(COST_PER_SEAT_EXCL_ABN_ITMS, YOY)", "FPT=A", "FPO=-3A", "ACT_EST_MAPPING=PRECISE", "FS=MRC", "CURRENCY=USD", "XLFILL=b")</f>
        <v>55.450236966824647</v>
      </c>
      <c r="N28" s="9">
        <f>_xll.BQL("JBLU US Equity", "FA_GROWTH(COST_PER_SEAT_EXCL_ABN_ITMS, YOY)", "FPT=A", "FPO=-4A", "ACT_EST_MAPPING=PRECISE", "FS=MRC", "CURRENCY=USD", "XLFILL=b")</f>
        <v>0.83632019115890432</v>
      </c>
    </row>
    <row r="29" spans="1:14" x14ac:dyDescent="0.2">
      <c r="A29" s="8" t="s">
        <v>39</v>
      </c>
      <c r="B29" s="4" t="s">
        <v>40</v>
      </c>
      <c r="C29" s="4"/>
      <c r="D29" s="4"/>
      <c r="E29" s="9" t="str">
        <f>_xll.BQL("JBLU US Equity", "REV_PASS_CARRIED/1K", "FPT=A", "FPO=5A", "ACT_EST_MAPPING=PRECISE", "FS=MRC", "CURRENCY=USD", "XLFILL=b")</f>
        <v/>
      </c>
      <c r="F29" s="9" t="str">
        <f>_xll.BQL("JBLU US Equity", "REV_PASS_CARRIED/1K", "FPT=A", "FPO=4A", "ACT_EST_MAPPING=PRECISE", "FS=MRC", "CURRENCY=USD", "XLFILL=b")</f>
        <v/>
      </c>
      <c r="G29" s="9">
        <f>_xll.BQL("JBLU US Equity", "REV_PASS_CARRIED/1K", "FPT=A", "FPO=3A", "ACT_EST_MAPPING=PRECISE", "FS=MRC", "CURRENCY=USD", "XLFILL=b")</f>
        <v>45581.218944443164</v>
      </c>
      <c r="H29" s="9">
        <f>_xll.BQL("JBLU US Equity", "REV_PASS_CARRIED/1K", "FPT=A", "FPO=2A", "ACT_EST_MAPPING=PRECISE", "FS=MRC", "CURRENCY=USD", "XLFILL=b")</f>
        <v>42920.991905743824</v>
      </c>
      <c r="I29" s="9">
        <f>_xll.BQL("JBLU US Equity", "REV_PASS_CARRIED/1K", "FPT=A", "FPO=1A", "ACT_EST_MAPPING=PRECISE", "FS=MRC", "CURRENCY=USD", "XLFILL=b")</f>
        <v>41304.653681295356</v>
      </c>
      <c r="J29" s="9">
        <f>_xll.BQL("JBLU US Equity", "REV_PASS_CARRIED/1K", "FPT=A", "FPO=0A", "ACT_EST_MAPPING=PRECISE", "FS=MRC", "CURRENCY=USD", "XLFILL=b")</f>
        <v>42534</v>
      </c>
      <c r="K29" s="9">
        <f>_xll.BQL("JBLU US Equity", "REV_PASS_CARRIED/1K", "FPT=A", "FPO=-1A", "ACT_EST_MAPPING=PRECISE", "FS=MRC", "CURRENCY=USD", "XLFILL=b")</f>
        <v>39562</v>
      </c>
      <c r="L29" s="9">
        <f>_xll.BQL("JBLU US Equity", "REV_PASS_CARRIED/1K", "FPT=A", "FPO=-2A", "ACT_EST_MAPPING=PRECISE", "FS=MRC", "CURRENCY=USD", "XLFILL=b")</f>
        <v>30094</v>
      </c>
      <c r="M29" s="9">
        <f>_xll.BQL("JBLU US Equity", "REV_PASS_CARRIED/1K", "FPT=A", "FPO=-3A", "ACT_EST_MAPPING=PRECISE", "FS=MRC", "CURRENCY=USD", "XLFILL=b")</f>
        <v>14274</v>
      </c>
      <c r="N29" s="9">
        <f>_xll.BQL("JBLU US Equity", "REV_PASS_CARRIED/1K", "FPT=A", "FPO=-4A", "ACT_EST_MAPPING=PRECISE", "FS=MRC", "CURRENCY=USD", "XLFILL=b")</f>
        <v>42728</v>
      </c>
    </row>
    <row r="30" spans="1:14" x14ac:dyDescent="0.2">
      <c r="A30" s="8" t="s">
        <v>12</v>
      </c>
      <c r="B30" s="4" t="s">
        <v>40</v>
      </c>
      <c r="C30" s="4"/>
      <c r="D30" s="4"/>
      <c r="E30" s="9" t="str">
        <f>_xll.BQL("JBLU US Equity", "FA_GROWTH(REV_PASS_CARRIED, YOY)", "FPT=A", "FPO=5A", "ACT_EST_MAPPING=PRECISE", "FS=MRC", "CURRENCY=USD", "XLFILL=b")</f>
        <v/>
      </c>
      <c r="F30" s="9" t="str">
        <f>_xll.BQL("JBLU US Equity", "FA_GROWTH(REV_PASS_CARRIED, YOY)", "FPT=A", "FPO=4A", "ACT_EST_MAPPING=PRECISE", "FS=MRC", "CURRENCY=USD", "XLFILL=b")</f>
        <v/>
      </c>
      <c r="G30" s="9">
        <f>_xll.BQL("JBLU US Equity", "FA_GROWTH(REV_PASS_CARRIED, YOY)", "FPT=A", "FPO=3A", "ACT_EST_MAPPING=PRECISE", "FS=MRC", "CURRENCY=USD", "XLFILL=b")</f>
        <v>6.1979626298975257</v>
      </c>
      <c r="H30" s="9">
        <f>_xll.BQL("JBLU US Equity", "FA_GROWTH(REV_PASS_CARRIED, YOY)", "FPT=A", "FPO=2A", "ACT_EST_MAPPING=PRECISE", "FS=MRC", "CURRENCY=USD", "XLFILL=b")</f>
        <v>3.913210934826012</v>
      </c>
      <c r="I30" s="9">
        <f>_xll.BQL("JBLU US Equity", "FA_GROWTH(REV_PASS_CARRIED, YOY)", "FPT=A", "FPO=1A", "ACT_EST_MAPPING=PRECISE", "FS=MRC", "CURRENCY=USD", "XLFILL=b")</f>
        <v>-2.8902673595350596</v>
      </c>
      <c r="J30" s="9">
        <f>_xll.BQL("JBLU US Equity", "FA_GROWTH(REV_PASS_CARRIED, YOY)", "FPT=A", "FPO=0A", "ACT_EST_MAPPING=PRECISE", "FS=MRC", "CURRENCY=USD", "XLFILL=b")</f>
        <v>7.512259238663364</v>
      </c>
      <c r="K30" s="9">
        <f>_xll.BQL("JBLU US Equity", "FA_GROWTH(REV_PASS_CARRIED, YOY)", "FPT=A", "FPO=-1A", "ACT_EST_MAPPING=PRECISE", "FS=MRC", "CURRENCY=USD", "XLFILL=b")</f>
        <v>31.461420881238784</v>
      </c>
      <c r="L30" s="9">
        <f>_xll.BQL("JBLU US Equity", "FA_GROWTH(REV_PASS_CARRIED, YOY)", "FPT=A", "FPO=-2A", "ACT_EST_MAPPING=PRECISE", "FS=MRC", "CURRENCY=USD", "XLFILL=b")</f>
        <v>110.8308813226846</v>
      </c>
      <c r="M30" s="9">
        <f>_xll.BQL("JBLU US Equity", "FA_GROWTH(REV_PASS_CARRIED, YOY)", "FPT=A", "FPO=-3A", "ACT_EST_MAPPING=PRECISE", "FS=MRC", "CURRENCY=USD", "XLFILL=b")</f>
        <v>-66.59333458153904</v>
      </c>
      <c r="N30" s="9">
        <f>_xll.BQL("JBLU US Equity", "FA_GROWTH(REV_PASS_CARRIED, YOY)", "FPT=A", "FPO=-4A", "ACT_EST_MAPPING=PRECISE", "FS=MRC", "CURRENCY=USD", "XLFILL=b")</f>
        <v>1.3712930011862396</v>
      </c>
    </row>
    <row r="31" spans="1:14" x14ac:dyDescent="0.2">
      <c r="A31" s="8" t="s">
        <v>41</v>
      </c>
      <c r="B31" s="4" t="s">
        <v>42</v>
      </c>
      <c r="C31" s="4" t="s">
        <v>43</v>
      </c>
      <c r="D31" s="4"/>
      <c r="E31" s="9" t="str">
        <f>_xll.BQL("JBLU US Equity", "AVERAGE_PASSENGER_FARE", "FPT=A", "FPO=5A", "ACT_EST_MAPPING=PRECISE", "FS=MRC", "CURRENCY=USD", "XLFILL=b")</f>
        <v/>
      </c>
      <c r="F31" s="9" t="str">
        <f>_xll.BQL("JBLU US Equity", "AVERAGE_PASSENGER_FARE", "FPT=A", "FPO=4A", "ACT_EST_MAPPING=PRECISE", "FS=MRC", "CURRENCY=USD", "XLFILL=b")</f>
        <v/>
      </c>
      <c r="G31" s="9">
        <f>_xll.BQL("JBLU US Equity", "AVERAGE_PASSENGER_FARE", "FPT=A", "FPO=3A", "ACT_EST_MAPPING=PRECISE", "FS=MRC", "CURRENCY=USD", "XLFILL=b")</f>
        <v>213.64212398092826</v>
      </c>
      <c r="H31" s="9">
        <f>_xll.BQL("JBLU US Equity", "AVERAGE_PASSENGER_FARE", "FPT=A", "FPO=2A", "ACT_EST_MAPPING=PRECISE", "FS=MRC", "CURRENCY=USD", "XLFILL=b")</f>
        <v>209.89398908908038</v>
      </c>
      <c r="I31" s="9">
        <f>_xll.BQL("JBLU US Equity", "AVERAGE_PASSENGER_FARE", "FPT=A", "FPO=1A", "ACT_EST_MAPPING=PRECISE", "FS=MRC", "CURRENCY=USD", "XLFILL=b")</f>
        <v>209.07885522660561</v>
      </c>
      <c r="J31" s="9">
        <f>_xll.BQL("JBLU US Equity", "AVERAGE_PASSENGER_FARE", "FPT=A", "FPO=0A", "ACT_EST_MAPPING=PRECISE", "FS=MRC", "CURRENCY=USD", "XLFILL=b")</f>
        <v>211.79</v>
      </c>
      <c r="K31" s="9">
        <f>_xll.BQL("JBLU US Equity", "AVERAGE_PASSENGER_FARE", "FPT=A", "FPO=-1A", "ACT_EST_MAPPING=PRECISE", "FS=MRC", "CURRENCY=USD", "XLFILL=b")</f>
        <v>217.03</v>
      </c>
      <c r="L31" s="9">
        <f>_xll.BQL("JBLU US Equity", "AVERAGE_PASSENGER_FARE", "FPT=A", "FPO=-2A", "ACT_EST_MAPPING=PRECISE", "FS=MRC", "CURRENCY=USD", "XLFILL=b")</f>
        <v>186.39</v>
      </c>
      <c r="M31" s="9">
        <f>_xll.BQL("JBLU US Equity", "AVERAGE_PASSENGER_FARE", "FPT=A", "FPO=-3A", "ACT_EST_MAPPING=PRECISE", "FS=MRC", "CURRENCY=USD", "XLFILL=b")</f>
        <v>191.42</v>
      </c>
      <c r="N31" s="9">
        <f>_xll.BQL("JBLU US Equity", "AVERAGE_PASSENGER_FARE", "FPT=A", "FPO=-4A", "ACT_EST_MAPPING=PRECISE", "FS=MRC", "CURRENCY=USD", "XLFILL=b")</f>
        <v>182.23</v>
      </c>
    </row>
    <row r="32" spans="1:14" x14ac:dyDescent="0.2">
      <c r="A32" s="8" t="s">
        <v>12</v>
      </c>
      <c r="B32" s="4" t="s">
        <v>42</v>
      </c>
      <c r="C32" s="4" t="s">
        <v>43</v>
      </c>
      <c r="D32" s="4"/>
      <c r="E32" s="9" t="str">
        <f>_xll.BQL("JBLU US Equity", "FA_GROWTH(AVERAGE_PASSENGER_FARE, YOY)", "FPT=A", "FPO=5A", "ACT_EST_MAPPING=PRECISE", "FS=MRC", "CURRENCY=USD", "XLFILL=b")</f>
        <v/>
      </c>
      <c r="F32" s="9" t="str">
        <f>_xll.BQL("JBLU US Equity", "FA_GROWTH(AVERAGE_PASSENGER_FARE, YOY)", "FPT=A", "FPO=4A", "ACT_EST_MAPPING=PRECISE", "FS=MRC", "CURRENCY=USD", "XLFILL=b")</f>
        <v/>
      </c>
      <c r="G32" s="9">
        <f>_xll.BQL("JBLU US Equity", "FA_GROWTH(AVERAGE_PASSENGER_FARE, YOY)", "FPT=A", "FPO=3A", "ACT_EST_MAPPING=PRECISE", "FS=MRC", "CURRENCY=USD", "XLFILL=b")</f>
        <v>1.7857275990200701</v>
      </c>
      <c r="H32" s="9">
        <f>_xll.BQL("JBLU US Equity", "FA_GROWTH(AVERAGE_PASSENGER_FARE, YOY)", "FPT=A", "FPO=2A", "ACT_EST_MAPPING=PRECISE", "FS=MRC", "CURRENCY=USD", "XLFILL=b")</f>
        <v>0.38986910541063624</v>
      </c>
      <c r="I32" s="9">
        <f>_xll.BQL("JBLU US Equity", "FA_GROWTH(AVERAGE_PASSENGER_FARE, YOY)", "FPT=A", "FPO=1A", "ACT_EST_MAPPING=PRECISE", "FS=MRC", "CURRENCY=USD", "XLFILL=b")</f>
        <v>-1.2801099076417115</v>
      </c>
      <c r="J32" s="9">
        <f>_xll.BQL("JBLU US Equity", "FA_GROWTH(AVERAGE_PASSENGER_FARE, YOY)", "FPT=A", "FPO=0A", "ACT_EST_MAPPING=PRECISE", "FS=MRC", "CURRENCY=USD", "XLFILL=b")</f>
        <v>-2.4144127539971474</v>
      </c>
      <c r="K32" s="9">
        <f>_xll.BQL("JBLU US Equity", "FA_GROWTH(AVERAGE_PASSENGER_FARE, YOY)", "FPT=A", "FPO=-1A", "ACT_EST_MAPPING=PRECISE", "FS=MRC", "CURRENCY=USD", "XLFILL=b")</f>
        <v>16.438650142175018</v>
      </c>
      <c r="L32" s="9">
        <f>_xll.BQL("JBLU US Equity", "FA_GROWTH(AVERAGE_PASSENGER_FARE, YOY)", "FPT=A", "FPO=-2A", "ACT_EST_MAPPING=PRECISE", "FS=MRC", "CURRENCY=USD", "XLFILL=b")</f>
        <v>-2.6277295998328292</v>
      </c>
      <c r="M32" s="9">
        <f>_xll.BQL("JBLU US Equity", "FA_GROWTH(AVERAGE_PASSENGER_FARE, YOY)", "FPT=A", "FPO=-3A", "ACT_EST_MAPPING=PRECISE", "FS=MRC", "CURRENCY=USD", "XLFILL=b")</f>
        <v>5.0430774296219054</v>
      </c>
      <c r="N32" s="9">
        <f>_xll.BQL("JBLU US Equity", "FA_GROWTH(AVERAGE_PASSENGER_FARE, YOY)", "FPT=A", "FPO=-4A", "ACT_EST_MAPPING=PRECISE", "FS=MRC", "CURRENCY=USD", "XLFILL=b")</f>
        <v>4.0660156473073927</v>
      </c>
    </row>
    <row r="33" spans="1:14" x14ac:dyDescent="0.2">
      <c r="A33" s="8" t="s">
        <v>16</v>
      </c>
      <c r="B33" s="4"/>
      <c r="C33" s="4"/>
      <c r="D33" s="4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 s="8" t="s">
        <v>44</v>
      </c>
      <c r="B34" s="4" t="s">
        <v>45</v>
      </c>
      <c r="C34" s="4" t="s">
        <v>46</v>
      </c>
      <c r="D34" s="4"/>
      <c r="E34" s="9" t="str">
        <f>_xll.BQL("JBLU US Equity", "AIRLINES_EBITDAR_RATIO/1M", "FPT=A", "FPO=5A", "ACT_EST_MAPPING=PRECISE", "FS=MRC", "CURRENCY=USD", "XLFILL=b")</f>
        <v/>
      </c>
      <c r="F34" s="9" t="str">
        <f>_xll.BQL("JBLU US Equity", "AIRLINES_EBITDAR_RATIO/1M", "FPT=A", "FPO=4A", "ACT_EST_MAPPING=PRECISE", "FS=MRC", "CURRENCY=USD", "XLFILL=b")</f>
        <v/>
      </c>
      <c r="G34" s="9">
        <f>_xll.BQL("JBLU US Equity", "AIRLINES_EBITDAR_RATIO/1M", "FPT=A", "FPO=3A", "ACT_EST_MAPPING=PRECISE", "FS=MRC", "CURRENCY=USD", "XLFILL=b")</f>
        <v>1200.3289045617685</v>
      </c>
      <c r="H34" s="9">
        <f>_xll.BQL("JBLU US Equity", "AIRLINES_EBITDAR_RATIO/1M", "FPT=A", "FPO=2A", "ACT_EST_MAPPING=PRECISE", "FS=MRC", "CURRENCY=USD", "XLFILL=b")</f>
        <v>840.66236047663961</v>
      </c>
      <c r="I34" s="9">
        <f>_xll.BQL("JBLU US Equity", "AIRLINES_EBITDAR_RATIO/1M", "FPT=A", "FPO=1A", "ACT_EST_MAPPING=PRECISE", "FS=MRC", "CURRENCY=USD", "XLFILL=b")</f>
        <v>-21.198973390950712</v>
      </c>
      <c r="J34" s="9">
        <f>_xll.BQL("JBLU US Equity", "AIRLINES_EBITDAR_RATIO/1M", "FPT=A", "FPO=0A", "ACT_EST_MAPPING=PRECISE", "FS=MRC", "CURRENCY=USD", "XLFILL=b")</f>
        <v>538</v>
      </c>
      <c r="K34" s="9">
        <f>_xll.BQL("JBLU US Equity", "AIRLINES_EBITDAR_RATIO/1M", "FPT=A", "FPO=-1A", "ACT_EST_MAPPING=PRECISE", "FS=MRC", "CURRENCY=USD", "XLFILL=b")</f>
        <v>425</v>
      </c>
      <c r="L34" s="9">
        <f>_xll.BQL("JBLU US Equity", "AIRLINES_EBITDAR_RATIO/1M", "FPT=A", "FPO=-2A", "ACT_EST_MAPPING=PRECISE", "FS=MRC", "CURRENCY=USD", "XLFILL=b")</f>
        <v>615</v>
      </c>
      <c r="M34" s="9">
        <f>_xll.BQL("JBLU US Equity", "AIRLINES_EBITDAR_RATIO/1M", "FPT=A", "FPO=-3A", "ACT_EST_MAPPING=PRECISE", "FS=MRC", "CURRENCY=USD", "XLFILL=b")</f>
        <v>-1024</v>
      </c>
      <c r="N34" s="9">
        <f>_xll.BQL("JBLU US Equity", "AIRLINES_EBITDAR_RATIO/1M", "FPT=A", "FPO=-4A", "ACT_EST_MAPPING=PRECISE", "FS=MRC", "CURRENCY=USD", "XLFILL=b")</f>
        <v>1486</v>
      </c>
    </row>
    <row r="35" spans="1:14" x14ac:dyDescent="0.2">
      <c r="A35" s="8" t="s">
        <v>12</v>
      </c>
      <c r="B35" s="4" t="s">
        <v>45</v>
      </c>
      <c r="C35" s="4" t="s">
        <v>46</v>
      </c>
      <c r="D35" s="4"/>
      <c r="E35" s="9" t="str">
        <f>_xll.BQL("JBLU US Equity", "FA_GROWTH(AIRLINES_EBITDAR_RATIO, YOY)", "FPT=A", "FPO=5A", "ACT_EST_MAPPING=PRECISE", "FS=MRC", "CURRENCY=USD", "XLFILL=b")</f>
        <v/>
      </c>
      <c r="F35" s="9" t="str">
        <f>_xll.BQL("JBLU US Equity", "FA_GROWTH(AIRLINES_EBITDAR_RATIO, YOY)", "FPT=A", "FPO=4A", "ACT_EST_MAPPING=PRECISE", "FS=MRC", "CURRENCY=USD", "XLFILL=b")</f>
        <v/>
      </c>
      <c r="G35" s="9">
        <f>_xll.BQL("JBLU US Equity", "FA_GROWTH(AIRLINES_EBITDAR_RATIO, YOY)", "FPT=A", "FPO=3A", "ACT_EST_MAPPING=PRECISE", "FS=MRC", "CURRENCY=USD", "XLFILL=b")</f>
        <v>42.783709726364435</v>
      </c>
      <c r="H35" s="9">
        <f>_xll.BQL("JBLU US Equity", "FA_GROWTH(AIRLINES_EBITDAR_RATIO, YOY)", "FPT=A", "FPO=2A", "ACT_EST_MAPPING=PRECISE", "FS=MRC", "CURRENCY=USD", "XLFILL=b")</f>
        <v>4065.5805258734667</v>
      </c>
      <c r="I35" s="9">
        <f>_xll.BQL("JBLU US Equity", "FA_GROWTH(AIRLINES_EBITDAR_RATIO, YOY)", "FPT=A", "FPO=1A", "ACT_EST_MAPPING=PRECISE", "FS=MRC", "CURRENCY=USD", "XLFILL=b")</f>
        <v>-103.94032962657076</v>
      </c>
      <c r="J35" s="9">
        <f>_xll.BQL("JBLU US Equity", "FA_GROWTH(AIRLINES_EBITDAR_RATIO, YOY)", "FPT=A", "FPO=0A", "ACT_EST_MAPPING=PRECISE", "FS=MRC", "CURRENCY=USD", "XLFILL=b")</f>
        <v>26.588235294117649</v>
      </c>
      <c r="K35" s="9">
        <f>_xll.BQL("JBLU US Equity", "FA_GROWTH(AIRLINES_EBITDAR_RATIO, YOY)", "FPT=A", "FPO=-1A", "ACT_EST_MAPPING=PRECISE", "FS=MRC", "CURRENCY=USD", "XLFILL=b")</f>
        <v>-30.894308943089431</v>
      </c>
      <c r="L35" s="9">
        <f>_xll.BQL("JBLU US Equity", "FA_GROWTH(AIRLINES_EBITDAR_RATIO, YOY)", "FPT=A", "FPO=-2A", "ACT_EST_MAPPING=PRECISE", "FS=MRC", "CURRENCY=USD", "XLFILL=b")</f>
        <v>160.05859375</v>
      </c>
      <c r="M35" s="9">
        <f>_xll.BQL("JBLU US Equity", "FA_GROWTH(AIRLINES_EBITDAR_RATIO, YOY)", "FPT=A", "FPO=-3A", "ACT_EST_MAPPING=PRECISE", "FS=MRC", "CURRENCY=USD", "XLFILL=b")</f>
        <v>-168.90982503364737</v>
      </c>
      <c r="N35" s="9">
        <f>_xll.BQL("JBLU US Equity", "FA_GROWTH(AIRLINES_EBITDAR_RATIO, YOY)", "FPT=A", "FPO=-4A", "ACT_EST_MAPPING=PRECISE", "FS=MRC", "CURRENCY=USD", "XLFILL=b")</f>
        <v>64.198895027624303</v>
      </c>
    </row>
    <row r="36" spans="1:14" x14ac:dyDescent="0.2">
      <c r="A36" s="8" t="s">
        <v>47</v>
      </c>
      <c r="B36" s="4" t="s">
        <v>48</v>
      </c>
      <c r="C36" s="4"/>
      <c r="D36" s="4"/>
      <c r="E36" s="9">
        <f>_xll.BQL("JBLU US Equity", "IS_COMPARABLE_EBITDA/1M", "FPT=A", "FPO=5A", "ACT_EST_MAPPING=PRECISE", "FS=MRC", "CURRENCY=USD", "XLFILL=b")</f>
        <v>1445</v>
      </c>
      <c r="F36" s="9">
        <f>_xll.BQL("JBLU US Equity", "IS_COMPARABLE_EBITDA/1M", "FPT=A", "FPO=4A", "ACT_EST_MAPPING=PRECISE", "FS=MRC", "CURRENCY=USD", "XLFILL=b")</f>
        <v>1384</v>
      </c>
      <c r="G36" s="9">
        <f>_xll.BQL("JBLU US Equity", "IS_COMPARABLE_EBITDA/1M", "FPT=A", "FPO=3A", "ACT_EST_MAPPING=PRECISE", "FS=MRC", "CURRENCY=USD", "XLFILL=b")</f>
        <v>1195.4444444444443</v>
      </c>
      <c r="H36" s="9">
        <f>_xll.BQL("JBLU US Equity", "IS_COMPARABLE_EBITDA/1M", "FPT=A", "FPO=2A", "ACT_EST_MAPPING=PRECISE", "FS=MRC", "CURRENCY=USD", "XLFILL=b")</f>
        <v>853.28571428571422</v>
      </c>
      <c r="I36" s="9">
        <f>_xll.BQL("JBLU US Equity", "IS_COMPARABLE_EBITDA/1M", "FPT=A", "FPO=1A", "ACT_EST_MAPPING=PRECISE", "FS=MRC", "CURRENCY=USD", "XLFILL=b")</f>
        <v>457.78571428571428</v>
      </c>
      <c r="J36" s="9" t="str">
        <f>_xll.BQL("JBLU US Equity", "IS_COMPARABLE_EBITDA/1M", "FPT=A", "FPO=0A", "ACT_EST_MAPPING=PRECISE", "FS=MRC", "CURRENCY=USD", "XLFILL=b")</f>
        <v/>
      </c>
      <c r="K36" s="9">
        <f>_xll.BQL("JBLU US Equity", "IS_COMPARABLE_EBITDA/1M", "FPT=A", "FPO=-1A", "ACT_EST_MAPPING=PRECISE", "FS=MRC", "CURRENCY=USD", "XLFILL=b")</f>
        <v>401</v>
      </c>
      <c r="L36" s="9">
        <f>_xll.BQL("JBLU US Equity", "IS_COMPARABLE_EBITDA/1M", "FPT=A", "FPO=-2A", "ACT_EST_MAPPING=PRECISE", "FS=MRC", "CURRENCY=USD", "XLFILL=b")</f>
        <v>-373</v>
      </c>
      <c r="M36" s="9">
        <f>_xll.BQL("JBLU US Equity", "IS_COMPARABLE_EBITDA/1M", "FPT=A", "FPO=-3A", "ACT_EST_MAPPING=PRECISE", "FS=MRC", "CURRENCY=USD", "XLFILL=b")</f>
        <v>-1462</v>
      </c>
      <c r="N36" s="9">
        <f>_xll.BQL("JBLU US Equity", "IS_COMPARABLE_EBITDA/1M", "FPT=A", "FPO=-4A", "ACT_EST_MAPPING=PRECISE", "FS=MRC", "CURRENCY=USD", "XLFILL=b")</f>
        <v>1325</v>
      </c>
    </row>
    <row r="37" spans="1:14" x14ac:dyDescent="0.2">
      <c r="A37" s="8" t="s">
        <v>12</v>
      </c>
      <c r="B37" s="4" t="s">
        <v>48</v>
      </c>
      <c r="C37" s="4"/>
      <c r="D37" s="4"/>
      <c r="E37" s="9">
        <f>_xll.BQL("JBLU US Equity", "FA_GROWTH(IS_COMPARABLE_EBITDA, YOY)", "FPT=A", "FPO=5A", "ACT_EST_MAPPING=PRECISE", "FS=MRC", "CURRENCY=USD", "XLFILL=b")</f>
        <v>4.4075144508670521</v>
      </c>
      <c r="F37" s="9">
        <f>_xll.BQL("JBLU US Equity", "FA_GROWTH(IS_COMPARABLE_EBITDA, YOY)", "FPT=A", "FPO=4A", "ACT_EST_MAPPING=PRECISE", "FS=MRC", "CURRENCY=USD", "XLFILL=b")</f>
        <v>15.772841342132169</v>
      </c>
      <c r="G37" s="9">
        <f>_xll.BQL("JBLU US Equity", "FA_GROWTH(IS_COMPARABLE_EBITDA, YOY)", "FPT=A", "FPO=3A", "ACT_EST_MAPPING=PRECISE", "FS=MRC", "CURRENCY=USD", "XLFILL=b")</f>
        <v>40.098963855869933</v>
      </c>
      <c r="H37" s="9">
        <f>_xll.BQL("JBLU US Equity", "FA_GROWTH(IS_COMPARABLE_EBITDA, YOY)", "FPT=A", "FPO=2A", "ACT_EST_MAPPING=PRECISE", "FS=MRC", "CURRENCY=USD", "XLFILL=b")</f>
        <v>86.394133250117022</v>
      </c>
      <c r="I37" s="9" t="str">
        <f>_xll.BQL("JBLU US Equity", "FA_GROWTH(IS_COMPARABLE_EBITDA, YOY)", "FPT=A", "FPO=1A", "ACT_EST_MAPPING=PRECISE", "FS=MRC", "CURRENCY=USD", "XLFILL=b")</f>
        <v/>
      </c>
      <c r="J37" s="9" t="str">
        <f>_xll.BQL("JBLU US Equity", "FA_GROWTH(IS_COMPARABLE_EBITDA, YOY)", "FPT=A", "FPO=0A", "ACT_EST_MAPPING=PRECISE", "FS=MRC", "CURRENCY=USD", "XLFILL=b")</f>
        <v/>
      </c>
      <c r="K37" s="9">
        <f>_xll.BQL("JBLU US Equity", "FA_GROWTH(IS_COMPARABLE_EBITDA, YOY)", "FPT=A", "FPO=-1A", "ACT_EST_MAPPING=PRECISE", "FS=MRC", "CURRENCY=USD", "XLFILL=b")</f>
        <v>207.50670241286863</v>
      </c>
      <c r="L37" s="9">
        <f>_xll.BQL("JBLU US Equity", "FA_GROWTH(IS_COMPARABLE_EBITDA, YOY)", "FPT=A", "FPO=-2A", "ACT_EST_MAPPING=PRECISE", "FS=MRC", "CURRENCY=USD", "XLFILL=b")</f>
        <v>74.487004103967166</v>
      </c>
      <c r="M37" s="9">
        <f>_xll.BQL("JBLU US Equity", "FA_GROWTH(IS_COMPARABLE_EBITDA, YOY)", "FPT=A", "FPO=-3A", "ACT_EST_MAPPING=PRECISE", "FS=MRC", "CURRENCY=USD", "XLFILL=b")</f>
        <v>-210.33962264150944</v>
      </c>
      <c r="N37" s="9">
        <f>_xll.BQL("JBLU US Equity", "FA_GROWTH(IS_COMPARABLE_EBITDA, YOY)", "FPT=A", "FPO=-4A", "ACT_EST_MAPPING=PRECISE", "FS=MRC", "CURRENCY=USD", "XLFILL=b")</f>
        <v>9.1433278418451405</v>
      </c>
    </row>
    <row r="38" spans="1:14" x14ac:dyDescent="0.2">
      <c r="A38" s="8" t="s">
        <v>49</v>
      </c>
      <c r="B38" s="4" t="s">
        <v>50</v>
      </c>
      <c r="C38" s="4" t="s">
        <v>51</v>
      </c>
      <c r="D38" s="4"/>
      <c r="E38" s="9">
        <f>_xll.BQL("JBLU US Equity", "IS_COMP_NET_INCOME_ADJUST_OLD/1M", "FPT=A", "FPO=5A", "ACT_EST_MAPPING=PRECISE", "FS=MRC", "CURRENCY=USD", "XLFILL=b")</f>
        <v>53.699999999999996</v>
      </c>
      <c r="F38" s="9">
        <f>_xll.BQL("JBLU US Equity", "IS_COMP_NET_INCOME_ADJUST_OLD/1M", "FPT=A", "FPO=4A", "ACT_EST_MAPPING=PRECISE", "FS=MRC", "CURRENCY=USD", "XLFILL=b")</f>
        <v>71.7</v>
      </c>
      <c r="G38" s="9">
        <f>_xll.BQL("JBLU US Equity", "IS_COMP_NET_INCOME_ADJUST_OLD/1M", "FPT=A", "FPO=3A", "ACT_EST_MAPPING=PRECISE", "FS=MRC", "CURRENCY=USD", "XLFILL=b")</f>
        <v>37.46</v>
      </c>
      <c r="H38" s="9">
        <f>_xll.BQL("JBLU US Equity", "IS_COMP_NET_INCOME_ADJUST_OLD/1M", "FPT=A", "FPO=2A", "ACT_EST_MAPPING=PRECISE", "FS=MRC", "CURRENCY=USD", "XLFILL=b")</f>
        <v>-162.00071428571431</v>
      </c>
      <c r="I38" s="9">
        <f>_xll.BQL("JBLU US Equity", "IS_COMP_NET_INCOME_ADJUST_OLD/1M", "FPT=A", "FPO=1A", "ACT_EST_MAPPING=PRECISE", "FS=MRC", "CURRENCY=USD", "XLFILL=b")</f>
        <v>-330.71428571428572</v>
      </c>
      <c r="J38" s="9">
        <f>_xll.BQL("JBLU US Equity", "IS_COMP_NET_INCOME_ADJUST_OLD/1M", "FPT=A", "FPO=0A", "ACT_EST_MAPPING=PRECISE", "FS=MRC", "CURRENCY=USD", "XLFILL=b")</f>
        <v>-151</v>
      </c>
      <c r="K38" s="9">
        <f>_xll.BQL("JBLU US Equity", "IS_COMP_NET_INCOME_ADJUST_OLD/1M", "FPT=A", "FPO=-1A", "ACT_EST_MAPPING=PRECISE", "FS=MRC", "CURRENCY=USD", "XLFILL=b")</f>
        <v>-260</v>
      </c>
      <c r="L38" s="9">
        <f>_xll.BQL("JBLU US Equity", "IS_COMP_NET_INCOME_ADJUST_OLD/1M", "FPT=A", "FPO=-2A", "ACT_EST_MAPPING=PRECISE", "FS=MRC", "CURRENCY=USD", "XLFILL=b")</f>
        <v>-797</v>
      </c>
      <c r="M38" s="9">
        <f>_xll.BQL("JBLU US Equity", "IS_COMP_NET_INCOME_ADJUST_OLD/1M", "FPT=A", "FPO=-3A", "ACT_EST_MAPPING=PRECISE", "FS=MRC", "CURRENCY=USD", "XLFILL=b")</f>
        <v>-1576</v>
      </c>
      <c r="N38" s="9">
        <f>_xll.BQL("JBLU US Equity", "IS_COMP_NET_INCOME_ADJUST_OLD/1M", "FPT=A", "FPO=-4A", "ACT_EST_MAPPING=PRECISE", "FS=MRC", "CURRENCY=USD", "XLFILL=b")</f>
        <v>568</v>
      </c>
    </row>
    <row r="39" spans="1:14" x14ac:dyDescent="0.2">
      <c r="A39" s="8" t="s">
        <v>12</v>
      </c>
      <c r="B39" s="4" t="s">
        <v>50</v>
      </c>
      <c r="C39" s="4" t="s">
        <v>51</v>
      </c>
      <c r="D39" s="4"/>
      <c r="E39" s="9">
        <f>_xll.BQL("JBLU US Equity", "FA_GROWTH(IS_COMP_NET_INCOME_ADJUST_OLD, YOY)", "FPT=A", "FPO=5A", "ACT_EST_MAPPING=PRECISE", "FS=MRC", "CURRENCY=USD", "XLFILL=b")</f>
        <v>-25.104602510460261</v>
      </c>
      <c r="F39" s="9">
        <f>_xll.BQL("JBLU US Equity", "FA_GROWTH(IS_COMP_NET_INCOME_ADJUST_OLD, YOY)", "FPT=A", "FPO=4A", "ACT_EST_MAPPING=PRECISE", "FS=MRC", "CURRENCY=USD", "XLFILL=b")</f>
        <v>91.404164442071547</v>
      </c>
      <c r="G39" s="9">
        <f>_xll.BQL("JBLU US Equity", "FA_GROWTH(IS_COMP_NET_INCOME_ADJUST_OLD, YOY)", "FPT=A", "FPO=3A", "ACT_EST_MAPPING=PRECISE", "FS=MRC", "CURRENCY=USD", "XLFILL=b")</f>
        <v>123.12335483529614</v>
      </c>
      <c r="H39" s="9">
        <f>_xll.BQL("JBLU US Equity", "FA_GROWTH(IS_COMP_NET_INCOME_ADJUST_OLD, YOY)", "FPT=A", "FPO=2A", "ACT_EST_MAPPING=PRECISE", "FS=MRC", "CURRENCY=USD", "XLFILL=b")</f>
        <v>51.014902807775378</v>
      </c>
      <c r="I39" s="9">
        <f>_xll.BQL("JBLU US Equity", "FA_GROWTH(IS_COMP_NET_INCOME_ADJUST_OLD, YOY)", "FPT=A", "FPO=1A", "ACT_EST_MAPPING=PRECISE", "FS=MRC", "CURRENCY=USD", "XLFILL=b")</f>
        <v>-119.01608325449386</v>
      </c>
      <c r="J39" s="9">
        <f>_xll.BQL("JBLU US Equity", "FA_GROWTH(IS_COMP_NET_INCOME_ADJUST_OLD, YOY)", "FPT=A", "FPO=0A", "ACT_EST_MAPPING=PRECISE", "FS=MRC", "CURRENCY=USD", "XLFILL=b")</f>
        <v>41.92307692307692</v>
      </c>
      <c r="K39" s="9">
        <f>_xll.BQL("JBLU US Equity", "FA_GROWTH(IS_COMP_NET_INCOME_ADJUST_OLD, YOY)", "FPT=A", "FPO=-1A", "ACT_EST_MAPPING=PRECISE", "FS=MRC", "CURRENCY=USD", "XLFILL=b")</f>
        <v>67.377666248431623</v>
      </c>
      <c r="L39" s="9">
        <f>_xll.BQL("JBLU US Equity", "FA_GROWTH(IS_COMP_NET_INCOME_ADJUST_OLD, YOY)", "FPT=A", "FPO=-2A", "ACT_EST_MAPPING=PRECISE", "FS=MRC", "CURRENCY=USD", "XLFILL=b")</f>
        <v>49.428934010152282</v>
      </c>
      <c r="M39" s="9">
        <f>_xll.BQL("JBLU US Equity", "FA_GROWTH(IS_COMP_NET_INCOME_ADJUST_OLD, YOY)", "FPT=A", "FPO=-3A", "ACT_EST_MAPPING=PRECISE", "FS=MRC", "CURRENCY=USD", "XLFILL=b")</f>
        <v>-377.46478873239437</v>
      </c>
      <c r="N39" s="9">
        <f>_xll.BQL("JBLU US Equity", "FA_GROWTH(IS_COMP_NET_INCOME_ADJUST_OLD, YOY)", "FPT=A", "FPO=-4A", "ACT_EST_MAPPING=PRECISE", "FS=MRC", "CURRENCY=USD", "XLFILL=b")</f>
        <v>16.632443531827516</v>
      </c>
    </row>
    <row r="40" spans="1:14" x14ac:dyDescent="0.2">
      <c r="A40" s="8" t="s">
        <v>16</v>
      </c>
      <c r="B40" s="4"/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">
      <c r="A41" s="8" t="s">
        <v>52</v>
      </c>
      <c r="B41" s="4" t="s">
        <v>53</v>
      </c>
      <c r="C41" s="4"/>
      <c r="D41" s="4"/>
      <c r="E41" s="9">
        <f>_xll.BQL("JBLU US Equity", "HEADLINE_CAPEX/1M", "FPT=A", "FPO=5A", "ACT_EST_MAPPING=PRECISE", "FS=MRC", "CURRENCY=USD", "XLFILL=b")</f>
        <v>-1520</v>
      </c>
      <c r="F41" s="9">
        <f>_xll.BQL("JBLU US Equity", "HEADLINE_CAPEX/1M", "FPT=A", "FPO=4A", "ACT_EST_MAPPING=PRECISE", "FS=MRC", "CURRENCY=USD", "XLFILL=b")</f>
        <v>-1560</v>
      </c>
      <c r="G41" s="9">
        <f>_xll.BQL("JBLU US Equity", "HEADLINE_CAPEX/1M", "FPT=A", "FPO=3A", "ACT_EST_MAPPING=PRECISE", "FS=MRC", "CURRENCY=USD", "XLFILL=b")</f>
        <v>-1220.1666666666667</v>
      </c>
      <c r="H41" s="9">
        <f>_xll.BQL("JBLU US Equity", "HEADLINE_CAPEX/1M", "FPT=A", "FPO=2A", "ACT_EST_MAPPING=PRECISE", "FS=MRC", "CURRENCY=USD", "XLFILL=b")</f>
        <v>-1334.875</v>
      </c>
      <c r="I41" s="9">
        <f>_xll.BQL("JBLU US Equity", "HEADLINE_CAPEX/1M", "FPT=A", "FPO=1A", "ACT_EST_MAPPING=PRECISE", "FS=MRC", "CURRENCY=USD", "XLFILL=b")</f>
        <v>-1568.5</v>
      </c>
      <c r="J41" s="9">
        <f>_xll.BQL("JBLU US Equity", "HEADLINE_CAPEX/1M", "FPT=A", "FPO=0A", "ACT_EST_MAPPING=PRECISE", "FS=MRC", "CURRENCY=USD", "XLFILL=b")</f>
        <v>-1206</v>
      </c>
      <c r="K41" s="9">
        <f>_xll.BQL("JBLU US Equity", "HEADLINE_CAPEX/1M", "FPT=A", "FPO=-1A", "ACT_EST_MAPPING=PRECISE", "FS=MRC", "CURRENCY=USD", "XLFILL=b")</f>
        <v>-923</v>
      </c>
      <c r="L41" s="9">
        <f>_xll.BQL("JBLU US Equity", "HEADLINE_CAPEX/1M", "FPT=A", "FPO=-2A", "ACT_EST_MAPPING=PRECISE", "FS=MRC", "CURRENCY=USD", "XLFILL=b")</f>
        <v>-995</v>
      </c>
      <c r="M41" s="9">
        <f>_xll.BQL("JBLU US Equity", "HEADLINE_CAPEX/1M", "FPT=A", "FPO=-3A", "ACT_EST_MAPPING=PRECISE", "FS=MRC", "CURRENCY=USD", "XLFILL=b")</f>
        <v>-791</v>
      </c>
      <c r="N41" s="9">
        <f>_xll.BQL("JBLU US Equity", "HEADLINE_CAPEX/1M", "FPT=A", "FPO=-4A", "ACT_EST_MAPPING=PRECISE", "FS=MRC", "CURRENCY=USD", "XLFILL=b")</f>
        <v>-1156</v>
      </c>
    </row>
    <row r="42" spans="1:14" x14ac:dyDescent="0.2">
      <c r="A42" s="8" t="s">
        <v>12</v>
      </c>
      <c r="B42" s="4" t="s">
        <v>53</v>
      </c>
      <c r="C42" s="4"/>
      <c r="D42" s="4"/>
      <c r="E42" s="9">
        <f>_xll.BQL("JBLU US Equity", "FA_GROWTH(HEADLINE_CAPEX, YOY)", "FPT=A", "FPO=5A", "ACT_EST_MAPPING=PRECISE", "FS=MRC", "CURRENCY=USD", "XLFILL=b")</f>
        <v>2.5641025641025643</v>
      </c>
      <c r="F42" s="9">
        <f>_xll.BQL("JBLU US Equity", "FA_GROWTH(HEADLINE_CAPEX, YOY)", "FPT=A", "FPO=4A", "ACT_EST_MAPPING=PRECISE", "FS=MRC", "CURRENCY=USD", "XLFILL=b")</f>
        <v>-27.85138642261985</v>
      </c>
      <c r="G42" s="9">
        <f>_xll.BQL("JBLU US Equity", "FA_GROWTH(HEADLINE_CAPEX, YOY)", "FPT=A", "FPO=3A", "ACT_EST_MAPPING=PRECISE", "FS=MRC", "CURRENCY=USD", "XLFILL=b")</f>
        <v>8.5931891250741259</v>
      </c>
      <c r="H42" s="9">
        <f>_xll.BQL("JBLU US Equity", "FA_GROWTH(HEADLINE_CAPEX, YOY)", "FPT=A", "FPO=2A", "ACT_EST_MAPPING=PRECISE", "FS=MRC", "CURRENCY=USD", "XLFILL=b")</f>
        <v>14.894803952821167</v>
      </c>
      <c r="I42" s="9">
        <f>_xll.BQL("JBLU US Equity", "FA_GROWTH(HEADLINE_CAPEX, YOY)", "FPT=A", "FPO=1A", "ACT_EST_MAPPING=PRECISE", "FS=MRC", "CURRENCY=USD", "XLFILL=b")</f>
        <v>-30.05804311774461</v>
      </c>
      <c r="J42" s="9">
        <f>_xll.BQL("JBLU US Equity", "FA_GROWTH(HEADLINE_CAPEX, YOY)", "FPT=A", "FPO=0A", "ACT_EST_MAPPING=PRECISE", "FS=MRC", "CURRENCY=USD", "XLFILL=b")</f>
        <v>-30.660888407367281</v>
      </c>
      <c r="K42" s="9">
        <f>_xll.BQL("JBLU US Equity", "FA_GROWTH(HEADLINE_CAPEX, YOY)", "FPT=A", "FPO=-1A", "ACT_EST_MAPPING=PRECISE", "FS=MRC", "CURRENCY=USD", "XLFILL=b")</f>
        <v>7.2361809045226133</v>
      </c>
      <c r="L42" s="9">
        <f>_xll.BQL("JBLU US Equity", "FA_GROWTH(HEADLINE_CAPEX, YOY)", "FPT=A", "FPO=-2A", "ACT_EST_MAPPING=PRECISE", "FS=MRC", "CURRENCY=USD", "XLFILL=b")</f>
        <v>-25.790139064475348</v>
      </c>
      <c r="M42" s="9">
        <f>_xll.BQL("JBLU US Equity", "FA_GROWTH(HEADLINE_CAPEX, YOY)", "FPT=A", "FPO=-3A", "ACT_EST_MAPPING=PRECISE", "FS=MRC", "CURRENCY=USD", "XLFILL=b")</f>
        <v>31.574394463667819</v>
      </c>
      <c r="N42" s="9">
        <f>_xll.BQL("JBLU US Equity", "FA_GROWTH(HEADLINE_CAPEX, YOY)", "FPT=A", "FPO=-4A", "ACT_EST_MAPPING=PRECISE", "FS=MRC", "CURRENCY=USD", "XLFILL=b")</f>
        <v>-3.7701974865350092</v>
      </c>
    </row>
    <row r="43" spans="1:14" x14ac:dyDescent="0.2">
      <c r="A43" s="8" t="s">
        <v>16</v>
      </c>
      <c r="B43" s="4"/>
      <c r="C43" s="4"/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">
      <c r="A44" s="8" t="s">
        <v>54</v>
      </c>
      <c r="B44" s="4"/>
      <c r="C44" s="4" t="s">
        <v>55</v>
      </c>
      <c r="D44" s="4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">
      <c r="A45" s="8" t="s">
        <v>16</v>
      </c>
      <c r="B45" s="4"/>
      <c r="C45" s="4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x14ac:dyDescent="0.2">
      <c r="A46" s="8" t="s">
        <v>56</v>
      </c>
      <c r="B46" s="4"/>
      <c r="C46" s="4" t="s">
        <v>57</v>
      </c>
      <c r="D46" s="4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x14ac:dyDescent="0.2">
      <c r="A47" s="8" t="s">
        <v>58</v>
      </c>
      <c r="B47" s="4" t="s">
        <v>17</v>
      </c>
      <c r="C47" s="4" t="s">
        <v>59</v>
      </c>
      <c r="D47" s="4"/>
      <c r="E47" s="9">
        <f>_xll.BQL("JBLU US Equity", "REV_PASS_MILES_KM/1M", "FPT=A", "FPO=5A", "ACT_EST_MAPPING=PRECISE", "FS=MRC", "CURRENCY=USD", "XLFILL=b")</f>
        <v>60516.150317542408</v>
      </c>
      <c r="F47" s="9">
        <f>_xll.BQL("JBLU US Equity", "REV_PASS_MILES_KM/1M", "FPT=A", "FPO=4A", "ACT_EST_MAPPING=PRECISE", "FS=MRC", "CURRENCY=USD", "XLFILL=b")</f>
        <v>58188.606074559997</v>
      </c>
      <c r="G47" s="9">
        <f>_xll.BQL("JBLU US Equity", "REV_PASS_MILES_KM/1M", "FPT=A", "FPO=3A", "ACT_EST_MAPPING=PRECISE", "FS=MRC", "CURRENCY=USD", "XLFILL=b")</f>
        <v>58490.235145206119</v>
      </c>
      <c r="H47" s="9">
        <f>_xll.BQL("JBLU US Equity", "REV_PASS_MILES_KM/1M", "FPT=A", "FPO=2A", "ACT_EST_MAPPING=PRECISE", "FS=MRC", "CURRENCY=USD", "XLFILL=b")</f>
        <v>55256.54485232463</v>
      </c>
      <c r="I47" s="9">
        <f>_xll.BQL("JBLU US Equity", "REV_PASS_MILES_KM/1M", "FPT=A", "FPO=1A", "ACT_EST_MAPPING=PRECISE", "FS=MRC", "CURRENCY=USD", "XLFILL=b")</f>
        <v>54526.126852305977</v>
      </c>
      <c r="J47" s="9">
        <f>_xll.BQL("JBLU US Equity", "REV_PASS_MILES_KM/1M", "FPT=A", "FPO=0A", "ACT_EST_MAPPING=PRECISE", "FS=MRC", "CURRENCY=USD", "XLFILL=b")</f>
        <v>56578</v>
      </c>
      <c r="K47" s="9">
        <f>_xll.BQL("JBLU US Equity", "REV_PASS_MILES_KM/1M", "FPT=A", "FPO=-1A", "ACT_EST_MAPPING=PRECISE", "FS=MRC", "CURRENCY=USD", "XLFILL=b")</f>
        <v>52552</v>
      </c>
      <c r="L47" s="9">
        <f>_xll.BQL("JBLU US Equity", "REV_PASS_MILES_KM/1M", "FPT=A", "FPO=-2A", "ACT_EST_MAPPING=PRECISE", "FS=MRC", "CURRENCY=USD", "XLFILL=b")</f>
        <v>41152</v>
      </c>
      <c r="M47" s="9">
        <f>_xll.BQL("JBLU US Equity", "REV_PASS_MILES_KM/1M", "FPT=A", "FPO=-3A", "ACT_EST_MAPPING=PRECISE", "FS=MRC", "CURRENCY=USD", "XLFILL=b")</f>
        <v>18598</v>
      </c>
      <c r="N47" s="9">
        <f>_xll.BQL("JBLU US Equity", "REV_PASS_MILES_KM/1M", "FPT=A", "FPO=-4A", "ACT_EST_MAPPING=PRECISE", "FS=MRC", "CURRENCY=USD", "XLFILL=b")</f>
        <v>53617</v>
      </c>
    </row>
    <row r="48" spans="1:14" x14ac:dyDescent="0.2">
      <c r="A48" s="8" t="s">
        <v>12</v>
      </c>
      <c r="B48" s="4" t="s">
        <v>17</v>
      </c>
      <c r="C48" s="4" t="s">
        <v>59</v>
      </c>
      <c r="D48" s="4"/>
      <c r="E48" s="9">
        <f>_xll.BQL("JBLU US Equity", "FA_GROWTH(REV_PASS_MILES_KM, YOY)", "FPT=A", "FPO=5A", "ACT_EST_MAPPING=PRECISE", "FS=MRC", "CURRENCY=USD", "XLFILL=b")</f>
        <v>4.0000000000000115</v>
      </c>
      <c r="F48" s="9">
        <f>_xll.BQL("JBLU US Equity", "FA_GROWTH(REV_PASS_MILES_KM, YOY)", "FPT=A", "FPO=4A", "ACT_EST_MAPPING=PRECISE", "FS=MRC", "CURRENCY=USD", "XLFILL=b")</f>
        <v>-0.51569132847098809</v>
      </c>
      <c r="G48" s="9">
        <f>_xll.BQL("JBLU US Equity", "FA_GROWTH(REV_PASS_MILES_KM, YOY)", "FPT=A", "FPO=3A", "ACT_EST_MAPPING=PRECISE", "FS=MRC", "CURRENCY=USD", "XLFILL=b")</f>
        <v>5.8521398714372284</v>
      </c>
      <c r="H48" s="9">
        <f>_xll.BQL("JBLU US Equity", "FA_GROWTH(REV_PASS_MILES_KM, YOY)", "FPT=A", "FPO=2A", "ACT_EST_MAPPING=PRECISE", "FS=MRC", "CURRENCY=USD", "XLFILL=b")</f>
        <v>1.339574332864546</v>
      </c>
      <c r="I48" s="9">
        <f>_xll.BQL("JBLU US Equity", "FA_GROWTH(REV_PASS_MILES_KM, YOY)", "FPT=A", "FPO=1A", "ACT_EST_MAPPING=PRECISE", "FS=MRC", "CURRENCY=USD", "XLFILL=b")</f>
        <v>-3.6266272185196069</v>
      </c>
      <c r="J48" s="9">
        <f>_xll.BQL("JBLU US Equity", "FA_GROWTH(REV_PASS_MILES_KM, YOY)", "FPT=A", "FPO=0A", "ACT_EST_MAPPING=PRECISE", "FS=MRC", "CURRENCY=USD", "XLFILL=b")</f>
        <v>7.6609834069112495</v>
      </c>
      <c r="K48" s="9">
        <f>_xll.BQL("JBLU US Equity", "FA_GROWTH(REV_PASS_MILES_KM, YOY)", "FPT=A", "FPO=-1A", "ACT_EST_MAPPING=PRECISE", "FS=MRC", "CURRENCY=USD", "XLFILL=b")</f>
        <v>27.702177293934682</v>
      </c>
      <c r="L48" s="9">
        <f>_xll.BQL("JBLU US Equity", "FA_GROWTH(REV_PASS_MILES_KM, YOY)", "FPT=A", "FPO=-2A", "ACT_EST_MAPPING=PRECISE", "FS=MRC", "CURRENCY=USD", "XLFILL=b")</f>
        <v>121.2711044198301</v>
      </c>
      <c r="M48" s="9">
        <f>_xll.BQL("JBLU US Equity", "FA_GROWTH(REV_PASS_MILES_KM, YOY)", "FPT=A", "FPO=-3A", "ACT_EST_MAPPING=PRECISE", "FS=MRC", "CURRENCY=USD", "XLFILL=b")</f>
        <v>-65.313240203666751</v>
      </c>
      <c r="N48" s="9">
        <f>_xll.BQL("JBLU US Equity", "FA_GROWTH(REV_PASS_MILES_KM, YOY)", "FPT=A", "FPO=-4A", "ACT_EST_MAPPING=PRECISE", "FS=MRC", "CURRENCY=USD", "XLFILL=b")</f>
        <v>5.5660563102973022</v>
      </c>
    </row>
    <row r="49" spans="1:14" x14ac:dyDescent="0.2">
      <c r="A49" s="8" t="s">
        <v>60</v>
      </c>
      <c r="B49" s="4" t="s">
        <v>20</v>
      </c>
      <c r="C49" s="4" t="s">
        <v>61</v>
      </c>
      <c r="D49" s="4"/>
      <c r="E49" s="9">
        <f>_xll.BQL("JBLU US Equity", "AVAIL_SEAT_MILES_KM/1M", "FPT=A", "FPO=5A", "ACT_EST_MAPPING=PRECISE", "FS=MRC", "CURRENCY=USD", "XLFILL=b")</f>
        <v>73561.456676614398</v>
      </c>
      <c r="F49" s="9">
        <f>_xll.BQL("JBLU US Equity", "AVAIL_SEAT_MILES_KM/1M", "FPT=A", "FPO=4A", "ACT_EST_MAPPING=PRECISE", "FS=MRC", "CURRENCY=USD", "XLFILL=b")</f>
        <v>70732.169881359994</v>
      </c>
      <c r="G49" s="9">
        <f>_xll.BQL("JBLU US Equity", "AVAIL_SEAT_MILES_KM/1M", "FPT=A", "FPO=3A", "ACT_EST_MAPPING=PRECISE", "FS=MRC", "CURRENCY=USD", "XLFILL=b")</f>
        <v>69688.011924402235</v>
      </c>
      <c r="H49" s="9">
        <f>_xll.BQL("JBLU US Equity", "AVAIL_SEAT_MILES_KM/1M", "FPT=A", "FPO=2A", "ACT_EST_MAPPING=PRECISE", "FS=MRC", "CURRENCY=USD", "XLFILL=b")</f>
        <v>66325.91120492194</v>
      </c>
      <c r="I49" s="9">
        <f>_xll.BQL("JBLU US Equity", "AVAIL_SEAT_MILES_KM/1M", "FPT=A", "FPO=1A", "ACT_EST_MAPPING=PRECISE", "FS=MRC", "CURRENCY=USD", "XLFILL=b")</f>
        <v>66090.746846386566</v>
      </c>
      <c r="J49" s="9">
        <f>_xll.BQL("JBLU US Equity", "AVAIL_SEAT_MILES_KM/1M", "FPT=A", "FPO=0A", "ACT_EST_MAPPING=PRECISE", "FS=MRC", "CURRENCY=USD", "XLFILL=b")</f>
        <v>68497</v>
      </c>
      <c r="K49" s="9">
        <f>_xll.BQL("JBLU US Equity", "AVAIL_SEAT_MILES_KM/1M", "FPT=A", "FPO=-1A", "ACT_EST_MAPPING=PRECISE", "FS=MRC", "CURRENCY=USD", "XLFILL=b")</f>
        <v>64475</v>
      </c>
      <c r="L49" s="9">
        <f>_xll.BQL("JBLU US Equity", "AVAIL_SEAT_MILES_KM/1M", "FPT=A", "FPO=-2A", "ACT_EST_MAPPING=PRECISE", "FS=MRC", "CURRENCY=USD", "XLFILL=b")</f>
        <v>54113</v>
      </c>
      <c r="M49" s="9">
        <f>_xll.BQL("JBLU US Equity", "AVAIL_SEAT_MILES_KM/1M", "FPT=A", "FPO=-3A", "ACT_EST_MAPPING=PRECISE", "FS=MRC", "CURRENCY=USD", "XLFILL=b")</f>
        <v>32689</v>
      </c>
      <c r="N49" s="9">
        <f>_xll.BQL("JBLU US Equity", "AVAIL_SEAT_MILES_KM/1M", "FPT=A", "FPO=-4A", "ACT_EST_MAPPING=PRECISE", "FS=MRC", "CURRENCY=USD", "XLFILL=b")</f>
        <v>63841</v>
      </c>
    </row>
    <row r="50" spans="1:14" x14ac:dyDescent="0.2">
      <c r="A50" s="8" t="s">
        <v>12</v>
      </c>
      <c r="B50" s="4" t="s">
        <v>20</v>
      </c>
      <c r="C50" s="4" t="s">
        <v>61</v>
      </c>
      <c r="D50" s="4"/>
      <c r="E50" s="9">
        <f>_xll.BQL("JBLU US Equity", "FA_GROWTH(AVAIL_SEAT_MILES_KM, YOY)", "FPT=A", "FPO=5A", "ACT_EST_MAPPING=PRECISE", "FS=MRC", "CURRENCY=USD", "XLFILL=b")</f>
        <v>3.9999999999999925</v>
      </c>
      <c r="F50" s="9">
        <f>_xll.BQL("JBLU US Equity", "FA_GROWTH(AVAIL_SEAT_MILES_KM, YOY)", "FPT=A", "FPO=4A", "ACT_EST_MAPPING=PRECISE", "FS=MRC", "CURRENCY=USD", "XLFILL=b")</f>
        <v>1.4983322498717131</v>
      </c>
      <c r="G50" s="9">
        <f>_xll.BQL("JBLU US Equity", "FA_GROWTH(AVAIL_SEAT_MILES_KM, YOY)", "FPT=A", "FPO=3A", "ACT_EST_MAPPING=PRECISE", "FS=MRC", "CURRENCY=USD", "XLFILL=b")</f>
        <v>5.0690607311713745</v>
      </c>
      <c r="H50" s="9">
        <f>_xll.BQL("JBLU US Equity", "FA_GROWTH(AVAIL_SEAT_MILES_KM, YOY)", "FPT=A", "FPO=2A", "ACT_EST_MAPPING=PRECISE", "FS=MRC", "CURRENCY=USD", "XLFILL=b")</f>
        <v>0.35582039809894334</v>
      </c>
      <c r="I50" s="9">
        <f>_xll.BQL("JBLU US Equity", "FA_GROWTH(AVAIL_SEAT_MILES_KM, YOY)", "FPT=A", "FPO=1A", "ACT_EST_MAPPING=PRECISE", "FS=MRC", "CURRENCY=USD", "XLFILL=b")</f>
        <v>-3.5129321774872384</v>
      </c>
      <c r="J50" s="9">
        <f>_xll.BQL("JBLU US Equity", "FA_GROWTH(AVAIL_SEAT_MILES_KM, YOY)", "FPT=A", "FPO=0A", "ACT_EST_MAPPING=PRECISE", "FS=MRC", "CURRENCY=USD", "XLFILL=b")</f>
        <v>6.2380767739433889</v>
      </c>
      <c r="K50" s="9">
        <f>_xll.BQL("JBLU US Equity", "FA_GROWTH(AVAIL_SEAT_MILES_KM, YOY)", "FPT=A", "FPO=-1A", "ACT_EST_MAPPING=PRECISE", "FS=MRC", "CURRENCY=USD", "XLFILL=b")</f>
        <v>19.148818213737918</v>
      </c>
      <c r="L50" s="9">
        <f>_xll.BQL("JBLU US Equity", "FA_GROWTH(AVAIL_SEAT_MILES_KM, YOY)", "FPT=A", "FPO=-2A", "ACT_EST_MAPPING=PRECISE", "FS=MRC", "CURRENCY=USD", "XLFILL=b")</f>
        <v>65.538866285294745</v>
      </c>
      <c r="M50" s="9">
        <f>_xll.BQL("JBLU US Equity", "FA_GROWTH(AVAIL_SEAT_MILES_KM, YOY)", "FPT=A", "FPO=-3A", "ACT_EST_MAPPING=PRECISE", "FS=MRC", "CURRENCY=USD", "XLFILL=b")</f>
        <v>-48.79622812925863</v>
      </c>
      <c r="N50" s="9">
        <f>_xll.BQL("JBLU US Equity", "FA_GROWTH(AVAIL_SEAT_MILES_KM, YOY)", "FPT=A", "FPO=-4A", "ACT_EST_MAPPING=PRECISE", "FS=MRC", "CURRENCY=USD", "XLFILL=b")</f>
        <v>6.6131160134266294</v>
      </c>
    </row>
    <row r="51" spans="1:14" x14ac:dyDescent="0.2">
      <c r="A51" s="8" t="s">
        <v>30</v>
      </c>
      <c r="B51" s="4" t="s">
        <v>31</v>
      </c>
      <c r="C51" s="4"/>
      <c r="D51" s="4"/>
      <c r="E51" s="9">
        <f>_xll.BQL("JBLU US Equity", "YIELD_PER_PASS_MILES_KM", "FPT=A", "FPO=5A", "ACT_EST_MAPPING=PRECISE", "FS=MRC", "CURRENCY=USD", "XLFILL=b")</f>
        <v>17.119638574193104</v>
      </c>
      <c r="F51" s="9">
        <f>_xll.BQL("JBLU US Equity", "YIELD_PER_PASS_MILES_KM", "FPT=A", "FPO=4A", "ACT_EST_MAPPING=PRECISE", "FS=MRC", "CURRENCY=USD", "XLFILL=b")</f>
        <v>17.205666908736791</v>
      </c>
      <c r="G51" s="9">
        <f>_xll.BQL("JBLU US Equity", "YIELD_PER_PASS_MILES_KM", "FPT=A", "FPO=3A", "ACT_EST_MAPPING=PRECISE", "FS=MRC", "CURRENCY=USD", "XLFILL=b")</f>
        <v>16.626424606332357</v>
      </c>
      <c r="H51" s="9">
        <f>_xll.BQL("JBLU US Equity", "YIELD_PER_PASS_MILES_KM", "FPT=A", "FPO=2A", "ACT_EST_MAPPING=PRECISE", "FS=MRC", "CURRENCY=USD", "XLFILL=b")</f>
        <v>16.344403813891084</v>
      </c>
      <c r="I51" s="9">
        <f>_xll.BQL("JBLU US Equity", "YIELD_PER_PASS_MILES_KM", "FPT=A", "FPO=1A", "ACT_EST_MAPPING=PRECISE", "FS=MRC", "CURRENCY=USD", "XLFILL=b")</f>
        <v>15.770307949116066</v>
      </c>
      <c r="J51" s="9">
        <f>_xll.BQL("JBLU US Equity", "YIELD_PER_PASS_MILES_KM", "FPT=A", "FPO=0A", "ACT_EST_MAPPING=PRECISE", "FS=MRC", "CURRENCY=USD", "XLFILL=b")</f>
        <v>15.92</v>
      </c>
      <c r="K51" s="9">
        <f>_xll.BQL("JBLU US Equity", "YIELD_PER_PASS_MILES_KM", "FPT=A", "FPO=-1A", "ACT_EST_MAPPING=PRECISE", "FS=MRC", "CURRENCY=USD", "XLFILL=b")</f>
        <v>16.34</v>
      </c>
      <c r="L51" s="9">
        <f>_xll.BQL("JBLU US Equity", "YIELD_PER_PASS_MILES_KM", "FPT=A", "FPO=-2A", "ACT_EST_MAPPING=PRECISE", "FS=MRC", "CURRENCY=USD", "XLFILL=b")</f>
        <v>13.63</v>
      </c>
      <c r="M51" s="9">
        <f>_xll.BQL("JBLU US Equity", "YIELD_PER_PASS_MILES_KM", "FPT=A", "FPO=-3A", "ACT_EST_MAPPING=PRECISE", "FS=MRC", "CURRENCY=USD", "XLFILL=b")</f>
        <v>14.69</v>
      </c>
      <c r="N51" s="9">
        <f>_xll.BQL("JBLU US Equity", "YIELD_PER_PASS_MILES_KM", "FPT=A", "FPO=-4A", "ACT_EST_MAPPING=PRECISE", "FS=MRC", "CURRENCY=USD", "XLFILL=b")</f>
        <v>14.52</v>
      </c>
    </row>
    <row r="52" spans="1:14" x14ac:dyDescent="0.2">
      <c r="A52" s="8" t="s">
        <v>12</v>
      </c>
      <c r="B52" s="4" t="s">
        <v>31</v>
      </c>
      <c r="C52" s="4"/>
      <c r="D52" s="4"/>
      <c r="E52" s="9">
        <f>_xll.BQL("JBLU US Equity", "FA_GROWTH(YIELD_PER_PASS_MILES_KM, YOY)", "FPT=A", "FPO=5A", "ACT_EST_MAPPING=PRECISE", "FS=MRC", "CURRENCY=USD", "XLFILL=b")</f>
        <v>-0.50000000000002132</v>
      </c>
      <c r="F52" s="9">
        <f>_xll.BQL("JBLU US Equity", "FA_GROWTH(YIELD_PER_PASS_MILES_KM, YOY)", "FPT=A", "FPO=4A", "ACT_EST_MAPPING=PRECISE", "FS=MRC", "CURRENCY=USD", "XLFILL=b")</f>
        <v>3.4838656904252514</v>
      </c>
      <c r="G52" s="9">
        <f>_xll.BQL("JBLU US Equity", "FA_GROWTH(YIELD_PER_PASS_MILES_KM, YOY)", "FPT=A", "FPO=3A", "ACT_EST_MAPPING=PRECISE", "FS=MRC", "CURRENCY=USD", "XLFILL=b")</f>
        <v>1.7254884035695675</v>
      </c>
      <c r="H52" s="9">
        <f>_xll.BQL("JBLU US Equity", "FA_GROWTH(YIELD_PER_PASS_MILES_KM, YOY)", "FPT=A", "FPO=2A", "ACT_EST_MAPPING=PRECISE", "FS=MRC", "CURRENCY=USD", "XLFILL=b")</f>
        <v>3.6403592537785285</v>
      </c>
      <c r="I52" s="9">
        <f>_xll.BQL("JBLU US Equity", "FA_GROWTH(YIELD_PER_PASS_MILES_KM, YOY)", "FPT=A", "FPO=1A", "ACT_EST_MAPPING=PRECISE", "FS=MRC", "CURRENCY=USD", "XLFILL=b")</f>
        <v>-0.9402767015322453</v>
      </c>
      <c r="J52" s="9">
        <f>_xll.BQL("JBLU US Equity", "FA_GROWTH(YIELD_PER_PASS_MILES_KM, YOY)", "FPT=A", "FPO=0A", "ACT_EST_MAPPING=PRECISE", "FS=MRC", "CURRENCY=USD", "XLFILL=b")</f>
        <v>-2.5703794369645037</v>
      </c>
      <c r="K52" s="9">
        <f>_xll.BQL("JBLU US Equity", "FA_GROWTH(YIELD_PER_PASS_MILES_KM, YOY)", "FPT=A", "FPO=-1A", "ACT_EST_MAPPING=PRECISE", "FS=MRC", "CURRENCY=USD", "XLFILL=b")</f>
        <v>19.882611885546577</v>
      </c>
      <c r="L52" s="9">
        <f>_xll.BQL("JBLU US Equity", "FA_GROWTH(YIELD_PER_PASS_MILES_KM, YOY)", "FPT=A", "FPO=-2A", "ACT_EST_MAPPING=PRECISE", "FS=MRC", "CURRENCY=USD", "XLFILL=b")</f>
        <v>-7.2157930565010124</v>
      </c>
      <c r="M52" s="9">
        <f>_xll.BQL("JBLU US Equity", "FA_GROWTH(YIELD_PER_PASS_MILES_KM, YOY)", "FPT=A", "FPO=-3A", "ACT_EST_MAPPING=PRECISE", "FS=MRC", "CURRENCY=USD", "XLFILL=b")</f>
        <v>1.1707988980716248</v>
      </c>
      <c r="N52" s="9">
        <f>_xll.BQL("JBLU US Equity", "FA_GROWTH(YIELD_PER_PASS_MILES_KM, YOY)", "FPT=A", "FPO=-4A", "ACT_EST_MAPPING=PRECISE", "FS=MRC", "CURRENCY=USD", "XLFILL=b")</f>
        <v>-6.8823124569854011E-2</v>
      </c>
    </row>
    <row r="53" spans="1:14" x14ac:dyDescent="0.2">
      <c r="A53" s="8" t="s">
        <v>62</v>
      </c>
      <c r="B53" s="4" t="s">
        <v>29</v>
      </c>
      <c r="C53" s="4"/>
      <c r="D53" s="4"/>
      <c r="E53" s="9">
        <f>_xll.BQL("JBLU US Equity", "PASSENGER_REVENUE_PER_ASM", "FPT=A", "FPO=5A", "ACT_EST_MAPPING=PRECISE", "FS=MRC", "CURRENCY=USD", "XLFILL=b")</f>
        <v>14.083661038583294</v>
      </c>
      <c r="F53" s="9">
        <f>_xll.BQL("JBLU US Equity", "PASSENGER_REVENUE_PER_ASM", "FPT=A", "FPO=4A", "ACT_EST_MAPPING=PRECISE", "FS=MRC", "CURRENCY=USD", "XLFILL=b")</f>
        <v>14.154433204606329</v>
      </c>
      <c r="G53" s="9">
        <f>_xll.BQL("JBLU US Equity", "PASSENGER_REVENUE_PER_ASM", "FPT=A", "FPO=3A", "ACT_EST_MAPPING=PRECISE", "FS=MRC", "CURRENCY=USD", "XLFILL=b")</f>
        <v>13.84711428152325</v>
      </c>
      <c r="H53" s="9">
        <f>_xll.BQL("JBLU US Equity", "PASSENGER_REVENUE_PER_ASM", "FPT=A", "FPO=2A", "ACT_EST_MAPPING=PRECISE", "FS=MRC", "CURRENCY=USD", "XLFILL=b")</f>
        <v>13.601399856774995</v>
      </c>
      <c r="I53" s="9">
        <f>_xll.BQL("JBLU US Equity", "PASSENGER_REVENUE_PER_ASM", "FPT=A", "FPO=1A", "ACT_EST_MAPPING=PRECISE", "FS=MRC", "CURRENCY=USD", "XLFILL=b")</f>
        <v>12.996281042087531</v>
      </c>
      <c r="J53" s="9">
        <f>_xll.BQL("JBLU US Equity", "PASSENGER_REVENUE_PER_ASM", "FPT=A", "FPO=0A", "ACT_EST_MAPPING=PRECISE", "FS=MRC", "CURRENCY=USD", "XLFILL=b")</f>
        <v>13.15</v>
      </c>
      <c r="K53" s="9">
        <f>_xll.BQL("JBLU US Equity", "PASSENGER_REVENUE_PER_ASM", "FPT=A", "FPO=-1A", "ACT_EST_MAPPING=PRECISE", "FS=MRC", "CURRENCY=USD", "XLFILL=b")</f>
        <v>13.32</v>
      </c>
      <c r="L53" s="9">
        <f>_xll.BQL("JBLU US Equity", "PASSENGER_REVENUE_PER_ASM", "FPT=A", "FPO=-2A", "ACT_EST_MAPPING=PRECISE", "FS=MRC", "CURRENCY=USD", "XLFILL=b")</f>
        <v>10.37</v>
      </c>
      <c r="M53" s="9">
        <f>_xll.BQL("JBLU US Equity", "PASSENGER_REVENUE_PER_ASM", "FPT=A", "FPO=-3A", "ACT_EST_MAPPING=PRECISE", "FS=MRC", "CURRENCY=USD", "XLFILL=b")</f>
        <v>8.36</v>
      </c>
      <c r="N53" s="9">
        <f>_xll.BQL("JBLU US Equity", "PASSENGER_REVENUE_PER_ASM", "FPT=A", "FPO=-4A", "ACT_EST_MAPPING=PRECISE", "FS=MRC", "CURRENCY=USD", "XLFILL=b")</f>
        <v>12.2</v>
      </c>
    </row>
    <row r="54" spans="1:14" x14ac:dyDescent="0.2">
      <c r="A54" s="8" t="s">
        <v>12</v>
      </c>
      <c r="B54" s="4" t="s">
        <v>29</v>
      </c>
      <c r="C54" s="4"/>
      <c r="D54" s="4"/>
      <c r="E54" s="9">
        <f>_xll.BQL("JBLU US Equity", "FA_GROWTH(PASSENGER_REVENUE_PER_ASM, YOY)", "FPT=A", "FPO=5A", "ACT_EST_MAPPING=PRECISE", "FS=MRC", "CURRENCY=USD", "XLFILL=b")</f>
        <v>-0.50000000000002476</v>
      </c>
      <c r="F54" s="9">
        <f>_xll.BQL("JBLU US Equity", "FA_GROWTH(PASSENGER_REVENUE_PER_ASM, YOY)", "FPT=A", "FPO=4A", "ACT_EST_MAPPING=PRECISE", "FS=MRC", "CURRENCY=USD", "XLFILL=b")</f>
        <v>2.2193716093839608</v>
      </c>
      <c r="G54" s="9">
        <f>_xll.BQL("JBLU US Equity", "FA_GROWTH(PASSENGER_REVENUE_PER_ASM, YOY)", "FPT=A", "FPO=3A", "ACT_EST_MAPPING=PRECISE", "FS=MRC", "CURRENCY=USD", "XLFILL=b")</f>
        <v>1.8065377632866431</v>
      </c>
      <c r="H54" s="9">
        <f>_xll.BQL("JBLU US Equity", "FA_GROWTH(PASSENGER_REVENUE_PER_ASM, YOY)", "FPT=A", "FPO=2A", "ACT_EST_MAPPING=PRECISE", "FS=MRC", "CURRENCY=USD", "XLFILL=b")</f>
        <v>4.656092098407453</v>
      </c>
      <c r="I54" s="9">
        <f>_xll.BQL("JBLU US Equity", "FA_GROWTH(PASSENGER_REVENUE_PER_ASM, YOY)", "FPT=A", "FPO=1A", "ACT_EST_MAPPING=PRECISE", "FS=MRC", "CURRENCY=USD", "XLFILL=b")</f>
        <v>-1.16896545941041</v>
      </c>
      <c r="J54" s="9">
        <f>_xll.BQL("JBLU US Equity", "FA_GROWTH(PASSENGER_REVENUE_PER_ASM, YOY)", "FPT=A", "FPO=0A", "ACT_EST_MAPPING=PRECISE", "FS=MRC", "CURRENCY=USD", "XLFILL=b")</f>
        <v>-1.2762762762762758</v>
      </c>
      <c r="K54" s="9">
        <f>_xll.BQL("JBLU US Equity", "FA_GROWTH(PASSENGER_REVENUE_PER_ASM, YOY)", "FPT=A", "FPO=-1A", "ACT_EST_MAPPING=PRECISE", "FS=MRC", "CURRENCY=USD", "XLFILL=b")</f>
        <v>28.44744455159114</v>
      </c>
      <c r="L54" s="9">
        <f>_xll.BQL("JBLU US Equity", "FA_GROWTH(PASSENGER_REVENUE_PER_ASM, YOY)", "FPT=A", "FPO=-2A", "ACT_EST_MAPPING=PRECISE", "FS=MRC", "CURRENCY=USD", "XLFILL=b")</f>
        <v>24.043062200956935</v>
      </c>
      <c r="M54" s="9">
        <f>_xll.BQL("JBLU US Equity", "FA_GROWTH(PASSENGER_REVENUE_PER_ASM, YOY)", "FPT=A", "FPO=-3A", "ACT_EST_MAPPING=PRECISE", "FS=MRC", "CURRENCY=USD", "XLFILL=b")</f>
        <v>-31.475409836065577</v>
      </c>
      <c r="N54" s="9">
        <f>_xll.BQL("JBLU US Equity", "FA_GROWTH(PASSENGER_REVENUE_PER_ASM, YOY)", "FPT=A", "FPO=-4A", "ACT_EST_MAPPING=PRECISE", "FS=MRC", "CURRENCY=USD", "XLFILL=b")</f>
        <v>-1.0543390105433965</v>
      </c>
    </row>
    <row r="55" spans="1:14" x14ac:dyDescent="0.2">
      <c r="A55" s="8" t="s">
        <v>22</v>
      </c>
      <c r="B55" s="4" t="s">
        <v>23</v>
      </c>
      <c r="C55" s="4" t="s">
        <v>24</v>
      </c>
      <c r="D55" s="4"/>
      <c r="E55" s="9">
        <f>_xll.BQL("JBLU US Equity", "LOAD_FACTOR", "FPT=A", "FPO=5A", "ACT_EST_MAPPING=PRECISE", "FS=MRC", "CURRENCY=USD", "XLFILL=b")</f>
        <v>82.266111971625534</v>
      </c>
      <c r="F55" s="9">
        <f>_xll.BQL("JBLU US Equity", "LOAD_FACTOR", "FPT=A", "FPO=4A", "ACT_EST_MAPPING=PRECISE", "FS=MRC", "CURRENCY=USD", "XLFILL=b")</f>
        <v>82.26611197162552</v>
      </c>
      <c r="G55" s="9">
        <f>_xll.BQL("JBLU US Equity", "LOAD_FACTOR", "FPT=A", "FPO=3A", "ACT_EST_MAPPING=PRECISE", "FS=MRC", "CURRENCY=USD", "XLFILL=b")</f>
        <v>83.930403970969806</v>
      </c>
      <c r="H55" s="9">
        <f>_xll.BQL("JBLU US Equity", "LOAD_FACTOR", "FPT=A", "FPO=2A", "ACT_EST_MAPPING=PRECISE", "FS=MRC", "CURRENCY=USD", "XLFILL=b")</f>
        <v>83.371253864867725</v>
      </c>
      <c r="I55" s="9">
        <f>_xll.BQL("JBLU US Equity", "LOAD_FACTOR", "FPT=A", "FPO=1A", "ACT_EST_MAPPING=PRECISE", "FS=MRC", "CURRENCY=USD", "XLFILL=b")</f>
        <v>82.500483232565244</v>
      </c>
      <c r="J55" s="9">
        <f>_xll.BQL("JBLU US Equity", "LOAD_FACTOR", "FPT=A", "FPO=0A", "ACT_EST_MAPPING=PRECISE", "FS=MRC", "CURRENCY=USD", "XLFILL=b")</f>
        <v>82.6</v>
      </c>
      <c r="K55" s="9">
        <f>_xll.BQL("JBLU US Equity", "LOAD_FACTOR", "FPT=A", "FPO=-1A", "ACT_EST_MAPPING=PRECISE", "FS=MRC", "CURRENCY=USD", "XLFILL=b")</f>
        <v>81.5</v>
      </c>
      <c r="L55" s="9">
        <f>_xll.BQL("JBLU US Equity", "LOAD_FACTOR", "FPT=A", "FPO=-2A", "ACT_EST_MAPPING=PRECISE", "FS=MRC", "CURRENCY=USD", "XLFILL=b")</f>
        <v>76</v>
      </c>
      <c r="M55" s="9">
        <f>_xll.BQL("JBLU US Equity", "LOAD_FACTOR", "FPT=A", "FPO=-3A", "ACT_EST_MAPPING=PRECISE", "FS=MRC", "CURRENCY=USD", "XLFILL=b")</f>
        <v>56.9</v>
      </c>
      <c r="N55" s="9">
        <f>_xll.BQL("JBLU US Equity", "LOAD_FACTOR", "FPT=A", "FPO=-4A", "ACT_EST_MAPPING=PRECISE", "FS=MRC", "CURRENCY=USD", "XLFILL=b")</f>
        <v>84</v>
      </c>
    </row>
    <row r="56" spans="1:14" x14ac:dyDescent="0.2">
      <c r="A56" s="8" t="s">
        <v>12</v>
      </c>
      <c r="B56" s="4" t="s">
        <v>23</v>
      </c>
      <c r="C56" s="4" t="s">
        <v>24</v>
      </c>
      <c r="D56" s="4"/>
      <c r="E56" s="9">
        <f>_xll.BQL("JBLU US Equity", "FA_GROWTH(LOAD_FACTOR, YOY)", "FPT=A", "FPO=5A", "ACT_EST_MAPPING=PRECISE", "FS=MRC", "CURRENCY=USD", "XLFILL=b")</f>
        <v>1.727425105504376E-14</v>
      </c>
      <c r="F56" s="9">
        <f>_xll.BQL("JBLU US Equity", "FA_GROWTH(LOAD_FACTOR, YOY)", "FPT=A", "FPO=4A", "ACT_EST_MAPPING=PRECISE", "FS=MRC", "CURRENCY=USD", "XLFILL=b")</f>
        <v>-1.9829429153229599</v>
      </c>
      <c r="G56" s="9">
        <f>_xll.BQL("JBLU US Equity", "FA_GROWTH(LOAD_FACTOR, YOY)", "FPT=A", "FPO=3A", "ACT_EST_MAPPING=PRECISE", "FS=MRC", "CURRENCY=USD", "XLFILL=b")</f>
        <v>0.67067493912035803</v>
      </c>
      <c r="H56" s="9">
        <f>_xll.BQL("JBLU US Equity", "FA_GROWTH(LOAD_FACTOR, YOY)", "FPT=A", "FPO=2A", "ACT_EST_MAPPING=PRECISE", "FS=MRC", "CURRENCY=USD", "XLFILL=b")</f>
        <v>1.0554733720138543</v>
      </c>
      <c r="I56" s="9">
        <f>_xll.BQL("JBLU US Equity", "FA_GROWTH(LOAD_FACTOR, YOY)", "FPT=A", "FPO=1A", "ACT_EST_MAPPING=PRECISE", "FS=MRC", "CURRENCY=USD", "XLFILL=b")</f>
        <v>-0.12048034798395874</v>
      </c>
      <c r="J56" s="9">
        <f>_xll.BQL("JBLU US Equity", "FA_GROWTH(LOAD_FACTOR, YOY)", "FPT=A", "FPO=0A", "ACT_EST_MAPPING=PRECISE", "FS=MRC", "CURRENCY=USD", "XLFILL=b")</f>
        <v>1.3496932515337354</v>
      </c>
      <c r="K56" s="9">
        <f>_xll.BQL("JBLU US Equity", "FA_GROWTH(LOAD_FACTOR, YOY)", "FPT=A", "FPO=-1A", "ACT_EST_MAPPING=PRECISE", "FS=MRC", "CURRENCY=USD", "XLFILL=b")</f>
        <v>7.2368421052631575</v>
      </c>
      <c r="L56" s="9">
        <f>_xll.BQL("JBLU US Equity", "FA_GROWTH(LOAD_FACTOR, YOY)", "FPT=A", "FPO=-2A", "ACT_EST_MAPPING=PRECISE", "FS=MRC", "CURRENCY=USD", "XLFILL=b")</f>
        <v>33.567662565905103</v>
      </c>
      <c r="M56" s="9">
        <f>_xll.BQL("JBLU US Equity", "FA_GROWTH(LOAD_FACTOR, YOY)", "FPT=A", "FPO=-3A", "ACT_EST_MAPPING=PRECISE", "FS=MRC", "CURRENCY=USD", "XLFILL=b")</f>
        <v>-32.261904761904759</v>
      </c>
      <c r="N56" s="9">
        <f>_xll.BQL("JBLU US Equity", "FA_GROWTH(LOAD_FACTOR, YOY)", "FPT=A", "FPO=-4A", "ACT_EST_MAPPING=PRECISE", "FS=MRC", "CURRENCY=USD", "XLFILL=b")</f>
        <v>-0.94339622641509102</v>
      </c>
    </row>
    <row r="57" spans="1:14" x14ac:dyDescent="0.2">
      <c r="A57" s="8" t="s">
        <v>63</v>
      </c>
      <c r="B57" s="4" t="s">
        <v>33</v>
      </c>
      <c r="C57" s="4"/>
      <c r="D57" s="4"/>
      <c r="E57" s="9">
        <f>_xll.BQL("JBLU US Equity", "OP_EXP_PER_ASM_ASK", "FPT=A", "FPO=5A", "ACT_EST_MAPPING=PRECISE", "FS=MRC", "CURRENCY=USD", "XLFILL=b")</f>
        <v>14.361468688877007</v>
      </c>
      <c r="F57" s="9">
        <f>_xll.BQL("JBLU US Equity", "OP_EXP_PER_ASM_ASK", "FPT=A", "FPO=4A", "ACT_EST_MAPPING=PRECISE", "FS=MRC", "CURRENCY=USD", "XLFILL=b")</f>
        <v>14.401231484591237</v>
      </c>
      <c r="G57" s="9">
        <f>_xll.BQL("JBLU US Equity", "OP_EXP_PER_ASM_ASK", "FPT=A", "FPO=3A", "ACT_EST_MAPPING=PRECISE", "FS=MRC", "CURRENCY=USD", "XLFILL=b")</f>
        <v>14.337772298231922</v>
      </c>
      <c r="H57" s="9">
        <f>_xll.BQL("JBLU US Equity", "OP_EXP_PER_ASM_ASK", "FPT=A", "FPO=2A", "ACT_EST_MAPPING=PRECISE", "FS=MRC", "CURRENCY=USD", "XLFILL=b")</f>
        <v>14.505399980321915</v>
      </c>
      <c r="I57" s="9">
        <f>_xll.BQL("JBLU US Equity", "OP_EXP_PER_ASM_ASK", "FPT=A", "FPO=1A", "ACT_EST_MAPPING=PRECISE", "FS=MRC", "CURRENCY=USD", "XLFILL=b")</f>
        <v>14.728771937550514</v>
      </c>
      <c r="J57" s="9">
        <f>_xll.BQL("JBLU US Equity", "OP_EXP_PER_ASM_ASK", "FPT=A", "FPO=0A", "ACT_EST_MAPPING=PRECISE", "FS=MRC", "CURRENCY=USD", "XLFILL=b")</f>
        <v>14.37</v>
      </c>
      <c r="K57" s="9">
        <f>_xll.BQL("JBLU US Equity", "OP_EXP_PER_ASM_ASK", "FPT=A", "FPO=-1A", "ACT_EST_MAPPING=PRECISE", "FS=MRC", "CURRENCY=USD", "XLFILL=b")</f>
        <v>14.67</v>
      </c>
      <c r="L57" s="9">
        <f>_xll.BQL("JBLU US Equity", "OP_EXP_PER_ASM_ASK", "FPT=A", "FPO=-2A", "ACT_EST_MAPPING=PRECISE", "FS=MRC", "CURRENCY=USD", "XLFILL=b")</f>
        <v>11.3</v>
      </c>
      <c r="M57" s="9">
        <f>_xll.BQL("JBLU US Equity", "OP_EXP_PER_ASM_ASK", "FPT=A", "FPO=-3A", "ACT_EST_MAPPING=PRECISE", "FS=MRC", "CURRENCY=USD", "XLFILL=b")</f>
        <v>14.29</v>
      </c>
      <c r="N57" s="9">
        <f>_xll.BQL("JBLU US Equity", "OP_EXP_PER_ASM_ASK", "FPT=A", "FPO=-4A", "ACT_EST_MAPPING=PRECISE", "FS=MRC", "CURRENCY=USD", "XLFILL=b")</f>
        <v>11.43</v>
      </c>
    </row>
    <row r="58" spans="1:14" x14ac:dyDescent="0.2">
      <c r="A58" s="8" t="s">
        <v>12</v>
      </c>
      <c r="B58" s="4" t="s">
        <v>33</v>
      </c>
      <c r="C58" s="4"/>
      <c r="D58" s="4"/>
      <c r="E58" s="9">
        <f>_xll.BQL("JBLU US Equity", "FA_GROWTH(OP_EXP_PER_ASM_ASK, YOY)", "FPT=A", "FPO=5A", "ACT_EST_MAPPING=PRECISE", "FS=MRC", "CURRENCY=USD", "XLFILL=b")</f>
        <v>-0.27610691319540831</v>
      </c>
      <c r="F58" s="9">
        <f>_xll.BQL("JBLU US Equity", "FA_GROWTH(OP_EXP_PER_ASM_ASK, YOY)", "FPT=A", "FPO=4A", "ACT_EST_MAPPING=PRECISE", "FS=MRC", "CURRENCY=USD", "XLFILL=b")</f>
        <v>0.44260143793147705</v>
      </c>
      <c r="G58" s="9">
        <f>_xll.BQL("JBLU US Equity", "FA_GROWTH(OP_EXP_PER_ASM_ASK, YOY)", "FPT=A", "FPO=3A", "ACT_EST_MAPPING=PRECISE", "FS=MRC", "CURRENCY=USD", "XLFILL=b")</f>
        <v>-1.1556226116990729</v>
      </c>
      <c r="H58" s="9">
        <f>_xll.BQL("JBLU US Equity", "FA_GROWTH(OP_EXP_PER_ASM_ASK, YOY)", "FPT=A", "FPO=2A", "ACT_EST_MAPPING=PRECISE", "FS=MRC", "CURRENCY=USD", "XLFILL=b")</f>
        <v>-1.5165687823512255</v>
      </c>
      <c r="I58" s="9">
        <f>_xll.BQL("JBLU US Equity", "FA_GROWTH(OP_EXP_PER_ASM_ASK, YOY)", "FPT=A", "FPO=1A", "ACT_EST_MAPPING=PRECISE", "FS=MRC", "CURRENCY=USD", "XLFILL=b")</f>
        <v>2.4966731910265452</v>
      </c>
      <c r="J58" s="9">
        <f>_xll.BQL("JBLU US Equity", "FA_GROWTH(OP_EXP_PER_ASM_ASK, YOY)", "FPT=A", "FPO=0A", "ACT_EST_MAPPING=PRECISE", "FS=MRC", "CURRENCY=USD", "XLFILL=b")</f>
        <v>-2.0449897750511297</v>
      </c>
      <c r="K58" s="9">
        <f>_xll.BQL("JBLU US Equity", "FA_GROWTH(OP_EXP_PER_ASM_ASK, YOY)", "FPT=A", "FPO=-1A", "ACT_EST_MAPPING=PRECISE", "FS=MRC", "CURRENCY=USD", "XLFILL=b")</f>
        <v>29.823008849557514</v>
      </c>
      <c r="L58" s="9">
        <f>_xll.BQL("JBLU US Equity", "FA_GROWTH(OP_EXP_PER_ASM_ASK, YOY)", "FPT=A", "FPO=-2A", "ACT_EST_MAPPING=PRECISE", "FS=MRC", "CURRENCY=USD", "XLFILL=b")</f>
        <v>-20.923722883135049</v>
      </c>
      <c r="M58" s="9">
        <f>_xll.BQL("JBLU US Equity", "FA_GROWTH(OP_EXP_PER_ASM_ASK, YOY)", "FPT=A", "FPO=-3A", "ACT_EST_MAPPING=PRECISE", "FS=MRC", "CURRENCY=USD", "XLFILL=b")</f>
        <v>25.021872265966749</v>
      </c>
      <c r="N58" s="9">
        <f>_xll.BQL("JBLU US Equity", "FA_GROWTH(OP_EXP_PER_ASM_ASK, YOY)", "FPT=A", "FPO=-4A", "ACT_EST_MAPPING=PRECISE", "FS=MRC", "CURRENCY=USD", "XLFILL=b")</f>
        <v>-7.3743922204213952</v>
      </c>
    </row>
    <row r="59" spans="1:14" x14ac:dyDescent="0.2">
      <c r="A59" s="8" t="s">
        <v>64</v>
      </c>
      <c r="B59" s="4" t="s">
        <v>36</v>
      </c>
      <c r="C59" s="4"/>
      <c r="D59" s="4"/>
      <c r="E59" s="9" t="str">
        <f>_xll.BQL("JBLU US Equity", "CONS_COST_PER_ASM_EX_FUEL", "FPT=A", "FPO=5A", "ACT_EST_MAPPING=PRECISE", "FS=MRC", "CURRENCY=USD", "XLFILL=b")</f>
        <v/>
      </c>
      <c r="F59" s="9" t="str">
        <f>_xll.BQL("JBLU US Equity", "CONS_COST_PER_ASM_EX_FUEL", "FPT=A", "FPO=4A", "ACT_EST_MAPPING=PRECISE", "FS=MRC", "CURRENCY=USD", "XLFILL=b")</f>
        <v/>
      </c>
      <c r="G59" s="9">
        <f>_xll.BQL("JBLU US Equity", "CONS_COST_PER_ASM_EX_FUEL", "FPT=A", "FPO=3A", "ACT_EST_MAPPING=PRECISE", "FS=MRC", "CURRENCY=USD", "XLFILL=b")</f>
        <v>10.71051121896393</v>
      </c>
      <c r="H59" s="9">
        <f>_xll.BQL("JBLU US Equity", "CONS_COST_PER_ASM_EX_FUEL", "FPT=A", "FPO=2A", "ACT_EST_MAPPING=PRECISE", "FS=MRC", "CURRENCY=USD", "XLFILL=b")</f>
        <v>10.881721678495195</v>
      </c>
      <c r="I59" s="9">
        <f>_xll.BQL("JBLU US Equity", "CONS_COST_PER_ASM_EX_FUEL", "FPT=A", "FPO=1A", "ACT_EST_MAPPING=PRECISE", "FS=MRC", "CURRENCY=USD", "XLFILL=b")</f>
        <v>10.628957192427825</v>
      </c>
      <c r="J59" s="9">
        <f>_xll.BQL("JBLU US Equity", "CONS_COST_PER_ASM_EX_FUEL", "FPT=A", "FPO=0A", "ACT_EST_MAPPING=PRECISE", "FS=MRC", "CURRENCY=USD", "XLFILL=b")</f>
        <v>10.4</v>
      </c>
      <c r="K59" s="9">
        <f>_xll.BQL("JBLU US Equity", "CONS_COST_PER_ASM_EX_FUEL", "FPT=A", "FPO=-1A", "ACT_EST_MAPPING=PRECISE", "FS=MRC", "CURRENCY=USD", "XLFILL=b")</f>
        <v>9.85</v>
      </c>
      <c r="L59" s="9">
        <f>_xll.BQL("JBLU US Equity", "CONS_COST_PER_ASM_EX_FUEL", "FPT=A", "FPO=-2A", "ACT_EST_MAPPING=PRECISE", "FS=MRC", "CURRENCY=USD", "XLFILL=b")</f>
        <v>8.65</v>
      </c>
      <c r="M59" s="9">
        <f>_xll.BQL("JBLU US Equity", "CONS_COST_PER_ASM_EX_FUEL", "FPT=A", "FPO=-3A", "ACT_EST_MAPPING=PRECISE", "FS=MRC", "CURRENCY=USD", "XLFILL=b")</f>
        <v>12.36</v>
      </c>
      <c r="N59" s="9">
        <f>_xll.BQL("JBLU US Equity", "CONS_COST_PER_ASM_EX_FUEL", "FPT=A", "FPO=-4A", "ACT_EST_MAPPING=PRECISE", "FS=MRC", "CURRENCY=USD", "XLFILL=b")</f>
        <v>8.5399999999999991</v>
      </c>
    </row>
    <row r="60" spans="1:14" x14ac:dyDescent="0.2">
      <c r="A60" s="8" t="s">
        <v>12</v>
      </c>
      <c r="B60" s="4" t="s">
        <v>36</v>
      </c>
      <c r="C60" s="4"/>
      <c r="D60" s="4"/>
      <c r="E60" s="9" t="str">
        <f>_xll.BQL("JBLU US Equity", "FA_GROWTH(CONS_COST_PER_ASM_EX_FUEL, YOY)", "FPT=A", "FPO=5A", "ACT_EST_MAPPING=PRECISE", "FS=MRC", "CURRENCY=USD", "XLFILL=b")</f>
        <v/>
      </c>
      <c r="F60" s="9" t="str">
        <f>_xll.BQL("JBLU US Equity", "FA_GROWTH(CONS_COST_PER_ASM_EX_FUEL, YOY)", "FPT=A", "FPO=4A", "ACT_EST_MAPPING=PRECISE", "FS=MRC", "CURRENCY=USD", "XLFILL=b")</f>
        <v/>
      </c>
      <c r="G60" s="9">
        <f>_xll.BQL("JBLU US Equity", "FA_GROWTH(CONS_COST_PER_ASM_EX_FUEL, YOY)", "FPT=A", "FPO=3A", "ACT_EST_MAPPING=PRECISE", "FS=MRC", "CURRENCY=USD", "XLFILL=b")</f>
        <v>-1.5733765721063835</v>
      </c>
      <c r="H60" s="9">
        <f>_xll.BQL("JBLU US Equity", "FA_GROWTH(CONS_COST_PER_ASM_EX_FUEL, YOY)", "FPT=A", "FPO=2A", "ACT_EST_MAPPING=PRECISE", "FS=MRC", "CURRENCY=USD", "XLFILL=b")</f>
        <v>2.3780741750229484</v>
      </c>
      <c r="I60" s="9">
        <f>_xll.BQL("JBLU US Equity", "FA_GROWTH(CONS_COST_PER_ASM_EX_FUEL, YOY)", "FPT=A", "FPO=1A", "ACT_EST_MAPPING=PRECISE", "FS=MRC", "CURRENCY=USD", "XLFILL=b")</f>
        <v>2.2015114656521555</v>
      </c>
      <c r="J60" s="9">
        <f>_xll.BQL("JBLU US Equity", "FA_GROWTH(CONS_COST_PER_ASM_EX_FUEL, YOY)", "FPT=A", "FPO=0A", "ACT_EST_MAPPING=PRECISE", "FS=MRC", "CURRENCY=USD", "XLFILL=b")</f>
        <v>5.5837563451776724</v>
      </c>
      <c r="K60" s="9">
        <f>_xll.BQL("JBLU US Equity", "FA_GROWTH(CONS_COST_PER_ASM_EX_FUEL, YOY)", "FPT=A", "FPO=-1A", "ACT_EST_MAPPING=PRECISE", "FS=MRC", "CURRENCY=USD", "XLFILL=b")</f>
        <v>13.872832369942188</v>
      </c>
      <c r="L60" s="9">
        <f>_xll.BQL("JBLU US Equity", "FA_GROWTH(CONS_COST_PER_ASM_EX_FUEL, YOY)", "FPT=A", "FPO=-2A", "ACT_EST_MAPPING=PRECISE", "FS=MRC", "CURRENCY=USD", "XLFILL=b")</f>
        <v>-30.016181229773455</v>
      </c>
      <c r="M60" s="9">
        <f>_xll.BQL("JBLU US Equity", "FA_GROWTH(CONS_COST_PER_ASM_EX_FUEL, YOY)", "FPT=A", "FPO=-3A", "ACT_EST_MAPPING=PRECISE", "FS=MRC", "CURRENCY=USD", "XLFILL=b")</f>
        <v>44.730679156908671</v>
      </c>
      <c r="N60" s="9">
        <f>_xll.BQL("JBLU US Equity", "FA_GROWTH(CONS_COST_PER_ASM_EX_FUEL, YOY)", "FPT=A", "FPO=-4A", "ACT_EST_MAPPING=PRECISE", "FS=MRC", "CURRENCY=USD", "XLFILL=b")</f>
        <v>-6.8702290076335961</v>
      </c>
    </row>
    <row r="61" spans="1:14" x14ac:dyDescent="0.2">
      <c r="A61" s="8" t="s">
        <v>65</v>
      </c>
      <c r="B61" s="4" t="s">
        <v>38</v>
      </c>
      <c r="C61" s="4"/>
      <c r="D61" s="4"/>
      <c r="E61" s="9">
        <f>_xll.BQL("JBLU US Equity", "COST_PER_SEAT_EXCL_ABN_ITMS", "FPT=A", "FPO=5A", "ACT_EST_MAPPING=PRECISE", "FS=MRC", "CURRENCY=USD", "XLFILL=b")</f>
        <v>10.905665564379749</v>
      </c>
      <c r="F61" s="9">
        <f>_xll.BQL("JBLU US Equity", "COST_PER_SEAT_EXCL_ABN_ITMS", "FPT=A", "FPO=4A", "ACT_EST_MAPPING=PRECISE", "FS=MRC", "CURRENCY=USD", "XLFILL=b")</f>
        <v>10.910870328849006</v>
      </c>
      <c r="G61" s="9">
        <f>_xll.BQL("JBLU US Equity", "COST_PER_SEAT_EXCL_ABN_ITMS", "FPT=A", "FPO=3A", "ACT_EST_MAPPING=PRECISE", "FS=MRC", "CURRENCY=USD", "XLFILL=b")</f>
        <v>10.94519954707501</v>
      </c>
      <c r="H61" s="9">
        <f>_xll.BQL("JBLU US Equity", "COST_PER_SEAT_EXCL_ABN_ITMS", "FPT=A", "FPO=2A", "ACT_EST_MAPPING=PRECISE", "FS=MRC", "CURRENCY=USD", "XLFILL=b")</f>
        <v>10.980560254437309</v>
      </c>
      <c r="I61" s="9">
        <f>_xll.BQL("JBLU US Equity", "COST_PER_SEAT_EXCL_ABN_ITMS", "FPT=A", "FPO=1A", "ACT_EST_MAPPING=PRECISE", "FS=MRC", "CURRENCY=USD", "XLFILL=b")</f>
        <v>10.635130258536304</v>
      </c>
      <c r="J61" s="9">
        <f>_xll.BQL("JBLU US Equity", "COST_PER_SEAT_EXCL_ABN_ITMS", "FPT=A", "FPO=0A", "ACT_EST_MAPPING=PRECISE", "FS=MRC", "CURRENCY=USD", "XLFILL=b")</f>
        <v>10.02</v>
      </c>
      <c r="K61" s="9">
        <f>_xll.BQL("JBLU US Equity", "COST_PER_SEAT_EXCL_ABN_ITMS", "FPT=A", "FPO=-1A", "ACT_EST_MAPPING=PRECISE", "FS=MRC", "CURRENCY=USD", "XLFILL=b")</f>
        <v>9.59</v>
      </c>
      <c r="L61" s="9">
        <f>_xll.BQL("JBLU US Equity", "COST_PER_SEAT_EXCL_ABN_ITMS", "FPT=A", "FPO=-2A", "ACT_EST_MAPPING=PRECISE", "FS=MRC", "CURRENCY=USD", "XLFILL=b")</f>
        <v>10.11</v>
      </c>
      <c r="M61" s="9">
        <f>_xll.BQL("JBLU US Equity", "COST_PER_SEAT_EXCL_ABN_ITMS", "FPT=A", "FPO=-3A", "ACT_EST_MAPPING=PRECISE", "FS=MRC", "CURRENCY=USD", "XLFILL=b")</f>
        <v>13.12</v>
      </c>
      <c r="N61" s="9">
        <f>_xll.BQL("JBLU US Equity", "COST_PER_SEAT_EXCL_ABN_ITMS", "FPT=A", "FPO=-4A", "ACT_EST_MAPPING=PRECISE", "FS=MRC", "CURRENCY=USD", "XLFILL=b")</f>
        <v>8.44</v>
      </c>
    </row>
    <row r="62" spans="1:14" x14ac:dyDescent="0.2">
      <c r="A62" s="8" t="s">
        <v>12</v>
      </c>
      <c r="B62" s="4" t="s">
        <v>38</v>
      </c>
      <c r="C62" s="4"/>
      <c r="D62" s="4"/>
      <c r="E62" s="9">
        <f>_xll.BQL("JBLU US Equity", "FA_GROWTH(COST_PER_SEAT_EXCL_ABN_ITMS, YOY)", "FPT=A", "FPO=5A", "ACT_EST_MAPPING=PRECISE", "FS=MRC", "CURRENCY=USD", "XLFILL=b")</f>
        <v>-4.7702560037718153E-2</v>
      </c>
      <c r="F62" s="9">
        <f>_xll.BQL("JBLU US Equity", "FA_GROWTH(COST_PER_SEAT_EXCL_ABN_ITMS, YOY)", "FPT=A", "FPO=4A", "ACT_EST_MAPPING=PRECISE", "FS=MRC", "CURRENCY=USD", "XLFILL=b")</f>
        <v>-0.31364634402831071</v>
      </c>
      <c r="G62" s="9">
        <f>_xll.BQL("JBLU US Equity", "FA_GROWTH(COST_PER_SEAT_EXCL_ABN_ITMS, YOY)", "FPT=A", "FPO=3A", "ACT_EST_MAPPING=PRECISE", "FS=MRC", "CURRENCY=USD", "XLFILL=b")</f>
        <v>-0.32203008355616253</v>
      </c>
      <c r="H62" s="9">
        <f>_xll.BQL("JBLU US Equity", "FA_GROWTH(COST_PER_SEAT_EXCL_ABN_ITMS, YOY)", "FPT=A", "FPO=2A", "ACT_EST_MAPPING=PRECISE", "FS=MRC", "CURRENCY=USD", "XLFILL=b")</f>
        <v>3.2480090746772521</v>
      </c>
      <c r="I62" s="9">
        <f>_xll.BQL("JBLU US Equity", "FA_GROWTH(COST_PER_SEAT_EXCL_ABN_ITMS, YOY)", "FPT=A", "FPO=1A", "ACT_EST_MAPPING=PRECISE", "FS=MRC", "CURRENCY=USD", "XLFILL=b")</f>
        <v>6.1390245362904601</v>
      </c>
      <c r="J62" s="9">
        <f>_xll.BQL("JBLU US Equity", "FA_GROWTH(COST_PER_SEAT_EXCL_ABN_ITMS, YOY)", "FPT=A", "FPO=0A", "ACT_EST_MAPPING=PRECISE", "FS=MRC", "CURRENCY=USD", "XLFILL=b")</f>
        <v>4.4838373305526558</v>
      </c>
      <c r="K62" s="9">
        <f>_xll.BQL("JBLU US Equity", "FA_GROWTH(COST_PER_SEAT_EXCL_ABN_ITMS, YOY)", "FPT=A", "FPO=-1A", "ACT_EST_MAPPING=PRECISE", "FS=MRC", "CURRENCY=USD", "XLFILL=b")</f>
        <v>-5.1434223541048425</v>
      </c>
      <c r="L62" s="9">
        <f>_xll.BQL("JBLU US Equity", "FA_GROWTH(COST_PER_SEAT_EXCL_ABN_ITMS, YOY)", "FPT=A", "FPO=-2A", "ACT_EST_MAPPING=PRECISE", "FS=MRC", "CURRENCY=USD", "XLFILL=b")</f>
        <v>-22.94207317073171</v>
      </c>
      <c r="M62" s="9">
        <f>_xll.BQL("JBLU US Equity", "FA_GROWTH(COST_PER_SEAT_EXCL_ABN_ITMS, YOY)", "FPT=A", "FPO=-3A", "ACT_EST_MAPPING=PRECISE", "FS=MRC", "CURRENCY=USD", "XLFILL=b")</f>
        <v>55.450236966824647</v>
      </c>
      <c r="N62" s="9">
        <f>_xll.BQL("JBLU US Equity", "FA_GROWTH(COST_PER_SEAT_EXCL_ABN_ITMS, YOY)", "FPT=A", "FPO=-4A", "ACT_EST_MAPPING=PRECISE", "FS=MRC", "CURRENCY=USD", "XLFILL=b")</f>
        <v>0.83632019115890432</v>
      </c>
    </row>
    <row r="63" spans="1:14" x14ac:dyDescent="0.2">
      <c r="A63" s="8" t="s">
        <v>66</v>
      </c>
      <c r="B63" s="4" t="s">
        <v>67</v>
      </c>
      <c r="C63" s="4" t="s">
        <v>68</v>
      </c>
      <c r="D63" s="4"/>
      <c r="E63" s="9">
        <f>_xll.BQL("JBLU US Equity", "FUEL_GALLONS_LITRES/1M", "FPT=A", "FPO=5A", "ACT_EST_MAPPING=PRECISE", "FS=MRC", "CURRENCY=USD", "XLFILL=b")</f>
        <v>913.78113524663434</v>
      </c>
      <c r="F63" s="9">
        <f>_xll.BQL("JBLU US Equity", "FUEL_GALLONS_LITRES/1M", "FPT=A", "FPO=4A", "ACT_EST_MAPPING=PRECISE", "FS=MRC", "CURRENCY=USD", "XLFILL=b")</f>
        <v>887.42206403759678</v>
      </c>
      <c r="G63" s="9">
        <f>_xll.BQL("JBLU US Equity", "FUEL_GALLONS_LITRES/1M", "FPT=A", "FPO=3A", "ACT_EST_MAPPING=PRECISE", "FS=MRC", "CURRENCY=USD", "XLFILL=b")</f>
        <v>887.26725865676542</v>
      </c>
      <c r="H63" s="9">
        <f>_xll.BQL("JBLU US Equity", "FUEL_GALLONS_LITRES/1M", "FPT=A", "FPO=2A", "ACT_EST_MAPPING=PRECISE", "FS=MRC", "CURRENCY=USD", "XLFILL=b")</f>
        <v>849.5528103074389</v>
      </c>
      <c r="I63" s="9">
        <f>_xll.BQL("JBLU US Equity", "FUEL_GALLONS_LITRES/1M", "FPT=A", "FPO=1A", "ACT_EST_MAPPING=PRECISE", "FS=MRC", "CURRENCY=USD", "XLFILL=b")</f>
        <v>851.80274881953278</v>
      </c>
      <c r="J63" s="9">
        <f>_xll.BQL("JBLU US Equity", "FUEL_GALLONS_LITRES/1M", "FPT=A", "FPO=0A", "ACT_EST_MAPPING=PRECISE", "FS=MRC", "CURRENCY=USD", "XLFILL=b")</f>
        <v>897</v>
      </c>
      <c r="K63" s="9">
        <f>_xll.BQL("JBLU US Equity", "FUEL_GALLONS_LITRES/1M", "FPT=A", "FPO=-1A", "ACT_EST_MAPPING=PRECISE", "FS=MRC", "CURRENCY=USD", "XLFILL=b")</f>
        <v>842</v>
      </c>
      <c r="L63" s="9">
        <f>_xll.BQL("JBLU US Equity", "FUEL_GALLONS_LITRES/1M", "FPT=A", "FPO=-2A", "ACT_EST_MAPPING=PRECISE", "FS=MRC", "CURRENCY=USD", "XLFILL=b")</f>
        <v>696</v>
      </c>
      <c r="M63" s="9">
        <f>_xll.BQL("JBLU US Equity", "FUEL_GALLONS_LITRES/1M", "FPT=A", "FPO=-3A", "ACT_EST_MAPPING=PRECISE", "FS=MRC", "CURRENCY=USD", "XLFILL=b")</f>
        <v>412</v>
      </c>
      <c r="N63" s="9">
        <f>_xll.BQL("JBLU US Equity", "FUEL_GALLONS_LITRES/1M", "FPT=A", "FPO=-4A", "ACT_EST_MAPPING=PRECISE", "FS=MRC", "CURRENCY=USD", "XLFILL=b")</f>
        <v>885</v>
      </c>
    </row>
    <row r="64" spans="1:14" x14ac:dyDescent="0.2">
      <c r="A64" s="8" t="s">
        <v>12</v>
      </c>
      <c r="B64" s="4" t="s">
        <v>67</v>
      </c>
      <c r="C64" s="4" t="s">
        <v>68</v>
      </c>
      <c r="D64" s="4"/>
      <c r="E64" s="9">
        <f>_xll.BQL("JBLU US Equity", "FA_GROWTH(FUEL_GALLONS_LITRES, YOY)", "FPT=A", "FPO=5A", "ACT_EST_MAPPING=PRECISE", "FS=MRC", "CURRENCY=USD", "XLFILL=b")</f>
        <v>2.9702970297029716</v>
      </c>
      <c r="F64" s="9">
        <f>_xll.BQL("JBLU US Equity", "FA_GROWTH(FUEL_GALLONS_LITRES, YOY)", "FPT=A", "FPO=4A", "ACT_EST_MAPPING=PRECISE", "FS=MRC", "CURRENCY=USD", "XLFILL=b")</f>
        <v>1.7447435293140513E-2</v>
      </c>
      <c r="G64" s="9">
        <f>_xll.BQL("JBLU US Equity", "FA_GROWTH(FUEL_GALLONS_LITRES, YOY)", "FPT=A", "FPO=3A", "ACT_EST_MAPPING=PRECISE", "FS=MRC", "CURRENCY=USD", "XLFILL=b")</f>
        <v>4.4393294791972249</v>
      </c>
      <c r="H64" s="9">
        <f>_xll.BQL("JBLU US Equity", "FA_GROWTH(FUEL_GALLONS_LITRES, YOY)", "FPT=A", "FPO=2A", "ACT_EST_MAPPING=PRECISE", "FS=MRC", "CURRENCY=USD", "XLFILL=b")</f>
        <v>-0.26413844228748612</v>
      </c>
      <c r="I64" s="9">
        <f>_xll.BQL("JBLU US Equity", "FA_GROWTH(FUEL_GALLONS_LITRES, YOY)", "FPT=A", "FPO=1A", "ACT_EST_MAPPING=PRECISE", "FS=MRC", "CURRENCY=USD", "XLFILL=b")</f>
        <v>-5.0387125061836393</v>
      </c>
      <c r="J64" s="9">
        <f>_xll.BQL("JBLU US Equity", "FA_GROWTH(FUEL_GALLONS_LITRES, YOY)", "FPT=A", "FPO=0A", "ACT_EST_MAPPING=PRECISE", "FS=MRC", "CURRENCY=USD", "XLFILL=b")</f>
        <v>6.5320665083135392</v>
      </c>
      <c r="K64" s="9">
        <f>_xll.BQL("JBLU US Equity", "FA_GROWTH(FUEL_GALLONS_LITRES, YOY)", "FPT=A", "FPO=-1A", "ACT_EST_MAPPING=PRECISE", "FS=MRC", "CURRENCY=USD", "XLFILL=b")</f>
        <v>20.977011494252874</v>
      </c>
      <c r="L64" s="9">
        <f>_xll.BQL("JBLU US Equity", "FA_GROWTH(FUEL_GALLONS_LITRES, YOY)", "FPT=A", "FPO=-2A", "ACT_EST_MAPPING=PRECISE", "FS=MRC", "CURRENCY=USD", "XLFILL=b")</f>
        <v>68.932038834951456</v>
      </c>
      <c r="M64" s="9">
        <f>_xll.BQL("JBLU US Equity", "FA_GROWTH(FUEL_GALLONS_LITRES, YOY)", "FPT=A", "FPO=-3A", "ACT_EST_MAPPING=PRECISE", "FS=MRC", "CURRENCY=USD", "XLFILL=b")</f>
        <v>-53.44632768361582</v>
      </c>
      <c r="N64" s="9">
        <f>_xll.BQL("JBLU US Equity", "FA_GROWTH(FUEL_GALLONS_LITRES, YOY)", "FPT=A", "FPO=-4A", "ACT_EST_MAPPING=PRECISE", "FS=MRC", "CURRENCY=USD", "XLFILL=b")</f>
        <v>4.2402826855123674</v>
      </c>
    </row>
    <row r="65" spans="1:14" x14ac:dyDescent="0.2">
      <c r="A65" s="8" t="s">
        <v>69</v>
      </c>
      <c r="B65" s="4" t="s">
        <v>70</v>
      </c>
      <c r="C65" s="4"/>
      <c r="D65" s="4"/>
      <c r="E65" s="9">
        <f>_xll.BQL("JBLU US Equity", "FUEL_PRICE_PER_GALLON_LITRE", "FPT=A", "FPO=5A", "ACT_EST_MAPPING=PRECISE", "FS=MRC", "CURRENCY=USD", "XLFILL=b")</f>
        <v>2.7820000000000005</v>
      </c>
      <c r="F65" s="9">
        <f>_xll.BQL("JBLU US Equity", "FUEL_PRICE_PER_GALLON_LITRE", "FPT=A", "FPO=4A", "ACT_EST_MAPPING=PRECISE", "FS=MRC", "CURRENCY=USD", "XLFILL=b")</f>
        <v>2.782</v>
      </c>
      <c r="G65" s="9">
        <f>_xll.BQL("JBLU US Equity", "FUEL_PRICE_PER_GALLON_LITRE", "FPT=A", "FPO=3A", "ACT_EST_MAPPING=PRECISE", "FS=MRC", "CURRENCY=USD", "XLFILL=b")</f>
        <v>2.8173423130218387</v>
      </c>
      <c r="H65" s="9">
        <f>_xll.BQL("JBLU US Equity", "FUEL_PRICE_PER_GALLON_LITRE", "FPT=A", "FPO=2A", "ACT_EST_MAPPING=PRECISE", "FS=MRC", "CURRENCY=USD", "XLFILL=b")</f>
        <v>2.755389949040457</v>
      </c>
      <c r="I65" s="9">
        <f>_xll.BQL("JBLU US Equity", "FUEL_PRICE_PER_GALLON_LITRE", "FPT=A", "FPO=1A", "ACT_EST_MAPPING=PRECISE", "FS=MRC", "CURRENCY=USD", "XLFILL=b")</f>
        <v>2.8298585881900236</v>
      </c>
      <c r="J65" s="9">
        <f>_xll.BQL("JBLU US Equity", "FUEL_PRICE_PER_GALLON_LITRE", "FPT=A", "FPO=0A", "ACT_EST_MAPPING=PRECISE", "FS=MRC", "CURRENCY=USD", "XLFILL=b")</f>
        <v>3.03</v>
      </c>
      <c r="K65" s="9">
        <f>_xll.BQL("JBLU US Equity", "FUEL_PRICE_PER_GALLON_LITRE", "FPT=A", "FPO=-1A", "ACT_EST_MAPPING=PRECISE", "FS=MRC", "CURRENCY=USD", "XLFILL=b")</f>
        <v>3.69</v>
      </c>
      <c r="L65" s="9">
        <f>_xll.BQL("JBLU US Equity", "FUEL_PRICE_PER_GALLON_LITRE", "FPT=A", "FPO=-2A", "ACT_EST_MAPPING=PRECISE", "FS=MRC", "CURRENCY=USD", "XLFILL=b")</f>
        <v>2.06</v>
      </c>
      <c r="M65" s="9">
        <f>_xll.BQL("JBLU US Equity", "FUEL_PRICE_PER_GALLON_LITRE", "FPT=A", "FPO=-3A", "ACT_EST_MAPPING=PRECISE", "FS=MRC", "CURRENCY=USD", "XLFILL=b")</f>
        <v>1.53</v>
      </c>
      <c r="N65" s="9">
        <f>_xll.BQL("JBLU US Equity", "FUEL_PRICE_PER_GALLON_LITRE", "FPT=A", "FPO=-4A", "ACT_EST_MAPPING=PRECISE", "FS=MRC", "CURRENCY=USD", "XLFILL=b")</f>
        <v>2.09</v>
      </c>
    </row>
    <row r="66" spans="1:14" x14ac:dyDescent="0.2">
      <c r="A66" s="8" t="s">
        <v>12</v>
      </c>
      <c r="B66" s="4" t="s">
        <v>70</v>
      </c>
      <c r="C66" s="4"/>
      <c r="D66" s="4"/>
      <c r="E66" s="9">
        <f>_xll.BQL("JBLU US Equity", "FA_GROWTH(FUEL_PRICE_PER_GALLON_LITRE, YOY)", "FPT=A", "FPO=5A", "ACT_EST_MAPPING=PRECISE", "FS=MRC", "CURRENCY=USD", "XLFILL=b")</f>
        <v>1.5962947873834025E-14</v>
      </c>
      <c r="F66" s="9">
        <f>_xll.BQL("JBLU US Equity", "FA_GROWTH(FUEL_PRICE_PER_GALLON_LITRE, YOY)", "FPT=A", "FPO=4A", "ACT_EST_MAPPING=PRECISE", "FS=MRC", "CURRENCY=USD", "XLFILL=b")</f>
        <v>-1.2544557634507334</v>
      </c>
      <c r="G66" s="9">
        <f>_xll.BQL("JBLU US Equity", "FA_GROWTH(FUEL_PRICE_PER_GALLON_LITRE, YOY)", "FPT=A", "FPO=3A", "ACT_EST_MAPPING=PRECISE", "FS=MRC", "CURRENCY=USD", "XLFILL=b")</f>
        <v>2.2484064008056697</v>
      </c>
      <c r="H66" s="9">
        <f>_xll.BQL("JBLU US Equity", "FA_GROWTH(FUEL_PRICE_PER_GALLON_LITRE, YOY)", "FPT=A", "FPO=2A", "ACT_EST_MAPPING=PRECISE", "FS=MRC", "CURRENCY=USD", "XLFILL=b")</f>
        <v>-2.6315321712664339</v>
      </c>
      <c r="I66" s="9">
        <f>_xll.BQL("JBLU US Equity", "FA_GROWTH(FUEL_PRICE_PER_GALLON_LITRE, YOY)", "FPT=A", "FPO=1A", "ACT_EST_MAPPING=PRECISE", "FS=MRC", "CURRENCY=USD", "XLFILL=b")</f>
        <v>-6.6053271224414614</v>
      </c>
      <c r="J66" s="9">
        <f>_xll.BQL("JBLU US Equity", "FA_GROWTH(FUEL_PRICE_PER_GALLON_LITRE, YOY)", "FPT=A", "FPO=0A", "ACT_EST_MAPPING=PRECISE", "FS=MRC", "CURRENCY=USD", "XLFILL=b")</f>
        <v>-17.886178861788622</v>
      </c>
      <c r="K66" s="9">
        <f>_xll.BQL("JBLU US Equity", "FA_GROWTH(FUEL_PRICE_PER_GALLON_LITRE, YOY)", "FPT=A", "FPO=-1A", "ACT_EST_MAPPING=PRECISE", "FS=MRC", "CURRENCY=USD", "XLFILL=b")</f>
        <v>79.126213592233015</v>
      </c>
      <c r="L66" s="9">
        <f>_xll.BQL("JBLU US Equity", "FA_GROWTH(FUEL_PRICE_PER_GALLON_LITRE, YOY)", "FPT=A", "FPO=-2A", "ACT_EST_MAPPING=PRECISE", "FS=MRC", "CURRENCY=USD", "XLFILL=b")</f>
        <v>34.640522875816991</v>
      </c>
      <c r="M66" s="9">
        <f>_xll.BQL("JBLU US Equity", "FA_GROWTH(FUEL_PRICE_PER_GALLON_LITRE, YOY)", "FPT=A", "FPO=-3A", "ACT_EST_MAPPING=PRECISE", "FS=MRC", "CURRENCY=USD", "XLFILL=b")</f>
        <v>-26.794258373205736</v>
      </c>
      <c r="N66" s="9">
        <f>_xll.BQL("JBLU US Equity", "FA_GROWTH(FUEL_PRICE_PER_GALLON_LITRE, YOY)", "FPT=A", "FPO=-4A", "ACT_EST_MAPPING=PRECISE", "FS=MRC", "CURRENCY=USD", "XLFILL=b")</f>
        <v>-6.6964285714285863</v>
      </c>
    </row>
    <row r="67" spans="1:14" x14ac:dyDescent="0.2">
      <c r="A67" s="8" t="s">
        <v>71</v>
      </c>
      <c r="B67" s="4" t="s">
        <v>72</v>
      </c>
      <c r="C67" s="4" t="s">
        <v>73</v>
      </c>
      <c r="D67" s="4"/>
      <c r="E67" s="9">
        <f>_xll.BQL("JBLU US Equity", "ASM_PER_GALLON_LITER", "FPT=A", "FPO=5A", "ACT_EST_MAPPING=PRECISE", "FS=MRC", "CURRENCY=USD", "XLFILL=b")</f>
        <v>80.502271101011274</v>
      </c>
      <c r="F67" s="9">
        <f>_xll.BQL("JBLU US Equity", "ASM_PER_GALLON_LITER", "FPT=A", "FPO=4A", "ACT_EST_MAPPING=PRECISE", "FS=MRC", "CURRENCY=USD", "XLFILL=b")</f>
        <v>79.705218911892331</v>
      </c>
      <c r="G67" s="9">
        <f>_xll.BQL("JBLU US Equity", "ASM_PER_GALLON_LITER", "FPT=A", "FPO=3A", "ACT_EST_MAPPING=PRECISE", "FS=MRC", "CURRENCY=USD", "XLFILL=b")</f>
        <v>78.886822274001972</v>
      </c>
      <c r="H67" s="9">
        <f>_xll.BQL("JBLU US Equity", "ASM_PER_GALLON_LITER", "FPT=A", "FPO=2A", "ACT_EST_MAPPING=PRECISE", "FS=MRC", "CURRENCY=USD", "XLFILL=b")</f>
        <v>78.272644082487204</v>
      </c>
      <c r="I67" s="9">
        <f>_xll.BQL("JBLU US Equity", "ASM_PER_GALLON_LITER", "FPT=A", "FPO=1A", "ACT_EST_MAPPING=PRECISE", "FS=MRC", "CURRENCY=USD", "XLFILL=b")</f>
        <v>77.603292187541186</v>
      </c>
      <c r="J67" s="9">
        <f>_xll.BQL("JBLU US Equity", "ASM_PER_GALLON_LITER", "FPT=A", "FPO=0A", "ACT_EST_MAPPING=PRECISE", "FS=MRC", "CURRENCY=USD", "XLFILL=b")</f>
        <v>76.362318840579704</v>
      </c>
      <c r="K67" s="9">
        <f>_xll.BQL("JBLU US Equity", "ASM_PER_GALLON_LITER", "FPT=A", "FPO=-1A", "ACT_EST_MAPPING=PRECISE", "FS=MRC", "CURRENCY=USD", "XLFILL=b")</f>
        <v>76.573634204275535</v>
      </c>
      <c r="L67" s="9">
        <f>_xll.BQL("JBLU US Equity", "ASM_PER_GALLON_LITER", "FPT=A", "FPO=-2A", "ACT_EST_MAPPING=PRECISE", "FS=MRC", "CURRENCY=USD", "XLFILL=b")</f>
        <v>77.7485632183908</v>
      </c>
      <c r="M67" s="9">
        <f>_xll.BQL("JBLU US Equity", "ASM_PER_GALLON_LITER", "FPT=A", "FPO=-3A", "ACT_EST_MAPPING=PRECISE", "FS=MRC", "CURRENCY=USD", "XLFILL=b")</f>
        <v>79.342233009708735</v>
      </c>
      <c r="N67" s="9">
        <f>_xll.BQL("JBLU US Equity", "ASM_PER_GALLON_LITER", "FPT=A", "FPO=-4A", "ACT_EST_MAPPING=PRECISE", "FS=MRC", "CURRENCY=USD", "XLFILL=b")</f>
        <v>72.136723163841808</v>
      </c>
    </row>
    <row r="68" spans="1:14" x14ac:dyDescent="0.2">
      <c r="A68" s="8" t="s">
        <v>12</v>
      </c>
      <c r="B68" s="4" t="s">
        <v>72</v>
      </c>
      <c r="C68" s="4" t="s">
        <v>73</v>
      </c>
      <c r="D68" s="4"/>
      <c r="E68" s="9">
        <f>_xll.BQL("JBLU US Equity", "FA_GROWTH(ASM_PER_GALLON_LITER, YOY)", "FPT=A", "FPO=5A", "ACT_EST_MAPPING=PRECISE", "FS=MRC", "CURRENCY=USD", "XLFILL=b")</f>
        <v>1.0000000000000253</v>
      </c>
      <c r="F68" s="9">
        <f>_xll.BQL("JBLU US Equity", "FA_GROWTH(ASM_PER_GALLON_LITER, YOY)", "FPT=A", "FPO=4A", "ACT_EST_MAPPING=PRECISE", "FS=MRC", "CURRENCY=USD", "XLFILL=b")</f>
        <v>1.0374313659736181</v>
      </c>
      <c r="G68" s="9">
        <f>_xll.BQL("JBLU US Equity", "FA_GROWTH(ASM_PER_GALLON_LITER, YOY)", "FPT=A", "FPO=3A", "ACT_EST_MAPPING=PRECISE", "FS=MRC", "CURRENCY=USD", "XLFILL=b")</f>
        <v>0.78466519013656821</v>
      </c>
      <c r="H68" s="9">
        <f>_xll.BQL("JBLU US Equity", "FA_GROWTH(ASM_PER_GALLON_LITER, YOY)", "FPT=A", "FPO=2A", "ACT_EST_MAPPING=PRECISE", "FS=MRC", "CURRENCY=USD", "XLFILL=b")</f>
        <v>0.8625302819994014</v>
      </c>
      <c r="I68" s="9">
        <f>_xll.BQL("JBLU US Equity", "FA_GROWTH(ASM_PER_GALLON_LITER, YOY)", "FPT=A", "FPO=1A", "ACT_EST_MAPPING=PRECISE", "FS=MRC", "CURRENCY=USD", "XLFILL=b")</f>
        <v>1.6251121833429925</v>
      </c>
      <c r="J68" s="9">
        <f>_xll.BQL("JBLU US Equity", "FA_GROWTH(ASM_PER_GALLON_LITER, YOY)", "FPT=A", "FPO=0A", "ACT_EST_MAPPING=PRECISE", "FS=MRC", "CURRENCY=USD", "XLFILL=b")</f>
        <v>-0.27596360795950398</v>
      </c>
      <c r="K68" s="9">
        <f>_xll.BQL("JBLU US Equity", "FA_GROWTH(ASM_PER_GALLON_LITER, YOY)", "FPT=A", "FPO=-1A", "ACT_EST_MAPPING=PRECISE", "FS=MRC", "CURRENCY=USD", "XLFILL=b")</f>
        <v>-1.5111906451762496</v>
      </c>
      <c r="L68" s="9">
        <f>_xll.BQL("JBLU US Equity", "FA_GROWTH(ASM_PER_GALLON_LITER, YOY)", "FPT=A", "FPO=-2A", "ACT_EST_MAPPING=PRECISE", "FS=MRC", "CURRENCY=USD", "XLFILL=b")</f>
        <v>-2.0086021414634576</v>
      </c>
      <c r="M68" s="9">
        <f>_xll.BQL("JBLU US Equity", "FA_GROWTH(ASM_PER_GALLON_LITER, YOY)", "FPT=A", "FPO=-3A", "ACT_EST_MAPPING=PRECISE", "FS=MRC", "CURRENCY=USD", "XLFILL=b")</f>
        <v>9.9886847223449369</v>
      </c>
      <c r="N68" s="9">
        <f>_xll.BQL("JBLU US Equity", "FA_GROWTH(ASM_PER_GALLON_LITER, YOY)", "FPT=A", "FPO=-4A", "ACT_EST_MAPPING=PRECISE", "FS=MRC", "CURRENCY=USD", "XLFILL=b")</f>
        <v>2.2763112942363981</v>
      </c>
    </row>
    <row r="69" spans="1:14" x14ac:dyDescent="0.2">
      <c r="A69" s="8" t="s">
        <v>16</v>
      </c>
      <c r="B69" s="4"/>
      <c r="C69" s="4"/>
      <c r="D69" s="4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x14ac:dyDescent="0.2">
      <c r="A70" s="8" t="s">
        <v>74</v>
      </c>
      <c r="B70" s="4" t="s">
        <v>42</v>
      </c>
      <c r="C70" s="4"/>
      <c r="D70" s="4"/>
      <c r="E70" s="9" t="str">
        <f>_xll.BQL("JBLU US Equity", "AVERAGE_PASSENGER_FARE", "FPT=A", "FPO=5A", "ACT_EST_MAPPING=PRECISE", "FS=MRC", "CURRENCY=USD", "XLFILL=b")</f>
        <v/>
      </c>
      <c r="F70" s="9" t="str">
        <f>_xll.BQL("JBLU US Equity", "AVERAGE_PASSENGER_FARE", "FPT=A", "FPO=4A", "ACT_EST_MAPPING=PRECISE", "FS=MRC", "CURRENCY=USD", "XLFILL=b")</f>
        <v/>
      </c>
      <c r="G70" s="9">
        <f>_xll.BQL("JBLU US Equity", "AVERAGE_PASSENGER_FARE", "FPT=A", "FPO=3A", "ACT_EST_MAPPING=PRECISE", "FS=MRC", "CURRENCY=USD", "XLFILL=b")</f>
        <v>213.64212398092826</v>
      </c>
      <c r="H70" s="9">
        <f>_xll.BQL("JBLU US Equity", "AVERAGE_PASSENGER_FARE", "FPT=A", "FPO=2A", "ACT_EST_MAPPING=PRECISE", "FS=MRC", "CURRENCY=USD", "XLFILL=b")</f>
        <v>209.89398908908038</v>
      </c>
      <c r="I70" s="9">
        <f>_xll.BQL("JBLU US Equity", "AVERAGE_PASSENGER_FARE", "FPT=A", "FPO=1A", "ACT_EST_MAPPING=PRECISE", "FS=MRC", "CURRENCY=USD", "XLFILL=b")</f>
        <v>209.07885522660561</v>
      </c>
      <c r="J70" s="9">
        <f>_xll.BQL("JBLU US Equity", "AVERAGE_PASSENGER_FARE", "FPT=A", "FPO=0A", "ACT_EST_MAPPING=PRECISE", "FS=MRC", "CURRENCY=USD", "XLFILL=b")</f>
        <v>211.79</v>
      </c>
      <c r="K70" s="9">
        <f>_xll.BQL("JBLU US Equity", "AVERAGE_PASSENGER_FARE", "FPT=A", "FPO=-1A", "ACT_EST_MAPPING=PRECISE", "FS=MRC", "CURRENCY=USD", "XLFILL=b")</f>
        <v>217.03</v>
      </c>
      <c r="L70" s="9">
        <f>_xll.BQL("JBLU US Equity", "AVERAGE_PASSENGER_FARE", "FPT=A", "FPO=-2A", "ACT_EST_MAPPING=PRECISE", "FS=MRC", "CURRENCY=USD", "XLFILL=b")</f>
        <v>186.39</v>
      </c>
      <c r="M70" s="9">
        <f>_xll.BQL("JBLU US Equity", "AVERAGE_PASSENGER_FARE", "FPT=A", "FPO=-3A", "ACT_EST_MAPPING=PRECISE", "FS=MRC", "CURRENCY=USD", "XLFILL=b")</f>
        <v>191.42</v>
      </c>
      <c r="N70" s="9">
        <f>_xll.BQL("JBLU US Equity", "AVERAGE_PASSENGER_FARE", "FPT=A", "FPO=-4A", "ACT_EST_MAPPING=PRECISE", "FS=MRC", "CURRENCY=USD", "XLFILL=b")</f>
        <v>182.23</v>
      </c>
    </row>
    <row r="71" spans="1:14" x14ac:dyDescent="0.2">
      <c r="A71" s="8" t="s">
        <v>12</v>
      </c>
      <c r="B71" s="4" t="s">
        <v>42</v>
      </c>
      <c r="C71" s="4"/>
      <c r="D71" s="4"/>
      <c r="E71" s="9" t="str">
        <f>_xll.BQL("JBLU US Equity", "FA_GROWTH(AVERAGE_PASSENGER_FARE, YOY)", "FPT=A", "FPO=5A", "ACT_EST_MAPPING=PRECISE", "FS=MRC", "CURRENCY=USD", "XLFILL=b")</f>
        <v/>
      </c>
      <c r="F71" s="9" t="str">
        <f>_xll.BQL("JBLU US Equity", "FA_GROWTH(AVERAGE_PASSENGER_FARE, YOY)", "FPT=A", "FPO=4A", "ACT_EST_MAPPING=PRECISE", "FS=MRC", "CURRENCY=USD", "XLFILL=b")</f>
        <v/>
      </c>
      <c r="G71" s="9">
        <f>_xll.BQL("JBLU US Equity", "FA_GROWTH(AVERAGE_PASSENGER_FARE, YOY)", "FPT=A", "FPO=3A", "ACT_EST_MAPPING=PRECISE", "FS=MRC", "CURRENCY=USD", "XLFILL=b")</f>
        <v>1.7857275990200701</v>
      </c>
      <c r="H71" s="9">
        <f>_xll.BQL("JBLU US Equity", "FA_GROWTH(AVERAGE_PASSENGER_FARE, YOY)", "FPT=A", "FPO=2A", "ACT_EST_MAPPING=PRECISE", "FS=MRC", "CURRENCY=USD", "XLFILL=b")</f>
        <v>0.38986910541063624</v>
      </c>
      <c r="I71" s="9">
        <f>_xll.BQL("JBLU US Equity", "FA_GROWTH(AVERAGE_PASSENGER_FARE, YOY)", "FPT=A", "FPO=1A", "ACT_EST_MAPPING=PRECISE", "FS=MRC", "CURRENCY=USD", "XLFILL=b")</f>
        <v>-1.2801099076417115</v>
      </c>
      <c r="J71" s="9">
        <f>_xll.BQL("JBLU US Equity", "FA_GROWTH(AVERAGE_PASSENGER_FARE, YOY)", "FPT=A", "FPO=0A", "ACT_EST_MAPPING=PRECISE", "FS=MRC", "CURRENCY=USD", "XLFILL=b")</f>
        <v>-2.4144127539971474</v>
      </c>
      <c r="K71" s="9">
        <f>_xll.BQL("JBLU US Equity", "FA_GROWTH(AVERAGE_PASSENGER_FARE, YOY)", "FPT=A", "FPO=-1A", "ACT_EST_MAPPING=PRECISE", "FS=MRC", "CURRENCY=USD", "XLFILL=b")</f>
        <v>16.438650142175018</v>
      </c>
      <c r="L71" s="9">
        <f>_xll.BQL("JBLU US Equity", "FA_GROWTH(AVERAGE_PASSENGER_FARE, YOY)", "FPT=A", "FPO=-2A", "ACT_EST_MAPPING=PRECISE", "FS=MRC", "CURRENCY=USD", "XLFILL=b")</f>
        <v>-2.6277295998328292</v>
      </c>
      <c r="M71" s="9">
        <f>_xll.BQL("JBLU US Equity", "FA_GROWTH(AVERAGE_PASSENGER_FARE, YOY)", "FPT=A", "FPO=-3A", "ACT_EST_MAPPING=PRECISE", "FS=MRC", "CURRENCY=USD", "XLFILL=b")</f>
        <v>5.0430774296219054</v>
      </c>
      <c r="N71" s="9">
        <f>_xll.BQL("JBLU US Equity", "FA_GROWTH(AVERAGE_PASSENGER_FARE, YOY)", "FPT=A", "FPO=-4A", "ACT_EST_MAPPING=PRECISE", "FS=MRC", "CURRENCY=USD", "XLFILL=b")</f>
        <v>4.0660156473073927</v>
      </c>
    </row>
    <row r="72" spans="1:14" x14ac:dyDescent="0.2">
      <c r="A72" s="8" t="s">
        <v>39</v>
      </c>
      <c r="B72" s="4" t="s">
        <v>40</v>
      </c>
      <c r="C72" s="4"/>
      <c r="D72" s="4"/>
      <c r="E72" s="9" t="str">
        <f>_xll.BQL("JBLU US Equity", "REV_PASS_CARRIED/1K", "FPT=A", "FPO=5A", "ACT_EST_MAPPING=PRECISE", "FS=MRC", "CURRENCY=USD", "XLFILL=b")</f>
        <v/>
      </c>
      <c r="F72" s="9" t="str">
        <f>_xll.BQL("JBLU US Equity", "REV_PASS_CARRIED/1K", "FPT=A", "FPO=4A", "ACT_EST_MAPPING=PRECISE", "FS=MRC", "CURRENCY=USD", "XLFILL=b")</f>
        <v/>
      </c>
      <c r="G72" s="9">
        <f>_xll.BQL("JBLU US Equity", "REV_PASS_CARRIED/1K", "FPT=A", "FPO=3A", "ACT_EST_MAPPING=PRECISE", "FS=MRC", "CURRENCY=USD", "XLFILL=b")</f>
        <v>45581.218944443164</v>
      </c>
      <c r="H72" s="9">
        <f>_xll.BQL("JBLU US Equity", "REV_PASS_CARRIED/1K", "FPT=A", "FPO=2A", "ACT_EST_MAPPING=PRECISE", "FS=MRC", "CURRENCY=USD", "XLFILL=b")</f>
        <v>42920.991905743824</v>
      </c>
      <c r="I72" s="9">
        <f>_xll.BQL("JBLU US Equity", "REV_PASS_CARRIED/1K", "FPT=A", "FPO=1A", "ACT_EST_MAPPING=PRECISE", "FS=MRC", "CURRENCY=USD", "XLFILL=b")</f>
        <v>41304.653681295356</v>
      </c>
      <c r="J72" s="9">
        <f>_xll.BQL("JBLU US Equity", "REV_PASS_CARRIED/1K", "FPT=A", "FPO=0A", "ACT_EST_MAPPING=PRECISE", "FS=MRC", "CURRENCY=USD", "XLFILL=b")</f>
        <v>42534</v>
      </c>
      <c r="K72" s="9">
        <f>_xll.BQL("JBLU US Equity", "REV_PASS_CARRIED/1K", "FPT=A", "FPO=-1A", "ACT_EST_MAPPING=PRECISE", "FS=MRC", "CURRENCY=USD", "XLFILL=b")</f>
        <v>39562</v>
      </c>
      <c r="L72" s="9">
        <f>_xll.BQL("JBLU US Equity", "REV_PASS_CARRIED/1K", "FPT=A", "FPO=-2A", "ACT_EST_MAPPING=PRECISE", "FS=MRC", "CURRENCY=USD", "XLFILL=b")</f>
        <v>30094</v>
      </c>
      <c r="M72" s="9">
        <f>_xll.BQL("JBLU US Equity", "REV_PASS_CARRIED/1K", "FPT=A", "FPO=-3A", "ACT_EST_MAPPING=PRECISE", "FS=MRC", "CURRENCY=USD", "XLFILL=b")</f>
        <v>14274</v>
      </c>
      <c r="N72" s="9">
        <f>_xll.BQL("JBLU US Equity", "REV_PASS_CARRIED/1K", "FPT=A", "FPO=-4A", "ACT_EST_MAPPING=PRECISE", "FS=MRC", "CURRENCY=USD", "XLFILL=b")</f>
        <v>42728</v>
      </c>
    </row>
    <row r="73" spans="1:14" x14ac:dyDescent="0.2">
      <c r="A73" s="8" t="s">
        <v>12</v>
      </c>
      <c r="B73" s="4" t="s">
        <v>40</v>
      </c>
      <c r="C73" s="4"/>
      <c r="D73" s="4"/>
      <c r="E73" s="9" t="str">
        <f>_xll.BQL("JBLU US Equity", "FA_GROWTH(REV_PASS_CARRIED, YOY)", "FPT=A", "FPO=5A", "ACT_EST_MAPPING=PRECISE", "FS=MRC", "CURRENCY=USD", "XLFILL=b")</f>
        <v/>
      </c>
      <c r="F73" s="9" t="str">
        <f>_xll.BQL("JBLU US Equity", "FA_GROWTH(REV_PASS_CARRIED, YOY)", "FPT=A", "FPO=4A", "ACT_EST_MAPPING=PRECISE", "FS=MRC", "CURRENCY=USD", "XLFILL=b")</f>
        <v/>
      </c>
      <c r="G73" s="9">
        <f>_xll.BQL("JBLU US Equity", "FA_GROWTH(REV_PASS_CARRIED, YOY)", "FPT=A", "FPO=3A", "ACT_EST_MAPPING=PRECISE", "FS=MRC", "CURRENCY=USD", "XLFILL=b")</f>
        <v>6.1979626298975257</v>
      </c>
      <c r="H73" s="9">
        <f>_xll.BQL("JBLU US Equity", "FA_GROWTH(REV_PASS_CARRIED, YOY)", "FPT=A", "FPO=2A", "ACT_EST_MAPPING=PRECISE", "FS=MRC", "CURRENCY=USD", "XLFILL=b")</f>
        <v>3.913210934826012</v>
      </c>
      <c r="I73" s="9">
        <f>_xll.BQL("JBLU US Equity", "FA_GROWTH(REV_PASS_CARRIED, YOY)", "FPT=A", "FPO=1A", "ACT_EST_MAPPING=PRECISE", "FS=MRC", "CURRENCY=USD", "XLFILL=b")</f>
        <v>-2.8902673595350596</v>
      </c>
      <c r="J73" s="9">
        <f>_xll.BQL("JBLU US Equity", "FA_GROWTH(REV_PASS_CARRIED, YOY)", "FPT=A", "FPO=0A", "ACT_EST_MAPPING=PRECISE", "FS=MRC", "CURRENCY=USD", "XLFILL=b")</f>
        <v>7.512259238663364</v>
      </c>
      <c r="K73" s="9">
        <f>_xll.BQL("JBLU US Equity", "FA_GROWTH(REV_PASS_CARRIED, YOY)", "FPT=A", "FPO=-1A", "ACT_EST_MAPPING=PRECISE", "FS=MRC", "CURRENCY=USD", "XLFILL=b")</f>
        <v>31.461420881238784</v>
      </c>
      <c r="L73" s="9">
        <f>_xll.BQL("JBLU US Equity", "FA_GROWTH(REV_PASS_CARRIED, YOY)", "FPT=A", "FPO=-2A", "ACT_EST_MAPPING=PRECISE", "FS=MRC", "CURRENCY=USD", "XLFILL=b")</f>
        <v>110.8308813226846</v>
      </c>
      <c r="M73" s="9">
        <f>_xll.BQL("JBLU US Equity", "FA_GROWTH(REV_PASS_CARRIED, YOY)", "FPT=A", "FPO=-3A", "ACT_EST_MAPPING=PRECISE", "FS=MRC", "CURRENCY=USD", "XLFILL=b")</f>
        <v>-66.59333458153904</v>
      </c>
      <c r="N73" s="9">
        <f>_xll.BQL("JBLU US Equity", "FA_GROWTH(REV_PASS_CARRIED, YOY)", "FPT=A", "FPO=-4A", "ACT_EST_MAPPING=PRECISE", "FS=MRC", "CURRENCY=USD", "XLFILL=b")</f>
        <v>1.3712930011862396</v>
      </c>
    </row>
    <row r="74" spans="1:14" x14ac:dyDescent="0.2">
      <c r="A74" s="8" t="s">
        <v>16</v>
      </c>
      <c r="B74" s="4"/>
      <c r="C74" s="4"/>
      <c r="D74" s="4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2">
      <c r="A75" s="8" t="s">
        <v>75</v>
      </c>
      <c r="B75" s="4" t="s">
        <v>76</v>
      </c>
      <c r="C75" s="4"/>
      <c r="D75" s="4"/>
      <c r="E75" s="9">
        <f>_xll.BQL("JBLU US Equity", "FUEL_COST_PER_AVAIL_SEAT_MILE", "FPT=A", "FPO=5A", "ACT_EST_MAPPING=PRECISE", "FS=MRC", "CURRENCY=USD", "XLFILL=b")</f>
        <v>3.4558031244972578</v>
      </c>
      <c r="F75" s="9">
        <f>_xll.BQL("JBLU US Equity", "FUEL_COST_PER_AVAIL_SEAT_MILE", "FPT=A", "FPO=4A", "ACT_EST_MAPPING=PRECISE", "FS=MRC", "CURRENCY=USD", "XLFILL=b")</f>
        <v>3.4903611557422298</v>
      </c>
      <c r="G75" s="9">
        <f>_xll.BQL("JBLU US Equity", "FUEL_COST_PER_AVAIL_SEAT_MILE", "FPT=A", "FPO=3A", "ACT_EST_MAPPING=PRECISE", "FS=MRC", "CURRENCY=USD", "XLFILL=b")</f>
        <v>3.4937737479440774</v>
      </c>
      <c r="H75" s="9">
        <f>_xll.BQL("JBLU US Equity", "FUEL_COST_PER_AVAIL_SEAT_MILE", "FPT=A", "FPO=2A", "ACT_EST_MAPPING=PRECISE", "FS=MRC", "CURRENCY=USD", "XLFILL=b")</f>
        <v>3.4874007031333489</v>
      </c>
      <c r="I75" s="9">
        <f>_xll.BQL("JBLU US Equity", "FUEL_COST_PER_AVAIL_SEAT_MILE", "FPT=A", "FPO=1A", "ACT_EST_MAPPING=PRECISE", "FS=MRC", "CURRENCY=USD", "XLFILL=b")</f>
        <v>3.6389129523191315</v>
      </c>
      <c r="J75" s="9">
        <f>_xll.BQL("JBLU US Equity", "FUEL_COST_PER_AVAIL_SEAT_MILE", "FPT=A", "FPO=0A", "ACT_EST_MAPPING=PRECISE", "FS=MRC", "CURRENCY=USD", "XLFILL=b")</f>
        <v>3.9709768311020923</v>
      </c>
      <c r="K75" s="9">
        <f>_xll.BQL("JBLU US Equity", "FUEL_COST_PER_AVAIL_SEAT_MILE", "FPT=A", "FPO=-1A", "ACT_EST_MAPPING=PRECISE", "FS=MRC", "CURRENCY=USD", "XLFILL=b")</f>
        <v>4.8158200853043818</v>
      </c>
      <c r="L75" s="9">
        <f>_xll.BQL("JBLU US Equity", "FUEL_COST_PER_AVAIL_SEAT_MILE", "FPT=A", "FPO=-2A", "ACT_EST_MAPPING=PRECISE", "FS=MRC", "CURRENCY=USD", "XLFILL=b")</f>
        <v>2.6537061334614602</v>
      </c>
      <c r="M75" s="9">
        <f>_xll.BQL("JBLU US Equity", "FUEL_COST_PER_AVAIL_SEAT_MILE", "FPT=A", "FPO=-3A", "ACT_EST_MAPPING=PRECISE", "FS=MRC", "CURRENCY=USD", "XLFILL=b")</f>
        <v>1.9303129493101656</v>
      </c>
      <c r="N75" s="9">
        <f>_xll.BQL("JBLU US Equity", "FUEL_COST_PER_AVAIL_SEAT_MILE", "FPT=A", "FPO=-4A", "ACT_EST_MAPPING=PRECISE", "FS=MRC", "CURRENCY=USD", "XLFILL=b")</f>
        <v>2.893125107689416</v>
      </c>
    </row>
    <row r="76" spans="1:14" x14ac:dyDescent="0.2">
      <c r="A76" s="8" t="s">
        <v>12</v>
      </c>
      <c r="B76" s="4" t="s">
        <v>76</v>
      </c>
      <c r="C76" s="4"/>
      <c r="D76" s="4"/>
      <c r="E76" s="9">
        <f>_xll.BQL("JBLU US Equity", "FA_GROWTH(FUEL_COST_PER_AVAIL_SEAT_MILE, YOY)", "FPT=A", "FPO=5A", "ACT_EST_MAPPING=PRECISE", "FS=MRC", "CURRENCY=USD", "XLFILL=b")</f>
        <v>-0.99009900990097466</v>
      </c>
      <c r="F76" s="9">
        <f>_xll.BQL("JBLU US Equity", "FA_GROWTH(FUEL_COST_PER_AVAIL_SEAT_MILE, YOY)", "FPT=A", "FPO=4A", "ACT_EST_MAPPING=PRECISE", "FS=MRC", "CURRENCY=USD", "XLFILL=b")</f>
        <v>-9.7676393723425334E-2</v>
      </c>
      <c r="G76" s="9">
        <f>_xll.BQL("JBLU US Equity", "FA_GROWTH(FUEL_COST_PER_AVAIL_SEAT_MILE, YOY)", "FPT=A", "FPO=3A", "ACT_EST_MAPPING=PRECISE", "FS=MRC", "CURRENCY=USD", "XLFILL=b")</f>
        <v>0.18274483930115601</v>
      </c>
      <c r="H76" s="9">
        <f>_xll.BQL("JBLU US Equity", "FA_GROWTH(FUEL_COST_PER_AVAIL_SEAT_MILE, YOY)", "FPT=A", "FPO=2A", "ACT_EST_MAPPING=PRECISE", "FS=MRC", "CURRENCY=USD", "XLFILL=b")</f>
        <v>-4.1636678637564444</v>
      </c>
      <c r="I76" s="9">
        <f>_xll.BQL("JBLU US Equity", "FA_GROWTH(FUEL_COST_PER_AVAIL_SEAT_MILE, YOY)", "FPT=A", "FPO=1A", "ACT_EST_MAPPING=PRECISE", "FS=MRC", "CURRENCY=USD", "XLFILL=b")</f>
        <v>-8.3622718768369371</v>
      </c>
      <c r="J76" s="9">
        <f>_xll.BQL("JBLU US Equity", "FA_GROWTH(FUEL_COST_PER_AVAIL_SEAT_MILE, YOY)", "FPT=A", "FPO=0A", "ACT_EST_MAPPING=PRECISE", "FS=MRC", "CURRENCY=USD", "XLFILL=b")</f>
        <v>-17.543081743862352</v>
      </c>
      <c r="K76" s="9">
        <f>_xll.BQL("JBLU US Equity", "FA_GROWTH(FUEL_COST_PER_AVAIL_SEAT_MILE, YOY)", "FPT=A", "FPO=-1A", "ACT_EST_MAPPING=PRECISE", "FS=MRC", "CURRENCY=USD", "XLFILL=b")</f>
        <v>81.475259245178279</v>
      </c>
      <c r="L76" s="9">
        <f>_xll.BQL("JBLU US Equity", "FA_GROWTH(FUEL_COST_PER_AVAIL_SEAT_MILE, YOY)", "FPT=A", "FPO=-2A", "ACT_EST_MAPPING=PRECISE", "FS=MRC", "CURRENCY=USD", "XLFILL=b")</f>
        <v>37.475435494012146</v>
      </c>
      <c r="M76" s="9">
        <f>_xll.BQL("JBLU US Equity", "FA_GROWTH(FUEL_COST_PER_AVAIL_SEAT_MILE, YOY)", "FPT=A", "FPO=-3A", "ACT_EST_MAPPING=PRECISE", "FS=MRC", "CURRENCY=USD", "XLFILL=b")</f>
        <v>-33.279312941575377</v>
      </c>
      <c r="N76" s="9">
        <f>_xll.BQL("JBLU US Equity", "FA_GROWTH(FUEL_COST_PER_AVAIL_SEAT_MILE, YOY)", "FPT=A", "FPO=-4A", "ACT_EST_MAPPING=PRECISE", "FS=MRC", "CURRENCY=USD", "XLFILL=b")</f>
        <v>-8.7713404036071996</v>
      </c>
    </row>
    <row r="77" spans="1:14" x14ac:dyDescent="0.2">
      <c r="A77" s="8" t="s">
        <v>77</v>
      </c>
      <c r="B77" s="4" t="s">
        <v>78</v>
      </c>
      <c r="C77" s="4"/>
      <c r="D77" s="4"/>
      <c r="E77" s="9" t="str">
        <f>_xll.BQL("JBLU US Equity", "AVG_NUM_EMPLOYEES", "FPT=A", "FPO=5A", "ACT_EST_MAPPING=PRECISE", "FS=MRC", "CURRENCY=USD", "XLFILL=b")</f>
        <v/>
      </c>
      <c r="F77" s="9" t="str">
        <f>_xll.BQL("JBLU US Equity", "AVG_NUM_EMPLOYEES", "FPT=A", "FPO=4A", "ACT_EST_MAPPING=PRECISE", "FS=MRC", "CURRENCY=USD", "XLFILL=b")</f>
        <v/>
      </c>
      <c r="G77" s="9">
        <f>_xll.BQL("JBLU US Equity", "AVG_NUM_EMPLOYEES", "FPT=A", "FPO=3A", "ACT_EST_MAPPING=PRECISE", "FS=MRC", "CURRENCY=USD", "XLFILL=b")</f>
        <v>21029.473710999999</v>
      </c>
      <c r="H77" s="9">
        <f>_xll.BQL("JBLU US Equity", "AVG_NUM_EMPLOYEES", "FPT=A", "FPO=2A", "ACT_EST_MAPPING=PRECISE", "FS=MRC", "CURRENCY=USD", "XLFILL=b")</f>
        <v>20821.2611</v>
      </c>
      <c r="I77" s="9">
        <f>_xll.BQL("JBLU US Equity", "AVG_NUM_EMPLOYEES", "FPT=A", "FPO=1A", "ACT_EST_MAPPING=PRECISE", "FS=MRC", "CURRENCY=USD", "XLFILL=b")</f>
        <v>20615.11</v>
      </c>
      <c r="J77" s="9">
        <f>_xll.BQL("JBLU US Equity", "AVG_NUM_EMPLOYEES", "FPT=A", "FPO=0A", "ACT_EST_MAPPING=PRECISE", "FS=MRC", "CURRENCY=USD", "XLFILL=b")</f>
        <v>20632</v>
      </c>
      <c r="K77" s="9">
        <f>_xll.BQL("JBLU US Equity", "AVG_NUM_EMPLOYEES", "FPT=A", "FPO=-1A", "ACT_EST_MAPPING=PRECISE", "FS=MRC", "CURRENCY=USD", "XLFILL=b")</f>
        <v>20075</v>
      </c>
      <c r="L77" s="9">
        <f>_xll.BQL("JBLU US Equity", "AVG_NUM_EMPLOYEES", "FPT=A", "FPO=-2A", "ACT_EST_MAPPING=PRECISE", "FS=MRC", "CURRENCY=USD", "XLFILL=b")</f>
        <v>16693</v>
      </c>
      <c r="M77" s="9">
        <f>_xll.BQL("JBLU US Equity", "AVG_NUM_EMPLOYEES", "FPT=A", "FPO=-3A", "ACT_EST_MAPPING=PRECISE", "FS=MRC", "CURRENCY=USD", "XLFILL=b")</f>
        <v>15450</v>
      </c>
      <c r="N77" s="9">
        <f>_xll.BQL("JBLU US Equity", "AVG_NUM_EMPLOYEES", "FPT=A", "FPO=-4A", "ACT_EST_MAPPING=PRECISE", "FS=MRC", "CURRENCY=USD", "XLFILL=b")</f>
        <v>18535</v>
      </c>
    </row>
    <row r="78" spans="1:14" x14ac:dyDescent="0.2">
      <c r="A78" s="8" t="s">
        <v>12</v>
      </c>
      <c r="B78" s="4" t="s">
        <v>78</v>
      </c>
      <c r="C78" s="4"/>
      <c r="D78" s="4"/>
      <c r="E78" s="9" t="str">
        <f>_xll.BQL("JBLU US Equity", "FA_GROWTH(AVG_NUM_EMPLOYEES, YOY)", "FPT=A", "FPO=5A", "ACT_EST_MAPPING=PRECISE", "FS=MRC", "CURRENCY=USD", "XLFILL=b")</f>
        <v/>
      </c>
      <c r="F78" s="9" t="str">
        <f>_xll.BQL("JBLU US Equity", "FA_GROWTH(AVG_NUM_EMPLOYEES, YOY)", "FPT=A", "FPO=4A", "ACT_EST_MAPPING=PRECISE", "FS=MRC", "CURRENCY=USD", "XLFILL=b")</f>
        <v/>
      </c>
      <c r="G78" s="9">
        <f>_xll.BQL("JBLU US Equity", "FA_GROWTH(AVG_NUM_EMPLOYEES, YOY)", "FPT=A", "FPO=3A", "ACT_EST_MAPPING=PRECISE", "FS=MRC", "CURRENCY=USD", "XLFILL=b")</f>
        <v>0.99999999999999534</v>
      </c>
      <c r="H78" s="9">
        <f>_xll.BQL("JBLU US Equity", "FA_GROWTH(AVG_NUM_EMPLOYEES, YOY)", "FPT=A", "FPO=2A", "ACT_EST_MAPPING=PRECISE", "FS=MRC", "CURRENCY=USD", "XLFILL=b")</f>
        <v>0.99999999999999578</v>
      </c>
      <c r="I78" s="9">
        <f>_xll.BQL("JBLU US Equity", "FA_GROWTH(AVG_NUM_EMPLOYEES, YOY)", "FPT=A", "FPO=1A", "ACT_EST_MAPPING=PRECISE", "FS=MRC", "CURRENCY=USD", "XLFILL=b")</f>
        <v>-8.1863125242339171E-2</v>
      </c>
      <c r="J78" s="9">
        <f>_xll.BQL("JBLU US Equity", "FA_GROWTH(AVG_NUM_EMPLOYEES, YOY)", "FPT=A", "FPO=0A", "ACT_EST_MAPPING=PRECISE", "FS=MRC", "CURRENCY=USD", "XLFILL=b")</f>
        <v>2.7745952677459527</v>
      </c>
      <c r="K78" s="9">
        <f>_xll.BQL("JBLU US Equity", "FA_GROWTH(AVG_NUM_EMPLOYEES, YOY)", "FPT=A", "FPO=-1A", "ACT_EST_MAPPING=PRECISE", "FS=MRC", "CURRENCY=USD", "XLFILL=b")</f>
        <v>20.259989217037081</v>
      </c>
      <c r="L78" s="9">
        <f>_xll.BQL("JBLU US Equity", "FA_GROWTH(AVG_NUM_EMPLOYEES, YOY)", "FPT=A", "FPO=-2A", "ACT_EST_MAPPING=PRECISE", "FS=MRC", "CURRENCY=USD", "XLFILL=b")</f>
        <v>8.0453074433656955</v>
      </c>
      <c r="M78" s="9">
        <f>_xll.BQL("JBLU US Equity", "FA_GROWTH(AVG_NUM_EMPLOYEES, YOY)", "FPT=A", "FPO=-3A", "ACT_EST_MAPPING=PRECISE", "FS=MRC", "CURRENCY=USD", "XLFILL=b")</f>
        <v>-16.644186673860265</v>
      </c>
      <c r="N78" s="9">
        <f>_xll.BQL("JBLU US Equity", "FA_GROWTH(AVG_NUM_EMPLOYEES, YOY)", "FPT=A", "FPO=-4A", "ACT_EST_MAPPING=PRECISE", "FS=MRC", "CURRENCY=USD", "XLFILL=b")</f>
        <v>4.3284926263649668</v>
      </c>
    </row>
    <row r="79" spans="1:14" x14ac:dyDescent="0.2">
      <c r="A79" s="8" t="s">
        <v>16</v>
      </c>
      <c r="B79" s="4"/>
      <c r="C79" s="4"/>
      <c r="D79" s="4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x14ac:dyDescent="0.2">
      <c r="A80" s="8" t="s">
        <v>79</v>
      </c>
      <c r="B80" s="4"/>
      <c r="C80" s="4" t="s">
        <v>80</v>
      </c>
      <c r="D80" s="4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x14ac:dyDescent="0.2">
      <c r="A81" s="8" t="s">
        <v>81</v>
      </c>
      <c r="B81" s="4" t="s">
        <v>14</v>
      </c>
      <c r="C81" s="4" t="s">
        <v>82</v>
      </c>
      <c r="D81" s="4"/>
      <c r="E81" s="9">
        <f>_xll.BQL("JBLU US Equity", "IS_COMP_SALES/1M", "FPT=A", "FPO=5A", "ACT_EST_MAPPING=PRECISE", "FS=MRC", "CURRENCY=USD", "XLFILL=b")</f>
        <v>11174</v>
      </c>
      <c r="F81" s="9">
        <f>_xll.BQL("JBLU US Equity", "IS_COMP_SALES/1M", "FPT=A", "FPO=4A", "ACT_EST_MAPPING=PRECISE", "FS=MRC", "CURRENCY=USD", "XLFILL=b")</f>
        <v>10779</v>
      </c>
      <c r="G81" s="9">
        <f>_xll.BQL("JBLU US Equity", "IS_COMP_SALES/1M", "FPT=A", "FPO=3A", "ACT_EST_MAPPING=PRECISE", "FS=MRC", "CURRENCY=USD", "XLFILL=b")</f>
        <v>10414</v>
      </c>
      <c r="H81" s="9">
        <f>_xll.BQL("JBLU US Equity", "IS_COMP_SALES/1M", "FPT=A", "FPO=2A", "ACT_EST_MAPPING=PRECISE", "FS=MRC", "CURRENCY=USD", "XLFILL=b")</f>
        <v>9679.7142857142844</v>
      </c>
      <c r="I81" s="9">
        <f>_xll.BQL("JBLU US Equity", "IS_COMP_SALES/1M", "FPT=A", "FPO=1A", "ACT_EST_MAPPING=PRECISE", "FS=MRC", "CURRENCY=USD", "XLFILL=b")</f>
        <v>9258.1428571428569</v>
      </c>
      <c r="J81" s="9">
        <f>_xll.BQL("JBLU US Equity", "IS_COMP_SALES/1M", "FPT=A", "FPO=0A", "ACT_EST_MAPPING=PRECISE", "FS=MRC", "CURRENCY=USD", "XLFILL=b")</f>
        <v>9615</v>
      </c>
      <c r="K81" s="9">
        <f>_xll.BQL("JBLU US Equity", "IS_COMP_SALES/1M", "FPT=A", "FPO=-1A", "ACT_EST_MAPPING=PRECISE", "FS=MRC", "CURRENCY=USD", "XLFILL=b")</f>
        <v>9158</v>
      </c>
      <c r="L81" s="9">
        <f>_xll.BQL("JBLU US Equity", "IS_COMP_SALES/1M", "FPT=A", "FPO=-2A", "ACT_EST_MAPPING=PRECISE", "FS=MRC", "CURRENCY=USD", "XLFILL=b")</f>
        <v>6037</v>
      </c>
      <c r="M81" s="9">
        <f>_xll.BQL("JBLU US Equity", "IS_COMP_SALES/1M", "FPT=A", "FPO=-3A", "ACT_EST_MAPPING=PRECISE", "FS=MRC", "CURRENCY=USD", "XLFILL=b")</f>
        <v>2957</v>
      </c>
      <c r="N81" s="9">
        <f>_xll.BQL("JBLU US Equity", "IS_COMP_SALES/1M", "FPT=A", "FPO=-4A", "ACT_EST_MAPPING=PRECISE", "FS=MRC", "CURRENCY=USD", "XLFILL=b")</f>
        <v>8094</v>
      </c>
    </row>
    <row r="82" spans="1:14" x14ac:dyDescent="0.2">
      <c r="A82" s="8" t="s">
        <v>12</v>
      </c>
      <c r="B82" s="4" t="s">
        <v>14</v>
      </c>
      <c r="C82" s="4" t="s">
        <v>82</v>
      </c>
      <c r="D82" s="4"/>
      <c r="E82" s="9">
        <f>_xll.BQL("JBLU US Equity", "FA_GROWTH(IS_COMP_SALES, YOY)", "FPT=A", "FPO=5A", "ACT_EST_MAPPING=PRECISE", "FS=MRC", "CURRENCY=USD", "XLFILL=b")</f>
        <v>3.6645328880230079</v>
      </c>
      <c r="F82" s="9">
        <f>_xll.BQL("JBLU US Equity", "FA_GROWTH(IS_COMP_SALES, YOY)", "FPT=A", "FPO=4A", "ACT_EST_MAPPING=PRECISE", "FS=MRC", "CURRENCY=USD", "XLFILL=b")</f>
        <v>3.5048972536969463</v>
      </c>
      <c r="G82" s="9">
        <f>_xll.BQL("JBLU US Equity", "FA_GROWTH(IS_COMP_SALES, YOY)", "FPT=A", "FPO=3A", "ACT_EST_MAPPING=PRECISE", "FS=MRC", "CURRENCY=USD", "XLFILL=b")</f>
        <v>7.5858201245609456</v>
      </c>
      <c r="H82" s="9">
        <f>_xll.BQL("JBLU US Equity", "FA_GROWTH(IS_COMP_SALES, YOY)", "FPT=A", "FPO=2A", "ACT_EST_MAPPING=PRECISE", "FS=MRC", "CURRENCY=USD", "XLFILL=b")</f>
        <v>4.5535204530374775</v>
      </c>
      <c r="I82" s="9">
        <f>_xll.BQL("JBLU US Equity", "FA_GROWTH(IS_COMP_SALES, YOY)", "FPT=A", "FPO=1A", "ACT_EST_MAPPING=PRECISE", "FS=MRC", "CURRENCY=USD", "XLFILL=b")</f>
        <v>-3.7114627442240602</v>
      </c>
      <c r="J82" s="9">
        <f>_xll.BQL("JBLU US Equity", "FA_GROWTH(IS_COMP_SALES, YOY)", "FPT=A", "FPO=0A", "ACT_EST_MAPPING=PRECISE", "FS=MRC", "CURRENCY=USD", "XLFILL=b")</f>
        <v>4.9901725267525663</v>
      </c>
      <c r="K82" s="9">
        <f>_xll.BQL("JBLU US Equity", "FA_GROWTH(IS_COMP_SALES, YOY)", "FPT=A", "FPO=-1A", "ACT_EST_MAPPING=PRECISE", "FS=MRC", "CURRENCY=USD", "XLFILL=b")</f>
        <v>51.697863177074709</v>
      </c>
      <c r="L82" s="9">
        <f>_xll.BQL("JBLU US Equity", "FA_GROWTH(IS_COMP_SALES, YOY)", "FPT=A", "FPO=-2A", "ACT_EST_MAPPING=PRECISE", "FS=MRC", "CURRENCY=USD", "XLFILL=b")</f>
        <v>104.15962123774095</v>
      </c>
      <c r="M82" s="9">
        <f>_xll.BQL("JBLU US Equity", "FA_GROWTH(IS_COMP_SALES, YOY)", "FPT=A", "FPO=-3A", "ACT_EST_MAPPING=PRECISE", "FS=MRC", "CURRENCY=USD", "XLFILL=b")</f>
        <v>-63.46676550531258</v>
      </c>
      <c r="N82" s="9">
        <f>_xll.BQL("JBLU US Equity", "FA_GROWTH(IS_COMP_SALES, YOY)", "FPT=A", "FPO=-4A", "ACT_EST_MAPPING=PRECISE", "FS=MRC", "CURRENCY=USD", "XLFILL=b")</f>
        <v>5.6933925306868636</v>
      </c>
    </row>
    <row r="83" spans="1:14" x14ac:dyDescent="0.2">
      <c r="A83" s="8" t="s">
        <v>83</v>
      </c>
      <c r="B83" s="4" t="s">
        <v>26</v>
      </c>
      <c r="C83" s="4" t="s">
        <v>27</v>
      </c>
      <c r="D83" s="4"/>
      <c r="E83" s="9">
        <f>_xll.BQL("JBLU US Equity", "TOTAL_PASSENGER_REVENUE/1M", "FPT=A", "FPO=5A", "ACT_EST_MAPPING=PRECISE", "FS=MRC", "CURRENCY=USD", "XLFILL=b")</f>
        <v>10360.146213378672</v>
      </c>
      <c r="F83" s="9">
        <f>_xll.BQL("JBLU US Equity", "TOTAL_PASSENGER_REVENUE/1M", "FPT=A", "FPO=4A", "ACT_EST_MAPPING=PRECISE", "FS=MRC", "CURRENCY=USD", "XLFILL=b")</f>
        <v>10011.737740025776</v>
      </c>
      <c r="G83" s="9">
        <f>_xll.BQL("JBLU US Equity", "TOTAL_PASSENGER_REVENUE/1M", "FPT=A", "FPO=3A", "ACT_EST_MAPPING=PRECISE", "FS=MRC", "CURRENCY=USD", "XLFILL=b")</f>
        <v>9740.806331583557</v>
      </c>
      <c r="H83" s="9">
        <f>_xll.BQL("JBLU US Equity", "TOTAL_PASSENGER_REVENUE/1M", "FPT=A", "FPO=2A", "ACT_EST_MAPPING=PRECISE", "FS=MRC", "CURRENCY=USD", "XLFILL=b")</f>
        <v>9036.9879683950785</v>
      </c>
      <c r="I83" s="9">
        <f>_xll.BQL("JBLU US Equity", "TOTAL_PASSENGER_REVENUE/1M", "FPT=A", "FPO=1A", "ACT_EST_MAPPING=PRECISE", "FS=MRC", "CURRENCY=USD", "XLFILL=b")</f>
        <v>8598.8997915628152</v>
      </c>
      <c r="J83" s="9">
        <f>_xll.BQL("JBLU US Equity", "TOTAL_PASSENGER_REVENUE/1M", "FPT=A", "FPO=0A", "ACT_EST_MAPPING=PRECISE", "FS=MRC", "CURRENCY=USD", "XLFILL=b")</f>
        <v>9008</v>
      </c>
      <c r="K83" s="9">
        <f>_xll.BQL("JBLU US Equity", "TOTAL_PASSENGER_REVENUE/1M", "FPT=A", "FPO=-1A", "ACT_EST_MAPPING=PRECISE", "FS=MRC", "CURRENCY=USD", "XLFILL=b")</f>
        <v>8586</v>
      </c>
      <c r="L83" s="9">
        <f>_xll.BQL("JBLU US Equity", "TOTAL_PASSENGER_REVENUE/1M", "FPT=A", "FPO=-2A", "ACT_EST_MAPPING=PRECISE", "FS=MRC", "CURRENCY=USD", "XLFILL=b")</f>
        <v>5609</v>
      </c>
      <c r="M83" s="9">
        <f>_xll.BQL("JBLU US Equity", "TOTAL_PASSENGER_REVENUE/1M", "FPT=A", "FPO=-3A", "ACT_EST_MAPPING=PRECISE", "FS=MRC", "CURRENCY=USD", "XLFILL=b")</f>
        <v>2733</v>
      </c>
      <c r="N83" s="9">
        <f>_xll.BQL("JBLU US Equity", "TOTAL_PASSENGER_REVENUE/1M", "FPT=A", "FPO=-4A", "ACT_EST_MAPPING=PRECISE", "FS=MRC", "CURRENCY=USD", "XLFILL=b")</f>
        <v>7786</v>
      </c>
    </row>
    <row r="84" spans="1:14" x14ac:dyDescent="0.2">
      <c r="A84" s="8" t="s">
        <v>84</v>
      </c>
      <c r="B84" s="4" t="s">
        <v>26</v>
      </c>
      <c r="C84" s="4" t="s">
        <v>27</v>
      </c>
      <c r="D84" s="4"/>
      <c r="E84" s="9">
        <f>_xll.BQL("JBLU US Equity", "FA_GROWTH(TOTAL_PASSENGER_REVENUE, YOY)", "FPT=A", "FPO=5A", "ACT_EST_MAPPING=PRECISE", "FS=MRC", "CURRENCY=USD", "XLFILL=b")</f>
        <v>3.4799999999999875</v>
      </c>
      <c r="F84" s="9">
        <f>_xll.BQL("JBLU US Equity", "FA_GROWTH(TOTAL_PASSENGER_REVENUE, YOY)", "FPT=A", "FPO=4A", "ACT_EST_MAPPING=PRECISE", "FS=MRC", "CURRENCY=USD", "XLFILL=b")</f>
        <v>2.781406376633849</v>
      </c>
      <c r="G84" s="9">
        <f>_xll.BQL("JBLU US Equity", "FA_GROWTH(TOTAL_PASSENGER_REVENUE, YOY)", "FPT=A", "FPO=3A", "ACT_EST_MAPPING=PRECISE", "FS=MRC", "CURRENCY=USD", "XLFILL=b")</f>
        <v>7.788196306666908</v>
      </c>
      <c r="H84" s="9">
        <f>_xll.BQL("JBLU US Equity", "FA_GROWTH(TOTAL_PASSENGER_REVENUE, YOY)", "FPT=A", "FPO=2A", "ACT_EST_MAPPING=PRECISE", "FS=MRC", "CURRENCY=USD", "XLFILL=b")</f>
        <v>5.0947003390144543</v>
      </c>
      <c r="I84" s="9">
        <f>_xll.BQL("JBLU US Equity", "FA_GROWTH(TOTAL_PASSENGER_REVENUE, YOY)", "FPT=A", "FPO=1A", "ACT_EST_MAPPING=PRECISE", "FS=MRC", "CURRENCY=USD", "XLFILL=b")</f>
        <v>-4.5415209640007248</v>
      </c>
      <c r="J84" s="9">
        <f>_xll.BQL("JBLU US Equity", "FA_GROWTH(TOTAL_PASSENGER_REVENUE, YOY)", "FPT=A", "FPO=0A", "ACT_EST_MAPPING=PRECISE", "FS=MRC", "CURRENCY=USD", "XLFILL=b")</f>
        <v>4.9149778709527139</v>
      </c>
      <c r="K84" s="9">
        <f>_xll.BQL("JBLU US Equity", "FA_GROWTH(TOTAL_PASSENGER_REVENUE, YOY)", "FPT=A", "FPO=-1A", "ACT_EST_MAPPING=PRECISE", "FS=MRC", "CURRENCY=USD", "XLFILL=b")</f>
        <v>53.0754145123908</v>
      </c>
      <c r="L84" s="9">
        <f>_xll.BQL("JBLU US Equity", "FA_GROWTH(TOTAL_PASSENGER_REVENUE, YOY)", "FPT=A", "FPO=-2A", "ACT_EST_MAPPING=PRECISE", "FS=MRC", "CURRENCY=USD", "XLFILL=b")</f>
        <v>105.23234540797658</v>
      </c>
      <c r="M84" s="9">
        <f>_xll.BQL("JBLU US Equity", "FA_GROWTH(TOTAL_PASSENGER_REVENUE, YOY)", "FPT=A", "FPO=-3A", "ACT_EST_MAPPING=PRECISE", "FS=MRC", "CURRENCY=USD", "XLFILL=b")</f>
        <v>-64.898535833547399</v>
      </c>
      <c r="N84" s="9">
        <f>_xll.BQL("JBLU US Equity", "FA_GROWTH(TOTAL_PASSENGER_REVENUE, YOY)", "FPT=A", "FPO=-4A", "ACT_EST_MAPPING=PRECISE", "FS=MRC", "CURRENCY=USD", "XLFILL=b")</f>
        <v>5.4870613737975882</v>
      </c>
    </row>
    <row r="85" spans="1:14" x14ac:dyDescent="0.2">
      <c r="A85" s="8" t="s">
        <v>85</v>
      </c>
      <c r="B85" s="4" t="s">
        <v>86</v>
      </c>
      <c r="C85" s="4" t="s">
        <v>87</v>
      </c>
      <c r="D85" s="4"/>
      <c r="E85" s="9">
        <f>_xll.BQL("JBLU US Equity", "IS_OTHER_REV/1M", "FPT=A", "FPO=5A", "ACT_EST_MAPPING=PRECISE", "FS=MRC", "CURRENCY=USD", "XLFILL=b")</f>
        <v>813.58565580921675</v>
      </c>
      <c r="F85" s="9">
        <f>_xll.BQL("JBLU US Equity", "IS_OTHER_REV/1M", "FPT=A", "FPO=4A", "ACT_EST_MAPPING=PRECISE", "FS=MRC", "CURRENCY=USD", "XLFILL=b")</f>
        <v>766.95480374172007</v>
      </c>
      <c r="G85" s="9">
        <f>_xll.BQL("JBLU US Equity", "IS_OTHER_REV/1M", "FPT=A", "FPO=3A", "ACT_EST_MAPPING=PRECISE", "FS=MRC", "CURRENCY=USD", "XLFILL=b")</f>
        <v>716.56469140573336</v>
      </c>
      <c r="H85" s="9">
        <f>_xll.BQL("JBLU US Equity", "IS_OTHER_REV/1M", "FPT=A", "FPO=2A", "ACT_EST_MAPPING=PRECISE", "FS=MRC", "CURRENCY=USD", "XLFILL=b")</f>
        <v>683.63005234684965</v>
      </c>
      <c r="I85" s="9">
        <f>_xll.BQL("JBLU US Equity", "IS_OTHER_REV/1M", "FPT=A", "FPO=1A", "ACT_EST_MAPPING=PRECISE", "FS=MRC", "CURRENCY=USD", "XLFILL=b")</f>
        <v>646.08624384938332</v>
      </c>
      <c r="J85" s="9">
        <f>_xll.BQL("JBLU US Equity", "IS_OTHER_REV/1M", "FPT=A", "FPO=0A", "ACT_EST_MAPPING=PRECISE", "FS=MRC", "CURRENCY=USD", "XLFILL=b")</f>
        <v>607</v>
      </c>
      <c r="K85" s="9">
        <f>_xll.BQL("JBLU US Equity", "IS_OTHER_REV/1M", "FPT=A", "FPO=-1A", "ACT_EST_MAPPING=PRECISE", "FS=MRC", "CURRENCY=USD", "XLFILL=b")</f>
        <v>572</v>
      </c>
      <c r="L85" s="9">
        <f>_xll.BQL("JBLU US Equity", "IS_OTHER_REV/1M", "FPT=A", "FPO=-2A", "ACT_EST_MAPPING=PRECISE", "FS=MRC", "CURRENCY=USD", "XLFILL=b")</f>
        <v>428</v>
      </c>
      <c r="M85" s="9">
        <f>_xll.BQL("JBLU US Equity", "IS_OTHER_REV/1M", "FPT=A", "FPO=-3A", "ACT_EST_MAPPING=PRECISE", "FS=MRC", "CURRENCY=USD", "XLFILL=b")</f>
        <v>224</v>
      </c>
      <c r="N85" s="9">
        <f>_xll.BQL("JBLU US Equity", "IS_OTHER_REV/1M", "FPT=A", "FPO=-4A", "ACT_EST_MAPPING=PRECISE", "FS=MRC", "CURRENCY=USD", "XLFILL=b")</f>
        <v>308</v>
      </c>
    </row>
    <row r="86" spans="1:14" x14ac:dyDescent="0.2">
      <c r="A86" s="8" t="s">
        <v>84</v>
      </c>
      <c r="B86" s="4" t="s">
        <v>86</v>
      </c>
      <c r="C86" s="4" t="s">
        <v>87</v>
      </c>
      <c r="D86" s="4"/>
      <c r="E86" s="9">
        <f>_xll.BQL("JBLU US Equity", "FA_GROWTH(IS_OTHER_REV, YOY)", "FPT=A", "FPO=5A", "ACT_EST_MAPPING=PRECISE", "FS=MRC", "CURRENCY=USD", "XLFILL=b")</f>
        <v>6.0800000000000107</v>
      </c>
      <c r="F86" s="9">
        <f>_xll.BQL("JBLU US Equity", "FA_GROWTH(IS_OTHER_REV, YOY)", "FPT=A", "FPO=4A", "ACT_EST_MAPPING=PRECISE", "FS=MRC", "CURRENCY=USD", "XLFILL=b")</f>
        <v>7.0321790817145962</v>
      </c>
      <c r="G86" s="9">
        <f>_xll.BQL("JBLU US Equity", "FA_GROWTH(IS_OTHER_REV, YOY)", "FPT=A", "FPO=3A", "ACT_EST_MAPPING=PRECISE", "FS=MRC", "CURRENCY=USD", "XLFILL=b")</f>
        <v>4.8176113595096606</v>
      </c>
      <c r="H86" s="9">
        <f>_xll.BQL("JBLU US Equity", "FA_GROWTH(IS_OTHER_REV, YOY)", "FPT=A", "FPO=2A", "ACT_EST_MAPPING=PRECISE", "FS=MRC", "CURRENCY=USD", "XLFILL=b")</f>
        <v>5.8109592728333332</v>
      </c>
      <c r="I86" s="9">
        <f>_xll.BQL("JBLU US Equity", "FA_GROWTH(IS_OTHER_REV, YOY)", "FPT=A", "FPO=1A", "ACT_EST_MAPPING=PRECISE", "FS=MRC", "CURRENCY=USD", "XLFILL=b")</f>
        <v>6.4392493985804533</v>
      </c>
      <c r="J86" s="9">
        <f>_xll.BQL("JBLU US Equity", "FA_GROWTH(IS_OTHER_REV, YOY)", "FPT=A", "FPO=0A", "ACT_EST_MAPPING=PRECISE", "FS=MRC", "CURRENCY=USD", "XLFILL=b")</f>
        <v>6.1188811188811192</v>
      </c>
      <c r="K86" s="9">
        <f>_xll.BQL("JBLU US Equity", "FA_GROWTH(IS_OTHER_REV, YOY)", "FPT=A", "FPO=-1A", "ACT_EST_MAPPING=PRECISE", "FS=MRC", "CURRENCY=USD", "XLFILL=b")</f>
        <v>33.644859813084111</v>
      </c>
      <c r="L86" s="9">
        <f>_xll.BQL("JBLU US Equity", "FA_GROWTH(IS_OTHER_REV, YOY)", "FPT=A", "FPO=-2A", "ACT_EST_MAPPING=PRECISE", "FS=MRC", "CURRENCY=USD", "XLFILL=b")</f>
        <v>91.071428571428569</v>
      </c>
      <c r="M86" s="9">
        <f>_xll.BQL("JBLU US Equity", "FA_GROWTH(IS_OTHER_REV, YOY)", "FPT=A", "FPO=-3A", "ACT_EST_MAPPING=PRECISE", "FS=MRC", "CURRENCY=USD", "XLFILL=b")</f>
        <v>-27.272727272727273</v>
      </c>
      <c r="N86" s="9">
        <f>_xll.BQL("JBLU US Equity", "FA_GROWTH(IS_OTHER_REV, YOY)", "FPT=A", "FPO=-4A", "ACT_EST_MAPPING=PRECISE", "FS=MRC", "CURRENCY=USD", "XLFILL=b")</f>
        <v>11.191335740072201</v>
      </c>
    </row>
    <row r="87" spans="1:14" x14ac:dyDescent="0.2">
      <c r="A87" s="8" t="s">
        <v>16</v>
      </c>
      <c r="B87" s="4"/>
      <c r="C87" s="4"/>
      <c r="D87" s="4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x14ac:dyDescent="0.2">
      <c r="A88" s="8" t="s">
        <v>88</v>
      </c>
      <c r="B88" s="4" t="s">
        <v>89</v>
      </c>
      <c r="C88" s="4" t="s">
        <v>90</v>
      </c>
      <c r="D88" s="4"/>
      <c r="E88" s="9" t="str">
        <f>_xll.BQL("JBLU US Equity", "IS_OPERATING_EXPN/1M", "FPT=A", "FPO=5A", "ACT_EST_MAPPING=PRECISE", "FS=MRC", "CURRENCY=USD", "XLFILL=b")</f>
        <v/>
      </c>
      <c r="F88" s="9" t="str">
        <f>_xll.BQL("JBLU US Equity", "IS_OPERATING_EXPN/1M", "FPT=A", "FPO=4A", "ACT_EST_MAPPING=PRECISE", "FS=MRC", "CURRENCY=USD", "XLFILL=b")</f>
        <v/>
      </c>
      <c r="G88" s="9">
        <f>_xll.BQL("JBLU US Equity", "IS_OPERATING_EXPN/1M", "FPT=A", "FPO=3A", "ACT_EST_MAPPING=PRECISE", "FS=MRC", "CURRENCY=USD", "XLFILL=b")</f>
        <v>9997.9177388826665</v>
      </c>
      <c r="H88" s="9">
        <f>_xll.BQL("JBLU US Equity", "IS_OPERATING_EXPN/1M", "FPT=A", "FPO=2A", "ACT_EST_MAPPING=PRECISE", "FS=MRC", "CURRENCY=USD", "XLFILL=b")</f>
        <v>9611.2562594361389</v>
      </c>
      <c r="I88" s="9">
        <f>_xll.BQL("JBLU US Equity", "IS_OPERATING_EXPN/1M", "FPT=A", "FPO=1A", "ACT_EST_MAPPING=PRECISE", "FS=MRC", "CURRENCY=USD", "XLFILL=b")</f>
        <v>10043.672071191995</v>
      </c>
      <c r="J88" s="9">
        <f>_xll.BQL("JBLU US Equity", "IS_OPERATING_EXPN/1M", "FPT=A", "FPO=0A", "ACT_EST_MAPPING=PRECISE", "FS=MRC", "CURRENCY=USD", "XLFILL=b")</f>
        <v>9845</v>
      </c>
      <c r="K88" s="9">
        <f>_xll.BQL("JBLU US Equity", "IS_OPERATING_EXPN/1M", "FPT=A", "FPO=-1A", "ACT_EST_MAPPING=PRECISE", "FS=MRC", "CURRENCY=USD", "XLFILL=b")</f>
        <v>9456</v>
      </c>
      <c r="L88" s="9">
        <f>_xll.BQL("JBLU US Equity", "IS_OPERATING_EXPN/1M", "FPT=A", "FPO=-2A", "ACT_EST_MAPPING=PRECISE", "FS=MRC", "CURRENCY=USD", "XLFILL=b")</f>
        <v>6117</v>
      </c>
      <c r="M88" s="9">
        <f>_xll.BQL("JBLU US Equity", "IS_OPERATING_EXPN/1M", "FPT=A", "FPO=-3A", "ACT_EST_MAPPING=PRECISE", "FS=MRC", "CURRENCY=USD", "XLFILL=b")</f>
        <v>4671</v>
      </c>
      <c r="N88" s="9">
        <f>_xll.BQL("JBLU US Equity", "IS_OPERATING_EXPN/1M", "FPT=A", "FPO=-4A", "ACT_EST_MAPPING=PRECISE", "FS=MRC", "CURRENCY=USD", "XLFILL=b")</f>
        <v>7294</v>
      </c>
    </row>
    <row r="89" spans="1:14" x14ac:dyDescent="0.2">
      <c r="A89" s="8" t="s">
        <v>12</v>
      </c>
      <c r="B89" s="4" t="s">
        <v>89</v>
      </c>
      <c r="C89" s="4" t="s">
        <v>90</v>
      </c>
      <c r="D89" s="4"/>
      <c r="E89" s="9" t="str">
        <f>_xll.BQL("JBLU US Equity", "FA_GROWTH(IS_OPERATING_EXPN, YOY)", "FPT=A", "FPO=5A", "ACT_EST_MAPPING=PRECISE", "FS=MRC", "CURRENCY=USD", "XLFILL=b")</f>
        <v/>
      </c>
      <c r="F89" s="9" t="str">
        <f>_xll.BQL("JBLU US Equity", "FA_GROWTH(IS_OPERATING_EXPN, YOY)", "FPT=A", "FPO=4A", "ACT_EST_MAPPING=PRECISE", "FS=MRC", "CURRENCY=USD", "XLFILL=b")</f>
        <v/>
      </c>
      <c r="G89" s="9">
        <f>_xll.BQL("JBLU US Equity", "FA_GROWTH(IS_OPERATING_EXPN, YOY)", "FPT=A", "FPO=3A", "ACT_EST_MAPPING=PRECISE", "FS=MRC", "CURRENCY=USD", "XLFILL=b")</f>
        <v>4.023006660205434</v>
      </c>
      <c r="H89" s="9">
        <f>_xll.BQL("JBLU US Equity", "FA_GROWTH(IS_OPERATING_EXPN, YOY)", "FPT=A", "FPO=2A", "ACT_EST_MAPPING=PRECISE", "FS=MRC", "CURRENCY=USD", "XLFILL=b")</f>
        <v>-4.3053557373318121</v>
      </c>
      <c r="I89" s="9">
        <f>_xll.BQL("JBLU US Equity", "FA_GROWTH(IS_OPERATING_EXPN, YOY)", "FPT=A", "FPO=1A", "ACT_EST_MAPPING=PRECISE", "FS=MRC", "CURRENCY=USD", "XLFILL=b")</f>
        <v>2.0179997073844147</v>
      </c>
      <c r="J89" s="9">
        <f>_xll.BQL("JBLU US Equity", "FA_GROWTH(IS_OPERATING_EXPN, YOY)", "FPT=A", "FPO=0A", "ACT_EST_MAPPING=PRECISE", "FS=MRC", "CURRENCY=USD", "XLFILL=b")</f>
        <v>4.1137901861252111</v>
      </c>
      <c r="K89" s="9">
        <f>_xll.BQL("JBLU US Equity", "FA_GROWTH(IS_OPERATING_EXPN, YOY)", "FPT=A", "FPO=-1A", "ACT_EST_MAPPING=PRECISE", "FS=MRC", "CURRENCY=USD", "XLFILL=b")</f>
        <v>54.585581167238843</v>
      </c>
      <c r="L89" s="9">
        <f>_xll.BQL("JBLU US Equity", "FA_GROWTH(IS_OPERATING_EXPN, YOY)", "FPT=A", "FPO=-2A", "ACT_EST_MAPPING=PRECISE", "FS=MRC", "CURRENCY=USD", "XLFILL=b")</f>
        <v>30.956968529222866</v>
      </c>
      <c r="M89" s="9">
        <f>_xll.BQL("JBLU US Equity", "FA_GROWTH(IS_OPERATING_EXPN, YOY)", "FPT=A", "FPO=-3A", "ACT_EST_MAPPING=PRECISE", "FS=MRC", "CURRENCY=USD", "XLFILL=b")</f>
        <v>-35.961063888127228</v>
      </c>
      <c r="N89" s="9">
        <f>_xll.BQL("JBLU US Equity", "FA_GROWTH(IS_OPERATING_EXPN, YOY)", "FPT=A", "FPO=-4A", "ACT_EST_MAPPING=PRECISE", "FS=MRC", "CURRENCY=USD", "XLFILL=b")</f>
        <v>-1.3257575757575757</v>
      </c>
    </row>
    <row r="90" spans="1:14" x14ac:dyDescent="0.2">
      <c r="A90" s="8" t="s">
        <v>91</v>
      </c>
      <c r="B90" s="4" t="s">
        <v>92</v>
      </c>
      <c r="C90" s="4" t="s">
        <v>93</v>
      </c>
      <c r="D90" s="4"/>
      <c r="E90" s="9">
        <f>_xll.BQL("JBLU US Equity", "FUEL_EXPENSES/1M", "FPT=A", "FPO=5A", "ACT_EST_MAPPING=PRECISE", "FS=MRC", "CURRENCY=USD", "XLFILL=b")</f>
        <v>2542.139118256137</v>
      </c>
      <c r="F90" s="9">
        <f>_xll.BQL("JBLU US Equity", "FUEL_EXPENSES/1M", "FPT=A", "FPO=4A", "ACT_EST_MAPPING=PRECISE", "FS=MRC", "CURRENCY=USD", "XLFILL=b")</f>
        <v>2468.8081821525939</v>
      </c>
      <c r="G90" s="9">
        <f>_xll.BQL("JBLU US Equity", "FUEL_EXPENSES/1M", "FPT=A", "FPO=3A", "ACT_EST_MAPPING=PRECISE", "FS=MRC", "CURRENCY=USD", "XLFILL=b")</f>
        <v>2434.7414660789036</v>
      </c>
      <c r="H90" s="9">
        <f>_xll.BQL("JBLU US Equity", "FUEL_EXPENSES/1M", "FPT=A", "FPO=2A", "ACT_EST_MAPPING=PRECISE", "FS=MRC", "CURRENCY=USD", "XLFILL=b")</f>
        <v>2313.0502937200486</v>
      </c>
      <c r="I90" s="9">
        <f>_xll.BQL("JBLU US Equity", "FUEL_EXPENSES/1M", "FPT=A", "FPO=1A", "ACT_EST_MAPPING=PRECISE", "FS=MRC", "CURRENCY=USD", "XLFILL=b")</f>
        <v>2404.9847472776087</v>
      </c>
      <c r="J90" s="9">
        <f>_xll.BQL("JBLU US Equity", "FUEL_EXPENSES/1M", "FPT=A", "FPO=0A", "ACT_EST_MAPPING=PRECISE", "FS=MRC", "CURRENCY=USD", "XLFILL=b")</f>
        <v>2720</v>
      </c>
      <c r="K90" s="9">
        <f>_xll.BQL("JBLU US Equity", "FUEL_EXPENSES/1M", "FPT=A", "FPO=-1A", "ACT_EST_MAPPING=PRECISE", "FS=MRC", "CURRENCY=USD", "XLFILL=b")</f>
        <v>3105</v>
      </c>
      <c r="L90" s="9">
        <f>_xll.BQL("JBLU US Equity", "FUEL_EXPENSES/1M", "FPT=A", "FPO=-2A", "ACT_EST_MAPPING=PRECISE", "FS=MRC", "CURRENCY=USD", "XLFILL=b")</f>
        <v>1436</v>
      </c>
      <c r="M90" s="9">
        <f>_xll.BQL("JBLU US Equity", "FUEL_EXPENSES/1M", "FPT=A", "FPO=-3A", "ACT_EST_MAPPING=PRECISE", "FS=MRC", "CURRENCY=USD", "XLFILL=b")</f>
        <v>631</v>
      </c>
      <c r="N90" s="9">
        <f>_xll.BQL("JBLU US Equity", "FUEL_EXPENSES/1M", "FPT=A", "FPO=-4A", "ACT_EST_MAPPING=PRECISE", "FS=MRC", "CURRENCY=USD", "XLFILL=b")</f>
        <v>1847</v>
      </c>
    </row>
    <row r="91" spans="1:14" x14ac:dyDescent="0.2">
      <c r="A91" s="8" t="s">
        <v>84</v>
      </c>
      <c r="B91" s="4" t="s">
        <v>92</v>
      </c>
      <c r="C91" s="4" t="s">
        <v>93</v>
      </c>
      <c r="D91" s="4"/>
      <c r="E91" s="9">
        <f>_xll.BQL("JBLU US Equity", "FA_GROWTH(FUEL_EXPENSES, YOY)", "FPT=A", "FPO=5A", "ACT_EST_MAPPING=PRECISE", "FS=MRC", "CURRENCY=USD", "XLFILL=b")</f>
        <v>2.9702970297029867</v>
      </c>
      <c r="F91" s="9">
        <f>_xll.BQL("JBLU US Equity", "FA_GROWTH(FUEL_EXPENSES, YOY)", "FPT=A", "FPO=4A", "ACT_EST_MAPPING=PRECISE", "FS=MRC", "CURRENCY=USD", "XLFILL=b")</f>
        <v>1.3991923392406049</v>
      </c>
      <c r="G91" s="9">
        <f>_xll.BQL("JBLU US Equity", "FA_GROWTH(FUEL_EXPENSES, YOY)", "FPT=A", "FPO=3A", "ACT_EST_MAPPING=PRECISE", "FS=MRC", "CURRENCY=USD", "XLFILL=b")</f>
        <v>5.2610690173597972</v>
      </c>
      <c r="H91" s="9">
        <f>_xll.BQL("JBLU US Equity", "FA_GROWTH(FUEL_EXPENSES, YOY)", "FPT=A", "FPO=2A", "ACT_EST_MAPPING=PRECISE", "FS=MRC", "CURRENCY=USD", "XLFILL=b")</f>
        <v>-3.822662645225849</v>
      </c>
      <c r="I91" s="9">
        <f>_xll.BQL("JBLU US Equity", "FA_GROWTH(FUEL_EXPENSES, YOY)", "FPT=A", "FPO=1A", "ACT_EST_MAPPING=PRECISE", "FS=MRC", "CURRENCY=USD", "XLFILL=b")</f>
        <v>-11.581443114793791</v>
      </c>
      <c r="J91" s="9">
        <f>_xll.BQL("JBLU US Equity", "FA_GROWTH(FUEL_EXPENSES, YOY)", "FPT=A", "FPO=0A", "ACT_EST_MAPPING=PRECISE", "FS=MRC", "CURRENCY=USD", "XLFILL=b")</f>
        <v>-12.399355877616747</v>
      </c>
      <c r="K91" s="9">
        <f>_xll.BQL("JBLU US Equity", "FA_GROWTH(FUEL_EXPENSES, YOY)", "FPT=A", "FPO=-1A", "ACT_EST_MAPPING=PRECISE", "FS=MRC", "CURRENCY=USD", "XLFILL=b")</f>
        <v>116.22562674094708</v>
      </c>
      <c r="L91" s="9">
        <f>_xll.BQL("JBLU US Equity", "FA_GROWTH(FUEL_EXPENSES, YOY)", "FPT=A", "FPO=-2A", "ACT_EST_MAPPING=PRECISE", "FS=MRC", "CURRENCY=USD", "XLFILL=b")</f>
        <v>127.57527733755943</v>
      </c>
      <c r="M91" s="9">
        <f>_xll.BQL("JBLU US Equity", "FA_GROWTH(FUEL_EXPENSES, YOY)", "FPT=A", "FPO=-3A", "ACT_EST_MAPPING=PRECISE", "FS=MRC", "CURRENCY=USD", "XLFILL=b")</f>
        <v>-65.836491608012992</v>
      </c>
      <c r="N91" s="9">
        <f>_xll.BQL("JBLU US Equity", "FA_GROWTH(FUEL_EXPENSES, YOY)", "FPT=A", "FPO=-4A", "ACT_EST_MAPPING=PRECISE", "FS=MRC", "CURRENCY=USD", "XLFILL=b")</f>
        <v>-2.7382833070036861</v>
      </c>
    </row>
    <row r="92" spans="1:14" x14ac:dyDescent="0.2">
      <c r="A92" s="8" t="s">
        <v>94</v>
      </c>
      <c r="B92" s="4" t="s">
        <v>95</v>
      </c>
      <c r="C92" s="4"/>
      <c r="D92" s="4"/>
      <c r="E92" s="9">
        <f>_xll.BQL("JBLU US Equity", "AIRLINE_FUEL_PCT_SALES", "FPT=A", "FPO=5A", "ACT_EST_MAPPING=PRECISE", "FS=MRC", "CURRENCY=USD", "XLFILL=b")</f>
        <v>22.751030255757343</v>
      </c>
      <c r="F92" s="9">
        <f>_xll.BQL("JBLU US Equity", "AIRLINE_FUEL_PCT_SALES", "FPT=A", "FPO=4A", "ACT_EST_MAPPING=PRECISE", "FS=MRC", "CURRENCY=USD", "XLFILL=b")</f>
        <v>22.90452364354821</v>
      </c>
      <c r="G92" s="9">
        <f>_xll.BQL("JBLU US Equity", "AIRLINE_FUEL_PCT_SALES", "FPT=A", "FPO=3A", "ACT_EST_MAPPING=PRECISE", "FS=MRC", "CURRENCY=USD", "XLFILL=b")</f>
        <v>23.491332297985828</v>
      </c>
      <c r="H92" s="9">
        <f>_xll.BQL("JBLU US Equity", "AIRLINE_FUEL_PCT_SALES", "FPT=A", "FPO=2A", "ACT_EST_MAPPING=PRECISE", "FS=MRC", "CURRENCY=USD", "XLFILL=b")</f>
        <v>24.595272323567308</v>
      </c>
      <c r="I92" s="9">
        <f>_xll.BQL("JBLU US Equity", "AIRLINE_FUEL_PCT_SALES", "FPT=A", "FPO=1A", "ACT_EST_MAPPING=PRECISE", "FS=MRC", "CURRENCY=USD", "XLFILL=b")</f>
        <v>26.163965237877399</v>
      </c>
      <c r="J92" s="9">
        <f>_xll.BQL("JBLU US Equity", "AIRLINE_FUEL_PCT_SALES", "FPT=A", "FPO=0A", "ACT_EST_MAPPING=PRECISE", "FS=MRC", "CURRENCY=USD", "XLFILL=b")</f>
        <v>28.289131565262611</v>
      </c>
      <c r="K92" s="9">
        <f>_xll.BQL("JBLU US Equity", "AIRLINE_FUEL_PCT_SALES", "FPT=A", "FPO=-1A", "ACT_EST_MAPPING=PRECISE", "FS=MRC", "CURRENCY=USD", "XLFILL=b")</f>
        <v>33.904782703647086</v>
      </c>
      <c r="L92" s="9">
        <f>_xll.BQL("JBLU US Equity", "AIRLINE_FUEL_PCT_SALES", "FPT=A", "FPO=-2A", "ACT_EST_MAPPING=PRECISE", "FS=MRC", "CURRENCY=USD", "XLFILL=b")</f>
        <v>23.786648997846612</v>
      </c>
      <c r="M92" s="9">
        <f>_xll.BQL("JBLU US Equity", "AIRLINE_FUEL_PCT_SALES", "FPT=A", "FPO=-3A", "ACT_EST_MAPPING=PRECISE", "FS=MRC", "CURRENCY=USD", "XLFILL=b")</f>
        <v>21.339195130199524</v>
      </c>
      <c r="N92" s="9">
        <f>_xll.BQL("JBLU US Equity", "AIRLINE_FUEL_PCT_SALES", "FPT=A", "FPO=-4A", "ACT_EST_MAPPING=PRECISE", "FS=MRC", "CURRENCY=USD", "XLFILL=b")</f>
        <v>22.819372374598469</v>
      </c>
    </row>
    <row r="93" spans="1:14" x14ac:dyDescent="0.2">
      <c r="A93" s="8" t="s">
        <v>96</v>
      </c>
      <c r="B93" s="4" t="s">
        <v>95</v>
      </c>
      <c r="C93" s="4"/>
      <c r="D93" s="4"/>
      <c r="E93" s="9">
        <f>_xll.BQL("JBLU US Equity", "FA_GROWTH(AIRLINE_FUEL_PCT_SALES, YOY)", "FPT=A", "FPO=5A", "ACT_EST_MAPPING=PRECISE", "FS=MRC", "CURRENCY=USD", "XLFILL=b")</f>
        <v>-0.67014442290793241</v>
      </c>
      <c r="F93" s="9">
        <f>_xll.BQL("JBLU US Equity", "FA_GROWTH(AIRLINE_FUEL_PCT_SALES, YOY)", "FPT=A", "FPO=4A", "ACT_EST_MAPPING=PRECISE", "FS=MRC", "CURRENCY=USD", "XLFILL=b")</f>
        <v>-2.4979794546941552</v>
      </c>
      <c r="G93" s="9">
        <f>_xll.BQL("JBLU US Equity", "FA_GROWTH(AIRLINE_FUEL_PCT_SALES, YOY)", "FPT=A", "FPO=3A", "ACT_EST_MAPPING=PRECISE", "FS=MRC", "CURRENCY=USD", "XLFILL=b")</f>
        <v>-4.4884236736979695</v>
      </c>
      <c r="H93" s="9">
        <f>_xll.BQL("JBLU US Equity", "FA_GROWTH(AIRLINE_FUEL_PCT_SALES, YOY)", "FPT=A", "FPO=2A", "ACT_EST_MAPPING=PRECISE", "FS=MRC", "CURRENCY=USD", "XLFILL=b")</f>
        <v>-5.9956237521639295</v>
      </c>
      <c r="I93" s="9">
        <f>_xll.BQL("JBLU US Equity", "FA_GROWTH(AIRLINE_FUEL_PCT_SALES, YOY)", "FPT=A", "FPO=1A", "ACT_EST_MAPPING=PRECISE", "FS=MRC", "CURRENCY=USD", "XLFILL=b")</f>
        <v>-7.5123067050767709</v>
      </c>
      <c r="J93" s="9">
        <f>_xll.BQL("JBLU US Equity", "FA_GROWTH(AIRLINE_FUEL_PCT_SALES, YOY)", "FPT=A", "FPO=0A", "ACT_EST_MAPPING=PRECISE", "FS=MRC", "CURRENCY=USD", "XLFILL=b")</f>
        <v>-16.563005837463773</v>
      </c>
      <c r="K93" s="9">
        <f>_xll.BQL("JBLU US Equity", "FA_GROWTH(AIRLINE_FUEL_PCT_SALES, YOY)", "FPT=A", "FPO=-1A", "ACT_EST_MAPPING=PRECISE", "FS=MRC", "CURRENCY=USD", "XLFILL=b")</f>
        <v>42.537028678215499</v>
      </c>
      <c r="L93" s="9">
        <f>_xll.BQL("JBLU US Equity", "FA_GROWTH(AIRLINE_FUEL_PCT_SALES, YOY)", "FPT=A", "FPO=-2A", "ACT_EST_MAPPING=PRECISE", "FS=MRC", "CURRENCY=USD", "XLFILL=b")</f>
        <v>11.469288568355688</v>
      </c>
      <c r="M93" s="9">
        <f>_xll.BQL("JBLU US Equity", "FA_GROWTH(AIRLINE_FUEL_PCT_SALES, YOY)", "FPT=A", "FPO=-3A", "ACT_EST_MAPPING=PRECISE", "FS=MRC", "CURRENCY=USD", "XLFILL=b")</f>
        <v>-6.4864941072902322</v>
      </c>
      <c r="N93" s="9">
        <f>_xll.BQL("JBLU US Equity", "FA_GROWTH(AIRLINE_FUEL_PCT_SALES, YOY)", "FPT=A", "FPO=-4A", "ACT_EST_MAPPING=PRECISE", "FS=MRC", "CURRENCY=USD", "XLFILL=b")</f>
        <v>-7.9774862323985962</v>
      </c>
    </row>
    <row r="94" spans="1:14" x14ac:dyDescent="0.2">
      <c r="A94" s="8" t="s">
        <v>97</v>
      </c>
      <c r="B94" s="4" t="s">
        <v>98</v>
      </c>
      <c r="C94" s="4" t="s">
        <v>99</v>
      </c>
      <c r="D94" s="4"/>
      <c r="E94" s="9">
        <f>_xll.BQL("JBLU US Equity", "IS_PERSONNEL_EXP/1M", "FPT=A", "FPO=5A", "ACT_EST_MAPPING=PRECISE", "FS=MRC", "CURRENCY=USD", "XLFILL=b")</f>
        <v>3591.8726827497167</v>
      </c>
      <c r="F94" s="9">
        <f>_xll.BQL("JBLU US Equity", "IS_PERSONNEL_EXP/1M", "FPT=A", "FPO=4A", "ACT_EST_MAPPING=PRECISE", "FS=MRC", "CURRENCY=USD", "XLFILL=b")</f>
        <v>3458.2083741948381</v>
      </c>
      <c r="G94" s="9">
        <f>_xll.BQL("JBLU US Equity", "IS_PERSONNEL_EXP/1M", "FPT=A", "FPO=3A", "ACT_EST_MAPPING=PRECISE", "FS=MRC", "CURRENCY=USD", "XLFILL=b")</f>
        <v>3379.7008027225479</v>
      </c>
      <c r="H94" s="9">
        <f>_xll.BQL("JBLU US Equity", "IS_PERSONNEL_EXP/1M", "FPT=A", "FPO=2A", "ACT_EST_MAPPING=PRECISE", "FS=MRC", "CURRENCY=USD", "XLFILL=b")</f>
        <v>3278.9872858481567</v>
      </c>
      <c r="I94" s="9">
        <f>_xll.BQL("JBLU US Equity", "IS_PERSONNEL_EXP/1M", "FPT=A", "FPO=1A", "ACT_EST_MAPPING=PRECISE", "FS=MRC", "CURRENCY=USD", "XLFILL=b")</f>
        <v>3218.0806739621057</v>
      </c>
      <c r="J94" s="9">
        <f>_xll.BQL("JBLU US Equity", "IS_PERSONNEL_EXP/1M", "FPT=A", "FPO=0A", "ACT_EST_MAPPING=PRECISE", "FS=MRC", "CURRENCY=USD", "XLFILL=b")</f>
        <v>3055</v>
      </c>
      <c r="K94" s="9">
        <f>_xll.BQL("JBLU US Equity", "IS_PERSONNEL_EXP/1M", "FPT=A", "FPO=-1A", "ACT_EST_MAPPING=PRECISE", "FS=MRC", "CURRENCY=USD", "XLFILL=b")</f>
        <v>2747</v>
      </c>
      <c r="L94" s="9">
        <f>_xll.BQL("JBLU US Equity", "IS_PERSONNEL_EXP/1M", "FPT=A", "FPO=-2A", "ACT_EST_MAPPING=PRECISE", "FS=MRC", "CURRENCY=USD", "XLFILL=b")</f>
        <v>2358</v>
      </c>
      <c r="M94" s="9">
        <f>_xll.BQL("JBLU US Equity", "IS_PERSONNEL_EXP/1M", "FPT=A", "FPO=-3A", "ACT_EST_MAPPING=PRECISE", "FS=MRC", "CURRENCY=USD", "XLFILL=b")</f>
        <v>2032</v>
      </c>
      <c r="N94" s="9">
        <f>_xll.BQL("JBLU US Equity", "IS_PERSONNEL_EXP/1M", "FPT=A", "FPO=-4A", "ACT_EST_MAPPING=PRECISE", "FS=MRC", "CURRENCY=USD", "XLFILL=b")</f>
        <v>2320</v>
      </c>
    </row>
    <row r="95" spans="1:14" x14ac:dyDescent="0.2">
      <c r="A95" s="8" t="s">
        <v>84</v>
      </c>
      <c r="B95" s="4" t="s">
        <v>98</v>
      </c>
      <c r="C95" s="4" t="s">
        <v>99</v>
      </c>
      <c r="D95" s="4"/>
      <c r="E95" s="9">
        <f>_xll.BQL("JBLU US Equity", "FA_GROWTH(IS_PERSONNEL_EXP, YOY)", "FPT=A", "FPO=5A", "ACT_EST_MAPPING=PRECISE", "FS=MRC", "CURRENCY=USD", "XLFILL=b")</f>
        <v>3.8651317124867957</v>
      </c>
      <c r="F95" s="9">
        <f>_xll.BQL("JBLU US Equity", "FA_GROWTH(IS_PERSONNEL_EXP, YOY)", "FPT=A", "FPO=4A", "ACT_EST_MAPPING=PRECISE", "FS=MRC", "CURRENCY=USD", "XLFILL=b")</f>
        <v>2.3229148393564176</v>
      </c>
      <c r="G95" s="9">
        <f>_xll.BQL("JBLU US Equity", "FA_GROWTH(IS_PERSONNEL_EXP, YOY)", "FPT=A", "FPO=3A", "ACT_EST_MAPPING=PRECISE", "FS=MRC", "CURRENCY=USD", "XLFILL=b")</f>
        <v>3.0714823844868948</v>
      </c>
      <c r="H95" s="9">
        <f>_xll.BQL("JBLU US Equity", "FA_GROWTH(IS_PERSONNEL_EXP, YOY)", "FPT=A", "FPO=2A", "ACT_EST_MAPPING=PRECISE", "FS=MRC", "CURRENCY=USD", "XLFILL=b")</f>
        <v>1.8926378191464934</v>
      </c>
      <c r="I95" s="9">
        <f>_xll.BQL("JBLU US Equity", "FA_GROWTH(IS_PERSONNEL_EXP, YOY)", "FPT=A", "FPO=1A", "ACT_EST_MAPPING=PRECISE", "FS=MRC", "CURRENCY=USD", "XLFILL=b")</f>
        <v>5.3381562671720379</v>
      </c>
      <c r="J95" s="9">
        <f>_xll.BQL("JBLU US Equity", "FA_GROWTH(IS_PERSONNEL_EXP, YOY)", "FPT=A", "FPO=0A", "ACT_EST_MAPPING=PRECISE", "FS=MRC", "CURRENCY=USD", "XLFILL=b")</f>
        <v>11.212231525300327</v>
      </c>
      <c r="K95" s="9">
        <f>_xll.BQL("JBLU US Equity", "FA_GROWTH(IS_PERSONNEL_EXP, YOY)", "FPT=A", "FPO=-1A", "ACT_EST_MAPPING=PRECISE", "FS=MRC", "CURRENCY=USD", "XLFILL=b")</f>
        <v>16.497031382527567</v>
      </c>
      <c r="L95" s="9">
        <f>_xll.BQL("JBLU US Equity", "FA_GROWTH(IS_PERSONNEL_EXP, YOY)", "FPT=A", "FPO=-2A", "ACT_EST_MAPPING=PRECISE", "FS=MRC", "CURRENCY=USD", "XLFILL=b")</f>
        <v>16.043307086614174</v>
      </c>
      <c r="M95" s="9">
        <f>_xll.BQL("JBLU US Equity", "FA_GROWTH(IS_PERSONNEL_EXP, YOY)", "FPT=A", "FPO=-3A", "ACT_EST_MAPPING=PRECISE", "FS=MRC", "CURRENCY=USD", "XLFILL=b")</f>
        <v>-12.413793103448276</v>
      </c>
      <c r="N95" s="9">
        <f>_xll.BQL("JBLU US Equity", "FA_GROWTH(IS_PERSONNEL_EXP, YOY)", "FPT=A", "FPO=-4A", "ACT_EST_MAPPING=PRECISE", "FS=MRC", "CURRENCY=USD", "XLFILL=b")</f>
        <v>13.50293542074364</v>
      </c>
    </row>
    <row r="96" spans="1:14" x14ac:dyDescent="0.2">
      <c r="A96" s="8" t="s">
        <v>94</v>
      </c>
      <c r="B96" s="4" t="s">
        <v>100</v>
      </c>
      <c r="C96" s="4"/>
      <c r="D96" s="4"/>
      <c r="E96" s="9">
        <f>_xll.BQL("JBLU US Equity", "PERSONNEL_EXPN_PCT_SALES", "FPT=A", "FPO=5A", "ACT_EST_MAPPING=PRECISE", "FS=MRC", "CURRENCY=USD", "XLFILL=b")</f>
        <v>32.145685298342272</v>
      </c>
      <c r="F96" s="9">
        <f>_xll.BQL("JBLU US Equity", "PERSONNEL_EXPN_PCT_SALES", "FPT=A", "FPO=4A", "ACT_EST_MAPPING=PRECISE", "FS=MRC", "CURRENCY=USD", "XLFILL=b")</f>
        <v>32.083746337068114</v>
      </c>
      <c r="G96" s="9">
        <f>_xll.BQL("JBLU US Equity", "PERSONNEL_EXPN_PCT_SALES", "FPT=A", "FPO=3A", "ACT_EST_MAPPING=PRECISE", "FS=MRC", "CURRENCY=USD", "XLFILL=b")</f>
        <v>31.242065865615988</v>
      </c>
      <c r="H96" s="9">
        <f>_xll.BQL("JBLU US Equity", "PERSONNEL_EXPN_PCT_SALES", "FPT=A", "FPO=2A", "ACT_EST_MAPPING=PRECISE", "FS=MRC", "CURRENCY=USD", "XLFILL=b")</f>
        <v>32.320971222426699</v>
      </c>
      <c r="I96" s="9">
        <f>_xll.BQL("JBLU US Equity", "PERSONNEL_EXPN_PCT_SALES", "FPT=A", "FPO=1A", "ACT_EST_MAPPING=PRECISE", "FS=MRC", "CURRENCY=USD", "XLFILL=b")</f>
        <v>34.871276336609697</v>
      </c>
      <c r="J96" s="9">
        <f>_xll.BQL("JBLU US Equity", "PERSONNEL_EXPN_PCT_SALES", "FPT=A", "FPO=0A", "ACT_EST_MAPPING=PRECISE", "FS=MRC", "CURRENCY=USD", "XLFILL=b")</f>
        <v>31.773270930837231</v>
      </c>
      <c r="K96" s="9">
        <f>_xll.BQL("JBLU US Equity", "PERSONNEL_EXPN_PCT_SALES", "FPT=A", "FPO=-1A", "ACT_EST_MAPPING=PRECISE", "FS=MRC", "CURRENCY=USD", "XLFILL=b")</f>
        <v>29.99563223411225</v>
      </c>
      <c r="L96" s="9">
        <f>_xll.BQL("JBLU US Equity", "PERSONNEL_EXPN_PCT_SALES", "FPT=A", "FPO=-2A", "ACT_EST_MAPPING=PRECISE", "FS=MRC", "CURRENCY=USD", "XLFILL=b")</f>
        <v>39.059135332118601</v>
      </c>
      <c r="M96" s="9">
        <f>_xll.BQL("JBLU US Equity", "PERSONNEL_EXPN_PCT_SALES", "FPT=A", "FPO=-3A", "ACT_EST_MAPPING=PRECISE", "FS=MRC", "CURRENCY=USD", "XLFILL=b")</f>
        <v>68.718295569834282</v>
      </c>
      <c r="N96" s="9">
        <f>_xll.BQL("JBLU US Equity", "PERSONNEL_EXPN_PCT_SALES", "FPT=A", "FPO=-4A", "ACT_EST_MAPPING=PRECISE", "FS=MRC", "CURRENCY=USD", "XLFILL=b")</f>
        <v>28.663207314059797</v>
      </c>
    </row>
    <row r="97" spans="1:14" x14ac:dyDescent="0.2">
      <c r="A97" s="8" t="s">
        <v>96</v>
      </c>
      <c r="B97" s="4" t="s">
        <v>100</v>
      </c>
      <c r="C97" s="4"/>
      <c r="D97" s="4"/>
      <c r="E97" s="9">
        <f>_xll.BQL("JBLU US Equity", "FA_GROWTH(PERSONNEL_EXPN_PCT_SALES, YOY)", "FPT=A", "FPO=5A", "ACT_EST_MAPPING=PRECISE", "FS=MRC", "CURRENCY=USD", "XLFILL=b")</f>
        <v>0.19305401751851237</v>
      </c>
      <c r="F97" s="9">
        <f>_xll.BQL("JBLU US Equity", "FA_GROWTH(PERSONNEL_EXPN_PCT_SALES, YOY)", "FPT=A", "FPO=4A", "ACT_EST_MAPPING=PRECISE", "FS=MRC", "CURRENCY=USD", "XLFILL=b")</f>
        <v>2.6940615101207248</v>
      </c>
      <c r="G97" s="9">
        <f>_xll.BQL("JBLU US Equity", "FA_GROWTH(PERSONNEL_EXPN_PCT_SALES, YOY)", "FPT=A", "FPO=3A", "ACT_EST_MAPPING=PRECISE", "FS=MRC", "CURRENCY=USD", "XLFILL=b")</f>
        <v>-3.3380969568825534</v>
      </c>
      <c r="H97" s="9">
        <f>_xll.BQL("JBLU US Equity", "FA_GROWTH(PERSONNEL_EXPN_PCT_SALES, YOY)", "FPT=A", "FPO=2A", "ACT_EST_MAPPING=PRECISE", "FS=MRC", "CURRENCY=USD", "XLFILL=b")</f>
        <v>-7.3134837095295904</v>
      </c>
      <c r="I97" s="9">
        <f>_xll.BQL("JBLU US Equity", "FA_GROWTH(PERSONNEL_EXPN_PCT_SALES, YOY)", "FPT=A", "FPO=1A", "ACT_EST_MAPPING=PRECISE", "FS=MRC", "CURRENCY=USD", "XLFILL=b")</f>
        <v>9.7503508924720972</v>
      </c>
      <c r="J97" s="9">
        <f>_xll.BQL("JBLU US Equity", "FA_GROWTH(PERSONNEL_EXPN_PCT_SALES, YOY)", "FPT=A", "FPO=0A", "ACT_EST_MAPPING=PRECISE", "FS=MRC", "CURRENCY=USD", "XLFILL=b")</f>
        <v>5.926325149110804</v>
      </c>
      <c r="K97" s="9">
        <f>_xll.BQL("JBLU US Equity", "FA_GROWTH(PERSONNEL_EXPN_PCT_SALES, YOY)", "FPT=A", "FPO=-1A", "ACT_EST_MAPPING=PRECISE", "FS=MRC", "CURRENCY=USD", "XLFILL=b")</f>
        <v>-23.204566667796581</v>
      </c>
      <c r="L97" s="9">
        <f>_xll.BQL("JBLU US Equity", "FA_GROWTH(PERSONNEL_EXPN_PCT_SALES, YOY)", "FPT=A", "FPO=-2A", "ACT_EST_MAPPING=PRECISE", "FS=MRC", "CURRENCY=USD", "XLFILL=b")</f>
        <v>-43.160500404982919</v>
      </c>
      <c r="M97" s="9">
        <f>_xll.BQL("JBLU US Equity", "FA_GROWTH(PERSONNEL_EXPN_PCT_SALES, YOY)", "FPT=A", "FPO=-3A", "ACT_EST_MAPPING=PRECISE", "FS=MRC", "CURRENCY=USD", "XLFILL=b")</f>
        <v>139.74391566475805</v>
      </c>
      <c r="N97" s="9">
        <f>_xll.BQL("JBLU US Equity", "FA_GROWTH(PERSONNEL_EXPN_PCT_SALES, YOY)", "FPT=A", "FPO=-4A", "ACT_EST_MAPPING=PRECISE", "FS=MRC", "CURRENCY=USD", "XLFILL=b")</f>
        <v>7.3888657588404669</v>
      </c>
    </row>
    <row r="98" spans="1:14" x14ac:dyDescent="0.2">
      <c r="A98" s="8" t="s">
        <v>101</v>
      </c>
      <c r="B98" s="4" t="s">
        <v>102</v>
      </c>
      <c r="C98" s="4" t="s">
        <v>103</v>
      </c>
      <c r="D98" s="4"/>
      <c r="E98" s="9">
        <f>_xll.BQL("JBLU US Equity", "OTHER_RENTALS_LANDING_FEES/1M", "FPT=A", "FPO=5A", "ACT_EST_MAPPING=PRECISE", "FS=MRC", "CURRENCY=USD", "XLFILL=b")</f>
        <v>783.66778492219657</v>
      </c>
      <c r="F98" s="9">
        <f>_xll.BQL("JBLU US Equity", "OTHER_RENTALS_LANDING_FEES/1M", "FPT=A", "FPO=4A", "ACT_EST_MAPPING=PRECISE", "FS=MRC", "CURRENCY=USD", "XLFILL=b")</f>
        <v>757.31328268476682</v>
      </c>
      <c r="G98" s="9">
        <f>_xll.BQL("JBLU US Equity", "OTHER_RENTALS_LANDING_FEES/1M", "FPT=A", "FPO=3A", "ACT_EST_MAPPING=PRECISE", "FS=MRC", "CURRENCY=USD", "XLFILL=b")</f>
        <v>741.45238384872482</v>
      </c>
      <c r="H98" s="9">
        <f>_xll.BQL("JBLU US Equity", "OTHER_RENTALS_LANDING_FEES/1M", "FPT=A", "FPO=2A", "ACT_EST_MAPPING=PRECISE", "FS=MRC", "CURRENCY=USD", "XLFILL=b")</f>
        <v>711.12709420933913</v>
      </c>
      <c r="I98" s="9">
        <f>_xll.BQL("JBLU US Equity", "OTHER_RENTALS_LANDING_FEES/1M", "FPT=A", "FPO=1A", "ACT_EST_MAPPING=PRECISE", "FS=MRC", "CURRENCY=USD", "XLFILL=b")</f>
        <v>692.37163834808075</v>
      </c>
      <c r="J98" s="9">
        <f>_xll.BQL("JBLU US Equity", "OTHER_RENTALS_LANDING_FEES/1M", "FPT=A", "FPO=0A", "ACT_EST_MAPPING=PRECISE", "FS=MRC", "CURRENCY=USD", "XLFILL=b")</f>
        <v>657</v>
      </c>
      <c r="K98" s="9">
        <f>_xll.BQL("JBLU US Equity", "OTHER_RENTALS_LANDING_FEES/1M", "FPT=A", "FPO=-1A", "ACT_EST_MAPPING=PRECISE", "FS=MRC", "CURRENCY=USD", "XLFILL=b")</f>
        <v>544</v>
      </c>
      <c r="L98" s="9">
        <f>_xll.BQL("JBLU US Equity", "OTHER_RENTALS_LANDING_FEES/1M", "FPT=A", "FPO=-2A", "ACT_EST_MAPPING=PRECISE", "FS=MRC", "CURRENCY=USD", "XLFILL=b")</f>
        <v>628</v>
      </c>
      <c r="M98" s="9">
        <f>_xll.BQL("JBLU US Equity", "OTHER_RENTALS_LANDING_FEES/1M", "FPT=A", "FPO=-3A", "ACT_EST_MAPPING=PRECISE", "FS=MRC", "CURRENCY=USD", "XLFILL=b")</f>
        <v>358</v>
      </c>
      <c r="N98" s="9">
        <f>_xll.BQL("JBLU US Equity", "OTHER_RENTALS_LANDING_FEES/1M", "FPT=A", "FPO=-4A", "ACT_EST_MAPPING=PRECISE", "FS=MRC", "CURRENCY=USD", "XLFILL=b")</f>
        <v>474</v>
      </c>
    </row>
    <row r="99" spans="1:14" x14ac:dyDescent="0.2">
      <c r="A99" s="8" t="s">
        <v>84</v>
      </c>
      <c r="B99" s="4" t="s">
        <v>102</v>
      </c>
      <c r="C99" s="4" t="s">
        <v>103</v>
      </c>
      <c r="D99" s="4"/>
      <c r="E99" s="9">
        <f>_xll.BQL("JBLU US Equity", "FA_GROWTH(OTHER_RENTALS_LANDING_FEES, YOY)", "FPT=A", "FPO=5A", "ACT_EST_MAPPING=PRECISE", "FS=MRC", "CURRENCY=USD", "XLFILL=b")</f>
        <v>3.4799999999999964</v>
      </c>
      <c r="F99" s="9">
        <f>_xll.BQL("JBLU US Equity", "FA_GROWTH(OTHER_RENTALS_LANDING_FEES, YOY)", "FPT=A", "FPO=4A", "ACT_EST_MAPPING=PRECISE", "FS=MRC", "CURRENCY=USD", "XLFILL=b")</f>
        <v>2.1391662069668325</v>
      </c>
      <c r="G99" s="9">
        <f>_xll.BQL("JBLU US Equity", "FA_GROWTH(OTHER_RENTALS_LANDING_FEES, YOY)", "FPT=A", "FPO=3A", "ACT_EST_MAPPING=PRECISE", "FS=MRC", "CURRENCY=USD", "XLFILL=b")</f>
        <v>4.2643980079401453</v>
      </c>
      <c r="H99" s="9">
        <f>_xll.BQL("JBLU US Equity", "FA_GROWTH(OTHER_RENTALS_LANDING_FEES, YOY)", "FPT=A", "FPO=2A", "ACT_EST_MAPPING=PRECISE", "FS=MRC", "CURRENCY=USD", "XLFILL=b")</f>
        <v>2.7088711932231586</v>
      </c>
      <c r="I99" s="9">
        <f>_xll.BQL("JBLU US Equity", "FA_GROWTH(OTHER_RENTALS_LANDING_FEES, YOY)", "FPT=A", "FPO=1A", "ACT_EST_MAPPING=PRECISE", "FS=MRC", "CURRENCY=USD", "XLFILL=b")</f>
        <v>5.3838110118844371</v>
      </c>
      <c r="J99" s="9">
        <f>_xll.BQL("JBLU US Equity", "FA_GROWTH(OTHER_RENTALS_LANDING_FEES, YOY)", "FPT=A", "FPO=0A", "ACT_EST_MAPPING=PRECISE", "FS=MRC", "CURRENCY=USD", "XLFILL=b")</f>
        <v>20.772058823529413</v>
      </c>
      <c r="K99" s="9">
        <f>_xll.BQL("JBLU US Equity", "FA_GROWTH(OTHER_RENTALS_LANDING_FEES, YOY)", "FPT=A", "FPO=-1A", "ACT_EST_MAPPING=PRECISE", "FS=MRC", "CURRENCY=USD", "XLFILL=b")</f>
        <v>-13.375796178343949</v>
      </c>
      <c r="L99" s="9">
        <f>_xll.BQL("JBLU US Equity", "FA_GROWTH(OTHER_RENTALS_LANDING_FEES, YOY)", "FPT=A", "FPO=-2A", "ACT_EST_MAPPING=PRECISE", "FS=MRC", "CURRENCY=USD", "XLFILL=b")</f>
        <v>75.418994413407816</v>
      </c>
      <c r="M99" s="9">
        <f>_xll.BQL("JBLU US Equity", "FA_GROWTH(OTHER_RENTALS_LANDING_FEES, YOY)", "FPT=A", "FPO=-3A", "ACT_EST_MAPPING=PRECISE", "FS=MRC", "CURRENCY=USD", "XLFILL=b")</f>
        <v>-24.472573839662449</v>
      </c>
      <c r="N99" s="9">
        <f>_xll.BQL("JBLU US Equity", "FA_GROWTH(OTHER_RENTALS_LANDING_FEES, YOY)", "FPT=A", "FPO=-4A", "ACT_EST_MAPPING=PRECISE", "FS=MRC", "CURRENCY=USD", "XLFILL=b")</f>
        <v>2.5974025974025974</v>
      </c>
    </row>
    <row r="100" spans="1:14" x14ac:dyDescent="0.2">
      <c r="A100" s="8" t="s">
        <v>94</v>
      </c>
      <c r="B100" s="4" t="s">
        <v>104</v>
      </c>
      <c r="C100" s="4"/>
      <c r="D100" s="4"/>
      <c r="E100" s="9">
        <f>_xll.BQL("JBLU US Equity", "AIRLINE_LANDING_FEES_PCT_SALES", "FPT=A", "FPO=5A", "ACT_EST_MAPPING=PRECISE", "FS=MRC", "CURRENCY=USD", "XLFILL=b")</f>
        <v>7.0134829983096223</v>
      </c>
      <c r="F100" s="9">
        <f>_xll.BQL("JBLU US Equity", "AIRLINE_LANDING_FEES_PCT_SALES", "FPT=A", "FPO=4A", "ACT_EST_MAPPING=PRECISE", "FS=MRC", "CURRENCY=USD", "XLFILL=b")</f>
        <v>7.0260217518001653</v>
      </c>
      <c r="G100" s="9">
        <f>_xll.BQL("JBLU US Equity", "AIRLINE_LANDING_FEES_PCT_SALES", "FPT=A", "FPO=3A", "ACT_EST_MAPPING=PRECISE", "FS=MRC", "CURRENCY=USD", "XLFILL=b")</f>
        <v>7.3749819751323882</v>
      </c>
      <c r="H100" s="9">
        <f>_xll.BQL("JBLU US Equity", "AIRLINE_LANDING_FEES_PCT_SALES", "FPT=A", "FPO=2A", "ACT_EST_MAPPING=PRECISE", "FS=MRC", "CURRENCY=USD", "XLFILL=b")</f>
        <v>7.5261076389787567</v>
      </c>
      <c r="I100" s="9">
        <f>_xll.BQL("JBLU US Equity", "AIRLINE_LANDING_FEES_PCT_SALES", "FPT=A", "FPO=1A", "ACT_EST_MAPPING=PRECISE", "FS=MRC", "CURRENCY=USD", "XLFILL=b")</f>
        <v>7.6192646855629906</v>
      </c>
      <c r="J100" s="9">
        <f>_xll.BQL("JBLU US Equity", "AIRLINE_LANDING_FEES_PCT_SALES", "FPT=A", "FPO=0A", "ACT_EST_MAPPING=PRECISE", "FS=MRC", "CURRENCY=USD", "XLFILL=b")</f>
        <v>6.8330733229329175</v>
      </c>
      <c r="K100" s="9">
        <f>_xll.BQL("JBLU US Equity", "AIRLINE_LANDING_FEES_PCT_SALES", "FPT=A", "FPO=-1A", "ACT_EST_MAPPING=PRECISE", "FS=MRC", "CURRENCY=USD", "XLFILL=b")</f>
        <v>5.9401616073378465</v>
      </c>
      <c r="L100" s="9">
        <f>_xll.BQL("JBLU US Equity", "AIRLINE_LANDING_FEES_PCT_SALES", "FPT=A", "FPO=-2A", "ACT_EST_MAPPING=PRECISE", "FS=MRC", "CURRENCY=USD", "XLFILL=b")</f>
        <v>10.402517806857711</v>
      </c>
      <c r="M100" s="9">
        <f>_xll.BQL("JBLU US Equity", "AIRLINE_LANDING_FEES_PCT_SALES", "FPT=A", "FPO=-3A", "ACT_EST_MAPPING=PRECISE", "FS=MRC", "CURRENCY=USD", "XLFILL=b")</f>
        <v>12.106865065945215</v>
      </c>
      <c r="N100" s="9">
        <f>_xll.BQL("JBLU US Equity", "AIRLINE_LANDING_FEES_PCT_SALES", "FPT=A", "FPO=-4A", "ACT_EST_MAPPING=PRECISE", "FS=MRC", "CURRENCY=USD", "XLFILL=b")</f>
        <v>5.8561897702001477</v>
      </c>
    </row>
    <row r="101" spans="1:14" x14ac:dyDescent="0.2">
      <c r="A101" s="8" t="s">
        <v>96</v>
      </c>
      <c r="B101" s="4" t="s">
        <v>104</v>
      </c>
      <c r="C101" s="4"/>
      <c r="D101" s="4"/>
      <c r="E101" s="9">
        <f>_xll.BQL("JBLU US Equity", "FA_GROWTH(AIRLINE_LANDING_FEES_PCT_SALES, YOY)", "FPT=A", "FPO=5A", "ACT_EST_MAPPING=PRECISE", "FS=MRC", "CURRENCY=USD", "XLFILL=b")</f>
        <v>-0.17846163780136895</v>
      </c>
      <c r="F101" s="9">
        <f>_xll.BQL("JBLU US Equity", "FA_GROWTH(AIRLINE_LANDING_FEES_PCT_SALES, YOY)", "FPT=A", "FPO=4A", "ACT_EST_MAPPING=PRECISE", "FS=MRC", "CURRENCY=USD", "XLFILL=b")</f>
        <v>-4.7316756096337267</v>
      </c>
      <c r="G101" s="9">
        <f>_xll.BQL("JBLU US Equity", "FA_GROWTH(AIRLINE_LANDING_FEES_PCT_SALES, YOY)", "FPT=A", "FPO=3A", "ACT_EST_MAPPING=PRECISE", "FS=MRC", "CURRENCY=USD", "XLFILL=b")</f>
        <v>-2.0080189002834308</v>
      </c>
      <c r="H101" s="9">
        <f>_xll.BQL("JBLU US Equity", "FA_GROWTH(AIRLINE_LANDING_FEES_PCT_SALES, YOY)", "FPT=A", "FPO=2A", "ACT_EST_MAPPING=PRECISE", "FS=MRC", "CURRENCY=USD", "XLFILL=b")</f>
        <v>-1.2226514031038751</v>
      </c>
      <c r="I101" s="9">
        <f>_xll.BQL("JBLU US Equity", "FA_GROWTH(AIRLINE_LANDING_FEES_PCT_SALES, YOY)", "FPT=A", "FPO=1A", "ACT_EST_MAPPING=PRECISE", "FS=MRC", "CURRENCY=USD", "XLFILL=b")</f>
        <v>11.50567724762276</v>
      </c>
      <c r="J101" s="9">
        <f>_xll.BQL("JBLU US Equity", "FA_GROWTH(AIRLINE_LANDING_FEES_PCT_SALES, YOY)", "FPT=A", "FPO=0A", "ACT_EST_MAPPING=PRECISE", "FS=MRC", "CURRENCY=USD", "XLFILL=b")</f>
        <v>15.031774800403786</v>
      </c>
      <c r="K101" s="9">
        <f>_xll.BQL("JBLU US Equity", "FA_GROWTH(AIRLINE_LANDING_FEES_PCT_SALES, YOY)", "FPT=A", "FPO=-1A", "ACT_EST_MAPPING=PRECISE", "FS=MRC", "CURRENCY=USD", "XLFILL=b")</f>
        <v>-42.896885949843025</v>
      </c>
      <c r="L101" s="9">
        <f>_xll.BQL("JBLU US Equity", "FA_GROWTH(AIRLINE_LANDING_FEES_PCT_SALES, YOY)", "FPT=A", "FPO=-2A", "ACT_EST_MAPPING=PRECISE", "FS=MRC", "CURRENCY=USD", "XLFILL=b")</f>
        <v>-14.07752750034008</v>
      </c>
      <c r="M101" s="9">
        <f>_xll.BQL("JBLU US Equity", "FA_GROWTH(AIRLINE_LANDING_FEES_PCT_SALES, YOY)", "FPT=A", "FPO=-3A", "ACT_EST_MAPPING=PRECISE", "FS=MRC", "CURRENCY=USD", "XLFILL=b")</f>
        <v>106.73621486025438</v>
      </c>
      <c r="N101" s="9">
        <f>_xll.BQL("JBLU US Equity", "FA_GROWTH(AIRLINE_LANDING_FEES_PCT_SALES, YOY)", "FPT=A", "FPO=-4A", "ACT_EST_MAPPING=PRECISE", "FS=MRC", "CURRENCY=USD", "XLFILL=b")</f>
        <v>-2.9292180515308921</v>
      </c>
    </row>
    <row r="102" spans="1:14" x14ac:dyDescent="0.2">
      <c r="A102" s="8" t="s">
        <v>105</v>
      </c>
      <c r="B102" s="4" t="s">
        <v>106</v>
      </c>
      <c r="C102" s="4" t="s">
        <v>107</v>
      </c>
      <c r="D102" s="4"/>
      <c r="E102" s="9">
        <f>_xll.BQL("JBLU US Equity", "CF_DEPR_AMORT/1M", "FPT=A", "FPO=5A", "ACT_EST_MAPPING=PRECISE", "FS=MRC", "CURRENCY=USD", "XLFILL=b")</f>
        <v>836</v>
      </c>
      <c r="F102" s="9">
        <f>_xll.BQL("JBLU US Equity", "CF_DEPR_AMORT/1M", "FPT=A", "FPO=4A", "ACT_EST_MAPPING=PRECISE", "FS=MRC", "CURRENCY=USD", "XLFILL=b")</f>
        <v>792</v>
      </c>
      <c r="G102" s="9">
        <f>_xll.BQL("JBLU US Equity", "CF_DEPR_AMORT/1M", "FPT=A", "FPO=3A", "ACT_EST_MAPPING=PRECISE", "FS=MRC", "CURRENCY=USD", "XLFILL=b")</f>
        <v>725.41610582949261</v>
      </c>
      <c r="H102" s="9">
        <f>_xll.BQL("JBLU US Equity", "CF_DEPR_AMORT/1M", "FPT=A", "FPO=2A", "ACT_EST_MAPPING=PRECISE", "FS=MRC", "CURRENCY=USD", "XLFILL=b")</f>
        <v>679.19137518402863</v>
      </c>
      <c r="I102" s="9">
        <f>_xll.BQL("JBLU US Equity", "CF_DEPR_AMORT/1M", "FPT=A", "FPO=1A", "ACT_EST_MAPPING=PRECISE", "FS=MRC", "CURRENCY=USD", "XLFILL=b")</f>
        <v>648.97704876978116</v>
      </c>
      <c r="J102" s="9">
        <f>_xll.BQL("JBLU US Equity", "CF_DEPR_AMORT/1M", "FPT=A", "FPO=0A", "ACT_EST_MAPPING=PRECISE", "FS=MRC", "CURRENCY=USD", "XLFILL=b")</f>
        <v>621</v>
      </c>
      <c r="K102" s="9">
        <f>_xll.BQL("JBLU US Equity", "CF_DEPR_AMORT/1M", "FPT=A", "FPO=-1A", "ACT_EST_MAPPING=PRECISE", "FS=MRC", "CURRENCY=USD", "XLFILL=b")</f>
        <v>585</v>
      </c>
      <c r="L102" s="9">
        <f>_xll.BQL("JBLU US Equity", "CF_DEPR_AMORT/1M", "FPT=A", "FPO=-2A", "ACT_EST_MAPPING=PRECISE", "FS=MRC", "CURRENCY=USD", "XLFILL=b")</f>
        <v>540</v>
      </c>
      <c r="M102" s="9">
        <f>_xll.BQL("JBLU US Equity", "CF_DEPR_AMORT/1M", "FPT=A", "FPO=-3A", "ACT_EST_MAPPING=PRECISE", "FS=MRC", "CURRENCY=USD", "XLFILL=b")</f>
        <v>535</v>
      </c>
      <c r="N102" s="9">
        <f>_xll.BQL("JBLU US Equity", "CF_DEPR_AMORT/1M", "FPT=A", "FPO=-4A", "ACT_EST_MAPPING=PRECISE", "FS=MRC", "CURRENCY=USD", "XLFILL=b")</f>
        <v>525</v>
      </c>
    </row>
    <row r="103" spans="1:14" x14ac:dyDescent="0.2">
      <c r="A103" s="8" t="s">
        <v>84</v>
      </c>
      <c r="B103" s="4" t="s">
        <v>106</v>
      </c>
      <c r="C103" s="4" t="s">
        <v>107</v>
      </c>
      <c r="D103" s="4"/>
      <c r="E103" s="9">
        <f>_xll.BQL("JBLU US Equity", "FA_GROWTH(CF_DEPR_AMORT, YOY)", "FPT=A", "FPO=5A", "ACT_EST_MAPPING=PRECISE", "FS=MRC", "CURRENCY=USD", "XLFILL=b")</f>
        <v>5.5555555555555554</v>
      </c>
      <c r="F103" s="9">
        <f>_xll.BQL("JBLU US Equity", "FA_GROWTH(CF_DEPR_AMORT, YOY)", "FPT=A", "FPO=4A", "ACT_EST_MAPPING=PRECISE", "FS=MRC", "CURRENCY=USD", "XLFILL=b")</f>
        <v>9.1787173782653539</v>
      </c>
      <c r="G103" s="9">
        <f>_xll.BQL("JBLU US Equity", "FA_GROWTH(CF_DEPR_AMORT, YOY)", "FPT=A", "FPO=3A", "ACT_EST_MAPPING=PRECISE", "FS=MRC", "CURRENCY=USD", "XLFILL=b")</f>
        <v>6.8058477086725722</v>
      </c>
      <c r="H103" s="9">
        <f>_xll.BQL("JBLU US Equity", "FA_GROWTH(CF_DEPR_AMORT, YOY)", "FPT=A", "FPO=2A", "ACT_EST_MAPPING=PRECISE", "FS=MRC", "CURRENCY=USD", "XLFILL=b")</f>
        <v>4.6556848923274909</v>
      </c>
      <c r="I103" s="9">
        <f>_xll.BQL("JBLU US Equity", "FA_GROWTH(CF_DEPR_AMORT, YOY)", "FPT=A", "FPO=1A", "ACT_EST_MAPPING=PRECISE", "FS=MRC", "CURRENCY=USD", "XLFILL=b")</f>
        <v>4.5051608324929324</v>
      </c>
      <c r="J103" s="9">
        <f>_xll.BQL("JBLU US Equity", "FA_GROWTH(CF_DEPR_AMORT, YOY)", "FPT=A", "FPO=0A", "ACT_EST_MAPPING=PRECISE", "FS=MRC", "CURRENCY=USD", "XLFILL=b")</f>
        <v>6.1538461538461542</v>
      </c>
      <c r="K103" s="9">
        <f>_xll.BQL("JBLU US Equity", "FA_GROWTH(CF_DEPR_AMORT, YOY)", "FPT=A", "FPO=-1A", "ACT_EST_MAPPING=PRECISE", "FS=MRC", "CURRENCY=USD", "XLFILL=b")</f>
        <v>8.3333333333333339</v>
      </c>
      <c r="L103" s="9">
        <f>_xll.BQL("JBLU US Equity", "FA_GROWTH(CF_DEPR_AMORT, YOY)", "FPT=A", "FPO=-2A", "ACT_EST_MAPPING=PRECISE", "FS=MRC", "CURRENCY=USD", "XLFILL=b")</f>
        <v>0.93457943925233644</v>
      </c>
      <c r="M103" s="9">
        <f>_xll.BQL("JBLU US Equity", "FA_GROWTH(CF_DEPR_AMORT, YOY)", "FPT=A", "FPO=-3A", "ACT_EST_MAPPING=PRECISE", "FS=MRC", "CURRENCY=USD", "XLFILL=b")</f>
        <v>1.9047619047619047</v>
      </c>
      <c r="N103" s="9">
        <f>_xll.BQL("JBLU US Equity", "FA_GROWTH(CF_DEPR_AMORT, YOY)", "FPT=A", "FPO=-4A", "ACT_EST_MAPPING=PRECISE", "FS=MRC", "CURRENCY=USD", "XLFILL=b")</f>
        <v>11.940298507462687</v>
      </c>
    </row>
    <row r="104" spans="1:14" x14ac:dyDescent="0.2">
      <c r="A104" s="8" t="s">
        <v>94</v>
      </c>
      <c r="B104" s="4" t="s">
        <v>108</v>
      </c>
      <c r="C104" s="4"/>
      <c r="D104" s="4"/>
      <c r="E104" s="9">
        <f>_xll.BQL("JBLU US Equity", "D_AND_A_TO_SALES", "FPT=A", "FPO=5A", "ACT_EST_MAPPING=PRECISE", "FS=MRC", "CURRENCY=USD", "XLFILL=b")</f>
        <v>7.4818333730139965</v>
      </c>
      <c r="F104" s="9">
        <f>_xll.BQL("JBLU US Equity", "D_AND_A_TO_SALES", "FPT=A", "FPO=4A", "ACT_EST_MAPPING=PRECISE", "FS=MRC", "CURRENCY=USD", "XLFILL=b")</f>
        <v>7.3478299597473331</v>
      </c>
      <c r="G104" s="9">
        <f>_xll.BQL("JBLU US Equity", "D_AND_A_TO_SALES", "FPT=A", "FPO=3A", "ACT_EST_MAPPING=PRECISE", "FS=MRC", "CURRENCY=USD", "XLFILL=b")</f>
        <v>7.0029616595716577</v>
      </c>
      <c r="H104" s="9">
        <f>_xll.BQL("JBLU US Equity", "D_AND_A_TO_SALES", "FPT=A", "FPO=2A", "ACT_EST_MAPPING=PRECISE", "FS=MRC", "CURRENCY=USD", "XLFILL=b")</f>
        <v>6.9834683433331675</v>
      </c>
      <c r="I104" s="9">
        <f>_xll.BQL("JBLU US Equity", "D_AND_A_TO_SALES", "FPT=A", "FPO=1A", "ACT_EST_MAPPING=PRECISE", "FS=MRC", "CURRENCY=USD", "XLFILL=b")</f>
        <v>6.9876607842593108</v>
      </c>
      <c r="J104" s="9">
        <f>_xll.BQL("JBLU US Equity", "D_AND_A_TO_SALES", "FPT=A", "FPO=0A", "ACT_EST_MAPPING=PRECISE", "FS=MRC", "CURRENCY=USD", "XLFILL=b")</f>
        <v>6.4586583463338538</v>
      </c>
      <c r="K104" s="9">
        <f>_xll.BQL("JBLU US Equity", "D_AND_A_TO_SALES", "FPT=A", "FPO=-1A", "ACT_EST_MAPPING=PRECISE", "FS=MRC", "CURRENCY=USD", "XLFILL=b")</f>
        <v>6.3878576108320591</v>
      </c>
      <c r="L104" s="9">
        <f>_xll.BQL("JBLU US Equity", "D_AND_A_TO_SALES", "FPT=A", "FPO=-2A", "ACT_EST_MAPPING=PRECISE", "FS=MRC", "CURRENCY=USD", "XLFILL=b")</f>
        <v>8.9448401523935726</v>
      </c>
      <c r="M104" s="9">
        <f>_xll.BQL("JBLU US Equity", "D_AND_A_TO_SALES", "FPT=A", "FPO=-3A", "ACT_EST_MAPPING=PRECISE", "FS=MRC", "CURRENCY=USD", "XLFILL=b")</f>
        <v>18.092661481230977</v>
      </c>
      <c r="N104" s="9">
        <f>_xll.BQL("JBLU US Equity", "D_AND_A_TO_SALES", "FPT=A", "FPO=-4A", "ACT_EST_MAPPING=PRECISE", "FS=MRC", "CURRENCY=USD", "XLFILL=b")</f>
        <v>6.4862861378799108</v>
      </c>
    </row>
    <row r="105" spans="1:14" x14ac:dyDescent="0.2">
      <c r="A105" s="8" t="s">
        <v>96</v>
      </c>
      <c r="B105" s="4" t="s">
        <v>108</v>
      </c>
      <c r="C105" s="4"/>
      <c r="D105" s="4"/>
      <c r="E105" s="9">
        <f>_xll.BQL("JBLU US Equity", "FA_GROWTH(D_AND_A_TO_SALES, YOY)", "FPT=A", "FPO=5A", "ACT_EST_MAPPING=PRECISE", "FS=MRC", "CURRENCY=USD", "XLFILL=b")</f>
        <v>1.8237141305767417</v>
      </c>
      <c r="F105" s="9">
        <f>_xll.BQL("JBLU US Equity", "FA_GROWTH(D_AND_A_TO_SALES, YOY)", "FPT=A", "FPO=4A", "ACT_EST_MAPPING=PRECISE", "FS=MRC", "CURRENCY=USD", "XLFILL=b")</f>
        <v>4.9246064299710817</v>
      </c>
      <c r="G105" s="9">
        <f>_xll.BQL("JBLU US Equity", "FA_GROWTH(D_AND_A_TO_SALES, YOY)", "FPT=A", "FPO=3A", "ACT_EST_MAPPING=PRECISE", "FS=MRC", "CURRENCY=USD", "XLFILL=b")</f>
        <v>0.27913517009208955</v>
      </c>
      <c r="H105" s="9">
        <f>_xll.BQL("JBLU US Equity", "FA_GROWTH(D_AND_A_TO_SALES, YOY)", "FPT=A", "FPO=2A", "ACT_EST_MAPPING=PRECISE", "FS=MRC", "CURRENCY=USD", "XLFILL=b")</f>
        <v>-5.999777401312055E-2</v>
      </c>
      <c r="I105" s="9">
        <f>_xll.BQL("JBLU US Equity", "FA_GROWTH(D_AND_A_TO_SALES, YOY)", "FPT=A", "FPO=1A", "ACT_EST_MAPPING=PRECISE", "FS=MRC", "CURRENCY=USD", "XLFILL=b")</f>
        <v>8.1905933021791757</v>
      </c>
      <c r="J105" s="9">
        <f>_xll.BQL("JBLU US Equity", "FA_GROWTH(D_AND_A_TO_SALES, YOY)", "FPT=A", "FPO=0A", "ACT_EST_MAPPING=PRECISE", "FS=MRC", "CURRENCY=USD", "XLFILL=b")</f>
        <v>1.1083643345733958</v>
      </c>
      <c r="K105" s="9">
        <f>_xll.BQL("JBLU US Equity", "FA_GROWTH(D_AND_A_TO_SALES, YOY)", "FPT=A", "FPO=-1A", "ACT_EST_MAPPING=PRECISE", "FS=MRC", "CURRENCY=USD", "XLFILL=b")</f>
        <v>-28.58611778408677</v>
      </c>
      <c r="L105" s="9">
        <f>_xll.BQL("JBLU US Equity", "FA_GROWTH(D_AND_A_TO_SALES, YOY)", "FPT=A", "FPO=-2A", "ACT_EST_MAPPING=PRECISE", "FS=MRC", "CURRENCY=USD", "XLFILL=b")</f>
        <v>-50.560948914714402</v>
      </c>
      <c r="M105" s="9">
        <f>_xll.BQL("JBLU US Equity", "FA_GROWTH(D_AND_A_TO_SALES, YOY)", "FPT=A", "FPO=-3A", "ACT_EST_MAPPING=PRECISE", "FS=MRC", "CURRENCY=USD", "XLFILL=b")</f>
        <v>178.93714672206386</v>
      </c>
      <c r="N105" s="9">
        <f>_xll.BQL("JBLU US Equity", "FA_GROWTH(D_AND_A_TO_SALES, YOY)", "FPT=A", "FPO=-4A", "ACT_EST_MAPPING=PRECISE", "FS=MRC", "CURRENCY=USD", "XLFILL=b")</f>
        <v>5.9104035050839272</v>
      </c>
    </row>
    <row r="106" spans="1:14" x14ac:dyDescent="0.2">
      <c r="A106" s="8" t="s">
        <v>109</v>
      </c>
      <c r="B106" s="4" t="s">
        <v>110</v>
      </c>
      <c r="C106" s="4" t="s">
        <v>111</v>
      </c>
      <c r="D106" s="4"/>
      <c r="E106" s="9">
        <f>_xll.BQL("JBLU US Equity", "MAINTENANCE_MATERIALS_REPAIRS/1M", "FPT=A", "FPO=5A", "ACT_EST_MAPPING=PRECISE", "FS=MRC", "CURRENCY=USD", "XLFILL=b")</f>
        <v>665.11457288259169</v>
      </c>
      <c r="F106" s="9">
        <f>_xll.BQL("JBLU US Equity", "MAINTENANCE_MATERIALS_REPAIRS/1M", "FPT=A", "FPO=4A", "ACT_EST_MAPPING=PRECISE", "FS=MRC", "CURRENCY=USD", "XLFILL=b")</f>
        <v>636.35148572769958</v>
      </c>
      <c r="G106" s="9">
        <f>_xll.BQL("JBLU US Equity", "MAINTENANCE_MATERIALS_REPAIRS/1M", "FPT=A", "FPO=3A", "ACT_EST_MAPPING=PRECISE", "FS=MRC", "CURRENCY=USD", "XLFILL=b")</f>
        <v>665.62472288448146</v>
      </c>
      <c r="H106" s="9">
        <f>_xll.BQL("JBLU US Equity", "MAINTENANCE_MATERIALS_REPAIRS/1M", "FPT=A", "FPO=2A", "ACT_EST_MAPPING=PRECISE", "FS=MRC", "CURRENCY=USD", "XLFILL=b")</f>
        <v>646.20497390892228</v>
      </c>
      <c r="I106" s="9">
        <f>_xll.BQL("JBLU US Equity", "MAINTENANCE_MATERIALS_REPAIRS/1M", "FPT=A", "FPO=1A", "ACT_EST_MAPPING=PRECISE", "FS=MRC", "CURRENCY=USD", "XLFILL=b")</f>
        <v>605.4508303631884</v>
      </c>
      <c r="J106" s="9">
        <f>_xll.BQL("JBLU US Equity", "MAINTENANCE_MATERIALS_REPAIRS/1M", "FPT=A", "FPO=0A", "ACT_EST_MAPPING=PRECISE", "FS=MRC", "CURRENCY=USD", "XLFILL=b")</f>
        <v>654</v>
      </c>
      <c r="K106" s="9">
        <f>_xll.BQL("JBLU US Equity", "MAINTENANCE_MATERIALS_REPAIRS/1M", "FPT=A", "FPO=-1A", "ACT_EST_MAPPING=PRECISE", "FS=MRC", "CURRENCY=USD", "XLFILL=b")</f>
        <v>591</v>
      </c>
      <c r="L106" s="9">
        <f>_xll.BQL("JBLU US Equity", "MAINTENANCE_MATERIALS_REPAIRS/1M", "FPT=A", "FPO=-2A", "ACT_EST_MAPPING=PRECISE", "FS=MRC", "CURRENCY=USD", "XLFILL=b")</f>
        <v>626</v>
      </c>
      <c r="M106" s="9">
        <f>_xll.BQL("JBLU US Equity", "MAINTENANCE_MATERIALS_REPAIRS/1M", "FPT=A", "FPO=-3A", "ACT_EST_MAPPING=PRECISE", "FS=MRC", "CURRENCY=USD", "XLFILL=b")</f>
        <v>441</v>
      </c>
      <c r="N106" s="9">
        <f>_xll.BQL("JBLU US Equity", "MAINTENANCE_MATERIALS_REPAIRS/1M", "FPT=A", "FPO=-4A", "ACT_EST_MAPPING=PRECISE", "FS=MRC", "CURRENCY=USD", "XLFILL=b")</f>
        <v>619</v>
      </c>
    </row>
    <row r="107" spans="1:14" x14ac:dyDescent="0.2">
      <c r="A107" s="8" t="s">
        <v>84</v>
      </c>
      <c r="B107" s="4" t="s">
        <v>110</v>
      </c>
      <c r="C107" s="4" t="s">
        <v>111</v>
      </c>
      <c r="D107" s="4"/>
      <c r="E107" s="9">
        <f>_xll.BQL("JBLU US Equity", "FA_GROWTH(MAINTENANCE_MATERIALS_REPAIRS, YOY)", "FPT=A", "FPO=5A", "ACT_EST_MAPPING=PRECISE", "FS=MRC", "CURRENCY=USD", "XLFILL=b")</f>
        <v>4.5200000000000102</v>
      </c>
      <c r="F107" s="9">
        <f>_xll.BQL("JBLU US Equity", "FA_GROWTH(MAINTENANCE_MATERIALS_REPAIRS, YOY)", "FPT=A", "FPO=4A", "ACT_EST_MAPPING=PRECISE", "FS=MRC", "CURRENCY=USD", "XLFILL=b")</f>
        <v>-4.3978590563653288</v>
      </c>
      <c r="G107" s="9">
        <f>_xll.BQL("JBLU US Equity", "FA_GROWTH(MAINTENANCE_MATERIALS_REPAIRS, YOY)", "FPT=A", "FPO=3A", "ACT_EST_MAPPING=PRECISE", "FS=MRC", "CURRENCY=USD", "XLFILL=b")</f>
        <v>3.0051995511715424</v>
      </c>
      <c r="H107" s="9">
        <f>_xll.BQL("JBLU US Equity", "FA_GROWTH(MAINTENANCE_MATERIALS_REPAIRS, YOY)", "FPT=A", "FPO=2A", "ACT_EST_MAPPING=PRECISE", "FS=MRC", "CURRENCY=USD", "XLFILL=b")</f>
        <v>6.7312061528244946</v>
      </c>
      <c r="I107" s="9">
        <f>_xll.BQL("JBLU US Equity", "FA_GROWTH(MAINTENANCE_MATERIALS_REPAIRS, YOY)", "FPT=A", "FPO=1A", "ACT_EST_MAPPING=PRECISE", "FS=MRC", "CURRENCY=USD", "XLFILL=b")</f>
        <v>-7.4234204337632441</v>
      </c>
      <c r="J107" s="9">
        <f>_xll.BQL("JBLU US Equity", "FA_GROWTH(MAINTENANCE_MATERIALS_REPAIRS, YOY)", "FPT=A", "FPO=0A", "ACT_EST_MAPPING=PRECISE", "FS=MRC", "CURRENCY=USD", "XLFILL=b")</f>
        <v>10.659898477157361</v>
      </c>
      <c r="K107" s="9">
        <f>_xll.BQL("JBLU US Equity", "FA_GROWTH(MAINTENANCE_MATERIALS_REPAIRS, YOY)", "FPT=A", "FPO=-1A", "ACT_EST_MAPPING=PRECISE", "FS=MRC", "CURRENCY=USD", "XLFILL=b")</f>
        <v>-5.5910543130990416</v>
      </c>
      <c r="L107" s="9">
        <f>_xll.BQL("JBLU US Equity", "FA_GROWTH(MAINTENANCE_MATERIALS_REPAIRS, YOY)", "FPT=A", "FPO=-2A", "ACT_EST_MAPPING=PRECISE", "FS=MRC", "CURRENCY=USD", "XLFILL=b")</f>
        <v>41.950113378684804</v>
      </c>
      <c r="M107" s="9">
        <f>_xll.BQL("JBLU US Equity", "FA_GROWTH(MAINTENANCE_MATERIALS_REPAIRS, YOY)", "FPT=A", "FPO=-3A", "ACT_EST_MAPPING=PRECISE", "FS=MRC", "CURRENCY=USD", "XLFILL=b")</f>
        <v>-28.75605815831987</v>
      </c>
      <c r="N107" s="9">
        <f>_xll.BQL("JBLU US Equity", "FA_GROWTH(MAINTENANCE_MATERIALS_REPAIRS, YOY)", "FPT=A", "FPO=-4A", "ACT_EST_MAPPING=PRECISE", "FS=MRC", "CURRENCY=USD", "XLFILL=b")</f>
        <v>-0.96</v>
      </c>
    </row>
    <row r="108" spans="1:14" x14ac:dyDescent="0.2">
      <c r="A108" s="8" t="s">
        <v>94</v>
      </c>
      <c r="B108" s="4" t="s">
        <v>112</v>
      </c>
      <c r="C108" s="4"/>
      <c r="D108" s="4"/>
      <c r="E108" s="9">
        <f>_xll.BQL("JBLU US Equity", "AIRLINE_MAINTENANCE_PCT_SALES", "FPT=A", "FPO=5A", "ACT_EST_MAPPING=PRECISE", "FS=MRC", "CURRENCY=USD", "XLFILL=b")</f>
        <v>5.952483741950866</v>
      </c>
      <c r="F108" s="9">
        <f>_xll.BQL("JBLU US Equity", "AIRLINE_MAINTENANCE_PCT_SALES", "FPT=A", "FPO=4A", "ACT_EST_MAPPING=PRECISE", "FS=MRC", "CURRENCY=USD", "XLFILL=b")</f>
        <v>5.9037910502016642</v>
      </c>
      <c r="G108" s="9">
        <f>_xll.BQL("JBLU US Equity", "AIRLINE_MAINTENANCE_PCT_SALES", "FPT=A", "FPO=3A", "ACT_EST_MAPPING=PRECISE", "FS=MRC", "CURRENCY=USD", "XLFILL=b")</f>
        <v>6.6973484376484436</v>
      </c>
      <c r="H108" s="9">
        <f>_xll.BQL("JBLU US Equity", "AIRLINE_MAINTENANCE_PCT_SALES", "FPT=A", "FPO=2A", "ACT_EST_MAPPING=PRECISE", "FS=MRC", "CURRENCY=USD", "XLFILL=b")</f>
        <v>6.9443854825263509</v>
      </c>
      <c r="I108" s="9">
        <f>_xll.BQL("JBLU US Equity", "AIRLINE_MAINTENANCE_PCT_SALES", "FPT=A", "FPO=1A", "ACT_EST_MAPPING=PRECISE", "FS=MRC", "CURRENCY=USD", "XLFILL=b")</f>
        <v>6.6363548775807146</v>
      </c>
      <c r="J108" s="9">
        <f>_xll.BQL("JBLU US Equity", "AIRLINE_MAINTENANCE_PCT_SALES", "FPT=A", "FPO=0A", "ACT_EST_MAPPING=PRECISE", "FS=MRC", "CURRENCY=USD", "XLFILL=b")</f>
        <v>6.8018720748829944</v>
      </c>
      <c r="K108" s="9">
        <f>_xll.BQL("JBLU US Equity", "AIRLINE_MAINTENANCE_PCT_SALES", "FPT=A", "FPO=-1A", "ACT_EST_MAPPING=PRECISE", "FS=MRC", "CURRENCY=USD", "XLFILL=b")</f>
        <v>6.4533740991482862</v>
      </c>
      <c r="L108" s="9">
        <f>_xll.BQL("JBLU US Equity", "AIRLINE_MAINTENANCE_PCT_SALES", "FPT=A", "FPO=-2A", "ACT_EST_MAPPING=PRECISE", "FS=MRC", "CURRENCY=USD", "XLFILL=b")</f>
        <v>10.369388769256254</v>
      </c>
      <c r="M108" s="9">
        <f>_xll.BQL("JBLU US Equity", "AIRLINE_MAINTENANCE_PCT_SALES", "FPT=A", "FPO=-3A", "ACT_EST_MAPPING=PRECISE", "FS=MRC", "CURRENCY=USD", "XLFILL=b")</f>
        <v>14.913763949949274</v>
      </c>
      <c r="N108" s="9">
        <f>_xll.BQL("JBLU US Equity", "AIRLINE_MAINTENANCE_PCT_SALES", "FPT=A", "FPO=-4A", "ACT_EST_MAPPING=PRECISE", "FS=MRC", "CURRENCY=USD", "XLFILL=b")</f>
        <v>7.6476402273288864</v>
      </c>
    </row>
    <row r="109" spans="1:14" x14ac:dyDescent="0.2">
      <c r="A109" s="8" t="s">
        <v>96</v>
      </c>
      <c r="B109" s="4" t="s">
        <v>112</v>
      </c>
      <c r="C109" s="4"/>
      <c r="D109" s="4"/>
      <c r="E109" s="9">
        <f>_xll.BQL("JBLU US Equity", "FA_GROWTH(AIRLINE_MAINTENANCE_PCT_SALES, YOY)", "FPT=A", "FPO=5A", "ACT_EST_MAPPING=PRECISE", "FS=MRC", "CURRENCY=USD", "XLFILL=b")</f>
        <v>0.82476990352730406</v>
      </c>
      <c r="F109" s="9">
        <f>_xll.BQL("JBLU US Equity", "FA_GROWTH(AIRLINE_MAINTENANCE_PCT_SALES, YOY)", "FPT=A", "FPO=4A", "ACT_EST_MAPPING=PRECISE", "FS=MRC", "CURRENCY=USD", "XLFILL=b")</f>
        <v>-11.848829351417338</v>
      </c>
      <c r="G109" s="9">
        <f>_xll.BQL("JBLU US Equity", "FA_GROWTH(AIRLINE_MAINTENANCE_PCT_SALES, YOY)", "FPT=A", "FPO=3A", "ACT_EST_MAPPING=PRECISE", "FS=MRC", "CURRENCY=USD", "XLFILL=b")</f>
        <v>-3.5573636500955854</v>
      </c>
      <c r="H109" s="9">
        <f>_xll.BQL("JBLU US Equity", "FA_GROWTH(AIRLINE_MAINTENANCE_PCT_SALES, YOY)", "FPT=A", "FPO=2A", "ACT_EST_MAPPING=PRECISE", "FS=MRC", "CURRENCY=USD", "XLFILL=b")</f>
        <v>4.6415631868368221</v>
      </c>
      <c r="I109" s="9">
        <f>_xll.BQL("JBLU US Equity", "FA_GROWTH(AIRLINE_MAINTENANCE_PCT_SALES, YOY)", "FPT=A", "FPO=1A", "ACT_EST_MAPPING=PRECISE", "FS=MRC", "CURRENCY=USD", "XLFILL=b")</f>
        <v>-2.4334065016229665</v>
      </c>
      <c r="J109" s="9">
        <f>_xll.BQL("JBLU US Equity", "FA_GROWTH(AIRLINE_MAINTENANCE_PCT_SALES, YOY)", "FPT=A", "FPO=0A", "ACT_EST_MAPPING=PRECISE", "FS=MRC", "CURRENCY=USD", "XLFILL=b")</f>
        <v>5.400244436173363</v>
      </c>
      <c r="K109" s="9">
        <f>_xll.BQL("JBLU US Equity", "FA_GROWTH(AIRLINE_MAINTENANCE_PCT_SALES, YOY)", "FPT=A", "FPO=-1A", "ACT_EST_MAPPING=PRECISE", "FS=MRC", "CURRENCY=USD", "XLFILL=b")</f>
        <v>-37.765144670034822</v>
      </c>
      <c r="L109" s="9">
        <f>_xll.BQL("JBLU US Equity", "FA_GROWTH(AIRLINE_MAINTENANCE_PCT_SALES, YOY)", "FPT=A", "FPO=-2A", "ACT_EST_MAPPING=PRECISE", "FS=MRC", "CURRENCY=USD", "XLFILL=b")</f>
        <v>-30.471014533581087</v>
      </c>
      <c r="M109" s="9">
        <f>_xll.BQL("JBLU US Equity", "FA_GROWTH(AIRLINE_MAINTENANCE_PCT_SALES, YOY)", "FPT=A", "FPO=-3A", "ACT_EST_MAPPING=PRECISE", "FS=MRC", "CURRENCY=USD", "XLFILL=b")</f>
        <v>95.011317303537012</v>
      </c>
      <c r="N109" s="9">
        <f>_xll.BQL("JBLU US Equity", "FA_GROWTH(AIRLINE_MAINTENANCE_PCT_SALES, YOY)", "FPT=A", "FPO=-4A", "ACT_EST_MAPPING=PRECISE", "FS=MRC", "CURRENCY=USD", "XLFILL=b")</f>
        <v>-6.2949938225846163</v>
      </c>
    </row>
    <row r="110" spans="1:14" x14ac:dyDescent="0.2">
      <c r="A110" s="8" t="s">
        <v>113</v>
      </c>
      <c r="B110" s="4" t="s">
        <v>114</v>
      </c>
      <c r="C110" s="4" t="s">
        <v>115</v>
      </c>
      <c r="D110" s="4"/>
      <c r="E110" s="9">
        <f>_xll.BQL("JBLU US Equity", "AIRCRAFT_RENTALS/1M", "FPT=A", "FPO=5A", "ACT_EST_MAPPING=PRECISE", "FS=MRC", "CURRENCY=USD", "XLFILL=b")</f>
        <v>119.39049651539111</v>
      </c>
      <c r="F110" s="9">
        <f>_xll.BQL("JBLU US Equity", "AIRCRAFT_RENTALS/1M", "FPT=A", "FPO=4A", "ACT_EST_MAPPING=PRECISE", "FS=MRC", "CURRENCY=USD", "XLFILL=b")</f>
        <v>113.66193499180417</v>
      </c>
      <c r="G110" s="9">
        <f>_xll.BQL("JBLU US Equity", "AIRCRAFT_RENTALS/1M", "FPT=A", "FPO=3A", "ACT_EST_MAPPING=PRECISE", "FS=MRC", "CURRENCY=USD", "XLFILL=b")</f>
        <v>114.51452999736991</v>
      </c>
      <c r="H110" s="9">
        <f>_xll.BQL("JBLU US Equity", "AIRCRAFT_RENTALS/1M", "FPT=A", "FPO=2A", "ACT_EST_MAPPING=PRECISE", "FS=MRC", "CURRENCY=USD", "XLFILL=b")</f>
        <v>113.62864646209376</v>
      </c>
      <c r="I110" s="9">
        <f>_xll.BQL("JBLU US Equity", "AIRCRAFT_RENTALS/1M", "FPT=A", "FPO=1A", "ACT_EST_MAPPING=PRECISE", "FS=MRC", "CURRENCY=USD", "XLFILL=b")</f>
        <v>111.0571763526286</v>
      </c>
      <c r="J110" s="9">
        <f>_xll.BQL("JBLU US Equity", "AIRCRAFT_RENTALS/1M", "FPT=A", "FPO=0A", "ACT_EST_MAPPING=PRECISE", "FS=MRC", "CURRENCY=USD", "XLFILL=b")</f>
        <v>126</v>
      </c>
      <c r="K110" s="9">
        <f>_xll.BQL("JBLU US Equity", "AIRCRAFT_RENTALS/1M", "FPT=A", "FPO=-1A", "ACT_EST_MAPPING=PRECISE", "FS=MRC", "CURRENCY=USD", "XLFILL=b")</f>
        <v>114</v>
      </c>
      <c r="L110" s="9">
        <f>_xll.BQL("JBLU US Equity", "AIRCRAFT_RENTALS/1M", "FPT=A", "FPO=-2A", "ACT_EST_MAPPING=PRECISE", "FS=MRC", "CURRENCY=USD", "XLFILL=b")</f>
        <v>99</v>
      </c>
      <c r="M110" s="9">
        <f>_xll.BQL("JBLU US Equity", "AIRCRAFT_RENTALS/1M", "FPT=A", "FPO=-3A", "ACT_EST_MAPPING=PRECISE", "FS=MRC", "CURRENCY=USD", "XLFILL=b")</f>
        <v>85</v>
      </c>
      <c r="N110" s="9">
        <f>_xll.BQL("JBLU US Equity", "AIRCRAFT_RENTALS/1M", "FPT=A", "FPO=-4A", "ACT_EST_MAPPING=PRECISE", "FS=MRC", "CURRENCY=USD", "XLFILL=b")</f>
        <v>99</v>
      </c>
    </row>
    <row r="111" spans="1:14" x14ac:dyDescent="0.2">
      <c r="A111" s="8" t="s">
        <v>84</v>
      </c>
      <c r="B111" s="4" t="s">
        <v>114</v>
      </c>
      <c r="C111" s="4" t="s">
        <v>115</v>
      </c>
      <c r="D111" s="4"/>
      <c r="E111" s="9">
        <f>_xll.BQL("JBLU US Equity", "FA_GROWTH(AIRCRAFT_RENTALS, YOY)", "FPT=A", "FPO=5A", "ACT_EST_MAPPING=PRECISE", "FS=MRC", "CURRENCY=USD", "XLFILL=b")</f>
        <v>5.0400000000000116</v>
      </c>
      <c r="F111" s="9">
        <f>_xll.BQL("JBLU US Equity", "FA_GROWTH(AIRCRAFT_RENTALS, YOY)", "FPT=A", "FPO=4A", "ACT_EST_MAPPING=PRECISE", "FS=MRC", "CURRENCY=USD", "XLFILL=b")</f>
        <v>-0.74452997849732661</v>
      </c>
      <c r="G111" s="9">
        <f>_xll.BQL("JBLU US Equity", "FA_GROWTH(AIRCRAFT_RENTALS, YOY)", "FPT=A", "FPO=3A", "ACT_EST_MAPPING=PRECISE", "FS=MRC", "CURRENCY=USD", "XLFILL=b")</f>
        <v>0.77963045663108677</v>
      </c>
      <c r="H111" s="9">
        <f>_xll.BQL("JBLU US Equity", "FA_GROWTH(AIRCRAFT_RENTALS, YOY)", "FPT=A", "FPO=2A", "ACT_EST_MAPPING=PRECISE", "FS=MRC", "CURRENCY=USD", "XLFILL=b")</f>
        <v>2.3154470462135861</v>
      </c>
      <c r="I111" s="9">
        <f>_xll.BQL("JBLU US Equity", "FA_GROWTH(AIRCRAFT_RENTALS, YOY)", "FPT=A", "FPO=1A", "ACT_EST_MAPPING=PRECISE", "FS=MRC", "CURRENCY=USD", "XLFILL=b")</f>
        <v>-11.859383847120156</v>
      </c>
      <c r="J111" s="9">
        <f>_xll.BQL("JBLU US Equity", "FA_GROWTH(AIRCRAFT_RENTALS, YOY)", "FPT=A", "FPO=0A", "ACT_EST_MAPPING=PRECISE", "FS=MRC", "CURRENCY=USD", "XLFILL=b")</f>
        <v>10.526315789473685</v>
      </c>
      <c r="K111" s="9">
        <f>_xll.BQL("JBLU US Equity", "FA_GROWTH(AIRCRAFT_RENTALS, YOY)", "FPT=A", "FPO=-1A", "ACT_EST_MAPPING=PRECISE", "FS=MRC", "CURRENCY=USD", "XLFILL=b")</f>
        <v>15.151515151515152</v>
      </c>
      <c r="L111" s="9">
        <f>_xll.BQL("JBLU US Equity", "FA_GROWTH(AIRCRAFT_RENTALS, YOY)", "FPT=A", "FPO=-2A", "ACT_EST_MAPPING=PRECISE", "FS=MRC", "CURRENCY=USD", "XLFILL=b")</f>
        <v>16.470588235294116</v>
      </c>
      <c r="M111" s="9">
        <f>_xll.BQL("JBLU US Equity", "FA_GROWTH(AIRCRAFT_RENTALS, YOY)", "FPT=A", "FPO=-3A", "ACT_EST_MAPPING=PRECISE", "FS=MRC", "CURRENCY=USD", "XLFILL=b")</f>
        <v>-14.141414141414142</v>
      </c>
      <c r="N111" s="9">
        <f>_xll.BQL("JBLU US Equity", "FA_GROWTH(AIRCRAFT_RENTALS, YOY)", "FPT=A", "FPO=-4A", "ACT_EST_MAPPING=PRECISE", "FS=MRC", "CURRENCY=USD", "XLFILL=b")</f>
        <v>-4.8076923076923075</v>
      </c>
    </row>
    <row r="112" spans="1:14" x14ac:dyDescent="0.2">
      <c r="A112" s="8" t="s">
        <v>94</v>
      </c>
      <c r="B112" s="4" t="s">
        <v>116</v>
      </c>
      <c r="C112" s="4"/>
      <c r="D112" s="4"/>
      <c r="E112" s="9">
        <f>_xll.BQL("JBLU US Equity", "AIRCRAFT_RENTALS_PCT_SALES", "FPT=A", "FPO=5A", "ACT_EST_MAPPING=PRECISE", "FS=MRC", "CURRENCY=USD", "XLFILL=b")</f>
        <v>1.0684925852267517</v>
      </c>
      <c r="F112" s="9">
        <f>_xll.BQL("JBLU US Equity", "AIRCRAFT_RENTALS_PCT_SALES", "FPT=A", "FPO=4A", "ACT_EST_MAPPING=PRECISE", "FS=MRC", "CURRENCY=USD", "XLFILL=b")</f>
        <v>1.0545057717369097</v>
      </c>
      <c r="G112" s="9">
        <f>_xll.BQL("JBLU US Equity", "AIRCRAFT_RENTALS_PCT_SALES", "FPT=A", "FPO=3A", "ACT_EST_MAPPING=PRECISE", "FS=MRC", "CURRENCY=USD", "XLFILL=b")</f>
        <v>1.1962234657288628</v>
      </c>
      <c r="H112" s="9">
        <f>_xll.BQL("JBLU US Equity", "AIRCRAFT_RENTALS_PCT_SALES", "FPT=A", "FPO=2A", "ACT_EST_MAPPING=PRECISE", "FS=MRC", "CURRENCY=USD", "XLFILL=b")</f>
        <v>1.1942983527151161</v>
      </c>
      <c r="I112" s="9">
        <f>_xll.BQL("JBLU US Equity", "AIRCRAFT_RENTALS_PCT_SALES", "FPT=A", "FPO=1A", "ACT_EST_MAPPING=PRECISE", "FS=MRC", "CURRENCY=USD", "XLFILL=b")</f>
        <v>1.1922418076184944</v>
      </c>
      <c r="J112" s="9">
        <f>_xll.BQL("JBLU US Equity", "AIRCRAFT_RENTALS_PCT_SALES", "FPT=A", "FPO=0A", "ACT_EST_MAPPING=PRECISE", "FS=MRC", "CURRENCY=USD", "XLFILL=b")</f>
        <v>1.3104524180967239</v>
      </c>
      <c r="K112" s="9">
        <f>_xll.BQL("JBLU US Equity", "AIRCRAFT_RENTALS_PCT_SALES", "FPT=A", "FPO=-1A", "ACT_EST_MAPPING=PRECISE", "FS=MRC", "CURRENCY=USD", "XLFILL=b")</f>
        <v>1.2448132780082988</v>
      </c>
      <c r="L112" s="9">
        <f>_xll.BQL("JBLU US Equity", "AIRCRAFT_RENTALS_PCT_SALES", "FPT=A", "FPO=-2A", "ACT_EST_MAPPING=PRECISE", "FS=MRC", "CURRENCY=USD", "XLFILL=b")</f>
        <v>1.6398873612721552</v>
      </c>
      <c r="M112" s="9">
        <f>_xll.BQL("JBLU US Equity", "AIRCRAFT_RENTALS_PCT_SALES", "FPT=A", "FPO=-3A", "ACT_EST_MAPPING=PRECISE", "FS=MRC", "CURRENCY=USD", "XLFILL=b")</f>
        <v>2.8745350016909028</v>
      </c>
      <c r="N112" s="9">
        <f>_xll.BQL("JBLU US Equity", "AIRCRAFT_RENTALS_PCT_SALES", "FPT=A", "FPO=-4A", "ACT_EST_MAPPING=PRECISE", "FS=MRC", "CURRENCY=USD", "XLFILL=b")</f>
        <v>1.223128243143069</v>
      </c>
    </row>
    <row r="113" spans="1:14" x14ac:dyDescent="0.2">
      <c r="A113" s="8" t="s">
        <v>96</v>
      </c>
      <c r="B113" s="4" t="s">
        <v>116</v>
      </c>
      <c r="C113" s="4"/>
      <c r="D113" s="4"/>
      <c r="E113" s="9">
        <f>_xll.BQL("JBLU US Equity", "FA_GROWTH(AIRCRAFT_RENTALS_PCT_SALES, YOY)", "FPT=A", "FPO=5A", "ACT_EST_MAPPING=PRECISE", "FS=MRC", "CURRENCY=USD", "XLFILL=b")</f>
        <v>1.326385674191604</v>
      </c>
      <c r="F113" s="9">
        <f>_xll.BQL("JBLU US Equity", "FA_GROWTH(AIRCRAFT_RENTALS_PCT_SALES, YOY)", "FPT=A", "FPO=4A", "ACT_EST_MAPPING=PRECISE", "FS=MRC", "CURRENCY=USD", "XLFILL=b")</f>
        <v>-11.847091956652434</v>
      </c>
      <c r="G113" s="9">
        <f>_xll.BQL("JBLU US Equity", "FA_GROWTH(AIRCRAFT_RENTALS_PCT_SALES, YOY)", "FPT=A", "FPO=3A", "ACT_EST_MAPPING=PRECISE", "FS=MRC", "CURRENCY=USD", "XLFILL=b")</f>
        <v>0.16119196759923604</v>
      </c>
      <c r="H113" s="9">
        <f>_xll.BQL("JBLU US Equity", "FA_GROWTH(AIRCRAFT_RENTALS_PCT_SALES, YOY)", "FPT=A", "FPO=2A", "ACT_EST_MAPPING=PRECISE", "FS=MRC", "CURRENCY=USD", "XLFILL=b")</f>
        <v>0.17249395915159435</v>
      </c>
      <c r="I113" s="9">
        <f>_xll.BQL("JBLU US Equity", "FA_GROWTH(AIRCRAFT_RENTALS_PCT_SALES, YOY)", "FPT=A", "FPO=1A", "ACT_EST_MAPPING=PRECISE", "FS=MRC", "CURRENCY=USD", "XLFILL=b")</f>
        <v>-9.0205953948267936</v>
      </c>
      <c r="J113" s="9">
        <f>_xll.BQL("JBLU US Equity", "FA_GROWTH(AIRCRAFT_RENTALS_PCT_SALES, YOY)", "FPT=A", "FPO=0A", "ACT_EST_MAPPING=PRECISE", "FS=MRC", "CURRENCY=USD", "XLFILL=b")</f>
        <v>5.273010920436815</v>
      </c>
      <c r="K113" s="9">
        <f>_xll.BQL("JBLU US Equity", "FA_GROWTH(AIRCRAFT_RENTALS_PCT_SALES, YOY)", "FPT=A", "FPO=-1A", "ACT_EST_MAPPING=PRECISE", "FS=MRC", "CURRENCY=USD", "XLFILL=b")</f>
        <v>-24.091537784483851</v>
      </c>
      <c r="L113" s="9">
        <f>_xll.BQL("JBLU US Equity", "FA_GROWTH(AIRCRAFT_RENTALS_PCT_SALES, YOY)", "FPT=A", "FPO=-2A", "ACT_EST_MAPPING=PRECISE", "FS=MRC", "CURRENCY=USD", "XLFILL=b")</f>
        <v>-42.951212620214548</v>
      </c>
      <c r="M113" s="9">
        <f>_xll.BQL("JBLU US Equity", "FA_GROWTH(AIRCRAFT_RENTALS_PCT_SALES, YOY)", "FPT=A", "FPO=-3A", "ACT_EST_MAPPING=PRECISE", "FS=MRC", "CURRENCY=USD", "XLFILL=b")</f>
        <v>135.01501316854714</v>
      </c>
      <c r="N113" s="9">
        <f>_xll.BQL("JBLU US Equity", "FA_GROWTH(AIRCRAFT_RENTALS_PCT_SALES, YOY)", "FPT=A", "FPO=-4A", "ACT_EST_MAPPING=PRECISE", "FS=MRC", "CURRENCY=USD", "XLFILL=b")</f>
        <v>-9.93542225009978</v>
      </c>
    </row>
    <row r="114" spans="1:14" x14ac:dyDescent="0.2">
      <c r="A114" s="8" t="s">
        <v>117</v>
      </c>
      <c r="B114" s="4" t="s">
        <v>118</v>
      </c>
      <c r="C114" s="4" t="s">
        <v>119</v>
      </c>
      <c r="D114" s="4"/>
      <c r="E114" s="9">
        <f>_xll.BQL("JBLU US Equity", "IS_SELLING_EXPENSES/1M", "FPT=A", "FPO=5A", "ACT_EST_MAPPING=PRECISE", "FS=MRC", "CURRENCY=USD", "XLFILL=b")</f>
        <v>365.50078894321399</v>
      </c>
      <c r="F114" s="9">
        <f>_xll.BQL("JBLU US Equity", "IS_SELLING_EXPENSES/1M", "FPT=A", "FPO=4A", "ACT_EST_MAPPING=PRECISE", "FS=MRC", "CURRENCY=USD", "XLFILL=b")</f>
        <v>354.99299625409276</v>
      </c>
      <c r="G114" s="9">
        <f>_xll.BQL("JBLU US Equity", "IS_SELLING_EXPENSES/1M", "FPT=A", "FPO=3A", "ACT_EST_MAPPING=PRECISE", "FS=MRC", "CURRENCY=USD", "XLFILL=b")</f>
        <v>341.10855297406971</v>
      </c>
      <c r="H114" s="9">
        <f>_xll.BQL("JBLU US Equity", "IS_SELLING_EXPENSES/1M", "FPT=A", "FPO=2A", "ACT_EST_MAPPING=PRECISE", "FS=MRC", "CURRENCY=USD", "XLFILL=b")</f>
        <v>330.94622360527961</v>
      </c>
      <c r="I114" s="9">
        <f>_xll.BQL("JBLU US Equity", "IS_SELLING_EXPENSES/1M", "FPT=A", "FPO=1A", "ACT_EST_MAPPING=PRECISE", "FS=MRC", "CURRENCY=USD", "XLFILL=b")</f>
        <v>324.43289196165688</v>
      </c>
      <c r="J114" s="9">
        <f>_xll.BQL("JBLU US Equity", "IS_SELLING_EXPENSES/1M", "FPT=A", "FPO=0A", "ACT_EST_MAPPING=PRECISE", "FS=MRC", "CURRENCY=USD", "XLFILL=b")</f>
        <v>316</v>
      </c>
      <c r="K114" s="9">
        <f>_xll.BQL("JBLU US Equity", "IS_SELLING_EXPENSES/1M", "FPT=A", "FPO=-1A", "ACT_EST_MAPPING=PRECISE", "FS=MRC", "CURRENCY=USD", "XLFILL=b")</f>
        <v>289</v>
      </c>
      <c r="L114" s="9">
        <f>_xll.BQL("JBLU US Equity", "IS_SELLING_EXPENSES/1M", "FPT=A", "FPO=-2A", "ACT_EST_MAPPING=PRECISE", "FS=MRC", "CURRENCY=USD", "XLFILL=b")</f>
        <v>183</v>
      </c>
      <c r="M114" s="9">
        <f>_xll.BQL("JBLU US Equity", "IS_SELLING_EXPENSES/1M", "FPT=A", "FPO=-3A", "ACT_EST_MAPPING=PRECISE", "FS=MRC", "CURRENCY=USD", "XLFILL=b")</f>
        <v>110</v>
      </c>
      <c r="N114" s="9">
        <f>_xll.BQL("JBLU US Equity", "IS_SELLING_EXPENSES/1M", "FPT=A", "FPO=-4A", "ACT_EST_MAPPING=PRECISE", "FS=MRC", "CURRENCY=USD", "XLFILL=b")</f>
        <v>290</v>
      </c>
    </row>
    <row r="115" spans="1:14" x14ac:dyDescent="0.2">
      <c r="A115" s="8" t="s">
        <v>84</v>
      </c>
      <c r="B115" s="4" t="s">
        <v>118</v>
      </c>
      <c r="C115" s="4" t="s">
        <v>119</v>
      </c>
      <c r="D115" s="4"/>
      <c r="E115" s="9">
        <f>_xll.BQL("JBLU US Equity", "FA_GROWTH(IS_SELLING_EXPENSES, YOY)", "FPT=A", "FPO=5A", "ACT_EST_MAPPING=PRECISE", "FS=MRC", "CURRENCY=USD", "XLFILL=b")</f>
        <v>2.9600000000000284</v>
      </c>
      <c r="F115" s="9">
        <f>_xll.BQL("JBLU US Equity", "FA_GROWTH(IS_SELLING_EXPENSES, YOY)", "FPT=A", "FPO=4A", "ACT_EST_MAPPING=PRECISE", "FS=MRC", "CURRENCY=USD", "XLFILL=b")</f>
        <v>4.0703884903989795</v>
      </c>
      <c r="G115" s="9">
        <f>_xll.BQL("JBLU US Equity", "FA_GROWTH(IS_SELLING_EXPENSES, YOY)", "FPT=A", "FPO=3A", "ACT_EST_MAPPING=PRECISE", "FS=MRC", "CURRENCY=USD", "XLFILL=b")</f>
        <v>3.0706890255713342</v>
      </c>
      <c r="H115" s="9">
        <f>_xll.BQL("JBLU US Equity", "FA_GROWTH(IS_SELLING_EXPENSES, YOY)", "FPT=A", "FPO=2A", "ACT_EST_MAPPING=PRECISE", "FS=MRC", "CURRENCY=USD", "XLFILL=b")</f>
        <v>2.0076052105076125</v>
      </c>
      <c r="I115" s="9">
        <f>_xll.BQL("JBLU US Equity", "FA_GROWTH(IS_SELLING_EXPENSES, YOY)", "FPT=A", "FPO=1A", "ACT_EST_MAPPING=PRECISE", "FS=MRC", "CURRENCY=USD", "XLFILL=b")</f>
        <v>2.6686366967268573</v>
      </c>
      <c r="J115" s="9">
        <f>_xll.BQL("JBLU US Equity", "FA_GROWTH(IS_SELLING_EXPENSES, YOY)", "FPT=A", "FPO=0A", "ACT_EST_MAPPING=PRECISE", "FS=MRC", "CURRENCY=USD", "XLFILL=b")</f>
        <v>9.3425605536332181</v>
      </c>
      <c r="K115" s="9">
        <f>_xll.BQL("JBLU US Equity", "FA_GROWTH(IS_SELLING_EXPENSES, YOY)", "FPT=A", "FPO=-1A", "ACT_EST_MAPPING=PRECISE", "FS=MRC", "CURRENCY=USD", "XLFILL=b")</f>
        <v>57.923497267759565</v>
      </c>
      <c r="L115" s="9">
        <f>_xll.BQL("JBLU US Equity", "FA_GROWTH(IS_SELLING_EXPENSES, YOY)", "FPT=A", "FPO=-2A", "ACT_EST_MAPPING=PRECISE", "FS=MRC", "CURRENCY=USD", "XLFILL=b")</f>
        <v>66.36363636363636</v>
      </c>
      <c r="M115" s="9">
        <f>_xll.BQL("JBLU US Equity", "FA_GROWTH(IS_SELLING_EXPENSES, YOY)", "FPT=A", "FPO=-3A", "ACT_EST_MAPPING=PRECISE", "FS=MRC", "CURRENCY=USD", "XLFILL=b")</f>
        <v>-62.068965517241381</v>
      </c>
      <c r="N115" s="9">
        <f>_xll.BQL("JBLU US Equity", "FA_GROWTH(IS_SELLING_EXPENSES, YOY)", "FPT=A", "FPO=-4A", "ACT_EST_MAPPING=PRECISE", "FS=MRC", "CURRENCY=USD", "XLFILL=b")</f>
        <v>-1.3605442176870748</v>
      </c>
    </row>
    <row r="116" spans="1:14" x14ac:dyDescent="0.2">
      <c r="A116" s="8" t="s">
        <v>120</v>
      </c>
      <c r="B116" s="4" t="s">
        <v>121</v>
      </c>
      <c r="C116" s="4" t="s">
        <v>122</v>
      </c>
      <c r="D116" s="4"/>
      <c r="E116" s="9">
        <f>_xll.BQL("JBLU US Equity", "CB_IS_OTHER_OPEX/1M", "FPT=A", "FPO=5A", "ACT_EST_MAPPING=PRECISE", "FS=MRC", "CURRENCY=USD", "XLFILL=b")</f>
        <v>1660.8201234245532</v>
      </c>
      <c r="F116" s="9">
        <f>_xll.BQL("JBLU US Equity", "CB_IS_OTHER_OPEX/1M", "FPT=A", "FPO=4A", "ACT_EST_MAPPING=PRECISE", "FS=MRC", "CURRENCY=USD", "XLFILL=b")</f>
        <v>1604.9672626831784</v>
      </c>
      <c r="G116" s="9">
        <f>_xll.BQL("JBLU US Equity", "CB_IS_OTHER_OPEX/1M", "FPT=A", "FPO=3A", "ACT_EST_MAPPING=PRECISE", "FS=MRC", "CURRENCY=USD", "XLFILL=b")</f>
        <v>1595.0605386626828</v>
      </c>
      <c r="H116" s="9">
        <f>_xll.BQL("JBLU US Equity", "CB_IS_OTHER_OPEX/1M", "FPT=A", "FPO=2A", "ACT_EST_MAPPING=PRECISE", "FS=MRC", "CURRENCY=USD", "XLFILL=b")</f>
        <v>1521.3956530630678</v>
      </c>
      <c r="I116" s="9">
        <f>_xll.BQL("JBLU US Equity", "CB_IS_OTHER_OPEX/1M", "FPT=A", "FPO=1A", "ACT_EST_MAPPING=PRECISE", "FS=MRC", "CURRENCY=USD", "XLFILL=b")</f>
        <v>1472.5255643417379</v>
      </c>
      <c r="J116" s="9">
        <f>_xll.BQL("JBLU US Equity", "CB_IS_OTHER_OPEX/1M", "FPT=A", "FPO=0A", "ACT_EST_MAPPING=PRECISE", "FS=MRC", "CURRENCY=USD", "XLFILL=b")</f>
        <v>1499</v>
      </c>
      <c r="K116" s="9">
        <f>_xll.BQL("JBLU US Equity", "CB_IS_OTHER_OPEX/1M", "FPT=A", "FPO=-1A", "ACT_EST_MAPPING=PRECISE", "FS=MRC", "CURRENCY=USD", "XLFILL=b")</f>
        <v>1368</v>
      </c>
      <c r="L116" s="9">
        <f>_xll.BQL("JBLU US Equity", "CB_IS_OTHER_OPEX/1M", "FPT=A", "FPO=-2A", "ACT_EST_MAPPING=PRECISE", "FS=MRC", "CURRENCY=USD", "XLFILL=b")</f>
        <v>1080</v>
      </c>
      <c r="M116" s="9">
        <f>_xll.BQL("JBLU US Equity", "CB_IS_OTHER_OPEX/1M", "FPT=A", "FPO=-3A", "ACT_EST_MAPPING=PRECISE", "FS=MRC", "CURRENCY=USD", "XLFILL=b")</f>
        <v>762</v>
      </c>
      <c r="N116" s="9">
        <f>_xll.BQL("JBLU US Equity", "CB_IS_OTHER_OPEX/1M", "FPT=A", "FPO=-4A", "ACT_EST_MAPPING=PRECISE", "FS=MRC", "CURRENCY=USD", "XLFILL=b")</f>
        <v>1106</v>
      </c>
    </row>
    <row r="117" spans="1:14" x14ac:dyDescent="0.2">
      <c r="A117" s="8" t="s">
        <v>84</v>
      </c>
      <c r="B117" s="4" t="s">
        <v>121</v>
      </c>
      <c r="C117" s="4" t="s">
        <v>122</v>
      </c>
      <c r="D117" s="4"/>
      <c r="E117" s="9">
        <f>_xll.BQL("JBLU US Equity", "FA_GROWTH(CB_IS_OTHER_OPEX, YOY)", "FPT=A", "FPO=5A", "ACT_EST_MAPPING=PRECISE", "FS=MRC", "CURRENCY=USD", "XLFILL=b")</f>
        <v>3.4800000000000075</v>
      </c>
      <c r="F117" s="9">
        <f>_xll.BQL("JBLU US Equity", "FA_GROWTH(CB_IS_OTHER_OPEX, YOY)", "FPT=A", "FPO=4A", "ACT_EST_MAPPING=PRECISE", "FS=MRC", "CURRENCY=USD", "XLFILL=b")</f>
        <v>0.62108765030332735</v>
      </c>
      <c r="G117" s="9">
        <f>_xll.BQL("JBLU US Equity", "FA_GROWTH(CB_IS_OTHER_OPEX, YOY)", "FPT=A", "FPO=3A", "ACT_EST_MAPPING=PRECISE", "FS=MRC", "CURRENCY=USD", "XLFILL=b")</f>
        <v>4.8419282289457914</v>
      </c>
      <c r="H117" s="9">
        <f>_xll.BQL("JBLU US Equity", "FA_GROWTH(CB_IS_OTHER_OPEX, YOY)", "FPT=A", "FPO=2A", "ACT_EST_MAPPING=PRECISE", "FS=MRC", "CURRENCY=USD", "XLFILL=b")</f>
        <v>3.3187939078786917</v>
      </c>
      <c r="I117" s="9">
        <f>_xll.BQL("JBLU US Equity", "FA_GROWTH(CB_IS_OTHER_OPEX, YOY)", "FPT=A", "FPO=1A", "ACT_EST_MAPPING=PRECISE", "FS=MRC", "CURRENCY=USD", "XLFILL=b")</f>
        <v>-1.7661398037533032</v>
      </c>
      <c r="J117" s="9">
        <f>_xll.BQL("JBLU US Equity", "FA_GROWTH(CB_IS_OTHER_OPEX, YOY)", "FPT=A", "FPO=0A", "ACT_EST_MAPPING=PRECISE", "FS=MRC", "CURRENCY=USD", "XLFILL=b")</f>
        <v>9.5760233918128659</v>
      </c>
      <c r="K117" s="9">
        <f>_xll.BQL("JBLU US Equity", "FA_GROWTH(CB_IS_OTHER_OPEX, YOY)", "FPT=A", "FPO=-1A", "ACT_EST_MAPPING=PRECISE", "FS=MRC", "CURRENCY=USD", "XLFILL=b")</f>
        <v>26.666666666666668</v>
      </c>
      <c r="L117" s="9">
        <f>_xll.BQL("JBLU US Equity", "FA_GROWTH(CB_IS_OTHER_OPEX, YOY)", "FPT=A", "FPO=-2A", "ACT_EST_MAPPING=PRECISE", "FS=MRC", "CURRENCY=USD", "XLFILL=b")</f>
        <v>41.732283464566926</v>
      </c>
      <c r="M117" s="9">
        <f>_xll.BQL("JBLU US Equity", "FA_GROWTH(CB_IS_OTHER_OPEX, YOY)", "FPT=A", "FPO=-3A", "ACT_EST_MAPPING=PRECISE", "FS=MRC", "CURRENCY=USD", "XLFILL=b")</f>
        <v>-31.103074141048825</v>
      </c>
      <c r="N117" s="9">
        <f>_xll.BQL("JBLU US Equity", "FA_GROWTH(CB_IS_OTHER_OPEX, YOY)", "FPT=A", "FPO=-4A", "ACT_EST_MAPPING=PRECISE", "FS=MRC", "CURRENCY=USD", "XLFILL=b")</f>
        <v>4.3396226415094343</v>
      </c>
    </row>
    <row r="118" spans="1:14" x14ac:dyDescent="0.2">
      <c r="A118" s="8" t="s">
        <v>16</v>
      </c>
      <c r="B118" s="4"/>
      <c r="C118" s="4"/>
      <c r="D118" s="4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 x14ac:dyDescent="0.2">
      <c r="A119" s="8" t="s">
        <v>123</v>
      </c>
      <c r="B119" s="4" t="s">
        <v>124</v>
      </c>
      <c r="C119" s="4" t="s">
        <v>125</v>
      </c>
      <c r="D119" s="4"/>
      <c r="E119" s="9" t="str">
        <f>_xll.BQL("JBLU US Equity", "IS_EBIT_AS_REPORTED/1M", "FPT=A", "FPO=5A", "ACT_EST_MAPPING=PRECISE", "FS=MRC", "CURRENCY=USD", "XLFILL=b")</f>
        <v/>
      </c>
      <c r="F119" s="9" t="str">
        <f>_xll.BQL("JBLU US Equity", "IS_EBIT_AS_REPORTED/1M", "FPT=A", "FPO=4A", "ACT_EST_MAPPING=PRECISE", "FS=MRC", "CURRENCY=USD", "XLFILL=b")</f>
        <v/>
      </c>
      <c r="G119" s="9">
        <f>_xll.BQL("JBLU US Equity", "IS_EBIT_AS_REPORTED/1M", "FPT=A", "FPO=3A", "ACT_EST_MAPPING=PRECISE", "FS=MRC", "CURRENCY=USD", "XLFILL=b")</f>
        <v>389.95754795003637</v>
      </c>
      <c r="H119" s="9">
        <f>_xll.BQL("JBLU US Equity", "IS_EBIT_AS_REPORTED/1M", "FPT=A", "FPO=2A", "ACT_EST_MAPPING=PRECISE", "FS=MRC", "CURRENCY=USD", "XLFILL=b")</f>
        <v>113.55935305047319</v>
      </c>
      <c r="I119" s="9">
        <f>_xll.BQL("JBLU US Equity", "IS_EBIT_AS_REPORTED/1M", "FPT=A", "FPO=1A", "ACT_EST_MAPPING=PRECISE", "FS=MRC", "CURRENCY=USD", "XLFILL=b")</f>
        <v>-799.84680801108027</v>
      </c>
      <c r="J119" s="9">
        <f>_xll.BQL("JBLU US Equity", "IS_EBIT_AS_REPORTED/1M", "FPT=A", "FPO=0A", "ACT_EST_MAPPING=PRECISE", "FS=MRC", "CURRENCY=USD", "XLFILL=b")</f>
        <v>-230</v>
      </c>
      <c r="K119" s="9">
        <f>_xll.BQL("JBLU US Equity", "IS_EBIT_AS_REPORTED/1M", "FPT=A", "FPO=-1A", "ACT_EST_MAPPING=PRECISE", "FS=MRC", "CURRENCY=USD", "XLFILL=b")</f>
        <v>-298</v>
      </c>
      <c r="L119" s="9">
        <f>_xll.BQL("JBLU US Equity", "IS_EBIT_AS_REPORTED/1M", "FPT=A", "FPO=-2A", "ACT_EST_MAPPING=PRECISE", "FS=MRC", "CURRENCY=USD", "XLFILL=b")</f>
        <v>-80</v>
      </c>
      <c r="M119" s="9">
        <f>_xll.BQL("JBLU US Equity", "IS_EBIT_AS_REPORTED/1M", "FPT=A", "FPO=-3A", "ACT_EST_MAPPING=PRECISE", "FS=MRC", "CURRENCY=USD", "XLFILL=b")</f>
        <v>-1714</v>
      </c>
      <c r="N119" s="9">
        <f>_xll.BQL("JBLU US Equity", "IS_EBIT_AS_REPORTED/1M", "FPT=A", "FPO=-4A", "ACT_EST_MAPPING=PRECISE", "FS=MRC", "CURRENCY=USD", "XLFILL=b")</f>
        <v>800</v>
      </c>
    </row>
    <row r="120" spans="1:14" x14ac:dyDescent="0.2">
      <c r="A120" s="8" t="s">
        <v>12</v>
      </c>
      <c r="B120" s="4" t="s">
        <v>124</v>
      </c>
      <c r="C120" s="4" t="s">
        <v>125</v>
      </c>
      <c r="D120" s="4"/>
      <c r="E120" s="9" t="str">
        <f>_xll.BQL("JBLU US Equity", "FA_GROWTH(IS_EBIT_AS_REPORTED, YOY)", "FPT=A", "FPO=5A", "ACT_EST_MAPPING=PRECISE", "FS=MRC", "CURRENCY=USD", "XLFILL=b")</f>
        <v/>
      </c>
      <c r="F120" s="9" t="str">
        <f>_xll.BQL("JBLU US Equity", "FA_GROWTH(IS_EBIT_AS_REPORTED, YOY)", "FPT=A", "FPO=4A", "ACT_EST_MAPPING=PRECISE", "FS=MRC", "CURRENCY=USD", "XLFILL=b")</f>
        <v/>
      </c>
      <c r="G120" s="9">
        <f>_xll.BQL("JBLU US Equity", "FA_GROWTH(IS_EBIT_AS_REPORTED, YOY)", "FPT=A", "FPO=3A", "ACT_EST_MAPPING=PRECISE", "FS=MRC", "CURRENCY=USD", "XLFILL=b")</f>
        <v>243.39535888049107</v>
      </c>
      <c r="H120" s="9">
        <f>_xll.BQL("JBLU US Equity", "FA_GROWTH(IS_EBIT_AS_REPORTED, YOY)", "FPT=A", "FPO=2A", "ACT_EST_MAPPING=PRECISE", "FS=MRC", "CURRENCY=USD", "XLFILL=b")</f>
        <v>114.19763783678188</v>
      </c>
      <c r="I120" s="9">
        <f>_xll.BQL("JBLU US Equity", "FA_GROWTH(IS_EBIT_AS_REPORTED, YOY)", "FPT=A", "FPO=1A", "ACT_EST_MAPPING=PRECISE", "FS=MRC", "CURRENCY=USD", "XLFILL=b")</f>
        <v>-247.75948174394793</v>
      </c>
      <c r="J120" s="9">
        <f>_xll.BQL("JBLU US Equity", "FA_GROWTH(IS_EBIT_AS_REPORTED, YOY)", "FPT=A", "FPO=0A", "ACT_EST_MAPPING=PRECISE", "FS=MRC", "CURRENCY=USD", "XLFILL=b")</f>
        <v>22.818791946308725</v>
      </c>
      <c r="K120" s="9">
        <f>_xll.BQL("JBLU US Equity", "FA_GROWTH(IS_EBIT_AS_REPORTED, YOY)", "FPT=A", "FPO=-1A", "ACT_EST_MAPPING=PRECISE", "FS=MRC", "CURRENCY=USD", "XLFILL=b")</f>
        <v>-272.5</v>
      </c>
      <c r="L120" s="9">
        <f>_xll.BQL("JBLU US Equity", "FA_GROWTH(IS_EBIT_AS_REPORTED, YOY)", "FPT=A", "FPO=-2A", "ACT_EST_MAPPING=PRECISE", "FS=MRC", "CURRENCY=USD", "XLFILL=b")</f>
        <v>95.332555425904317</v>
      </c>
      <c r="M120" s="9">
        <f>_xll.BQL("JBLU US Equity", "FA_GROWTH(IS_EBIT_AS_REPORTED, YOY)", "FPT=A", "FPO=-3A", "ACT_EST_MAPPING=PRECISE", "FS=MRC", "CURRENCY=USD", "XLFILL=b")</f>
        <v>-314.25</v>
      </c>
      <c r="N120" s="9">
        <f>_xll.BQL("JBLU US Equity", "FA_GROWTH(IS_EBIT_AS_REPORTED, YOY)", "FPT=A", "FPO=-4A", "ACT_EST_MAPPING=PRECISE", "FS=MRC", "CURRENCY=USD", "XLFILL=b")</f>
        <v>200.75187969924812</v>
      </c>
    </row>
    <row r="121" spans="1:14" x14ac:dyDescent="0.2">
      <c r="A121" s="8" t="s">
        <v>126</v>
      </c>
      <c r="B121" s="4" t="s">
        <v>127</v>
      </c>
      <c r="C121" s="4"/>
      <c r="D121" s="4"/>
      <c r="E121" s="9" t="str">
        <f>_xll.BQL("JBLU US Equity", "OPER_MARGIN", "FPT=A", "FPO=5A", "ACT_EST_MAPPING=PRECISE", "FS=MRC", "CURRENCY=USD", "XLFILL=b")</f>
        <v/>
      </c>
      <c r="F121" s="9" t="str">
        <f>_xll.BQL("JBLU US Equity", "OPER_MARGIN", "FPT=A", "FPO=4A", "ACT_EST_MAPPING=PRECISE", "FS=MRC", "CURRENCY=USD", "XLFILL=b")</f>
        <v/>
      </c>
      <c r="G121" s="9">
        <f>_xll.BQL("JBLU US Equity", "OPER_MARGIN", "FPT=A", "FPO=3A", "ACT_EST_MAPPING=PRECISE", "FS=MRC", "CURRENCY=USD", "XLFILL=b")</f>
        <v>3.5531946208670182</v>
      </c>
      <c r="H121" s="9">
        <f>_xll.BQL("JBLU US Equity", "OPER_MARGIN", "FPT=A", "FPO=2A", "ACT_EST_MAPPING=PRECISE", "FS=MRC", "CURRENCY=USD", "XLFILL=b")</f>
        <v>0.52311168405610065</v>
      </c>
      <c r="I121" s="9">
        <f>_xll.BQL("JBLU US Equity", "OPER_MARGIN", "FPT=A", "FPO=1A", "ACT_EST_MAPPING=PRECISE", "FS=MRC", "CURRENCY=USD", "XLFILL=b")</f>
        <v>-8.6065814577618056</v>
      </c>
      <c r="J121" s="9">
        <f>_xll.BQL("JBLU US Equity", "OPER_MARGIN", "FPT=A", "FPO=0A", "ACT_EST_MAPPING=PRECISE", "FS=MRC", "CURRENCY=USD", "XLFILL=b")</f>
        <v>-2.3920956838273533</v>
      </c>
      <c r="K121" s="9">
        <f>_xll.BQL("JBLU US Equity", "OPER_MARGIN", "FPT=A", "FPO=-1A", "ACT_EST_MAPPING=PRECISE", "FS=MRC", "CURRENCY=USD", "XLFILL=b")</f>
        <v>-3.2539855863725702</v>
      </c>
      <c r="L121" s="9">
        <f>_xll.BQL("JBLU US Equity", "OPER_MARGIN", "FPT=A", "FPO=-2A", "ACT_EST_MAPPING=PRECISE", "FS=MRC", "CURRENCY=USD", "XLFILL=b")</f>
        <v>-1.3251615040583071</v>
      </c>
      <c r="M121" s="9">
        <f>_xll.BQL("JBLU US Equity", "OPER_MARGIN", "FPT=A", "FPO=-3A", "ACT_EST_MAPPING=PRECISE", "FS=MRC", "CURRENCY=USD", "XLFILL=b")</f>
        <v>-57.964152857625976</v>
      </c>
      <c r="N121" s="9">
        <f>_xll.BQL("JBLU US Equity", "OPER_MARGIN", "FPT=A", "FPO=-4A", "ACT_EST_MAPPING=PRECISE", "FS=MRC", "CURRENCY=USD", "XLFILL=b")</f>
        <v>9.8838645910551026</v>
      </c>
    </row>
    <row r="122" spans="1:14" x14ac:dyDescent="0.2">
      <c r="A122" s="8" t="s">
        <v>84</v>
      </c>
      <c r="B122" s="4" t="s">
        <v>127</v>
      </c>
      <c r="C122" s="4"/>
      <c r="D122" s="4"/>
      <c r="E122" s="9" t="str">
        <f>_xll.BQL("JBLU US Equity", "FA_GROWTH(OPER_MARGIN, YOY)", "FPT=A", "FPO=5A", "ACT_EST_MAPPING=PRECISE", "FS=MRC", "CURRENCY=USD", "XLFILL=b")</f>
        <v/>
      </c>
      <c r="F122" s="9" t="str">
        <f>_xll.BQL("JBLU US Equity", "FA_GROWTH(OPER_MARGIN, YOY)", "FPT=A", "FPO=4A", "ACT_EST_MAPPING=PRECISE", "FS=MRC", "CURRENCY=USD", "XLFILL=b")</f>
        <v/>
      </c>
      <c r="G122" s="9">
        <f>_xll.BQL("JBLU US Equity", "FA_GROWTH(OPER_MARGIN, YOY)", "FPT=A", "FPO=3A", "ACT_EST_MAPPING=PRECISE", "FS=MRC", "CURRENCY=USD", "XLFILL=b")</f>
        <v>579.24206802575623</v>
      </c>
      <c r="H122" s="9">
        <f>_xll.BQL("JBLU US Equity", "FA_GROWTH(OPER_MARGIN, YOY)", "FPT=A", "FPO=2A", "ACT_EST_MAPPING=PRECISE", "FS=MRC", "CURRENCY=USD", "XLFILL=b")</f>
        <v>106.07804256107208</v>
      </c>
      <c r="I122" s="9">
        <f>_xll.BQL("JBLU US Equity", "FA_GROWTH(OPER_MARGIN, YOY)", "FPT=A", "FPO=1A", "ACT_EST_MAPPING=PRECISE", "FS=MRC", "CURRENCY=USD", "XLFILL=b")</f>
        <v>-259.792524853825</v>
      </c>
      <c r="J122" s="9">
        <f>_xll.BQL("JBLU US Equity", "FA_GROWTH(OPER_MARGIN, YOY)", "FPT=A", "FPO=0A", "ACT_EST_MAPPING=PRECISE", "FS=MRC", "CURRENCY=USD", "XLFILL=b")</f>
        <v>26.48720713929227</v>
      </c>
      <c r="K122" s="9">
        <f>_xll.BQL("JBLU US Equity", "FA_GROWTH(OPER_MARGIN, YOY)", "FPT=A", "FPO=-1A", "ACT_EST_MAPPING=PRECISE", "FS=MRC", "CURRENCY=USD", "XLFILL=b")</f>
        <v>-145.55388731164007</v>
      </c>
      <c r="L122" s="9">
        <f>_xll.BQL("JBLU US Equity", "FA_GROWTH(OPER_MARGIN, YOY)", "FPT=A", "FPO=-2A", "ACT_EST_MAPPING=PRECISE", "FS=MRC", "CURRENCY=USD", "XLFILL=b")</f>
        <v>97.713825806592524</v>
      </c>
      <c r="M122" s="9">
        <f>_xll.BQL("JBLU US Equity", "FA_GROWTH(OPER_MARGIN, YOY)", "FPT=A", "FPO=-3A", "ACT_EST_MAPPING=PRECISE", "FS=MRC", "CURRENCY=USD", "XLFILL=b")</f>
        <v>-686.45231653703081</v>
      </c>
      <c r="N122" s="9">
        <f>_xll.BQL("JBLU US Equity", "FA_GROWTH(OPER_MARGIN, YOY)", "FPT=A", "FPO=-4A", "ACT_EST_MAPPING=PRECISE", "FS=MRC", "CURRENCY=USD", "XLFILL=b")</f>
        <v>184.55125954248112</v>
      </c>
    </row>
    <row r="123" spans="1:14" x14ac:dyDescent="0.2">
      <c r="A123" s="8" t="s">
        <v>16</v>
      </c>
      <c r="B123" s="4"/>
      <c r="C123" s="4"/>
      <c r="D123" s="4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 x14ac:dyDescent="0.2">
      <c r="A124" s="8" t="s">
        <v>128</v>
      </c>
      <c r="B124" s="4" t="s">
        <v>129</v>
      </c>
      <c r="C124" s="4"/>
      <c r="D124" s="4"/>
      <c r="E124" s="9" t="str">
        <f>_xll.BQL("JBLU US Equity", "EBITDA/1M", "FPT=A", "FPO=5A", "ACT_EST_MAPPING=PRECISE", "FS=MRC", "CURRENCY=USD", "XLFILL=b")</f>
        <v/>
      </c>
      <c r="F124" s="9" t="str">
        <f>_xll.BQL("JBLU US Equity", "EBITDA/1M", "FPT=A", "FPO=4A", "ACT_EST_MAPPING=PRECISE", "FS=MRC", "CURRENCY=USD", "XLFILL=b")</f>
        <v/>
      </c>
      <c r="G124" s="9">
        <f>_xll.BQL("JBLU US Equity", "EBITDA/1M", "FPT=A", "FPO=3A", "ACT_EST_MAPPING=PRECISE", "FS=MRC", "CURRENCY=USD", "XLFILL=b")</f>
        <v>1080.0529372704955</v>
      </c>
      <c r="H124" s="9">
        <f>_xll.BQL("JBLU US Equity", "EBITDA/1M", "FPT=A", "FPO=2A", "ACT_EST_MAPPING=PRECISE", "FS=MRC", "CURRENCY=USD", "XLFILL=b")</f>
        <v>724.3216903903583</v>
      </c>
      <c r="I124" s="9">
        <f>_xll.BQL("JBLU US Equity", "EBITDA/1M", "FPT=A", "FPO=1A", "ACT_EST_MAPPING=PRECISE", "FS=MRC", "CURRENCY=USD", "XLFILL=b")</f>
        <v>-135.85849311550319</v>
      </c>
      <c r="J124" s="9">
        <f>_xll.BQL("JBLU US Equity", "EBITDA/1M", "FPT=A", "FPO=0A", "ACT_EST_MAPPING=PRECISE", "FS=MRC", "CURRENCY=USD", "XLFILL=b")</f>
        <v>538</v>
      </c>
      <c r="K124" s="9">
        <f>_xll.BQL("JBLU US Equity", "EBITDA/1M", "FPT=A", "FPO=-1A", "ACT_EST_MAPPING=PRECISE", "FS=MRC", "CURRENCY=USD", "XLFILL=b")</f>
        <v>425</v>
      </c>
      <c r="L124" s="9">
        <f>_xll.BQL("JBLU US Equity", "EBITDA/1M", "FPT=A", "FPO=-2A", "ACT_EST_MAPPING=PRECISE", "FS=MRC", "CURRENCY=USD", "XLFILL=b")</f>
        <v>615</v>
      </c>
      <c r="M124" s="9">
        <f>_xll.BQL("JBLU US Equity", "EBITDA/1M", "FPT=A", "FPO=-3A", "ACT_EST_MAPPING=PRECISE", "FS=MRC", "CURRENCY=USD", "XLFILL=b")</f>
        <v>-1024</v>
      </c>
      <c r="N124" s="9">
        <f>_xll.BQL("JBLU US Equity", "EBITDA/1M", "FPT=A", "FPO=-4A", "ACT_EST_MAPPING=PRECISE", "FS=MRC", "CURRENCY=USD", "XLFILL=b")</f>
        <v>1486</v>
      </c>
    </row>
    <row r="125" spans="1:14" x14ac:dyDescent="0.2">
      <c r="A125" s="8" t="s">
        <v>12</v>
      </c>
      <c r="B125" s="4" t="s">
        <v>129</v>
      </c>
      <c r="C125" s="4"/>
      <c r="D125" s="4"/>
      <c r="E125" s="9" t="str">
        <f>_xll.BQL("JBLU US Equity", "FA_GROWTH(EBITDA, YOY)", "FPT=A", "FPO=5A", "ACT_EST_MAPPING=PRECISE", "FS=MRC", "CURRENCY=USD", "XLFILL=b")</f>
        <v/>
      </c>
      <c r="F125" s="9" t="str">
        <f>_xll.BQL("JBLU US Equity", "FA_GROWTH(EBITDA, YOY)", "FPT=A", "FPO=4A", "ACT_EST_MAPPING=PRECISE", "FS=MRC", "CURRENCY=USD", "XLFILL=b")</f>
        <v/>
      </c>
      <c r="G125" s="9">
        <f>_xll.BQL("JBLU US Equity", "FA_GROWTH(EBITDA, YOY)", "FPT=A", "FPO=3A", "ACT_EST_MAPPING=PRECISE", "FS=MRC", "CURRENCY=USD", "XLFILL=b")</f>
        <v>49.112328347977957</v>
      </c>
      <c r="H125" s="9">
        <f>_xll.BQL("JBLU US Equity", "FA_GROWTH(EBITDA, YOY)", "FPT=A", "FPO=2A", "ACT_EST_MAPPING=PRECISE", "FS=MRC", "CURRENCY=USD", "XLFILL=b")</f>
        <v>633.14421040616116</v>
      </c>
      <c r="I125" s="9">
        <f>_xll.BQL("JBLU US Equity", "FA_GROWTH(EBITDA, YOY)", "FPT=A", "FPO=1A", "ACT_EST_MAPPING=PRECISE", "FS=MRC", "CURRENCY=USD", "XLFILL=b")</f>
        <v>-125.25250801403405</v>
      </c>
      <c r="J125" s="9">
        <f>_xll.BQL("JBLU US Equity", "FA_GROWTH(EBITDA, YOY)", "FPT=A", "FPO=0A", "ACT_EST_MAPPING=PRECISE", "FS=MRC", "CURRENCY=USD", "XLFILL=b")</f>
        <v>26.588235294117649</v>
      </c>
      <c r="K125" s="9">
        <f>_xll.BQL("JBLU US Equity", "FA_GROWTH(EBITDA, YOY)", "FPT=A", "FPO=-1A", "ACT_EST_MAPPING=PRECISE", "FS=MRC", "CURRENCY=USD", "XLFILL=b")</f>
        <v>-30.894308943089431</v>
      </c>
      <c r="L125" s="9">
        <f>_xll.BQL("JBLU US Equity", "FA_GROWTH(EBITDA, YOY)", "FPT=A", "FPO=-2A", "ACT_EST_MAPPING=PRECISE", "FS=MRC", "CURRENCY=USD", "XLFILL=b")</f>
        <v>160.05859375</v>
      </c>
      <c r="M125" s="9">
        <f>_xll.BQL("JBLU US Equity", "FA_GROWTH(EBITDA, YOY)", "FPT=A", "FPO=-3A", "ACT_EST_MAPPING=PRECISE", "FS=MRC", "CURRENCY=USD", "XLFILL=b")</f>
        <v>-168.90982503364737</v>
      </c>
      <c r="N125" s="9">
        <f>_xll.BQL("JBLU US Equity", "FA_GROWTH(EBITDA, YOY)", "FPT=A", "FPO=-4A", "ACT_EST_MAPPING=PRECISE", "FS=MRC", "CURRENCY=USD", "XLFILL=b")</f>
        <v>64.198895027624303</v>
      </c>
    </row>
    <row r="126" spans="1:14" x14ac:dyDescent="0.2">
      <c r="A126" s="8" t="s">
        <v>44</v>
      </c>
      <c r="B126" s="4" t="s">
        <v>45</v>
      </c>
      <c r="C126" s="4" t="s">
        <v>46</v>
      </c>
      <c r="D126" s="4"/>
      <c r="E126" s="9" t="str">
        <f>_xll.BQL("JBLU US Equity", "AIRLINES_EBITDAR_RATIO/1M", "FPT=A", "FPO=5A", "ACT_EST_MAPPING=PRECISE", "FS=MRC", "CURRENCY=USD", "XLFILL=b")</f>
        <v/>
      </c>
      <c r="F126" s="9" t="str">
        <f>_xll.BQL("JBLU US Equity", "AIRLINES_EBITDAR_RATIO/1M", "FPT=A", "FPO=4A", "ACT_EST_MAPPING=PRECISE", "FS=MRC", "CURRENCY=USD", "XLFILL=b")</f>
        <v/>
      </c>
      <c r="G126" s="9">
        <f>_xll.BQL("JBLU US Equity", "AIRLINES_EBITDAR_RATIO/1M", "FPT=A", "FPO=3A", "ACT_EST_MAPPING=PRECISE", "FS=MRC", "CURRENCY=USD", "XLFILL=b")</f>
        <v>1200.3289045617685</v>
      </c>
      <c r="H126" s="9">
        <f>_xll.BQL("JBLU US Equity", "AIRLINES_EBITDAR_RATIO/1M", "FPT=A", "FPO=2A", "ACT_EST_MAPPING=PRECISE", "FS=MRC", "CURRENCY=USD", "XLFILL=b")</f>
        <v>840.66236047663961</v>
      </c>
      <c r="I126" s="9">
        <f>_xll.BQL("JBLU US Equity", "AIRLINES_EBITDAR_RATIO/1M", "FPT=A", "FPO=1A", "ACT_EST_MAPPING=PRECISE", "FS=MRC", "CURRENCY=USD", "XLFILL=b")</f>
        <v>-21.198973390950712</v>
      </c>
      <c r="J126" s="9">
        <f>_xll.BQL("JBLU US Equity", "AIRLINES_EBITDAR_RATIO/1M", "FPT=A", "FPO=0A", "ACT_EST_MAPPING=PRECISE", "FS=MRC", "CURRENCY=USD", "XLFILL=b")</f>
        <v>538</v>
      </c>
      <c r="K126" s="9">
        <f>_xll.BQL("JBLU US Equity", "AIRLINES_EBITDAR_RATIO/1M", "FPT=A", "FPO=-1A", "ACT_EST_MAPPING=PRECISE", "FS=MRC", "CURRENCY=USD", "XLFILL=b")</f>
        <v>425</v>
      </c>
      <c r="L126" s="9">
        <f>_xll.BQL("JBLU US Equity", "AIRLINES_EBITDAR_RATIO/1M", "FPT=A", "FPO=-2A", "ACT_EST_MAPPING=PRECISE", "FS=MRC", "CURRENCY=USD", "XLFILL=b")</f>
        <v>615</v>
      </c>
      <c r="M126" s="9">
        <f>_xll.BQL("JBLU US Equity", "AIRLINES_EBITDAR_RATIO/1M", "FPT=A", "FPO=-3A", "ACT_EST_MAPPING=PRECISE", "FS=MRC", "CURRENCY=USD", "XLFILL=b")</f>
        <v>-1024</v>
      </c>
      <c r="N126" s="9">
        <f>_xll.BQL("JBLU US Equity", "AIRLINES_EBITDAR_RATIO/1M", "FPT=A", "FPO=-4A", "ACT_EST_MAPPING=PRECISE", "FS=MRC", "CURRENCY=USD", "XLFILL=b")</f>
        <v>1486</v>
      </c>
    </row>
    <row r="127" spans="1:14" x14ac:dyDescent="0.2">
      <c r="A127" s="8" t="s">
        <v>12</v>
      </c>
      <c r="B127" s="4" t="s">
        <v>45</v>
      </c>
      <c r="C127" s="4" t="s">
        <v>46</v>
      </c>
      <c r="D127" s="4"/>
      <c r="E127" s="9" t="str">
        <f>_xll.BQL("JBLU US Equity", "FA_GROWTH(AIRLINES_EBITDAR_RATIO, YOY)", "FPT=A", "FPO=5A", "ACT_EST_MAPPING=PRECISE", "FS=MRC", "CURRENCY=USD", "XLFILL=b")</f>
        <v/>
      </c>
      <c r="F127" s="9" t="str">
        <f>_xll.BQL("JBLU US Equity", "FA_GROWTH(AIRLINES_EBITDAR_RATIO, YOY)", "FPT=A", "FPO=4A", "ACT_EST_MAPPING=PRECISE", "FS=MRC", "CURRENCY=USD", "XLFILL=b")</f>
        <v/>
      </c>
      <c r="G127" s="9">
        <f>_xll.BQL("JBLU US Equity", "FA_GROWTH(AIRLINES_EBITDAR_RATIO, YOY)", "FPT=A", "FPO=3A", "ACT_EST_MAPPING=PRECISE", "FS=MRC", "CURRENCY=USD", "XLFILL=b")</f>
        <v>42.783709726364435</v>
      </c>
      <c r="H127" s="9">
        <f>_xll.BQL("JBLU US Equity", "FA_GROWTH(AIRLINES_EBITDAR_RATIO, YOY)", "FPT=A", "FPO=2A", "ACT_EST_MAPPING=PRECISE", "FS=MRC", "CURRENCY=USD", "XLFILL=b")</f>
        <v>4065.5805258734667</v>
      </c>
      <c r="I127" s="9">
        <f>_xll.BQL("JBLU US Equity", "FA_GROWTH(AIRLINES_EBITDAR_RATIO, YOY)", "FPT=A", "FPO=1A", "ACT_EST_MAPPING=PRECISE", "FS=MRC", "CURRENCY=USD", "XLFILL=b")</f>
        <v>-103.94032962657076</v>
      </c>
      <c r="J127" s="9">
        <f>_xll.BQL("JBLU US Equity", "FA_GROWTH(AIRLINES_EBITDAR_RATIO, YOY)", "FPT=A", "FPO=0A", "ACT_EST_MAPPING=PRECISE", "FS=MRC", "CURRENCY=USD", "XLFILL=b")</f>
        <v>26.588235294117649</v>
      </c>
      <c r="K127" s="9">
        <f>_xll.BQL("JBLU US Equity", "FA_GROWTH(AIRLINES_EBITDAR_RATIO, YOY)", "FPT=A", "FPO=-1A", "ACT_EST_MAPPING=PRECISE", "FS=MRC", "CURRENCY=USD", "XLFILL=b")</f>
        <v>-30.894308943089431</v>
      </c>
      <c r="L127" s="9">
        <f>_xll.BQL("JBLU US Equity", "FA_GROWTH(AIRLINES_EBITDAR_RATIO, YOY)", "FPT=A", "FPO=-2A", "ACT_EST_MAPPING=PRECISE", "FS=MRC", "CURRENCY=USD", "XLFILL=b")</f>
        <v>160.05859375</v>
      </c>
      <c r="M127" s="9">
        <f>_xll.BQL("JBLU US Equity", "FA_GROWTH(AIRLINES_EBITDAR_RATIO, YOY)", "FPT=A", "FPO=-3A", "ACT_EST_MAPPING=PRECISE", "FS=MRC", "CURRENCY=USD", "XLFILL=b")</f>
        <v>-168.90982503364737</v>
      </c>
      <c r="N127" s="9">
        <f>_xll.BQL("JBLU US Equity", "FA_GROWTH(AIRLINES_EBITDAR_RATIO, YOY)", "FPT=A", "FPO=-4A", "ACT_EST_MAPPING=PRECISE", "FS=MRC", "CURRENCY=USD", "XLFILL=b")</f>
        <v>64.198895027624303</v>
      </c>
    </row>
    <row r="128" spans="1:14" x14ac:dyDescent="0.2">
      <c r="A128" s="8" t="s">
        <v>16</v>
      </c>
      <c r="B128" s="4"/>
      <c r="C128" s="4"/>
      <c r="D128" s="4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 x14ac:dyDescent="0.2">
      <c r="A129" s="8" t="s">
        <v>130</v>
      </c>
      <c r="B129" s="4" t="s">
        <v>131</v>
      </c>
      <c r="C129" s="4" t="s">
        <v>132</v>
      </c>
      <c r="D129" s="4"/>
      <c r="E129" s="9">
        <f>_xll.BQL("JBLU US Equity", "IS_NON_OPERATING_INC_LOSS_GAAP/1M", "FPT=A", "FPO=5A", "ACT_EST_MAPPING=PRECISE", "FS=MRC", "CURRENCY=USD", "XLFILL=b")</f>
        <v>539.08244437785174</v>
      </c>
      <c r="F129" s="9">
        <f>_xll.BQL("JBLU US Equity", "IS_NON_OPERATING_INC_LOSS_GAAP/1M", "FPT=A", "FPO=4A", "ACT_EST_MAPPING=PRECISE", "FS=MRC", "CURRENCY=USD", "XLFILL=b")</f>
        <v>498.66141575543907</v>
      </c>
      <c r="G129" s="9">
        <f>_xll.BQL("JBLU US Equity", "IS_NON_OPERATING_INC_LOSS_GAAP/1M", "FPT=A", "FPO=3A", "ACT_EST_MAPPING=PRECISE", "FS=MRC", "CURRENCY=USD", "XLFILL=b")</f>
        <v>397.96089134822734</v>
      </c>
      <c r="H129" s="9">
        <f>_xll.BQL("JBLU US Equity", "IS_NON_OPERATING_INC_LOSS_GAAP/1M", "FPT=A", "FPO=2A", "ACT_EST_MAPPING=PRECISE", "FS=MRC", "CURRENCY=USD", "XLFILL=b")</f>
        <v>352.05660691801933</v>
      </c>
      <c r="I129" s="9">
        <f>_xll.BQL("JBLU US Equity", "IS_NON_OPERATING_INC_LOSS_GAAP/1M", "FPT=A", "FPO=1A", "ACT_EST_MAPPING=PRECISE", "FS=MRC", "CURRENCY=USD", "XLFILL=b")</f>
        <v>219.62887195659599</v>
      </c>
      <c r="J129" s="9">
        <f>_xll.BQL("JBLU US Equity", "IS_NON_OPERATING_INC_LOSS_GAAP/1M", "FPT=A", "FPO=0A", "ACT_EST_MAPPING=PRECISE", "FS=MRC", "CURRENCY=USD", "XLFILL=b")</f>
        <v>104</v>
      </c>
      <c r="K129" s="9">
        <f>_xll.BQL("JBLU US Equity", "IS_NON_OPERATING_INC_LOSS_GAAP/1M", "FPT=A", "FPO=-1A", "ACT_EST_MAPPING=PRECISE", "FS=MRC", "CURRENCY=USD", "XLFILL=b")</f>
        <v>139</v>
      </c>
      <c r="L129" s="9">
        <f>_xll.BQL("JBLU US Equity", "IS_NON_OPERATING_INC_LOSS_GAAP/1M", "FPT=A", "FPO=-2A", "ACT_EST_MAPPING=PRECISE", "FS=MRC", "CURRENCY=USD", "XLFILL=b")</f>
        <v>183</v>
      </c>
      <c r="M129" s="9">
        <f>_xll.BQL("JBLU US Equity", "IS_NON_OPERATING_INC_LOSS_GAAP/1M", "FPT=A", "FPO=-3A", "ACT_EST_MAPPING=PRECISE", "FS=MRC", "CURRENCY=USD", "XLFILL=b")</f>
        <v>179</v>
      </c>
      <c r="N129" s="9">
        <f>_xll.BQL("JBLU US Equity", "IS_NON_OPERATING_INC_LOSS_GAAP/1M", "FPT=A", "FPO=-4A", "ACT_EST_MAPPING=PRECISE", "FS=MRC", "CURRENCY=USD", "XLFILL=b")</f>
        <v>32</v>
      </c>
    </row>
    <row r="130" spans="1:14" x14ac:dyDescent="0.2">
      <c r="A130" s="8" t="s">
        <v>12</v>
      </c>
      <c r="B130" s="4" t="s">
        <v>131</v>
      </c>
      <c r="C130" s="4" t="s">
        <v>132</v>
      </c>
      <c r="D130" s="4"/>
      <c r="E130" s="9">
        <f>_xll.BQL("JBLU US Equity", "FA_GROWTH(IS_NON_OPERATING_INC_LOSS_GAAP, YOY)", "FPT=A", "FPO=5A", "ACT_EST_MAPPING=PRECISE", "FS=MRC", "CURRENCY=USD", "XLFILL=b")</f>
        <v>8.1059066022137483</v>
      </c>
      <c r="F130" s="9">
        <f>_xll.BQL("JBLU US Equity", "FA_GROWTH(IS_NON_OPERATING_INC_LOSS_GAAP, YOY)", "FPT=A", "FPO=4A", "ACT_EST_MAPPING=PRECISE", "FS=MRC", "CURRENCY=USD", "XLFILL=b")</f>
        <v>25.304125756190409</v>
      </c>
      <c r="G130" s="9">
        <f>_xll.BQL("JBLU US Equity", "FA_GROWTH(IS_NON_OPERATING_INC_LOSS_GAAP, YOY)", "FPT=A", "FPO=3A", "ACT_EST_MAPPING=PRECISE", "FS=MRC", "CURRENCY=USD", "XLFILL=b")</f>
        <v>13.038893043952257</v>
      </c>
      <c r="H130" s="9">
        <f>_xll.BQL("JBLU US Equity", "FA_GROWTH(IS_NON_OPERATING_INC_LOSS_GAAP, YOY)", "FPT=A", "FPO=2A", "ACT_EST_MAPPING=PRECISE", "FS=MRC", "CURRENCY=USD", "XLFILL=b")</f>
        <v>60.296141295846709</v>
      </c>
      <c r="I130" s="9">
        <f>_xll.BQL("JBLU US Equity", "FA_GROWTH(IS_NON_OPERATING_INC_LOSS_GAAP, YOY)", "FPT=A", "FPO=1A", "ACT_EST_MAPPING=PRECISE", "FS=MRC", "CURRENCY=USD", "XLFILL=b")</f>
        <v>111.18160765057307</v>
      </c>
      <c r="J130" s="9">
        <f>_xll.BQL("JBLU US Equity", "FA_GROWTH(IS_NON_OPERATING_INC_LOSS_GAAP, YOY)", "FPT=A", "FPO=0A", "ACT_EST_MAPPING=PRECISE", "FS=MRC", "CURRENCY=USD", "XLFILL=b")</f>
        <v>-25.179856115107913</v>
      </c>
      <c r="K130" s="9">
        <f>_xll.BQL("JBLU US Equity", "FA_GROWTH(IS_NON_OPERATING_INC_LOSS_GAAP, YOY)", "FPT=A", "FPO=-1A", "ACT_EST_MAPPING=PRECISE", "FS=MRC", "CURRENCY=USD", "XLFILL=b")</f>
        <v>-24.043715846994534</v>
      </c>
      <c r="L130" s="9">
        <f>_xll.BQL("JBLU US Equity", "FA_GROWTH(IS_NON_OPERATING_INC_LOSS_GAAP, YOY)", "FPT=A", "FPO=-2A", "ACT_EST_MAPPING=PRECISE", "FS=MRC", "CURRENCY=USD", "XLFILL=b")</f>
        <v>2.2346368715083798</v>
      </c>
      <c r="M130" s="9">
        <f>_xll.BQL("JBLU US Equity", "FA_GROWTH(IS_NON_OPERATING_INC_LOSS_GAAP, YOY)", "FPT=A", "FPO=-3A", "ACT_EST_MAPPING=PRECISE", "FS=MRC", "CURRENCY=USD", "XLFILL=b")</f>
        <v>459.375</v>
      </c>
      <c r="N130" s="9">
        <f>_xll.BQL("JBLU US Equity", "FA_GROWTH(IS_NON_OPERATING_INC_LOSS_GAAP, YOY)", "FPT=A", "FPO=-4A", "ACT_EST_MAPPING=PRECISE", "FS=MRC", "CURRENCY=USD", "XLFILL=b")</f>
        <v>-31.914893617021278</v>
      </c>
    </row>
    <row r="131" spans="1:14" x14ac:dyDescent="0.2">
      <c r="A131" s="8" t="s">
        <v>133</v>
      </c>
      <c r="B131" s="4" t="s">
        <v>134</v>
      </c>
      <c r="C131" s="4" t="s">
        <v>135</v>
      </c>
      <c r="D131" s="4"/>
      <c r="E131" s="9">
        <f>_xll.BQL("JBLU US Equity", "CB_IS_INTEREST_EXPENSE/1M", "FPT=A", "FPO=5A", "ACT_EST_MAPPING=PRECISE", "FS=MRC", "CURRENCY=USD", "XLFILL=b")</f>
        <v>650.65</v>
      </c>
      <c r="F131" s="9">
        <f>_xll.BQL("JBLU US Equity", "CB_IS_INTEREST_EXPENSE/1M", "FPT=A", "FPO=4A", "ACT_EST_MAPPING=PRECISE", "FS=MRC", "CURRENCY=USD", "XLFILL=b")</f>
        <v>615.07187499999998</v>
      </c>
      <c r="G131" s="9">
        <f>_xll.BQL("JBLU US Equity", "CB_IS_INTEREST_EXPENSE/1M", "FPT=A", "FPO=3A", "ACT_EST_MAPPING=PRECISE", "FS=MRC", "CURRENCY=USD", "XLFILL=b")</f>
        <v>582.17537773642437</v>
      </c>
      <c r="H131" s="9">
        <f>_xll.BQL("JBLU US Equity", "CB_IS_INTEREST_EXPENSE/1M", "FPT=A", "FPO=2A", "ACT_EST_MAPPING=PRECISE", "FS=MRC", "CURRENCY=USD", "XLFILL=b")</f>
        <v>559.5582118165097</v>
      </c>
      <c r="I131" s="9">
        <f>_xll.BQL("JBLU US Equity", "CB_IS_INTEREST_EXPENSE/1M", "FPT=A", "FPO=1A", "ACT_EST_MAPPING=PRECISE", "FS=MRC", "CURRENCY=USD", "XLFILL=b")</f>
        <v>368.43578522266273</v>
      </c>
      <c r="J131" s="9">
        <f>_xll.BQL("JBLU US Equity", "CB_IS_INTEREST_EXPENSE/1M", "FPT=A", "FPO=0A", "ACT_EST_MAPPING=PRECISE", "FS=MRC", "CURRENCY=USD", "XLFILL=b")</f>
        <v>210</v>
      </c>
      <c r="K131" s="9">
        <f>_xll.BQL("JBLU US Equity", "CB_IS_INTEREST_EXPENSE/1M", "FPT=A", "FPO=-1A", "ACT_EST_MAPPING=PRECISE", "FS=MRC", "CURRENCY=USD", "XLFILL=b")</f>
        <v>166</v>
      </c>
      <c r="L131" s="9">
        <f>_xll.BQL("JBLU US Equity", "CB_IS_INTEREST_EXPENSE/1M", "FPT=A", "FPO=-2A", "ACT_EST_MAPPING=PRECISE", "FS=MRC", "CURRENCY=USD", "XLFILL=b")</f>
        <v>192</v>
      </c>
      <c r="M131" s="9">
        <f>_xll.BQL("JBLU US Equity", "CB_IS_INTEREST_EXPENSE/1M", "FPT=A", "FPO=-3A", "ACT_EST_MAPPING=PRECISE", "FS=MRC", "CURRENCY=USD", "XLFILL=b")</f>
        <v>179</v>
      </c>
      <c r="N131" s="9">
        <f>_xll.BQL("JBLU US Equity", "CB_IS_INTEREST_EXPENSE/1M", "FPT=A", "FPO=-4A", "ACT_EST_MAPPING=PRECISE", "FS=MRC", "CURRENCY=USD", "XLFILL=b")</f>
        <v>79</v>
      </c>
    </row>
    <row r="132" spans="1:14" x14ac:dyDescent="0.2">
      <c r="A132" s="8" t="s">
        <v>84</v>
      </c>
      <c r="B132" s="4" t="s">
        <v>134</v>
      </c>
      <c r="C132" s="4" t="s">
        <v>135</v>
      </c>
      <c r="D132" s="4"/>
      <c r="E132" s="9">
        <f>_xll.BQL("JBLU US Equity", "FA_GROWTH(CB_IS_INTEREST_EXPENSE, YOY)", "FPT=A", "FPO=5A", "ACT_EST_MAPPING=PRECISE", "FS=MRC", "CURRENCY=USD", "XLFILL=b")</f>
        <v>5.7843849550103394</v>
      </c>
      <c r="F132" s="9">
        <f>_xll.BQL("JBLU US Equity", "FA_GROWTH(CB_IS_INTEREST_EXPENSE, YOY)", "FPT=A", "FPO=4A", "ACT_EST_MAPPING=PRECISE", "FS=MRC", "CURRENCY=USD", "XLFILL=b")</f>
        <v>5.6506163815243529</v>
      </c>
      <c r="G132" s="9">
        <f>_xll.BQL("JBLU US Equity", "FA_GROWTH(CB_IS_INTEREST_EXPENSE, YOY)", "FPT=A", "FPO=3A", "ACT_EST_MAPPING=PRECISE", "FS=MRC", "CURRENCY=USD", "XLFILL=b")</f>
        <v>4.0419683675969749</v>
      </c>
      <c r="H132" s="9">
        <f>_xll.BQL("JBLU US Equity", "FA_GROWTH(CB_IS_INTEREST_EXPENSE, YOY)", "FPT=A", "FPO=2A", "ACT_EST_MAPPING=PRECISE", "FS=MRC", "CURRENCY=USD", "XLFILL=b")</f>
        <v>51.874012856363251</v>
      </c>
      <c r="I132" s="9">
        <f>_xll.BQL("JBLU US Equity", "FA_GROWTH(CB_IS_INTEREST_EXPENSE, YOY)", "FPT=A", "FPO=1A", "ACT_EST_MAPPING=PRECISE", "FS=MRC", "CURRENCY=USD", "XLFILL=b")</f>
        <v>75.445612010791791</v>
      </c>
      <c r="J132" s="9">
        <f>_xll.BQL("JBLU US Equity", "FA_GROWTH(CB_IS_INTEREST_EXPENSE, YOY)", "FPT=A", "FPO=0A", "ACT_EST_MAPPING=PRECISE", "FS=MRC", "CURRENCY=USD", "XLFILL=b")</f>
        <v>26.506024096385541</v>
      </c>
      <c r="K132" s="9">
        <f>_xll.BQL("JBLU US Equity", "FA_GROWTH(CB_IS_INTEREST_EXPENSE, YOY)", "FPT=A", "FPO=-1A", "ACT_EST_MAPPING=PRECISE", "FS=MRC", "CURRENCY=USD", "XLFILL=b")</f>
        <v>-13.541666666666666</v>
      </c>
      <c r="L132" s="9">
        <f>_xll.BQL("JBLU US Equity", "FA_GROWTH(CB_IS_INTEREST_EXPENSE, YOY)", "FPT=A", "FPO=-2A", "ACT_EST_MAPPING=PRECISE", "FS=MRC", "CURRENCY=USD", "XLFILL=b")</f>
        <v>7.2625698324022343</v>
      </c>
      <c r="M132" s="9">
        <f>_xll.BQL("JBLU US Equity", "FA_GROWTH(CB_IS_INTEREST_EXPENSE, YOY)", "FPT=A", "FPO=-3A", "ACT_EST_MAPPING=PRECISE", "FS=MRC", "CURRENCY=USD", "XLFILL=b")</f>
        <v>126.58227848101266</v>
      </c>
      <c r="N132" s="9">
        <f>_xll.BQL("JBLU US Equity", "FA_GROWTH(CB_IS_INTEREST_EXPENSE, YOY)", "FPT=A", "FPO=-4A", "ACT_EST_MAPPING=PRECISE", "FS=MRC", "CURRENCY=USD", "XLFILL=b")</f>
        <v>12.857142857142858</v>
      </c>
    </row>
    <row r="133" spans="1:14" x14ac:dyDescent="0.2">
      <c r="A133" s="8" t="s">
        <v>136</v>
      </c>
      <c r="B133" s="4" t="s">
        <v>137</v>
      </c>
      <c r="C133" s="4" t="s">
        <v>138</v>
      </c>
      <c r="D133" s="4"/>
      <c r="E133" s="9">
        <f>_xll.BQL("JBLU US Equity", "IS_CAP_INT_EXP/1M", "FPT=A", "FPO=5A", "ACT_EST_MAPPING=PRECISE", "FS=MRC", "CURRENCY=USD", "XLFILL=b")</f>
        <v>87.567555622148291</v>
      </c>
      <c r="F133" s="9">
        <f>_xll.BQL("JBLU US Equity", "IS_CAP_INT_EXP/1M", "FPT=A", "FPO=4A", "ACT_EST_MAPPING=PRECISE", "FS=MRC", "CURRENCY=USD", "XLFILL=b")</f>
        <v>88.41045924456094</v>
      </c>
      <c r="G133" s="9">
        <f>_xll.BQL("JBLU US Equity", "IS_CAP_INT_EXP/1M", "FPT=A", "FPO=3A", "ACT_EST_MAPPING=PRECISE", "FS=MRC", "CURRENCY=USD", "XLFILL=b")</f>
        <v>81.712434436745113</v>
      </c>
      <c r="H133" s="9">
        <f>_xll.BQL("JBLU US Equity", "IS_CAP_INT_EXP/1M", "FPT=A", "FPO=2A", "ACT_EST_MAPPING=PRECISE", "FS=MRC", "CURRENCY=USD", "XLFILL=b")</f>
        <v>73.447427192162692</v>
      </c>
      <c r="I133" s="9">
        <f>_xll.BQL("JBLU US Equity", "IS_CAP_INT_EXP/1M", "FPT=A", "FPO=1A", "ACT_EST_MAPPING=PRECISE", "FS=MRC", "CURRENCY=USD", "XLFILL=b")</f>
        <v>33.704199180546453</v>
      </c>
      <c r="J133" s="9">
        <f>_xll.BQL("JBLU US Equity", "IS_CAP_INT_EXP/1M", "FPT=A", "FPO=0A", "ACT_EST_MAPPING=PRECISE", "FS=MRC", "CURRENCY=USD", "XLFILL=b")</f>
        <v>0</v>
      </c>
      <c r="K133" s="9">
        <f>_xll.BQL("JBLU US Equity", "IS_CAP_INT_EXP/1M", "FPT=A", "FPO=-1A", "ACT_EST_MAPPING=PRECISE", "FS=MRC", "CURRENCY=USD", "XLFILL=b")</f>
        <v>0</v>
      </c>
      <c r="L133" s="9">
        <f>_xll.BQL("JBLU US Equity", "IS_CAP_INT_EXP/1M", "FPT=A", "FPO=-2A", "ACT_EST_MAPPING=PRECISE", "FS=MRC", "CURRENCY=USD", "XLFILL=b")</f>
        <v>12</v>
      </c>
      <c r="M133" s="9">
        <f>_xll.BQL("JBLU US Equity", "IS_CAP_INT_EXP/1M", "FPT=A", "FPO=-3A", "ACT_EST_MAPPING=PRECISE", "FS=MRC", "CURRENCY=USD", "XLFILL=b")</f>
        <v>13</v>
      </c>
      <c r="N133" s="9">
        <f>_xll.BQL("JBLU US Equity", "IS_CAP_INT_EXP/1M", "FPT=A", "FPO=-4A", "ACT_EST_MAPPING=PRECISE", "FS=MRC", "CURRENCY=USD", "XLFILL=b")</f>
        <v>14</v>
      </c>
    </row>
    <row r="134" spans="1:14" x14ac:dyDescent="0.2">
      <c r="A134" s="8" t="s">
        <v>84</v>
      </c>
      <c r="B134" s="4" t="s">
        <v>137</v>
      </c>
      <c r="C134" s="4" t="s">
        <v>138</v>
      </c>
      <c r="D134" s="4"/>
      <c r="E134" s="9">
        <f>_xll.BQL("JBLU US Equity", "FA_GROWTH(IS_CAP_INT_EXP, YOY)", "FPT=A", "FPO=5A", "ACT_EST_MAPPING=PRECISE", "FS=MRC", "CURRENCY=USD", "XLFILL=b")</f>
        <v>-0.95339808164666628</v>
      </c>
      <c r="F134" s="9">
        <f>_xll.BQL("JBLU US Equity", "FA_GROWTH(IS_CAP_INT_EXP, YOY)", "FPT=A", "FPO=4A", "ACT_EST_MAPPING=PRECISE", "FS=MRC", "CURRENCY=USD", "XLFILL=b")</f>
        <v>8.1970692147238413</v>
      </c>
      <c r="G134" s="9">
        <f>_xll.BQL("JBLU US Equity", "FA_GROWTH(IS_CAP_INT_EXP, YOY)", "FPT=A", "FPO=3A", "ACT_EST_MAPPING=PRECISE", "FS=MRC", "CURRENCY=USD", "XLFILL=b")</f>
        <v>11.252956789021935</v>
      </c>
      <c r="H134" s="9">
        <f>_xll.BQL("JBLU US Equity", "FA_GROWTH(IS_CAP_INT_EXP, YOY)", "FPT=A", "FPO=2A", "ACT_EST_MAPPING=PRECISE", "FS=MRC", "CURRENCY=USD", "XLFILL=b")</f>
        <v>117.91773422272979</v>
      </c>
      <c r="I134" s="9" t="str">
        <f>_xll.BQL("JBLU US Equity", "FA_GROWTH(IS_CAP_INT_EXP, YOY)", "FPT=A", "FPO=1A", "ACT_EST_MAPPING=PRECISE", "FS=MRC", "CURRENCY=USD", "XLFILL=b")</f>
        <v/>
      </c>
      <c r="J134" s="9" t="str">
        <f>_xll.BQL("JBLU US Equity", "FA_GROWTH(IS_CAP_INT_EXP, YOY)", "FPT=A", "FPO=0A", "ACT_EST_MAPPING=PRECISE", "FS=MRC", "CURRENCY=USD", "XLFILL=b")</f>
        <v/>
      </c>
      <c r="K134" s="9">
        <f>_xll.BQL("JBLU US Equity", "FA_GROWTH(IS_CAP_INT_EXP, YOY)", "FPT=A", "FPO=-1A", "ACT_EST_MAPPING=PRECISE", "FS=MRC", "CURRENCY=USD", "XLFILL=b")</f>
        <v>-100</v>
      </c>
      <c r="L134" s="9">
        <f>_xll.BQL("JBLU US Equity", "FA_GROWTH(IS_CAP_INT_EXP, YOY)", "FPT=A", "FPO=-2A", "ACT_EST_MAPPING=PRECISE", "FS=MRC", "CURRENCY=USD", "XLFILL=b")</f>
        <v>-7.6923076923076925</v>
      </c>
      <c r="M134" s="9">
        <f>_xll.BQL("JBLU US Equity", "FA_GROWTH(IS_CAP_INT_EXP, YOY)", "FPT=A", "FPO=-3A", "ACT_EST_MAPPING=PRECISE", "FS=MRC", "CURRENCY=USD", "XLFILL=b")</f>
        <v>-7.1428571428571432</v>
      </c>
      <c r="N134" s="9">
        <f>_xll.BQL("JBLU US Equity", "FA_GROWTH(IS_CAP_INT_EXP, YOY)", "FPT=A", "FPO=-4A", "ACT_EST_MAPPING=PRECISE", "FS=MRC", "CURRENCY=USD", "XLFILL=b")</f>
        <v>40</v>
      </c>
    </row>
    <row r="135" spans="1:14" x14ac:dyDescent="0.2">
      <c r="A135" s="8" t="s">
        <v>139</v>
      </c>
      <c r="B135" s="4" t="s">
        <v>140</v>
      </c>
      <c r="C135" s="4" t="s">
        <v>141</v>
      </c>
      <c r="D135" s="4"/>
      <c r="E135" s="9" t="str">
        <f>_xll.BQL("JBLU US Equity", "IS_NET_NON_OPER_LOSS/1M", "FPT=A", "FPO=5A", "ACT_EST_MAPPING=PRECISE", "FS=MRC", "CURRENCY=USD", "XLFILL=b")</f>
        <v/>
      </c>
      <c r="F135" s="9" t="str">
        <f>_xll.BQL("JBLU US Equity", "IS_NET_NON_OPER_LOSS/1M", "FPT=A", "FPO=4A", "ACT_EST_MAPPING=PRECISE", "FS=MRC", "CURRENCY=USD", "XLFILL=b")</f>
        <v/>
      </c>
      <c r="G135" s="9" t="str">
        <f>_xll.BQL("JBLU US Equity", "IS_NET_NON_OPER_LOSS/1M", "FPT=A", "FPO=3A", "ACT_EST_MAPPING=PRECISE", "FS=MRC", "CURRENCY=USD", "XLFILL=b")</f>
        <v/>
      </c>
      <c r="H135" s="9" t="str">
        <f>_xll.BQL("JBLU US Equity", "IS_NET_NON_OPER_LOSS/1M", "FPT=A", "FPO=2A", "ACT_EST_MAPPING=PRECISE", "FS=MRC", "CURRENCY=USD", "XLFILL=b")</f>
        <v/>
      </c>
      <c r="I135" s="9" t="str">
        <f>_xll.BQL("JBLU US Equity", "IS_NET_NON_OPER_LOSS/1M", "FPT=A", "FPO=1A", "ACT_EST_MAPPING=PRECISE", "FS=MRC", "CURRENCY=USD", "XLFILL=b")</f>
        <v/>
      </c>
      <c r="J135" s="9">
        <f>_xll.BQL("JBLU US Equity", "IS_NET_NON_OPER_LOSS/1M", "FPT=A", "FPO=0A", "ACT_EST_MAPPING=PRECISE", "FS=MRC", "CURRENCY=USD", "XLFILL=b")</f>
        <v>-106</v>
      </c>
      <c r="K135" s="9">
        <f>_xll.BQL("JBLU US Equity", "IS_NET_NON_OPER_LOSS/1M", "FPT=A", "FPO=-1A", "ACT_EST_MAPPING=PRECISE", "FS=MRC", "CURRENCY=USD", "XLFILL=b")</f>
        <v>-27</v>
      </c>
      <c r="L135" s="9">
        <f>_xll.BQL("JBLU US Equity", "IS_NET_NON_OPER_LOSS/1M", "FPT=A", "FPO=-2A", "ACT_EST_MAPPING=PRECISE", "FS=MRC", "CURRENCY=USD", "XLFILL=b")</f>
        <v>-9</v>
      </c>
      <c r="M135" s="9">
        <f>_xll.BQL("JBLU US Equity", "IS_NET_NON_OPER_LOSS/1M", "FPT=A", "FPO=-3A", "ACT_EST_MAPPING=PRECISE", "FS=MRC", "CURRENCY=USD", "XLFILL=b")</f>
        <v>13</v>
      </c>
      <c r="N135" s="9">
        <f>_xll.BQL("JBLU US Equity", "IS_NET_NON_OPER_LOSS/1M", "FPT=A", "FPO=-4A", "ACT_EST_MAPPING=PRECISE", "FS=MRC", "CURRENCY=USD", "XLFILL=b")</f>
        <v>-33</v>
      </c>
    </row>
    <row r="136" spans="1:14" x14ac:dyDescent="0.2">
      <c r="A136" s="8" t="s">
        <v>84</v>
      </c>
      <c r="B136" s="4" t="s">
        <v>140</v>
      </c>
      <c r="C136" s="4" t="s">
        <v>141</v>
      </c>
      <c r="D136" s="4"/>
      <c r="E136" s="9" t="str">
        <f>_xll.BQL("JBLU US Equity", "FA_GROWTH(IS_NET_NON_OPER_LOSS, YOY)", "FPT=A", "FPO=5A", "ACT_EST_MAPPING=PRECISE", "FS=MRC", "CURRENCY=USD", "XLFILL=b")</f>
        <v/>
      </c>
      <c r="F136" s="9" t="str">
        <f>_xll.BQL("JBLU US Equity", "FA_GROWTH(IS_NET_NON_OPER_LOSS, YOY)", "FPT=A", "FPO=4A", "ACT_EST_MAPPING=PRECISE", "FS=MRC", "CURRENCY=USD", "XLFILL=b")</f>
        <v/>
      </c>
      <c r="G136" s="9" t="str">
        <f>_xll.BQL("JBLU US Equity", "FA_GROWTH(IS_NET_NON_OPER_LOSS, YOY)", "FPT=A", "FPO=3A", "ACT_EST_MAPPING=PRECISE", "FS=MRC", "CURRENCY=USD", "XLFILL=b")</f>
        <v/>
      </c>
      <c r="H136" s="9" t="str">
        <f>_xll.BQL("JBLU US Equity", "FA_GROWTH(IS_NET_NON_OPER_LOSS, YOY)", "FPT=A", "FPO=2A", "ACT_EST_MAPPING=PRECISE", "FS=MRC", "CURRENCY=USD", "XLFILL=b")</f>
        <v/>
      </c>
      <c r="I136" s="9" t="str">
        <f>_xll.BQL("JBLU US Equity", "FA_GROWTH(IS_NET_NON_OPER_LOSS, YOY)", "FPT=A", "FPO=1A", "ACT_EST_MAPPING=PRECISE", "FS=MRC", "CURRENCY=USD", "XLFILL=b")</f>
        <v/>
      </c>
      <c r="J136" s="9">
        <f>_xll.BQL("JBLU US Equity", "FA_GROWTH(IS_NET_NON_OPER_LOSS, YOY)", "FPT=A", "FPO=0A", "ACT_EST_MAPPING=PRECISE", "FS=MRC", "CURRENCY=USD", "XLFILL=b")</f>
        <v>-292.59259259259261</v>
      </c>
      <c r="K136" s="9">
        <f>_xll.BQL("JBLU US Equity", "FA_GROWTH(IS_NET_NON_OPER_LOSS, YOY)", "FPT=A", "FPO=-1A", "ACT_EST_MAPPING=PRECISE", "FS=MRC", "CURRENCY=USD", "XLFILL=b")</f>
        <v>-200</v>
      </c>
      <c r="L136" s="9">
        <f>_xll.BQL("JBLU US Equity", "FA_GROWTH(IS_NET_NON_OPER_LOSS, YOY)", "FPT=A", "FPO=-2A", "ACT_EST_MAPPING=PRECISE", "FS=MRC", "CURRENCY=USD", "XLFILL=b")</f>
        <v>-169.23076923076923</v>
      </c>
      <c r="M136" s="9">
        <f>_xll.BQL("JBLU US Equity", "FA_GROWTH(IS_NET_NON_OPER_LOSS, YOY)", "FPT=A", "FPO=-3A", "ACT_EST_MAPPING=PRECISE", "FS=MRC", "CURRENCY=USD", "XLFILL=b")</f>
        <v>139.39393939393941</v>
      </c>
      <c r="N136" s="9">
        <f>_xll.BQL("JBLU US Equity", "FA_GROWTH(IS_NET_NON_OPER_LOSS, YOY)", "FPT=A", "FPO=-4A", "ACT_EST_MAPPING=PRECISE", "FS=MRC", "CURRENCY=USD", "XLFILL=b")</f>
        <v>-153.84615384615384</v>
      </c>
    </row>
    <row r="137" spans="1:14" x14ac:dyDescent="0.2">
      <c r="A137" s="8" t="s">
        <v>142</v>
      </c>
      <c r="B137" s="4" t="s">
        <v>143</v>
      </c>
      <c r="C137" s="4"/>
      <c r="D137" s="4"/>
      <c r="E137" s="9">
        <f>_xll.BQL("JBLU US Equity", "CB_IS_OTHER_NON_OPER_INC_EXPN/1M", "FPT=A", "FPO=5A", "ACT_EST_MAPPING=PRECISE", "FS=MRC", "CURRENCY=USD", "XLFILL=b")</f>
        <v>-8</v>
      </c>
      <c r="F137" s="9">
        <f>_xll.BQL("JBLU US Equity", "CB_IS_OTHER_NON_OPER_INC_EXPN/1M", "FPT=A", "FPO=4A", "ACT_EST_MAPPING=PRECISE", "FS=MRC", "CURRENCY=USD", "XLFILL=b")</f>
        <v>-12</v>
      </c>
      <c r="G137" s="9">
        <f>_xll.BQL("JBLU US Equity", "CB_IS_OTHER_NON_OPER_INC_EXPN/1M", "FPT=A", "FPO=3A", "ACT_EST_MAPPING=PRECISE", "FS=MRC", "CURRENCY=USD", "XLFILL=b")</f>
        <v>-21.563936090865514</v>
      </c>
      <c r="H137" s="9">
        <f>_xll.BQL("JBLU US Equity", "CB_IS_OTHER_NON_OPER_INC_EXPN/1M", "FPT=A", "FPO=2A", "ACT_EST_MAPPING=PRECISE", "FS=MRC", "CURRENCY=USD", "XLFILL=b")</f>
        <v>-18.508745001118378</v>
      </c>
      <c r="I137" s="9">
        <f>_xll.BQL("JBLU US Equity", "CB_IS_OTHER_NON_OPER_INC_EXPN/1M", "FPT=A", "FPO=1A", "ACT_EST_MAPPING=PRECISE", "FS=MRC", "CURRENCY=USD", "XLFILL=b")</f>
        <v>-48.760648444690908</v>
      </c>
      <c r="J137" s="9">
        <f>_xll.BQL("JBLU US Equity", "CB_IS_OTHER_NON_OPER_INC_EXPN/1M", "FPT=A", "FPO=0A", "ACT_EST_MAPPING=PRECISE", "FS=MRC", "CURRENCY=USD", "XLFILL=b")</f>
        <v>-8</v>
      </c>
      <c r="K137" s="9">
        <f>_xll.BQL("JBLU US Equity", "CB_IS_OTHER_NON_OPER_INC_EXPN/1M", "FPT=A", "FPO=-1A", "ACT_EST_MAPPING=PRECISE", "FS=MRC", "CURRENCY=USD", "XLFILL=b")</f>
        <v>3</v>
      </c>
      <c r="L137" s="9">
        <f>_xll.BQL("JBLU US Equity", "CB_IS_OTHER_NON_OPER_INC_EXPN/1M", "FPT=A", "FPO=-2A", "ACT_EST_MAPPING=PRECISE", "FS=MRC", "CURRENCY=USD", "XLFILL=b")</f>
        <v>52</v>
      </c>
      <c r="M137" s="9">
        <f>_xll.BQL("JBLU US Equity", "CB_IS_OTHER_NON_OPER_INC_EXPN/1M", "FPT=A", "FPO=-3A", "ACT_EST_MAPPING=PRECISE", "FS=MRC", "CURRENCY=USD", "XLFILL=b")</f>
        <v>13</v>
      </c>
      <c r="N137" s="9">
        <f>_xll.BQL("JBLU US Equity", "CB_IS_OTHER_NON_OPER_INC_EXPN/1M", "FPT=A", "FPO=-4A", "ACT_EST_MAPPING=PRECISE", "FS=MRC", "CURRENCY=USD", "XLFILL=b")</f>
        <v>-18</v>
      </c>
    </row>
    <row r="138" spans="1:14" x14ac:dyDescent="0.2">
      <c r="A138" s="8" t="s">
        <v>12</v>
      </c>
      <c r="B138" s="4" t="s">
        <v>143</v>
      </c>
      <c r="C138" s="4"/>
      <c r="D138" s="4"/>
      <c r="E138" s="9">
        <f>_xll.BQL("JBLU US Equity", "FA_GROWTH(CB_IS_OTHER_NON_OPER_INC_EXPN, YOY)", "FPT=A", "FPO=5A", "ACT_EST_MAPPING=PRECISE", "FS=MRC", "CURRENCY=USD", "XLFILL=b")</f>
        <v>33.333333333333336</v>
      </c>
      <c r="F138" s="9">
        <f>_xll.BQL("JBLU US Equity", "FA_GROWTH(CB_IS_OTHER_NON_OPER_INC_EXPN, YOY)", "FPT=A", "FPO=4A", "ACT_EST_MAPPING=PRECISE", "FS=MRC", "CURRENCY=USD", "XLFILL=b")</f>
        <v>44.351532348107817</v>
      </c>
      <c r="G138" s="9">
        <f>_xll.BQL("JBLU US Equity", "FA_GROWTH(CB_IS_OTHER_NON_OPER_INC_EXPN, YOY)", "FPT=A", "FPO=3A", "ACT_EST_MAPPING=PRECISE", "FS=MRC", "CURRENCY=USD", "XLFILL=b")</f>
        <v>-16.506743647732627</v>
      </c>
      <c r="H138" s="9">
        <f>_xll.BQL("JBLU US Equity", "FA_GROWTH(CB_IS_OTHER_NON_OPER_INC_EXPN, YOY)", "FPT=A", "FPO=2A", "ACT_EST_MAPPING=PRECISE", "FS=MRC", "CURRENCY=USD", "XLFILL=b")</f>
        <v>62.041634819289158</v>
      </c>
      <c r="I138" s="9">
        <f>_xll.BQL("JBLU US Equity", "FA_GROWTH(CB_IS_OTHER_NON_OPER_INC_EXPN, YOY)", "FPT=A", "FPO=1A", "ACT_EST_MAPPING=PRECISE", "FS=MRC", "CURRENCY=USD", "XLFILL=b")</f>
        <v>-509.50810555863632</v>
      </c>
      <c r="J138" s="9">
        <f>_xll.BQL("JBLU US Equity", "FA_GROWTH(CB_IS_OTHER_NON_OPER_INC_EXPN, YOY)", "FPT=A", "FPO=0A", "ACT_EST_MAPPING=PRECISE", "FS=MRC", "CURRENCY=USD", "XLFILL=b")</f>
        <v>-366.66666666666669</v>
      </c>
      <c r="K138" s="9">
        <f>_xll.BQL("JBLU US Equity", "FA_GROWTH(CB_IS_OTHER_NON_OPER_INC_EXPN, YOY)", "FPT=A", "FPO=-1A", "ACT_EST_MAPPING=PRECISE", "FS=MRC", "CURRENCY=USD", "XLFILL=b")</f>
        <v>-94.230769230769226</v>
      </c>
      <c r="L138" s="9">
        <f>_xll.BQL("JBLU US Equity", "FA_GROWTH(CB_IS_OTHER_NON_OPER_INC_EXPN, YOY)", "FPT=A", "FPO=-2A", "ACT_EST_MAPPING=PRECISE", "FS=MRC", "CURRENCY=USD", "XLFILL=b")</f>
        <v>300</v>
      </c>
      <c r="M138" s="9">
        <f>_xll.BQL("JBLU US Equity", "FA_GROWTH(CB_IS_OTHER_NON_OPER_INC_EXPN, YOY)", "FPT=A", "FPO=-3A", "ACT_EST_MAPPING=PRECISE", "FS=MRC", "CURRENCY=USD", "XLFILL=b")</f>
        <v>172.22222222222223</v>
      </c>
      <c r="N138" s="9">
        <f>_xll.BQL("JBLU US Equity", "FA_GROWTH(CB_IS_OTHER_NON_OPER_INC_EXPN, YOY)", "FPT=A", "FPO=-4A", "ACT_EST_MAPPING=PRECISE", "FS=MRC", "CURRENCY=USD", "XLFILL=b")</f>
        <v>-38.46153846153846</v>
      </c>
    </row>
    <row r="139" spans="1:14" x14ac:dyDescent="0.2">
      <c r="A139" s="8" t="s">
        <v>144</v>
      </c>
      <c r="B139" s="4" t="s">
        <v>145</v>
      </c>
      <c r="C139" s="4" t="s">
        <v>146</v>
      </c>
      <c r="D139" s="4"/>
      <c r="E139" s="9" t="str">
        <f>_xll.BQL("JBLU US Equity", "PRETAX_INC/1M", "FPT=A", "FPO=5A", "ACT_EST_MAPPING=PRECISE", "FS=MRC", "CURRENCY=USD", "XLFILL=b")</f>
        <v/>
      </c>
      <c r="F139" s="9" t="str">
        <f>_xll.BQL("JBLU US Equity", "PRETAX_INC/1M", "FPT=A", "FPO=4A", "ACT_EST_MAPPING=PRECISE", "FS=MRC", "CURRENCY=USD", "XLFILL=b")</f>
        <v/>
      </c>
      <c r="G139" s="9">
        <f>_xll.BQL("JBLU US Equity", "PRETAX_INC/1M", "FPT=A", "FPO=3A", "ACT_EST_MAPPING=PRECISE", "FS=MRC", "CURRENCY=USD", "XLFILL=b")</f>
        <v>-4.9145602265329362</v>
      </c>
      <c r="H139" s="9">
        <f>_xll.BQL("JBLU US Equity", "PRETAX_INC/1M", "FPT=A", "FPO=2A", "ACT_EST_MAPPING=PRECISE", "FS=MRC", "CURRENCY=USD", "XLFILL=b")</f>
        <v>-247.2816597171668</v>
      </c>
      <c r="I139" s="9">
        <f>_xll.BQL("JBLU US Equity", "PRETAX_INC/1M", "FPT=A", "FPO=1A", "ACT_EST_MAPPING=PRECISE", "FS=MRC", "CURRENCY=USD", "XLFILL=b")</f>
        <v>-1026.1648153949166</v>
      </c>
      <c r="J139" s="9">
        <f>_xll.BQL("JBLU US Equity", "PRETAX_INC/1M", "FPT=A", "FPO=0A", "ACT_EST_MAPPING=PRECISE", "FS=MRC", "CURRENCY=USD", "XLFILL=b")</f>
        <v>-334</v>
      </c>
      <c r="K139" s="9">
        <f>_xll.BQL("JBLU US Equity", "PRETAX_INC/1M", "FPT=A", "FPO=-1A", "ACT_EST_MAPPING=PRECISE", "FS=MRC", "CURRENCY=USD", "XLFILL=b")</f>
        <v>-437</v>
      </c>
      <c r="L139" s="9">
        <f>_xll.BQL("JBLU US Equity", "PRETAX_INC/1M", "FPT=A", "FPO=-2A", "ACT_EST_MAPPING=PRECISE", "FS=MRC", "CURRENCY=USD", "XLFILL=b")</f>
        <v>-263</v>
      </c>
      <c r="M139" s="9">
        <f>_xll.BQL("JBLU US Equity", "PRETAX_INC/1M", "FPT=A", "FPO=-3A", "ACT_EST_MAPPING=PRECISE", "FS=MRC", "CURRENCY=USD", "XLFILL=b")</f>
        <v>-1893</v>
      </c>
      <c r="N139" s="9">
        <f>_xll.BQL("JBLU US Equity", "PRETAX_INC/1M", "FPT=A", "FPO=-4A", "ACT_EST_MAPPING=PRECISE", "FS=MRC", "CURRENCY=USD", "XLFILL=b")</f>
        <v>768</v>
      </c>
    </row>
    <row r="140" spans="1:14" x14ac:dyDescent="0.2">
      <c r="A140" s="8" t="s">
        <v>12</v>
      </c>
      <c r="B140" s="4" t="s">
        <v>145</v>
      </c>
      <c r="C140" s="4" t="s">
        <v>146</v>
      </c>
      <c r="D140" s="4"/>
      <c r="E140" s="9" t="str">
        <f>_xll.BQL("JBLU US Equity", "FA_GROWTH(PRETAX_INC, YOY)", "FPT=A", "FPO=5A", "ACT_EST_MAPPING=PRECISE", "FS=MRC", "CURRENCY=USD", "XLFILL=b")</f>
        <v/>
      </c>
      <c r="F140" s="9" t="str">
        <f>_xll.BQL("JBLU US Equity", "FA_GROWTH(PRETAX_INC, YOY)", "FPT=A", "FPO=4A", "ACT_EST_MAPPING=PRECISE", "FS=MRC", "CURRENCY=USD", "XLFILL=b")</f>
        <v/>
      </c>
      <c r="G140" s="9">
        <f>_xll.BQL("JBLU US Equity", "FA_GROWTH(PRETAX_INC, YOY)", "FPT=A", "FPO=3A", "ACT_EST_MAPPING=PRECISE", "FS=MRC", "CURRENCY=USD", "XLFILL=b")</f>
        <v>98.012565819820992</v>
      </c>
      <c r="H140" s="9">
        <f>_xll.BQL("JBLU US Equity", "FA_GROWTH(PRETAX_INC, YOY)", "FPT=A", "FPO=2A", "ACT_EST_MAPPING=PRECISE", "FS=MRC", "CURRENCY=USD", "XLFILL=b")</f>
        <v>75.902344729876447</v>
      </c>
      <c r="I140" s="9">
        <f>_xll.BQL("JBLU US Equity", "FA_GROWTH(PRETAX_INC, YOY)", "FPT=A", "FPO=1A", "ACT_EST_MAPPING=PRECISE", "FS=MRC", "CURRENCY=USD", "XLFILL=b")</f>
        <v>-207.23497466913668</v>
      </c>
      <c r="J140" s="9">
        <f>_xll.BQL("JBLU US Equity", "FA_GROWTH(PRETAX_INC, YOY)", "FPT=A", "FPO=0A", "ACT_EST_MAPPING=PRECISE", "FS=MRC", "CURRENCY=USD", "XLFILL=b")</f>
        <v>23.569794050343248</v>
      </c>
      <c r="K140" s="9">
        <f>_xll.BQL("JBLU US Equity", "FA_GROWTH(PRETAX_INC, YOY)", "FPT=A", "FPO=-1A", "ACT_EST_MAPPING=PRECISE", "FS=MRC", "CURRENCY=USD", "XLFILL=b")</f>
        <v>-66.159695817490501</v>
      </c>
      <c r="L140" s="9">
        <f>_xll.BQL("JBLU US Equity", "FA_GROWTH(PRETAX_INC, YOY)", "FPT=A", "FPO=-2A", "ACT_EST_MAPPING=PRECISE", "FS=MRC", "CURRENCY=USD", "XLFILL=b")</f>
        <v>86.106708927628105</v>
      </c>
      <c r="M140" s="9">
        <f>_xll.BQL("JBLU US Equity", "FA_GROWTH(PRETAX_INC, YOY)", "FPT=A", "FPO=-3A", "ACT_EST_MAPPING=PRECISE", "FS=MRC", "CURRENCY=USD", "XLFILL=b")</f>
        <v>-346.484375</v>
      </c>
      <c r="N140" s="9">
        <f>_xll.BQL("JBLU US Equity", "FA_GROWTH(PRETAX_INC, YOY)", "FPT=A", "FPO=-4A", "ACT_EST_MAPPING=PRECISE", "FS=MRC", "CURRENCY=USD", "XLFILL=b")</f>
        <v>250.68493150684932</v>
      </c>
    </row>
    <row r="141" spans="1:14" x14ac:dyDescent="0.2">
      <c r="A141" s="8" t="s">
        <v>147</v>
      </c>
      <c r="B141" s="4" t="s">
        <v>148</v>
      </c>
      <c r="C141" s="4"/>
      <c r="D141" s="4"/>
      <c r="E141" s="9" t="str">
        <f>_xll.BQL("JBLU US Equity", "PRETAX_MARGIN", "FPT=A", "FPO=5A", "ACT_EST_MAPPING=PRECISE", "FS=MRC", "CURRENCY=USD", "XLFILL=b")</f>
        <v/>
      </c>
      <c r="F141" s="9" t="str">
        <f>_xll.BQL("JBLU US Equity", "PRETAX_MARGIN", "FPT=A", "FPO=4A", "ACT_EST_MAPPING=PRECISE", "FS=MRC", "CURRENCY=USD", "XLFILL=b")</f>
        <v/>
      </c>
      <c r="G141" s="9">
        <f>_xll.BQL("JBLU US Equity", "PRETAX_MARGIN", "FPT=A", "FPO=3A", "ACT_EST_MAPPING=PRECISE", "FS=MRC", "CURRENCY=USD", "XLFILL=b")</f>
        <v>1.3657368101239111</v>
      </c>
      <c r="H141" s="9">
        <f>_xll.BQL("JBLU US Equity", "PRETAX_MARGIN", "FPT=A", "FPO=2A", "ACT_EST_MAPPING=PRECISE", "FS=MRC", "CURRENCY=USD", "XLFILL=b")</f>
        <v>-2.6850596632892429</v>
      </c>
      <c r="I141" s="9">
        <f>_xll.BQL("JBLU US Equity", "PRETAX_MARGIN", "FPT=A", "FPO=1A", "ACT_EST_MAPPING=PRECISE", "FS=MRC", "CURRENCY=USD", "XLFILL=b")</f>
        <v>-12.184619198700364</v>
      </c>
      <c r="J141" s="9">
        <f>_xll.BQL("JBLU US Equity", "PRETAX_MARGIN", "FPT=A", "FPO=0A", "ACT_EST_MAPPING=PRECISE", "FS=MRC", "CURRENCY=USD", "XLFILL=b")</f>
        <v>-3.4737389495579825</v>
      </c>
      <c r="K141" s="9">
        <f>_xll.BQL("JBLU US Equity", "PRETAX_MARGIN", "FPT=A", "FPO=-1A", "ACT_EST_MAPPING=PRECISE", "FS=MRC", "CURRENCY=USD", "XLFILL=b")</f>
        <v>-4.7717842323651452</v>
      </c>
      <c r="L141" s="9">
        <f>_xll.BQL("JBLU US Equity", "PRETAX_MARGIN", "FPT=A", "FPO=-2A", "ACT_EST_MAPPING=PRECISE", "FS=MRC", "CURRENCY=USD", "XLFILL=b")</f>
        <v>-4.3564684445916848</v>
      </c>
      <c r="M141" s="9">
        <f>_xll.BQL("JBLU US Equity", "PRETAX_MARGIN", "FPT=A", "FPO=-3A", "ACT_EST_MAPPING=PRECISE", "FS=MRC", "CURRENCY=USD", "XLFILL=b")</f>
        <v>-64.017585390598583</v>
      </c>
      <c r="N141" s="9">
        <f>_xll.BQL("JBLU US Equity", "PRETAX_MARGIN", "FPT=A", "FPO=-4A", "ACT_EST_MAPPING=PRECISE", "FS=MRC", "CURRENCY=USD", "XLFILL=b")</f>
        <v>9.4885100074128985</v>
      </c>
    </row>
    <row r="142" spans="1:14" x14ac:dyDescent="0.2">
      <c r="A142" s="8" t="s">
        <v>84</v>
      </c>
      <c r="B142" s="4" t="s">
        <v>148</v>
      </c>
      <c r="C142" s="4"/>
      <c r="D142" s="4"/>
      <c r="E142" s="9" t="str">
        <f>_xll.BQL("JBLU US Equity", "FA_GROWTH(PRETAX_MARGIN, YOY)", "FPT=A", "FPO=5A", "ACT_EST_MAPPING=PRECISE", "FS=MRC", "CURRENCY=USD", "XLFILL=b")</f>
        <v/>
      </c>
      <c r="F142" s="9" t="str">
        <f>_xll.BQL("JBLU US Equity", "FA_GROWTH(PRETAX_MARGIN, YOY)", "FPT=A", "FPO=4A", "ACT_EST_MAPPING=PRECISE", "FS=MRC", "CURRENCY=USD", "XLFILL=b")</f>
        <v/>
      </c>
      <c r="G142" s="9">
        <f>_xll.BQL("JBLU US Equity", "FA_GROWTH(PRETAX_MARGIN, YOY)", "FPT=A", "FPO=3A", "ACT_EST_MAPPING=PRECISE", "FS=MRC", "CURRENCY=USD", "XLFILL=b")</f>
        <v>150.86430029084943</v>
      </c>
      <c r="H142" s="9">
        <f>_xll.BQL("JBLU US Equity", "FA_GROWTH(PRETAX_MARGIN, YOY)", "FPT=A", "FPO=2A", "ACT_EST_MAPPING=PRECISE", "FS=MRC", "CURRENCY=USD", "XLFILL=b")</f>
        <v>77.963532388639294</v>
      </c>
      <c r="I142" s="9">
        <f>_xll.BQL("JBLU US Equity", "FA_GROWTH(PRETAX_MARGIN, YOY)", "FPT=A", "FPO=1A", "ACT_EST_MAPPING=PRECISE", "FS=MRC", "CURRENCY=USD", "XLFILL=b")</f>
        <v>-250.76381316019157</v>
      </c>
      <c r="J142" s="9">
        <f>_xll.BQL("JBLU US Equity", "FA_GROWTH(PRETAX_MARGIN, YOY)", "FPT=A", "FPO=0A", "ACT_EST_MAPPING=PRECISE", "FS=MRC", "CURRENCY=USD", "XLFILL=b")</f>
        <v>27.20251418752402</v>
      </c>
      <c r="K142" s="9">
        <f>_xll.BQL("JBLU US Equity", "FA_GROWTH(PRETAX_MARGIN, YOY)", "FPT=A", "FPO=-1A", "ACT_EST_MAPPING=PRECISE", "FS=MRC", "CURRENCY=USD", "XLFILL=b")</f>
        <v>-9.5333133490052475</v>
      </c>
      <c r="L142" s="9">
        <f>_xll.BQL("JBLU US Equity", "FA_GROWTH(PRETAX_MARGIN, YOY)", "FPT=A", "FPO=-2A", "ACT_EST_MAPPING=PRECISE", "FS=MRC", "CURRENCY=USD", "XLFILL=b")</f>
        <v>93.194887907735009</v>
      </c>
      <c r="M142" s="9">
        <f>_xll.BQL("JBLU US Equity", "FA_GROWTH(PRETAX_MARGIN, YOY)", "FPT=A", "FPO=-3A", "ACT_EST_MAPPING=PRECISE", "FS=MRC", "CURRENCY=USD", "XLFILL=b")</f>
        <v>-774.68533353060536</v>
      </c>
      <c r="N142" s="9">
        <f>_xll.BQL("JBLU US Equity", "FA_GROWTH(PRETAX_MARGIN, YOY)", "FPT=A", "FPO=-4A", "ACT_EST_MAPPING=PRECISE", "FS=MRC", "CURRENCY=USD", "XLFILL=b")</f>
        <v>231.79456455145197</v>
      </c>
    </row>
    <row r="143" spans="1:14" x14ac:dyDescent="0.2">
      <c r="A143" s="8" t="s">
        <v>16</v>
      </c>
      <c r="B143" s="4"/>
      <c r="C143" s="4"/>
      <c r="D143" s="4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 x14ac:dyDescent="0.2">
      <c r="A144" s="8" t="s">
        <v>149</v>
      </c>
      <c r="B144" s="4" t="s">
        <v>150</v>
      </c>
      <c r="C144" s="4" t="s">
        <v>151</v>
      </c>
      <c r="D144" s="4"/>
      <c r="E144" s="9" t="str">
        <f>_xll.BQL("JBLU US Equity", "CB_IS_INCOME_TAX_EXP/1M", "FPT=A", "FPO=5A", "ACT_EST_MAPPING=PRECISE", "FS=MRC", "CURRENCY=USD", "XLFILL=b")</f>
        <v/>
      </c>
      <c r="F144" s="9" t="str">
        <f>_xll.BQL("JBLU US Equity", "CB_IS_INCOME_TAX_EXP/1M", "FPT=A", "FPO=4A", "ACT_EST_MAPPING=PRECISE", "FS=MRC", "CURRENCY=USD", "XLFILL=b")</f>
        <v/>
      </c>
      <c r="G144" s="9">
        <f>_xll.BQL("JBLU US Equity", "CB_IS_INCOME_TAX_EXP/1M", "FPT=A", "FPO=3A", "ACT_EST_MAPPING=PRECISE", "FS=MRC", "CURRENCY=USD", "XLFILL=b")</f>
        <v>0.46509393667589688</v>
      </c>
      <c r="H144" s="9">
        <f>_xll.BQL("JBLU US Equity", "CB_IS_INCOME_TAX_EXP/1M", "FPT=A", "FPO=2A", "ACT_EST_MAPPING=PRECISE", "FS=MRC", "CURRENCY=USD", "XLFILL=b")</f>
        <v>-63.785478244557048</v>
      </c>
      <c r="I144" s="9">
        <f>_xll.BQL("JBLU US Equity", "CB_IS_INCOME_TAX_EXP/1M", "FPT=A", "FPO=1A", "ACT_EST_MAPPING=PRECISE", "FS=MRC", "CURRENCY=USD", "XLFILL=b")</f>
        <v>-121.51841545828532</v>
      </c>
      <c r="J144" s="9">
        <f>_xll.BQL("JBLU US Equity", "CB_IS_INCOME_TAX_EXP/1M", "FPT=A", "FPO=0A", "ACT_EST_MAPPING=PRECISE", "FS=MRC", "CURRENCY=USD", "XLFILL=b")</f>
        <v>-24</v>
      </c>
      <c r="K144" s="9">
        <f>_xll.BQL("JBLU US Equity", "CB_IS_INCOME_TAX_EXP/1M", "FPT=A", "FPO=-1A", "ACT_EST_MAPPING=PRECISE", "FS=MRC", "CURRENCY=USD", "XLFILL=b")</f>
        <v>-75</v>
      </c>
      <c r="L144" s="9">
        <f>_xll.BQL("JBLU US Equity", "CB_IS_INCOME_TAX_EXP/1M", "FPT=A", "FPO=-2A", "ACT_EST_MAPPING=PRECISE", "FS=MRC", "CURRENCY=USD", "XLFILL=b")</f>
        <v>-81</v>
      </c>
      <c r="M144" s="9">
        <f>_xll.BQL("JBLU US Equity", "CB_IS_INCOME_TAX_EXP/1M", "FPT=A", "FPO=-3A", "ACT_EST_MAPPING=PRECISE", "FS=MRC", "CURRENCY=USD", "XLFILL=b")</f>
        <v>-539</v>
      </c>
      <c r="N144" s="9">
        <f>_xll.BQL("JBLU US Equity", "CB_IS_INCOME_TAX_EXP/1M", "FPT=A", "FPO=-4A", "ACT_EST_MAPPING=PRECISE", "FS=MRC", "CURRENCY=USD", "XLFILL=b")</f>
        <v>199</v>
      </c>
    </row>
    <row r="145" spans="1:14" x14ac:dyDescent="0.2">
      <c r="A145" s="8" t="s">
        <v>12</v>
      </c>
      <c r="B145" s="4" t="s">
        <v>150</v>
      </c>
      <c r="C145" s="4" t="s">
        <v>151</v>
      </c>
      <c r="D145" s="4"/>
      <c r="E145" s="9" t="str">
        <f>_xll.BQL("JBLU US Equity", "FA_GROWTH(CB_IS_INCOME_TAX_EXP, YOY)", "FPT=A", "FPO=5A", "ACT_EST_MAPPING=PRECISE", "FS=MRC", "CURRENCY=USD", "XLFILL=b")</f>
        <v/>
      </c>
      <c r="F145" s="9" t="str">
        <f>_xll.BQL("JBLU US Equity", "FA_GROWTH(CB_IS_INCOME_TAX_EXP, YOY)", "FPT=A", "FPO=4A", "ACT_EST_MAPPING=PRECISE", "FS=MRC", "CURRENCY=USD", "XLFILL=b")</f>
        <v/>
      </c>
      <c r="G145" s="9">
        <f>_xll.BQL("JBLU US Equity", "FA_GROWTH(CB_IS_INCOME_TAX_EXP, YOY)", "FPT=A", "FPO=3A", "ACT_EST_MAPPING=PRECISE", "FS=MRC", "CURRENCY=USD", "XLFILL=b")</f>
        <v>100.72915332686338</v>
      </c>
      <c r="H145" s="9">
        <f>_xll.BQL("JBLU US Equity", "FA_GROWTH(CB_IS_INCOME_TAX_EXP, YOY)", "FPT=A", "FPO=2A", "ACT_EST_MAPPING=PRECISE", "FS=MRC", "CURRENCY=USD", "XLFILL=b")</f>
        <v>47.509619834984406</v>
      </c>
      <c r="I145" s="9">
        <f>_xll.BQL("JBLU US Equity", "FA_GROWTH(CB_IS_INCOME_TAX_EXP, YOY)", "FPT=A", "FPO=1A", "ACT_EST_MAPPING=PRECISE", "FS=MRC", "CURRENCY=USD", "XLFILL=b")</f>
        <v>-406.32673107618882</v>
      </c>
      <c r="J145" s="9">
        <f>_xll.BQL("JBLU US Equity", "FA_GROWTH(CB_IS_INCOME_TAX_EXP, YOY)", "FPT=A", "FPO=0A", "ACT_EST_MAPPING=PRECISE", "FS=MRC", "CURRENCY=USD", "XLFILL=b")</f>
        <v>68</v>
      </c>
      <c r="K145" s="9">
        <f>_xll.BQL("JBLU US Equity", "FA_GROWTH(CB_IS_INCOME_TAX_EXP, YOY)", "FPT=A", "FPO=-1A", "ACT_EST_MAPPING=PRECISE", "FS=MRC", "CURRENCY=USD", "XLFILL=b")</f>
        <v>7.4074074074074074</v>
      </c>
      <c r="L145" s="9">
        <f>_xll.BQL("JBLU US Equity", "FA_GROWTH(CB_IS_INCOME_TAX_EXP, YOY)", "FPT=A", "FPO=-2A", "ACT_EST_MAPPING=PRECISE", "FS=MRC", "CURRENCY=USD", "XLFILL=b")</f>
        <v>84.972170686456394</v>
      </c>
      <c r="M145" s="9">
        <f>_xll.BQL("JBLU US Equity", "FA_GROWTH(CB_IS_INCOME_TAX_EXP, YOY)", "FPT=A", "FPO=-3A", "ACT_EST_MAPPING=PRECISE", "FS=MRC", "CURRENCY=USD", "XLFILL=b")</f>
        <v>-370.8542713567839</v>
      </c>
      <c r="N145" s="9">
        <f>_xll.BQL("JBLU US Equity", "FA_GROWTH(CB_IS_INCOME_TAX_EXP, YOY)", "FPT=A", "FPO=-4A", "ACT_EST_MAPPING=PRECISE", "FS=MRC", "CURRENCY=USD", "XLFILL=b")</f>
        <v>563.33333333333337</v>
      </c>
    </row>
    <row r="146" spans="1:14" x14ac:dyDescent="0.2">
      <c r="A146" s="8" t="s">
        <v>152</v>
      </c>
      <c r="B146" s="4" t="s">
        <v>153</v>
      </c>
      <c r="C146" s="4" t="s">
        <v>154</v>
      </c>
      <c r="D146" s="4"/>
      <c r="E146" s="9">
        <f>_xll.BQL("JBLU US Equity", "EFF_TAX_RATE", "FPT=A", "FPO=5A", "ACT_EST_MAPPING=PRECISE", "FS=MRC", "CURRENCY=USD", "XLFILL=b")</f>
        <v>23.500000000000902</v>
      </c>
      <c r="F146" s="9">
        <f>_xll.BQL("JBLU US Equity", "EFF_TAX_RATE", "FPT=A", "FPO=4A", "ACT_EST_MAPPING=PRECISE", "FS=MRC", "CURRENCY=USD", "XLFILL=b")</f>
        <v>23.49999999999967</v>
      </c>
      <c r="G146" s="9">
        <f>_xll.BQL("JBLU US Equity", "EFF_TAX_RATE", "FPT=A", "FPO=3A", "ACT_EST_MAPPING=PRECISE", "FS=MRC", "CURRENCY=USD", "XLFILL=b")</f>
        <v>25.935558233916858</v>
      </c>
      <c r="H146" s="9">
        <f>_xll.BQL("JBLU US Equity", "EFF_TAX_RATE", "FPT=A", "FPO=2A", "ACT_EST_MAPPING=PRECISE", "FS=MRC", "CURRENCY=USD", "XLFILL=b")</f>
        <v>25.797440521872574</v>
      </c>
      <c r="I146" s="9">
        <f>_xll.BQL("JBLU US Equity", "EFF_TAX_RATE", "FPT=A", "FPO=1A", "ACT_EST_MAPPING=PRECISE", "FS=MRC", "CURRENCY=USD", "XLFILL=b")</f>
        <v>18.896372009251834</v>
      </c>
      <c r="J146" s="9" t="str">
        <f>_xll.BQL("JBLU US Equity", "EFF_TAX_RATE", "FPT=A", "FPO=0A", "ACT_EST_MAPPING=PRECISE", "FS=MRC", "CURRENCY=USD", "XLFILL=b")</f>
        <v/>
      </c>
      <c r="K146" s="9" t="str">
        <f>_xll.BQL("JBLU US Equity", "EFF_TAX_RATE", "FPT=A", "FPO=-1A", "ACT_EST_MAPPING=PRECISE", "FS=MRC", "CURRENCY=USD", "XLFILL=b")</f>
        <v/>
      </c>
      <c r="L146" s="9" t="str">
        <f>_xll.BQL("JBLU US Equity", "EFF_TAX_RATE", "FPT=A", "FPO=-2A", "ACT_EST_MAPPING=PRECISE", "FS=MRC", "CURRENCY=USD", "XLFILL=b")</f>
        <v/>
      </c>
      <c r="M146" s="9" t="str">
        <f>_xll.BQL("JBLU US Equity", "EFF_TAX_RATE", "FPT=A", "FPO=-3A", "ACT_EST_MAPPING=PRECISE", "FS=MRC", "CURRENCY=USD", "XLFILL=b")</f>
        <v/>
      </c>
      <c r="N146" s="9">
        <f>_xll.BQL("JBLU US Equity", "EFF_TAX_RATE", "FPT=A", "FPO=-4A", "ACT_EST_MAPPING=PRECISE", "FS=MRC", "CURRENCY=USD", "XLFILL=b")</f>
        <v>25.911458333333332</v>
      </c>
    </row>
    <row r="147" spans="1:14" x14ac:dyDescent="0.2">
      <c r="A147" s="8" t="s">
        <v>84</v>
      </c>
      <c r="B147" s="4" t="s">
        <v>153</v>
      </c>
      <c r="C147" s="4" t="s">
        <v>154</v>
      </c>
      <c r="D147" s="4"/>
      <c r="E147" s="9">
        <f>_xll.BQL("JBLU US Equity", "FA_GROWTH(EFF_TAX_RATE, YOY)", "FPT=A", "FPO=5A", "ACT_EST_MAPPING=PRECISE", "FS=MRC", "CURRENCY=USD", "XLFILL=b")</f>
        <v>5.2459219001863453E-12</v>
      </c>
      <c r="F147" s="9">
        <f>_xll.BQL("JBLU US Equity", "FA_GROWTH(EFF_TAX_RATE, YOY)", "FPT=A", "FPO=4A", "ACT_EST_MAPPING=PRECISE", "FS=MRC", "CURRENCY=USD", "XLFILL=b")</f>
        <v>-9.3908070609103831</v>
      </c>
      <c r="G147" s="9">
        <f>_xll.BQL("JBLU US Equity", "FA_GROWTH(EFF_TAX_RATE, YOY)", "FPT=A", "FPO=3A", "ACT_EST_MAPPING=PRECISE", "FS=MRC", "CURRENCY=USD", "XLFILL=b")</f>
        <v>0.53539308260902863</v>
      </c>
      <c r="H147" s="9">
        <f>_xll.BQL("JBLU US Equity", "FA_GROWTH(EFF_TAX_RATE, YOY)", "FPT=A", "FPO=2A", "ACT_EST_MAPPING=PRECISE", "FS=MRC", "CURRENCY=USD", "XLFILL=b")</f>
        <v>36.520600405421277</v>
      </c>
      <c r="I147" s="9" t="str">
        <f>_xll.BQL("JBLU US Equity", "FA_GROWTH(EFF_TAX_RATE, YOY)", "FPT=A", "FPO=1A", "ACT_EST_MAPPING=PRECISE", "FS=MRC", "CURRENCY=USD", "XLFILL=b")</f>
        <v/>
      </c>
      <c r="J147" s="9" t="str">
        <f>_xll.BQL("JBLU US Equity", "FA_GROWTH(EFF_TAX_RATE, YOY)", "FPT=A", "FPO=0A", "ACT_EST_MAPPING=PRECISE", "FS=MRC", "CURRENCY=USD", "XLFILL=b")</f>
        <v/>
      </c>
      <c r="K147" s="9" t="str">
        <f>_xll.BQL("JBLU US Equity", "FA_GROWTH(EFF_TAX_RATE, YOY)", "FPT=A", "FPO=-1A", "ACT_EST_MAPPING=PRECISE", "FS=MRC", "CURRENCY=USD", "XLFILL=b")</f>
        <v/>
      </c>
      <c r="L147" s="9" t="str">
        <f>_xll.BQL("JBLU US Equity", "FA_GROWTH(EFF_TAX_RATE, YOY)", "FPT=A", "FPO=-2A", "ACT_EST_MAPPING=PRECISE", "FS=MRC", "CURRENCY=USD", "XLFILL=b")</f>
        <v/>
      </c>
      <c r="M147" s="9" t="str">
        <f>_xll.BQL("JBLU US Equity", "FA_GROWTH(EFF_TAX_RATE, YOY)", "FPT=A", "FPO=-3A", "ACT_EST_MAPPING=PRECISE", "FS=MRC", "CURRENCY=USD", "XLFILL=b")</f>
        <v/>
      </c>
      <c r="N147" s="9">
        <f>_xll.BQL("JBLU US Equity", "FA_GROWTH(EFF_TAX_RATE, YOY)", "FPT=A", "FPO=-4A", "ACT_EST_MAPPING=PRECISE", "FS=MRC", "CURRENCY=USD", "XLFILL=b")</f>
        <v>89.153645833333329</v>
      </c>
    </row>
    <row r="148" spans="1:14" x14ac:dyDescent="0.2">
      <c r="A148" s="8" t="s">
        <v>16</v>
      </c>
      <c r="B148" s="4"/>
      <c r="C148" s="4"/>
      <c r="D148" s="4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 x14ac:dyDescent="0.2">
      <c r="A149" s="8" t="s">
        <v>155</v>
      </c>
      <c r="B149" s="4" t="s">
        <v>156</v>
      </c>
      <c r="C149" s="4" t="s">
        <v>157</v>
      </c>
      <c r="D149" s="4"/>
      <c r="E149" s="9">
        <f>_xll.BQL("JBLU US Equity", "IS_COMP_NET_INCOME_GAAP/1M", "FPT=A", "FPO=5A", "ACT_EST_MAPPING=PRECISE", "FS=MRC", "CURRENCY=USD", "XLFILL=b")</f>
        <v>53.699999999999996</v>
      </c>
      <c r="F149" s="9">
        <f>_xll.BQL("JBLU US Equity", "IS_COMP_NET_INCOME_GAAP/1M", "FPT=A", "FPO=4A", "ACT_EST_MAPPING=PRECISE", "FS=MRC", "CURRENCY=USD", "XLFILL=b")</f>
        <v>71.7</v>
      </c>
      <c r="G149" s="9">
        <f>_xll.BQL("JBLU US Equity", "IS_COMP_NET_INCOME_GAAP/1M", "FPT=A", "FPO=3A", "ACT_EST_MAPPING=PRECISE", "FS=MRC", "CURRENCY=USD", "XLFILL=b")</f>
        <v>-4.9720000000000004</v>
      </c>
      <c r="H149" s="9">
        <f>_xll.BQL("JBLU US Equity", "IS_COMP_NET_INCOME_GAAP/1M", "FPT=A", "FPO=2A", "ACT_EST_MAPPING=PRECISE", "FS=MRC", "CURRENCY=USD", "XLFILL=b")</f>
        <v>-172.70099999999999</v>
      </c>
      <c r="I149" s="9">
        <f>_xll.BQL("JBLU US Equity", "IS_COMP_NET_INCOME_GAAP/1M", "FPT=A", "FPO=1A", "ACT_EST_MAPPING=PRECISE", "FS=MRC", "CURRENCY=USD", "XLFILL=b")</f>
        <v>-796.1</v>
      </c>
      <c r="J149" s="9">
        <f>_xll.BQL("JBLU US Equity", "IS_COMP_NET_INCOME_GAAP/1M", "FPT=A", "FPO=0A", "ACT_EST_MAPPING=PRECISE", "FS=MRC", "CURRENCY=USD", "XLFILL=b")</f>
        <v>-310</v>
      </c>
      <c r="K149" s="9">
        <f>_xll.BQL("JBLU US Equity", "IS_COMP_NET_INCOME_GAAP/1M", "FPT=A", "FPO=-1A", "ACT_EST_MAPPING=PRECISE", "FS=MRC", "CURRENCY=USD", "XLFILL=b")</f>
        <v>-362</v>
      </c>
      <c r="L149" s="9">
        <f>_xll.BQL("JBLU US Equity", "IS_COMP_NET_INCOME_GAAP/1M", "FPT=A", "FPO=-2A", "ACT_EST_MAPPING=PRECISE", "FS=MRC", "CURRENCY=USD", "XLFILL=b")</f>
        <v>-182</v>
      </c>
      <c r="M149" s="9">
        <f>_xll.BQL("JBLU US Equity", "IS_COMP_NET_INCOME_GAAP/1M", "FPT=A", "FPO=-3A", "ACT_EST_MAPPING=PRECISE", "FS=MRC", "CURRENCY=USD", "XLFILL=b")</f>
        <v>-1362</v>
      </c>
      <c r="N149" s="9">
        <f>_xll.BQL("JBLU US Equity", "IS_COMP_NET_INCOME_GAAP/1M", "FPT=A", "FPO=-4A", "ACT_EST_MAPPING=PRECISE", "FS=MRC", "CURRENCY=USD", "XLFILL=b")</f>
        <v>569</v>
      </c>
    </row>
    <row r="150" spans="1:14" x14ac:dyDescent="0.2">
      <c r="A150" s="8" t="s">
        <v>12</v>
      </c>
      <c r="B150" s="4" t="s">
        <v>156</v>
      </c>
      <c r="C150" s="4" t="s">
        <v>157</v>
      </c>
      <c r="D150" s="4"/>
      <c r="E150" s="9">
        <f>_xll.BQL("JBLU US Equity", "FA_GROWTH(IS_COMP_NET_INCOME_GAAP, YOY)", "FPT=A", "FPO=5A", "ACT_EST_MAPPING=PRECISE", "FS=MRC", "CURRENCY=USD", "XLFILL=b")</f>
        <v>-25.104602510460261</v>
      </c>
      <c r="F150" s="9">
        <f>_xll.BQL("JBLU US Equity", "FA_GROWTH(IS_COMP_NET_INCOME_GAAP, YOY)", "FPT=A", "FPO=4A", "ACT_EST_MAPPING=PRECISE", "FS=MRC", "CURRENCY=USD", "XLFILL=b")</f>
        <v>1542.0756234915527</v>
      </c>
      <c r="G150" s="9">
        <f>_xll.BQL("JBLU US Equity", "FA_GROWTH(IS_COMP_NET_INCOME_GAAP, YOY)", "FPT=A", "FPO=3A", "ACT_EST_MAPPING=PRECISE", "FS=MRC", "CURRENCY=USD", "XLFILL=b")</f>
        <v>97.121035778600003</v>
      </c>
      <c r="H150" s="9">
        <f>_xll.BQL("JBLU US Equity", "FA_GROWTH(IS_COMP_NET_INCOME_GAAP, YOY)", "FPT=A", "FPO=2A", "ACT_EST_MAPPING=PRECISE", "FS=MRC", "CURRENCY=USD", "XLFILL=b")</f>
        <v>78.306619771385499</v>
      </c>
      <c r="I150" s="9">
        <f>_xll.BQL("JBLU US Equity", "FA_GROWTH(IS_COMP_NET_INCOME_GAAP, YOY)", "FPT=A", "FPO=1A", "ACT_EST_MAPPING=PRECISE", "FS=MRC", "CURRENCY=USD", "XLFILL=b")</f>
        <v>-156.80645161290323</v>
      </c>
      <c r="J150" s="9">
        <f>_xll.BQL("JBLU US Equity", "FA_GROWTH(IS_COMP_NET_INCOME_GAAP, YOY)", "FPT=A", "FPO=0A", "ACT_EST_MAPPING=PRECISE", "FS=MRC", "CURRENCY=USD", "XLFILL=b")</f>
        <v>14.3646408839779</v>
      </c>
      <c r="K150" s="9">
        <f>_xll.BQL("JBLU US Equity", "FA_GROWTH(IS_COMP_NET_INCOME_GAAP, YOY)", "FPT=A", "FPO=-1A", "ACT_EST_MAPPING=PRECISE", "FS=MRC", "CURRENCY=USD", "XLFILL=b")</f>
        <v>-98.901098901098905</v>
      </c>
      <c r="L150" s="9">
        <f>_xll.BQL("JBLU US Equity", "FA_GROWTH(IS_COMP_NET_INCOME_GAAP, YOY)", "FPT=A", "FPO=-2A", "ACT_EST_MAPPING=PRECISE", "FS=MRC", "CURRENCY=USD", "XLFILL=b")</f>
        <v>86.637298091042581</v>
      </c>
      <c r="M150" s="9">
        <f>_xll.BQL("JBLU US Equity", "FA_GROWTH(IS_COMP_NET_INCOME_GAAP, YOY)", "FPT=A", "FPO=-3A", "ACT_EST_MAPPING=PRECISE", "FS=MRC", "CURRENCY=USD", "XLFILL=b")</f>
        <v>-339.36731107205622</v>
      </c>
      <c r="N150" s="9">
        <f>_xll.BQL("JBLU US Equity", "FA_GROWTH(IS_COMP_NET_INCOME_GAAP, YOY)", "FPT=A", "FPO=-4A", "ACT_EST_MAPPING=PRECISE", "FS=MRC", "CURRENCY=USD", "XLFILL=b")</f>
        <v>202.65957446808511</v>
      </c>
    </row>
    <row r="151" spans="1:14" x14ac:dyDescent="0.2">
      <c r="A151" s="8" t="s">
        <v>16</v>
      </c>
      <c r="B151" s="4"/>
      <c r="C151" s="4"/>
      <c r="D151" s="4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 x14ac:dyDescent="0.2">
      <c r="A152" s="8" t="s">
        <v>158</v>
      </c>
      <c r="B152" s="4" t="s">
        <v>159</v>
      </c>
      <c r="C152" s="4"/>
      <c r="D152" s="4"/>
      <c r="E152" s="9">
        <f>_xll.BQL("JBLU US Equity", "IS_AVG_NUM_SH_FOR_EPS/1M", "FPT=A", "FPO=5A", "ACT_EST_MAPPING=PRECISE", "FS=MRC", "CURRENCY=USD", "XLFILL=b")</f>
        <v>352.9</v>
      </c>
      <c r="F152" s="9">
        <f>_xll.BQL("JBLU US Equity", "IS_AVG_NUM_SH_FOR_EPS/1M", "FPT=A", "FPO=4A", "ACT_EST_MAPPING=PRECISE", "FS=MRC", "CURRENCY=USD", "XLFILL=b")</f>
        <v>352.9</v>
      </c>
      <c r="G152" s="9">
        <f>_xll.BQL("JBLU US Equity", "IS_AVG_NUM_SH_FOR_EPS/1M", "FPT=A", "FPO=3A", "ACT_EST_MAPPING=PRECISE", "FS=MRC", "CURRENCY=USD", "XLFILL=b")</f>
        <v>360.80116099999998</v>
      </c>
      <c r="H152" s="9">
        <f>_xll.BQL("JBLU US Equity", "IS_AVG_NUM_SH_FOR_EPS/1M", "FPT=A", "FPO=2A", "ACT_EST_MAPPING=PRECISE", "FS=MRC", "CURRENCY=USD", "XLFILL=b")</f>
        <v>346.75483923982182</v>
      </c>
      <c r="I152" s="9">
        <f>_xll.BQL("JBLU US Equity", "IS_AVG_NUM_SH_FOR_EPS/1M", "FPT=A", "FPO=1A", "ACT_EST_MAPPING=PRECISE", "FS=MRC", "CURRENCY=USD", "XLFILL=b")</f>
        <v>344.83716446365179</v>
      </c>
      <c r="J152" s="9">
        <f>_xll.BQL("JBLU US Equity", "IS_AVG_NUM_SH_FOR_EPS/1M", "FPT=A", "FPO=0A", "ACT_EST_MAPPING=PRECISE", "FS=MRC", "CURRENCY=USD", "XLFILL=b")</f>
        <v>332.9</v>
      </c>
      <c r="K152" s="9">
        <f>_xll.BQL("JBLU US Equity", "IS_AVG_NUM_SH_FOR_EPS/1M", "FPT=A", "FPO=-1A", "ACT_EST_MAPPING=PRECISE", "FS=MRC", "CURRENCY=USD", "XLFILL=b")</f>
        <v>323.60000000000002</v>
      </c>
      <c r="L152" s="9">
        <f>_xll.BQL("JBLU US Equity", "IS_AVG_NUM_SH_FOR_EPS/1M", "FPT=A", "FPO=-2A", "ACT_EST_MAPPING=PRECISE", "FS=MRC", "CURRENCY=USD", "XLFILL=b")</f>
        <v>318</v>
      </c>
      <c r="M152" s="9">
        <f>_xll.BQL("JBLU US Equity", "IS_AVG_NUM_SH_FOR_EPS/1M", "FPT=A", "FPO=-3A", "ACT_EST_MAPPING=PRECISE", "FS=MRC", "CURRENCY=USD", "XLFILL=b")</f>
        <v>277.5</v>
      </c>
      <c r="N152" s="9">
        <f>_xll.BQL("JBLU US Equity", "IS_AVG_NUM_SH_FOR_EPS/1M", "FPT=A", "FPO=-4A", "ACT_EST_MAPPING=PRECISE", "FS=MRC", "CURRENCY=USD", "XLFILL=b")</f>
        <v>296.60000000000002</v>
      </c>
    </row>
    <row r="153" spans="1:14" x14ac:dyDescent="0.2">
      <c r="A153" s="8" t="s">
        <v>12</v>
      </c>
      <c r="B153" s="4" t="s">
        <v>159</v>
      </c>
      <c r="C153" s="4"/>
      <c r="D153" s="4"/>
      <c r="E153" s="9">
        <f>_xll.BQL("JBLU US Equity", "FA_GROWTH(IS_AVG_NUM_SH_FOR_EPS, YOY)", "FPT=A", "FPO=5A", "ACT_EST_MAPPING=PRECISE", "FS=MRC", "CURRENCY=USD", "XLFILL=b")</f>
        <v>0</v>
      </c>
      <c r="F153" s="9">
        <f>_xll.BQL("JBLU US Equity", "FA_GROWTH(IS_AVG_NUM_SH_FOR_EPS, YOY)", "FPT=A", "FPO=4A", "ACT_EST_MAPPING=PRECISE", "FS=MRC", "CURRENCY=USD", "XLFILL=b")</f>
        <v>-2.1898934521444069</v>
      </c>
      <c r="G153" s="9">
        <f>_xll.BQL("JBLU US Equity", "FA_GROWTH(IS_AVG_NUM_SH_FOR_EPS, YOY)", "FPT=A", "FPO=3A", "ACT_EST_MAPPING=PRECISE", "FS=MRC", "CURRENCY=USD", "XLFILL=b")</f>
        <v>4.0507932898561574</v>
      </c>
      <c r="H153" s="9">
        <f>_xll.BQL("JBLU US Equity", "FA_GROWTH(IS_AVG_NUM_SH_FOR_EPS, YOY)", "FPT=A", "FPO=2A", "ACT_EST_MAPPING=PRECISE", "FS=MRC", "CURRENCY=USD", "XLFILL=b")</f>
        <v>0.55611023804603621</v>
      </c>
      <c r="I153" s="9">
        <f>_xll.BQL("JBLU US Equity", "FA_GROWTH(IS_AVG_NUM_SH_FOR_EPS, YOY)", "FPT=A", "FPO=1A", "ACT_EST_MAPPING=PRECISE", "FS=MRC", "CURRENCY=USD", "XLFILL=b")</f>
        <v>3.5858108932567667</v>
      </c>
      <c r="J153" s="9">
        <f>_xll.BQL("JBLU US Equity", "FA_GROWTH(IS_AVG_NUM_SH_FOR_EPS, YOY)", "FPT=A", "FPO=0A", "ACT_EST_MAPPING=PRECISE", "FS=MRC", "CURRENCY=USD", "XLFILL=b")</f>
        <v>2.8739184177997528</v>
      </c>
      <c r="K153" s="9">
        <f>_xll.BQL("JBLU US Equity", "FA_GROWTH(IS_AVG_NUM_SH_FOR_EPS, YOY)", "FPT=A", "FPO=-1A", "ACT_EST_MAPPING=PRECISE", "FS=MRC", "CURRENCY=USD", "XLFILL=b")</f>
        <v>1.7610062893081762</v>
      </c>
      <c r="L153" s="9">
        <f>_xll.BQL("JBLU US Equity", "FA_GROWTH(IS_AVG_NUM_SH_FOR_EPS, YOY)", "FPT=A", "FPO=-2A", "ACT_EST_MAPPING=PRECISE", "FS=MRC", "CURRENCY=USD", "XLFILL=b")</f>
        <v>14.594594594594595</v>
      </c>
      <c r="M153" s="9">
        <f>_xll.BQL("JBLU US Equity", "FA_GROWTH(IS_AVG_NUM_SH_FOR_EPS, YOY)", "FPT=A", "FPO=-3A", "ACT_EST_MAPPING=PRECISE", "FS=MRC", "CURRENCY=USD", "XLFILL=b")</f>
        <v>-6.4396493594066087</v>
      </c>
      <c r="N153" s="9">
        <f>_xll.BQL("JBLU US Equity", "FA_GROWTH(IS_AVG_NUM_SH_FOR_EPS, YOY)", "FPT=A", "FPO=-4A", "ACT_EST_MAPPING=PRECISE", "FS=MRC", "CURRENCY=USD", "XLFILL=b")</f>
        <v>-5.2093320549696385</v>
      </c>
    </row>
    <row r="154" spans="1:14" x14ac:dyDescent="0.2">
      <c r="A154" s="8" t="s">
        <v>16</v>
      </c>
      <c r="B154" s="4"/>
      <c r="C154" s="4"/>
      <c r="D154" s="4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14" x14ac:dyDescent="0.2">
      <c r="A155" s="8" t="s">
        <v>160</v>
      </c>
      <c r="B155" s="4" t="s">
        <v>161</v>
      </c>
      <c r="C155" s="4" t="s">
        <v>162</v>
      </c>
      <c r="D155" s="4"/>
      <c r="E155" s="9">
        <f>_xll.BQL("JBLU US Equity", "IS_SH_FOR_DILUTED_EPS/1M", "FPT=A", "FPO=5A", "ACT_EST_MAPPING=PRECISE", "FS=MRC", "CURRENCY=USD", "XLFILL=b")</f>
        <v>352.9</v>
      </c>
      <c r="F155" s="9">
        <f>_xll.BQL("JBLU US Equity", "IS_SH_FOR_DILUTED_EPS/1M", "FPT=A", "FPO=4A", "ACT_EST_MAPPING=PRECISE", "FS=MRC", "CURRENCY=USD", "XLFILL=b")</f>
        <v>352.9</v>
      </c>
      <c r="G155" s="9">
        <f>_xll.BQL("JBLU US Equity", "IS_SH_FOR_DILUTED_EPS/1M", "FPT=A", "FPO=3A", "ACT_EST_MAPPING=PRECISE", "FS=MRC", "CURRENCY=USD", "XLFILL=b")</f>
        <v>361.79718783333334</v>
      </c>
      <c r="H155" s="9">
        <f>_xll.BQL("JBLU US Equity", "IS_SH_FOR_DILUTED_EPS/1M", "FPT=A", "FPO=2A", "ACT_EST_MAPPING=PRECISE", "FS=MRC", "CURRENCY=USD", "XLFILL=b")</f>
        <v>348.9240282222222</v>
      </c>
      <c r="I155" s="9">
        <f>_xll.BQL("JBLU US Equity", "IS_SH_FOR_DILUTED_EPS/1M", "FPT=A", "FPO=1A", "ACT_EST_MAPPING=PRECISE", "FS=MRC", "CURRENCY=USD", "XLFILL=b")</f>
        <v>344.67312522222221</v>
      </c>
      <c r="J155" s="9">
        <f>_xll.BQL("JBLU US Equity", "IS_SH_FOR_DILUTED_EPS/1M", "FPT=A", "FPO=0A", "ACT_EST_MAPPING=PRECISE", "FS=MRC", "CURRENCY=USD", "XLFILL=b")</f>
        <v>332.9</v>
      </c>
      <c r="K155" s="9">
        <f>_xll.BQL("JBLU US Equity", "IS_SH_FOR_DILUTED_EPS/1M", "FPT=A", "FPO=-1A", "ACT_EST_MAPPING=PRECISE", "FS=MRC", "CURRENCY=USD", "XLFILL=b")</f>
        <v>323.60000000000002</v>
      </c>
      <c r="L155" s="9">
        <f>_xll.BQL("JBLU US Equity", "IS_SH_FOR_DILUTED_EPS/1M", "FPT=A", "FPO=-2A", "ACT_EST_MAPPING=PRECISE", "FS=MRC", "CURRENCY=USD", "XLFILL=b")</f>
        <v>318</v>
      </c>
      <c r="M155" s="9">
        <f>_xll.BQL("JBLU US Equity", "IS_SH_FOR_DILUTED_EPS/1M", "FPT=A", "FPO=-3A", "ACT_EST_MAPPING=PRECISE", "FS=MRC", "CURRENCY=USD", "XLFILL=b")</f>
        <v>277.5</v>
      </c>
      <c r="N155" s="9">
        <f>_xll.BQL("JBLU US Equity", "IS_SH_FOR_DILUTED_EPS/1M", "FPT=A", "FPO=-4A", "ACT_EST_MAPPING=PRECISE", "FS=MRC", "CURRENCY=USD", "XLFILL=b")</f>
        <v>298.39999999999998</v>
      </c>
    </row>
    <row r="156" spans="1:14" x14ac:dyDescent="0.2">
      <c r="A156" s="8" t="s">
        <v>12</v>
      </c>
      <c r="B156" s="4" t="s">
        <v>161</v>
      </c>
      <c r="C156" s="4" t="s">
        <v>162</v>
      </c>
      <c r="D156" s="4"/>
      <c r="E156" s="9">
        <f>_xll.BQL("JBLU US Equity", "FA_GROWTH(IS_SH_FOR_DILUTED_EPS, YOY)", "FPT=A", "FPO=5A", "ACT_EST_MAPPING=PRECISE", "FS=MRC", "CURRENCY=USD", "XLFILL=b")</f>
        <v>0</v>
      </c>
      <c r="F156" s="9">
        <f>_xll.BQL("JBLU US Equity", "FA_GROWTH(IS_SH_FOR_DILUTED_EPS, YOY)", "FPT=A", "FPO=4A", "ACT_EST_MAPPING=PRECISE", "FS=MRC", "CURRENCY=USD", "XLFILL=b")</f>
        <v>-2.4591644524976024</v>
      </c>
      <c r="G156" s="9">
        <f>_xll.BQL("JBLU US Equity", "FA_GROWTH(IS_SH_FOR_DILUTED_EPS, YOY)", "FPT=A", "FPO=3A", "ACT_EST_MAPPING=PRECISE", "FS=MRC", "CURRENCY=USD", "XLFILL=b")</f>
        <v>3.6893875370808416</v>
      </c>
      <c r="H156" s="9">
        <f>_xll.BQL("JBLU US Equity", "FA_GROWTH(IS_SH_FOR_DILUTED_EPS, YOY)", "FPT=A", "FPO=2A", "ACT_EST_MAPPING=PRECISE", "FS=MRC", "CURRENCY=USD", "XLFILL=b")</f>
        <v>1.2333143169370404</v>
      </c>
      <c r="I156" s="9">
        <f>_xll.BQL("JBLU US Equity", "FA_GROWTH(IS_SH_FOR_DILUTED_EPS, YOY)", "FPT=A", "FPO=1A", "ACT_EST_MAPPING=PRECISE", "FS=MRC", "CURRENCY=USD", "XLFILL=b")</f>
        <v>3.5365350622475846</v>
      </c>
      <c r="J156" s="9">
        <f>_xll.BQL("JBLU US Equity", "FA_GROWTH(IS_SH_FOR_DILUTED_EPS, YOY)", "FPT=A", "FPO=0A", "ACT_EST_MAPPING=PRECISE", "FS=MRC", "CURRENCY=USD", "XLFILL=b")</f>
        <v>2.8739184177997528</v>
      </c>
      <c r="K156" s="9">
        <f>_xll.BQL("JBLU US Equity", "FA_GROWTH(IS_SH_FOR_DILUTED_EPS, YOY)", "FPT=A", "FPO=-1A", "ACT_EST_MAPPING=PRECISE", "FS=MRC", "CURRENCY=USD", "XLFILL=b")</f>
        <v>1.7610062893081762</v>
      </c>
      <c r="L156" s="9">
        <f>_xll.BQL("JBLU US Equity", "FA_GROWTH(IS_SH_FOR_DILUTED_EPS, YOY)", "FPT=A", "FPO=-2A", "ACT_EST_MAPPING=PRECISE", "FS=MRC", "CURRENCY=USD", "XLFILL=b")</f>
        <v>14.594594594594595</v>
      </c>
      <c r="M156" s="9">
        <f>_xll.BQL("JBLU US Equity", "FA_GROWTH(IS_SH_FOR_DILUTED_EPS, YOY)", "FPT=A", "FPO=-3A", "ACT_EST_MAPPING=PRECISE", "FS=MRC", "CURRENCY=USD", "XLFILL=b")</f>
        <v>-7.00402144772118</v>
      </c>
      <c r="N156" s="9">
        <f>_xll.BQL("JBLU US Equity", "FA_GROWTH(IS_SH_FOR_DILUTED_EPS, YOY)", "FPT=A", "FPO=-4A", "ACT_EST_MAPPING=PRECISE", "FS=MRC", "CURRENCY=USD", "XLFILL=b")</f>
        <v>-5.119236883942766</v>
      </c>
    </row>
    <row r="157" spans="1:14" x14ac:dyDescent="0.2">
      <c r="A157" s="8" t="s">
        <v>163</v>
      </c>
      <c r="B157" s="4" t="s">
        <v>164</v>
      </c>
      <c r="C157" s="4" t="s">
        <v>165</v>
      </c>
      <c r="D157" s="4"/>
      <c r="E157" s="9">
        <f>_xll.BQL("JBLU US Equity", "IS_COMP_EPS_GAAP", "FPT=A", "FPO=5A", "ACT_EST_MAPPING=PRECISE", "FS=MRC", "CURRENCY=USD", "XLFILL=b")</f>
        <v>0.15</v>
      </c>
      <c r="F157" s="9">
        <f>_xll.BQL("JBLU US Equity", "IS_COMP_EPS_GAAP", "FPT=A", "FPO=4A", "ACT_EST_MAPPING=PRECISE", "FS=MRC", "CURRENCY=USD", "XLFILL=b")</f>
        <v>0.2</v>
      </c>
      <c r="G157" s="9">
        <f>_xll.BQL("JBLU US Equity", "IS_COMP_EPS_GAAP", "FPT=A", "FPO=3A", "ACT_EST_MAPPING=PRECISE", "FS=MRC", "CURRENCY=USD", "XLFILL=b")</f>
        <v>0.18</v>
      </c>
      <c r="H157" s="9">
        <f>_xll.BQL("JBLU US Equity", "IS_COMP_EPS_GAAP", "FPT=A", "FPO=2A", "ACT_EST_MAPPING=PRECISE", "FS=MRC", "CURRENCY=USD", "XLFILL=b")</f>
        <v>-0.395625</v>
      </c>
      <c r="I157" s="9">
        <f>_xll.BQL("JBLU US Equity", "IS_COMP_EPS_GAAP", "FPT=A", "FPO=1A", "ACT_EST_MAPPING=PRECISE", "FS=MRC", "CURRENCY=USD", "XLFILL=b")</f>
        <v>-2.6033333333333335</v>
      </c>
      <c r="J157" s="9">
        <f>_xll.BQL("JBLU US Equity", "IS_COMP_EPS_GAAP", "FPT=A", "FPO=0A", "ACT_EST_MAPPING=PRECISE", "FS=MRC", "CURRENCY=USD", "XLFILL=b")</f>
        <v>-0.93</v>
      </c>
      <c r="K157" s="9">
        <f>_xll.BQL("JBLU US Equity", "IS_COMP_EPS_GAAP", "FPT=A", "FPO=-1A", "ACT_EST_MAPPING=PRECISE", "FS=MRC", "CURRENCY=USD", "XLFILL=b")</f>
        <v>-1.1200000000000001</v>
      </c>
      <c r="L157" s="9">
        <f>_xll.BQL("JBLU US Equity", "IS_COMP_EPS_GAAP", "FPT=A", "FPO=-2A", "ACT_EST_MAPPING=PRECISE", "FS=MRC", "CURRENCY=USD", "XLFILL=b")</f>
        <v>-0.56999999999999995</v>
      </c>
      <c r="M157" s="9">
        <f>_xll.BQL("JBLU US Equity", "IS_COMP_EPS_GAAP", "FPT=A", "FPO=-3A", "ACT_EST_MAPPING=PRECISE", "FS=MRC", "CURRENCY=USD", "XLFILL=b")</f>
        <v>-4.91</v>
      </c>
      <c r="N157" s="9">
        <f>_xll.BQL("JBLU US Equity", "IS_COMP_EPS_GAAP", "FPT=A", "FPO=-4A", "ACT_EST_MAPPING=PRECISE", "FS=MRC", "CURRENCY=USD", "XLFILL=b")</f>
        <v>1.91</v>
      </c>
    </row>
    <row r="158" spans="1:14" x14ac:dyDescent="0.2">
      <c r="A158" s="8" t="s">
        <v>12</v>
      </c>
      <c r="B158" s="4" t="s">
        <v>164</v>
      </c>
      <c r="C158" s="4" t="s">
        <v>165</v>
      </c>
      <c r="D158" s="4"/>
      <c r="E158" s="9">
        <f>_xll.BQL("JBLU US Equity", "FA_GROWTH(IS_COMP_EPS_GAAP, YOY)", "FPT=A", "FPO=5A", "ACT_EST_MAPPING=PRECISE", "FS=MRC", "CURRENCY=USD", "XLFILL=b")</f>
        <v>-25.000000000000007</v>
      </c>
      <c r="F158" s="9">
        <f>_xll.BQL("JBLU US Equity", "FA_GROWTH(IS_COMP_EPS_GAAP, YOY)", "FPT=A", "FPO=4A", "ACT_EST_MAPPING=PRECISE", "FS=MRC", "CURRENCY=USD", "XLFILL=b")</f>
        <v>11.111111111111121</v>
      </c>
      <c r="G158" s="9">
        <f>_xll.BQL("JBLU US Equity", "FA_GROWTH(IS_COMP_EPS_GAAP, YOY)", "FPT=A", "FPO=3A", "ACT_EST_MAPPING=PRECISE", "FS=MRC", "CURRENCY=USD", "XLFILL=b")</f>
        <v>145.49763033175358</v>
      </c>
      <c r="H158" s="9">
        <f>_xll.BQL("JBLU US Equity", "FA_GROWTH(IS_COMP_EPS_GAAP, YOY)", "FPT=A", "FPO=2A", "ACT_EST_MAPPING=PRECISE", "FS=MRC", "CURRENCY=USD", "XLFILL=b")</f>
        <v>84.803137003841243</v>
      </c>
      <c r="I158" s="9">
        <f>_xll.BQL("JBLU US Equity", "FA_GROWTH(IS_COMP_EPS_GAAP, YOY)", "FPT=A", "FPO=1A", "ACT_EST_MAPPING=PRECISE", "FS=MRC", "CURRENCY=USD", "XLFILL=b")</f>
        <v>-179.92831541218638</v>
      </c>
      <c r="J158" s="9">
        <f>_xll.BQL("JBLU US Equity", "FA_GROWTH(IS_COMP_EPS_GAAP, YOY)", "FPT=A", "FPO=0A", "ACT_EST_MAPPING=PRECISE", "FS=MRC", "CURRENCY=USD", "XLFILL=b")</f>
        <v>16.964285714285719</v>
      </c>
      <c r="K158" s="9">
        <f>_xll.BQL("JBLU US Equity", "FA_GROWTH(IS_COMP_EPS_GAAP, YOY)", "FPT=A", "FPO=-1A", "ACT_EST_MAPPING=PRECISE", "FS=MRC", "CURRENCY=USD", "XLFILL=b")</f>
        <v>-96.491228070175467</v>
      </c>
      <c r="L158" s="9">
        <f>_xll.BQL("JBLU US Equity", "FA_GROWTH(IS_COMP_EPS_GAAP, YOY)", "FPT=A", "FPO=-2A", "ACT_EST_MAPPING=PRECISE", "FS=MRC", "CURRENCY=USD", "XLFILL=b")</f>
        <v>88.391038696537677</v>
      </c>
      <c r="M158" s="9">
        <f>_xll.BQL("JBLU US Equity", "FA_GROWTH(IS_COMP_EPS_GAAP, YOY)", "FPT=A", "FPO=-3A", "ACT_EST_MAPPING=PRECISE", "FS=MRC", "CURRENCY=USD", "XLFILL=b")</f>
        <v>-357.06806282722516</v>
      </c>
      <c r="N158" s="9">
        <f>_xll.BQL("JBLU US Equity", "FA_GROWTH(IS_COMP_EPS_GAAP, YOY)", "FPT=A", "FPO=-4A", "ACT_EST_MAPPING=PRECISE", "FS=MRC", "CURRENCY=USD", "XLFILL=b")</f>
        <v>218.33333333333334</v>
      </c>
    </row>
    <row r="159" spans="1:14" x14ac:dyDescent="0.2">
      <c r="A159" s="8" t="s">
        <v>16</v>
      </c>
      <c r="B159" s="4"/>
      <c r="C159" s="4"/>
      <c r="D159" s="4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x14ac:dyDescent="0.2">
      <c r="A160" s="8" t="s">
        <v>166</v>
      </c>
      <c r="B160" s="4" t="s">
        <v>167</v>
      </c>
      <c r="C160" s="4"/>
      <c r="D160" s="4"/>
      <c r="E160" s="9">
        <f>_xll.BQL("JBLU US Equity", "IS_COMPREHENSIVE_INCOME/1M", "FPT=A", "FPO=5A", "ACT_EST_MAPPING=PRECISE", "FS=MRC", "CURRENCY=USD", "XLFILL=b")</f>
        <v>53.660050693920823</v>
      </c>
      <c r="F160" s="9">
        <f>_xll.BQL("JBLU US Equity", "IS_COMPREHENSIVE_INCOME/1M", "FPT=A", "FPO=4A", "ACT_EST_MAPPING=PRECISE", "FS=MRC", "CURRENCY=USD", "XLFILL=b")</f>
        <v>71.701621132157868</v>
      </c>
      <c r="G160" s="9">
        <f>_xll.BQL("JBLU US Equity", "IS_COMPREHENSIVE_INCOME/1M", "FPT=A", "FPO=3A", "ACT_EST_MAPPING=PRECISE", "FS=MRC", "CURRENCY=USD", "XLFILL=b")</f>
        <v>-33.11772079084956</v>
      </c>
      <c r="H160" s="9">
        <f>_xll.BQL("JBLU US Equity", "IS_COMPREHENSIVE_INCOME/1M", "FPT=A", "FPO=2A", "ACT_EST_MAPPING=PRECISE", "FS=MRC", "CURRENCY=USD", "XLFILL=b")</f>
        <v>-174.26323034678063</v>
      </c>
      <c r="I160" s="9">
        <f>_xll.BQL("JBLU US Equity", "IS_COMPREHENSIVE_INCOME/1M", "FPT=A", "FPO=1A", "ACT_EST_MAPPING=PRECISE", "FS=MRC", "CURRENCY=USD", "XLFILL=b")</f>
        <v>-752.53257340200832</v>
      </c>
      <c r="J160" s="9">
        <f>_xll.BQL("JBLU US Equity", "IS_COMPREHENSIVE_INCOME/1M", "FPT=A", "FPO=0A", "ACT_EST_MAPPING=PRECISE", "FS=MRC", "CURRENCY=USD", "XLFILL=b")</f>
        <v>-314</v>
      </c>
      <c r="K160" s="9">
        <f>_xll.BQL("JBLU US Equity", "IS_COMPREHENSIVE_INCOME/1M", "FPT=A", "FPO=-1A", "ACT_EST_MAPPING=PRECISE", "FS=MRC", "CURRENCY=USD", "XLFILL=b")</f>
        <v>-362</v>
      </c>
      <c r="L160" s="9">
        <f>_xll.BQL("JBLU US Equity", "IS_COMPREHENSIVE_INCOME/1M", "FPT=A", "FPO=-2A", "ACT_EST_MAPPING=PRECISE", "FS=MRC", "CURRENCY=USD", "XLFILL=b")</f>
        <v>-182</v>
      </c>
      <c r="M160" s="9">
        <f>_xll.BQL("JBLU US Equity", "IS_COMPREHENSIVE_INCOME/1M", "FPT=A", "FPO=-3A", "ACT_EST_MAPPING=PRECISE", "FS=MRC", "CURRENCY=USD", "XLFILL=b")</f>
        <v>-1356</v>
      </c>
      <c r="N160" s="9">
        <f>_xll.BQL("JBLU US Equity", "IS_COMPREHENSIVE_INCOME/1M", "FPT=A", "FPO=-4A", "ACT_EST_MAPPING=PRECISE", "FS=MRC", "CURRENCY=USD", "XLFILL=b")</f>
        <v>574</v>
      </c>
    </row>
    <row r="161" spans="1:14" x14ac:dyDescent="0.2">
      <c r="A161" s="8" t="s">
        <v>12</v>
      </c>
      <c r="B161" s="4" t="s">
        <v>167</v>
      </c>
      <c r="C161" s="4"/>
      <c r="D161" s="4"/>
      <c r="E161" s="9">
        <f>_xll.BQL("JBLU US Equity", "FA_GROWTH(IS_COMPREHENSIVE_INCOME, YOY)", "FPT=A", "FPO=5A", "ACT_EST_MAPPING=PRECISE", "FS=MRC", "CURRENCY=USD", "XLFILL=b")</f>
        <v>-25.162011895077608</v>
      </c>
      <c r="F161" s="9">
        <f>_xll.BQL("JBLU US Equity", "FA_GROWTH(IS_COMPREHENSIVE_INCOME, YOY)", "FPT=A", "FPO=4A", "ACT_EST_MAPPING=PRECISE", "FS=MRC", "CURRENCY=USD", "XLFILL=b")</f>
        <v>316.50530114973691</v>
      </c>
      <c r="G161" s="9">
        <f>_xll.BQL("JBLU US Equity", "FA_GROWTH(IS_COMPREHENSIVE_INCOME, YOY)", "FPT=A", "FPO=3A", "ACT_EST_MAPPING=PRECISE", "FS=MRC", "CURRENCY=USD", "XLFILL=b")</f>
        <v>80.995577365950396</v>
      </c>
      <c r="H161" s="9">
        <f>_xll.BQL("JBLU US Equity", "FA_GROWTH(IS_COMPREHENSIVE_INCOME, YOY)", "FPT=A", "FPO=2A", "ACT_EST_MAPPING=PRECISE", "FS=MRC", "CURRENCY=USD", "XLFILL=b")</f>
        <v>76.843098025779682</v>
      </c>
      <c r="I161" s="9">
        <f>_xll.BQL("JBLU US Equity", "FA_GROWTH(IS_COMPREHENSIVE_INCOME, YOY)", "FPT=A", "FPO=1A", "ACT_EST_MAPPING=PRECISE", "FS=MRC", "CURRENCY=USD", "XLFILL=b")</f>
        <v>-139.66005522356951</v>
      </c>
      <c r="J161" s="9">
        <f>_xll.BQL("JBLU US Equity", "FA_GROWTH(IS_COMPREHENSIVE_INCOME, YOY)", "FPT=A", "FPO=0A", "ACT_EST_MAPPING=PRECISE", "FS=MRC", "CURRENCY=USD", "XLFILL=b")</f>
        <v>13.259668508287293</v>
      </c>
      <c r="K161" s="9">
        <f>_xll.BQL("JBLU US Equity", "FA_GROWTH(IS_COMPREHENSIVE_INCOME, YOY)", "FPT=A", "FPO=-1A", "ACT_EST_MAPPING=PRECISE", "FS=MRC", "CURRENCY=USD", "XLFILL=b")</f>
        <v>-98.901098901098905</v>
      </c>
      <c r="L161" s="9">
        <f>_xll.BQL("JBLU US Equity", "FA_GROWTH(IS_COMPREHENSIVE_INCOME, YOY)", "FPT=A", "FPO=-2A", "ACT_EST_MAPPING=PRECISE", "FS=MRC", "CURRENCY=USD", "XLFILL=b")</f>
        <v>86.578171091445427</v>
      </c>
      <c r="M161" s="9">
        <f>_xll.BQL("JBLU US Equity", "FA_GROWTH(IS_COMPREHENSIVE_INCOME, YOY)", "FPT=A", "FPO=-3A", "ACT_EST_MAPPING=PRECISE", "FS=MRC", "CURRENCY=USD", "XLFILL=b")</f>
        <v>-336.23693379790939</v>
      </c>
      <c r="N161" s="9">
        <f>_xll.BQL("JBLU US Equity", "FA_GROWTH(IS_COMPREHENSIVE_INCOME, YOY)", "FPT=A", "FPO=-4A", "ACT_EST_MAPPING=PRECISE", "FS=MRC", "CURRENCY=USD", "XLFILL=b")</f>
        <v>208.6021505376344</v>
      </c>
    </row>
    <row r="162" spans="1:14" x14ac:dyDescent="0.2">
      <c r="A162" s="8" t="s">
        <v>168</v>
      </c>
      <c r="B162" s="4" t="s">
        <v>169</v>
      </c>
      <c r="C162" s="4"/>
      <c r="D162" s="4"/>
      <c r="E162" s="9" t="str">
        <f>_xll.BQL("JBLU US Equity", "IS_COMPREHENSIVE_INCOME_PER_SHR", "FPT=A", "FPO=5A", "ACT_EST_MAPPING=PRECISE", "FS=MRC", "CURRENCY=USD", "XLFILL=b")</f>
        <v/>
      </c>
      <c r="F162" s="9" t="str">
        <f>_xll.BQL("JBLU US Equity", "IS_COMPREHENSIVE_INCOME_PER_SHR", "FPT=A", "FPO=4A", "ACT_EST_MAPPING=PRECISE", "FS=MRC", "CURRENCY=USD", "XLFILL=b")</f>
        <v/>
      </c>
      <c r="G162" s="9">
        <f>_xll.BQL("JBLU US Equity", "IS_COMPREHENSIVE_INCOME_PER_SHR", "FPT=A", "FPO=3A", "ACT_EST_MAPPING=PRECISE", "FS=MRC", "CURRENCY=USD", "XLFILL=b")</f>
        <v>-6.4435933298678805E-3</v>
      </c>
      <c r="H162" s="9">
        <f>_xll.BQL("JBLU US Equity", "IS_COMPREHENSIVE_INCOME_PER_SHR", "FPT=A", "FPO=2A", "ACT_EST_MAPPING=PRECISE", "FS=MRC", "CURRENCY=USD", "XLFILL=b")</f>
        <v>-0.52045555023090939</v>
      </c>
      <c r="I162" s="9">
        <f>_xll.BQL("JBLU US Equity", "IS_COMPREHENSIVE_INCOME_PER_SHR", "FPT=A", "FPO=1A", "ACT_EST_MAPPING=PRECISE", "FS=MRC", "CURRENCY=USD", "XLFILL=b")</f>
        <v>-2.6288619638101811</v>
      </c>
      <c r="J162" s="9">
        <f>_xll.BQL("JBLU US Equity", "IS_COMPREHENSIVE_INCOME_PER_SHR", "FPT=A", "FPO=0A", "ACT_EST_MAPPING=PRECISE", "FS=MRC", "CURRENCY=USD", "XLFILL=b")</f>
        <v>-0.94322600000000001</v>
      </c>
      <c r="K162" s="9">
        <f>_xll.BQL("JBLU US Equity", "IS_COMPREHENSIVE_INCOME_PER_SHR", "FPT=A", "FPO=-1A", "ACT_EST_MAPPING=PRECISE", "FS=MRC", "CURRENCY=USD", "XLFILL=b")</f>
        <v>-1.118665</v>
      </c>
      <c r="L162" s="9">
        <f>_xll.BQL("JBLU US Equity", "IS_COMPREHENSIVE_INCOME_PER_SHR", "FPT=A", "FPO=-2A", "ACT_EST_MAPPING=PRECISE", "FS=MRC", "CURRENCY=USD", "XLFILL=b")</f>
        <v>-0.57232700000000003</v>
      </c>
      <c r="M162" s="9">
        <f>_xll.BQL("JBLU US Equity", "IS_COMPREHENSIVE_INCOME_PER_SHR", "FPT=A", "FPO=-3A", "ACT_EST_MAPPING=PRECISE", "FS=MRC", "CURRENCY=USD", "XLFILL=b")</f>
        <v>-4.8864859999999997</v>
      </c>
      <c r="N162" s="9">
        <f>_xll.BQL("JBLU US Equity", "IS_COMPREHENSIVE_INCOME_PER_SHR", "FPT=A", "FPO=-4A", "ACT_EST_MAPPING=PRECISE", "FS=MRC", "CURRENCY=USD", "XLFILL=b")</f>
        <v>1.9352659999999999</v>
      </c>
    </row>
    <row r="163" spans="1:14" x14ac:dyDescent="0.2">
      <c r="A163" s="8" t="s">
        <v>12</v>
      </c>
      <c r="B163" s="4" t="s">
        <v>169</v>
      </c>
      <c r="C163" s="4"/>
      <c r="D163" s="4"/>
      <c r="E163" s="9" t="str">
        <f>_xll.BQL("JBLU US Equity", "FA_GROWTH(IS_COMPREHENSIVE_INCOME_PER_SHR, YOY)", "FPT=A", "FPO=5A", "ACT_EST_MAPPING=PRECISE", "FS=MRC", "CURRENCY=USD", "XLFILL=b")</f>
        <v/>
      </c>
      <c r="F163" s="9" t="str">
        <f>_xll.BQL("JBLU US Equity", "FA_GROWTH(IS_COMPREHENSIVE_INCOME_PER_SHR, YOY)", "FPT=A", "FPO=4A", "ACT_EST_MAPPING=PRECISE", "FS=MRC", "CURRENCY=USD", "XLFILL=b")</f>
        <v/>
      </c>
      <c r="G163" s="9">
        <f>_xll.BQL("JBLU US Equity", "FA_GROWTH(IS_COMPREHENSIVE_INCOME_PER_SHR, YOY)", "FPT=A", "FPO=3A", "ACT_EST_MAPPING=PRECISE", "FS=MRC", "CURRENCY=USD", "XLFILL=b")</f>
        <v>98.761932056059536</v>
      </c>
      <c r="H163" s="9">
        <f>_xll.BQL("JBLU US Equity", "FA_GROWTH(IS_COMPREHENSIVE_INCOME_PER_SHR, YOY)", "FPT=A", "FPO=2A", "ACT_EST_MAPPING=PRECISE", "FS=MRC", "CURRENCY=USD", "XLFILL=b")</f>
        <v>80.202248828744928</v>
      </c>
      <c r="I163" s="9">
        <f>_xll.BQL("JBLU US Equity", "FA_GROWTH(IS_COMPREHENSIVE_INCOME_PER_SHR, YOY)", "FPT=A", "FPO=1A", "ACT_EST_MAPPING=PRECISE", "FS=MRC", "CURRENCY=USD", "XLFILL=b")</f>
        <v>-178.70965853466518</v>
      </c>
      <c r="J163" s="9">
        <f>_xll.BQL("JBLU US Equity", "FA_GROWTH(IS_COMPREHENSIVE_INCOME_PER_SHR, YOY)", "FPT=A", "FPO=0A", "ACT_EST_MAPPING=PRECISE", "FS=MRC", "CURRENCY=USD", "XLFILL=b")</f>
        <v>15.68288987319707</v>
      </c>
      <c r="K163" s="9">
        <f>_xll.BQL("JBLU US Equity", "FA_GROWTH(IS_COMPREHENSIVE_INCOME_PER_SHR, YOY)", "FPT=A", "FPO=-1A", "ACT_EST_MAPPING=PRECISE", "FS=MRC", "CURRENCY=USD", "XLFILL=b")</f>
        <v>-95.4590644858621</v>
      </c>
      <c r="L163" s="9">
        <f>_xll.BQL("JBLU US Equity", "FA_GROWTH(IS_COMPREHENSIVE_INCOME_PER_SHR, YOY)", "FPT=A", "FPO=-2A", "ACT_EST_MAPPING=PRECISE", "FS=MRC", "CURRENCY=USD", "XLFILL=b")</f>
        <v>88.287554696769831</v>
      </c>
      <c r="M163" s="9">
        <f>_xll.BQL("JBLU US Equity", "FA_GROWTH(IS_COMPREHENSIVE_INCOME_PER_SHR, YOY)", "FPT=A", "FPO=-3A", "ACT_EST_MAPPING=PRECISE", "FS=MRC", "CURRENCY=USD", "XLFILL=b")</f>
        <v>-352.49686606388997</v>
      </c>
      <c r="N163" s="9">
        <f>_xll.BQL("JBLU US Equity", "FA_GROWTH(IS_COMPREHENSIVE_INCOME_PER_SHR, YOY)", "FPT=A", "FPO=-4A", "ACT_EST_MAPPING=PRECISE", "FS=MRC", "CURRENCY=USD", "XLFILL=b")</f>
        <v>225.56174813563709</v>
      </c>
    </row>
    <row r="164" spans="1:14" x14ac:dyDescent="0.2">
      <c r="A164" s="8" t="s">
        <v>16</v>
      </c>
      <c r="B164" s="4"/>
      <c r="C164" s="4"/>
      <c r="D164" s="4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1:14" x14ac:dyDescent="0.2">
      <c r="A165" s="8" t="s">
        <v>170</v>
      </c>
      <c r="B165" s="4"/>
      <c r="C165" s="4" t="s">
        <v>171</v>
      </c>
      <c r="D165" s="4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x14ac:dyDescent="0.2">
      <c r="A166" s="8" t="s">
        <v>172</v>
      </c>
      <c r="B166" s="4" t="s">
        <v>173</v>
      </c>
      <c r="C166" s="4"/>
      <c r="D166" s="4"/>
      <c r="E166" s="9">
        <f>_xll.BQL("JBLU US Equity", "CB_IS_ADJUSTED_OPEX/1M", "FPT=A", "FPO=5A", "ACT_EST_MAPPING=PRECISE", "FS=MRC", "CURRENCY=USD", "XLFILL=b")</f>
        <v>10564.505567693803</v>
      </c>
      <c r="F166" s="9">
        <f>_xll.BQL("JBLU US Equity", "CB_IS_ADJUSTED_OPEX/1M", "FPT=A", "FPO=4A", "ACT_EST_MAPPING=PRECISE", "FS=MRC", "CURRENCY=USD", "XLFILL=b")</f>
        <v>10186.303518688974</v>
      </c>
      <c r="G166" s="9">
        <f>_xll.BQL("JBLU US Equity", "CB_IS_ADJUSTED_OPEX/1M", "FPT=A", "FPO=3A", "ACT_EST_MAPPING=PRECISE", "FS=MRC", "CURRENCY=USD", "XLFILL=b")</f>
        <v>10025.862502630165</v>
      </c>
      <c r="H166" s="9">
        <f>_xll.BQL("JBLU US Equity", "CB_IS_ADJUSTED_OPEX/1M", "FPT=A", "FPO=2A", "ACT_EST_MAPPING=PRECISE", "FS=MRC", "CURRENCY=USD", "XLFILL=b")</f>
        <v>9591.4878014822734</v>
      </c>
      <c r="I166" s="9">
        <f>_xll.BQL("JBLU US Equity", "CB_IS_ADJUSTED_OPEX/1M", "FPT=A", "FPO=1A", "ACT_EST_MAPPING=PRECISE", "FS=MRC", "CURRENCY=USD", "XLFILL=b")</f>
        <v>9481.7757844276948</v>
      </c>
      <c r="J166" s="9">
        <f>_xll.BQL("JBLU US Equity", "CB_IS_ADJUSTED_OPEX/1M", "FPT=A", "FPO=0A", "ACT_EST_MAPPING=PRECISE", "FS=MRC", "CURRENCY=USD", "XLFILL=b")</f>
        <v>9648</v>
      </c>
      <c r="K166" s="9">
        <f>_xll.BQL("JBLU US Equity", "CB_IS_ADJUSTED_OPEX/1M", "FPT=A", "FPO=-1A", "ACT_EST_MAPPING=PRECISE", "FS=MRC", "CURRENCY=USD", "XLFILL=b")</f>
        <v>9343</v>
      </c>
      <c r="L166" s="9">
        <f>_xll.BQL("JBLU US Equity", "CB_IS_ADJUSTED_OPEX/1M", "FPT=A", "FPO=-2A", "ACT_EST_MAPPING=PRECISE", "FS=MRC", "CURRENCY=USD", "XLFILL=b")</f>
        <v>6950</v>
      </c>
      <c r="M166" s="9">
        <f>_xll.BQL("JBLU US Equity", "CB_IS_ADJUSTED_OPEX/1M", "FPT=A", "FPO=-3A", "ACT_EST_MAPPING=PRECISE", "FS=MRC", "CURRENCY=USD", "XLFILL=b")</f>
        <v>4954</v>
      </c>
      <c r="N166" s="9">
        <f>_xll.BQL("JBLU US Equity", "CB_IS_ADJUSTED_OPEX/1M", "FPT=A", "FPO=-4A", "ACT_EST_MAPPING=PRECISE", "FS=MRC", "CURRENCY=USD", "XLFILL=b")</f>
        <v>7280</v>
      </c>
    </row>
    <row r="167" spans="1:14" x14ac:dyDescent="0.2">
      <c r="A167" s="8" t="s">
        <v>84</v>
      </c>
      <c r="B167" s="4" t="s">
        <v>173</v>
      </c>
      <c r="C167" s="4"/>
      <c r="D167" s="4"/>
      <c r="E167" s="9">
        <f>_xll.BQL("JBLU US Equity", "FA_GROWTH(CB_IS_ADJUSTED_OPEX, YOY)", "FPT=A", "FPO=5A", "ACT_EST_MAPPING=PRECISE", "FS=MRC", "CURRENCY=USD", "XLFILL=b")</f>
        <v>3.7128488102768009</v>
      </c>
      <c r="F167" s="9">
        <f>_xll.BQL("JBLU US Equity", "FA_GROWTH(CB_IS_ADJUSTED_OPEX, YOY)", "FPT=A", "FPO=4A", "ACT_EST_MAPPING=PRECISE", "FS=MRC", "CURRENCY=USD", "XLFILL=b")</f>
        <v>1.6002714581086614</v>
      </c>
      <c r="G167" s="9">
        <f>_xll.BQL("JBLU US Equity", "FA_GROWTH(CB_IS_ADJUSTED_OPEX, YOY)", "FPT=A", "FPO=3A", "ACT_EST_MAPPING=PRECISE", "FS=MRC", "CURRENCY=USD", "XLFILL=b")</f>
        <v>4.5287520574312099</v>
      </c>
      <c r="H167" s="9">
        <f>_xll.BQL("JBLU US Equity", "FA_GROWTH(CB_IS_ADJUSTED_OPEX, YOY)", "FPT=A", "FPO=2A", "ACT_EST_MAPPING=PRECISE", "FS=MRC", "CURRENCY=USD", "XLFILL=b")</f>
        <v>1.1570830142889825</v>
      </c>
      <c r="I167" s="9">
        <f>_xll.BQL("JBLU US Equity", "FA_GROWTH(CB_IS_ADJUSTED_OPEX, YOY)", "FPT=A", "FPO=1A", "ACT_EST_MAPPING=PRECISE", "FS=MRC", "CURRENCY=USD", "XLFILL=b")</f>
        <v>-1.7228878065122895</v>
      </c>
      <c r="J167" s="9">
        <f>_xll.BQL("JBLU US Equity", "FA_GROWTH(CB_IS_ADJUSTED_OPEX, YOY)", "FPT=A", "FPO=0A", "ACT_EST_MAPPING=PRECISE", "FS=MRC", "CURRENCY=USD", "XLFILL=b")</f>
        <v>3.264476078347426</v>
      </c>
      <c r="K167" s="9">
        <f>_xll.BQL("JBLU US Equity", "FA_GROWTH(CB_IS_ADJUSTED_OPEX, YOY)", "FPT=A", "FPO=-1A", "ACT_EST_MAPPING=PRECISE", "FS=MRC", "CURRENCY=USD", "XLFILL=b")</f>
        <v>34.431654676258994</v>
      </c>
      <c r="L167" s="9">
        <f>_xll.BQL("JBLU US Equity", "FA_GROWTH(CB_IS_ADJUSTED_OPEX, YOY)", "FPT=A", "FPO=-2A", "ACT_EST_MAPPING=PRECISE", "FS=MRC", "CURRENCY=USD", "XLFILL=b")</f>
        <v>40.290674202664512</v>
      </c>
      <c r="M167" s="9">
        <f>_xll.BQL("JBLU US Equity", "FA_GROWTH(CB_IS_ADJUSTED_OPEX, YOY)", "FPT=A", "FPO=-3A", "ACT_EST_MAPPING=PRECISE", "FS=MRC", "CURRENCY=USD", "XLFILL=b")</f>
        <v>-31.950549450549449</v>
      </c>
      <c r="N167" s="9">
        <f>_xll.BQL("JBLU US Equity", "FA_GROWTH(CB_IS_ADJUSTED_OPEX, YOY)", "FPT=A", "FPO=-4A", "ACT_EST_MAPPING=PRECISE", "FS=MRC", "CURRENCY=USD", "XLFILL=b")</f>
        <v>4.6428058071007614</v>
      </c>
    </row>
    <row r="168" spans="1:14" x14ac:dyDescent="0.2">
      <c r="A168" s="8" t="s">
        <v>174</v>
      </c>
      <c r="B168" s="4" t="s">
        <v>175</v>
      </c>
      <c r="C168" s="4" t="s">
        <v>125</v>
      </c>
      <c r="D168" s="4"/>
      <c r="E168" s="9">
        <f>_xll.BQL("JBLU US Equity", "IS_COMPARABLE_EBIT/1M", "FPT=A", "FPO=5A", "ACT_EST_MAPPING=PRECISE", "FS=MRC", "CURRENCY=USD", "XLFILL=b")</f>
        <v>609</v>
      </c>
      <c r="F168" s="9">
        <f>_xll.BQL("JBLU US Equity", "IS_COMPARABLE_EBIT/1M", "FPT=A", "FPO=4A", "ACT_EST_MAPPING=PRECISE", "FS=MRC", "CURRENCY=USD", "XLFILL=b")</f>
        <v>592</v>
      </c>
      <c r="G168" s="9">
        <f>_xll.BQL("JBLU US Equity", "IS_COMPARABLE_EBIT/1M", "FPT=A", "FPO=3A", "ACT_EST_MAPPING=PRECISE", "FS=MRC", "CURRENCY=USD", "XLFILL=b")</f>
        <v>465.3</v>
      </c>
      <c r="H168" s="9">
        <f>_xll.BQL("JBLU US Equity", "IS_COMPARABLE_EBIT/1M", "FPT=A", "FPO=2A", "ACT_EST_MAPPING=PRECISE", "FS=MRC", "CURRENCY=USD", "XLFILL=b")</f>
        <v>150.19230769230768</v>
      </c>
      <c r="I168" s="9">
        <f>_xll.BQL("JBLU US Equity", "IS_COMPARABLE_EBIT/1M", "FPT=A", "FPO=1A", "ACT_EST_MAPPING=PRECISE", "FS=MRC", "CURRENCY=USD", "XLFILL=b")</f>
        <v>-221.8</v>
      </c>
      <c r="J168" s="9">
        <f>_xll.BQL("JBLU US Equity", "IS_COMPARABLE_EBIT/1M", "FPT=A", "FPO=0A", "ACT_EST_MAPPING=PRECISE", "FS=MRC", "CURRENCY=USD", "XLFILL=b")</f>
        <v>-33</v>
      </c>
      <c r="K168" s="9">
        <f>_xll.BQL("JBLU US Equity", "IS_COMPARABLE_EBIT/1M", "FPT=A", "FPO=-1A", "ACT_EST_MAPPING=PRECISE", "FS=MRC", "CURRENCY=USD", "XLFILL=b")</f>
        <v>-185</v>
      </c>
      <c r="L168" s="9">
        <f>_xll.BQL("JBLU US Equity", "IS_COMPARABLE_EBIT/1M", "FPT=A", "FPO=-2A", "ACT_EST_MAPPING=PRECISE", "FS=MRC", "CURRENCY=USD", "XLFILL=b")</f>
        <v>-913</v>
      </c>
      <c r="M168" s="9">
        <f>_xll.BQL("JBLU US Equity", "IS_COMPARABLE_EBIT/1M", "FPT=A", "FPO=-3A", "ACT_EST_MAPPING=PRECISE", "FS=MRC", "CURRENCY=USD", "XLFILL=b")</f>
        <v>-1997</v>
      </c>
      <c r="N168" s="9">
        <f>_xll.BQL("JBLU US Equity", "IS_COMPARABLE_EBIT/1M", "FPT=A", "FPO=-4A", "ACT_EST_MAPPING=PRECISE", "FS=MRC", "CURRENCY=USD", "XLFILL=b")</f>
        <v>800</v>
      </c>
    </row>
    <row r="169" spans="1:14" x14ac:dyDescent="0.2">
      <c r="A169" s="8" t="s">
        <v>84</v>
      </c>
      <c r="B169" s="4" t="s">
        <v>175</v>
      </c>
      <c r="C169" s="4" t="s">
        <v>125</v>
      </c>
      <c r="D169" s="4"/>
      <c r="E169" s="9">
        <f>_xll.BQL("JBLU US Equity", "FA_GROWTH(IS_COMPARABLE_EBIT, YOY)", "FPT=A", "FPO=5A", "ACT_EST_MAPPING=PRECISE", "FS=MRC", "CURRENCY=USD", "XLFILL=b")</f>
        <v>2.8716216216216215</v>
      </c>
      <c r="F169" s="9">
        <f>_xll.BQL("JBLU US Equity", "FA_GROWTH(IS_COMPARABLE_EBIT, YOY)", "FPT=A", "FPO=4A", "ACT_EST_MAPPING=PRECISE", "FS=MRC", "CURRENCY=USD", "XLFILL=b")</f>
        <v>27.229744251020847</v>
      </c>
      <c r="G169" s="9">
        <f>_xll.BQL("JBLU US Equity", "FA_GROWTH(IS_COMPARABLE_EBIT, YOY)", "FPT=A", "FPO=3A", "ACT_EST_MAPPING=PRECISE", "FS=MRC", "CURRENCY=USD", "XLFILL=b")</f>
        <v>209.80281690140845</v>
      </c>
      <c r="H169" s="9">
        <f>_xll.BQL("JBLU US Equity", "FA_GROWTH(IS_COMPARABLE_EBIT, YOY)", "FPT=A", "FPO=2A", "ACT_EST_MAPPING=PRECISE", "FS=MRC", "CURRENCY=USD", "XLFILL=b")</f>
        <v>167.71519733647779</v>
      </c>
      <c r="I169" s="9">
        <f>_xll.BQL("JBLU US Equity", "FA_GROWTH(IS_COMPARABLE_EBIT, YOY)", "FPT=A", "FPO=1A", "ACT_EST_MAPPING=PRECISE", "FS=MRC", "CURRENCY=USD", "XLFILL=b")</f>
        <v>-572.12121212121212</v>
      </c>
      <c r="J169" s="9">
        <f>_xll.BQL("JBLU US Equity", "FA_GROWTH(IS_COMPARABLE_EBIT, YOY)", "FPT=A", "FPO=0A", "ACT_EST_MAPPING=PRECISE", "FS=MRC", "CURRENCY=USD", "XLFILL=b")</f>
        <v>82.162162162162161</v>
      </c>
      <c r="K169" s="9">
        <f>_xll.BQL("JBLU US Equity", "FA_GROWTH(IS_COMPARABLE_EBIT, YOY)", "FPT=A", "FPO=-1A", "ACT_EST_MAPPING=PRECISE", "FS=MRC", "CURRENCY=USD", "XLFILL=b")</f>
        <v>79.737130339539974</v>
      </c>
      <c r="L169" s="9">
        <f>_xll.BQL("JBLU US Equity", "FA_GROWTH(IS_COMPARABLE_EBIT, YOY)", "FPT=A", "FPO=-2A", "ACT_EST_MAPPING=PRECISE", "FS=MRC", "CURRENCY=USD", "XLFILL=b")</f>
        <v>54.281422133199797</v>
      </c>
      <c r="M169" s="9">
        <f>_xll.BQL("JBLU US Equity", "FA_GROWTH(IS_COMPARABLE_EBIT, YOY)", "FPT=A", "FPO=-3A", "ACT_EST_MAPPING=PRECISE", "FS=MRC", "CURRENCY=USD", "XLFILL=b")</f>
        <v>-349.625</v>
      </c>
      <c r="N169" s="9">
        <f>_xll.BQL("JBLU US Equity", "FA_GROWTH(IS_COMPARABLE_EBIT, YOY)", "FPT=A", "FPO=-4A", "ACT_EST_MAPPING=PRECISE", "FS=MRC", "CURRENCY=USD", "XLFILL=b")</f>
        <v>10.650069156293222</v>
      </c>
    </row>
    <row r="170" spans="1:14" x14ac:dyDescent="0.2">
      <c r="A170" s="8" t="s">
        <v>176</v>
      </c>
      <c r="B170" s="4" t="s">
        <v>177</v>
      </c>
      <c r="C170" s="4" t="s">
        <v>178</v>
      </c>
      <c r="D170" s="4"/>
      <c r="E170" s="9">
        <f>_xll.BQL("JBLU US Equity", "ADJ_OPERATING_MARGIN", "FPT=A", "FPO=5A", "ACT_EST_MAPPING=PRECISE", "FS=MRC", "CURRENCY=USD", "XLFILL=b")</f>
        <v>5.4523082227707356</v>
      </c>
      <c r="F170" s="9">
        <f>_xll.BQL("JBLU US Equity", "ADJ_OPERATING_MARGIN", "FPT=A", "FPO=4A", "ACT_EST_MAPPING=PRECISE", "FS=MRC", "CURRENCY=USD", "XLFILL=b")</f>
        <v>5.4959265483554063</v>
      </c>
      <c r="G170" s="9">
        <f>_xll.BQL("JBLU US Equity", "ADJ_OPERATING_MARGIN", "FPT=A", "FPO=3A", "ACT_EST_MAPPING=PRECISE", "FS=MRC", "CURRENCY=USD", "XLFILL=b")</f>
        <v>4.2117370154072544</v>
      </c>
      <c r="H170" s="9">
        <f>_xll.BQL("JBLU US Equity", "ADJ_OPERATING_MARGIN", "FPT=A", "FPO=2A", "ACT_EST_MAPPING=PRECISE", "FS=MRC", "CURRENCY=USD", "XLFILL=b")</f>
        <v>0.96007671377229842</v>
      </c>
      <c r="I170" s="9">
        <f>_xll.BQL("JBLU US Equity", "ADJ_OPERATING_MARGIN", "FPT=A", "FPO=1A", "ACT_EST_MAPPING=PRECISE", "FS=MRC", "CURRENCY=USD", "XLFILL=b")</f>
        <v>-2.552581946598762</v>
      </c>
      <c r="J170" s="9">
        <f>_xll.BQL("JBLU US Equity", "ADJ_OPERATING_MARGIN", "FPT=A", "FPO=0A", "ACT_EST_MAPPING=PRECISE", "FS=MRC", "CURRENCY=USD", "XLFILL=b")</f>
        <v>-0.34321372854914195</v>
      </c>
      <c r="K170" s="9">
        <f>_xll.BQL("JBLU US Equity", "ADJ_OPERATING_MARGIN", "FPT=A", "FPO=-1A", "ACT_EST_MAPPING=PRECISE", "FS=MRC", "CURRENCY=USD", "XLFILL=b")</f>
        <v>-2.020091723083643</v>
      </c>
      <c r="L170" s="9">
        <f>_xll.BQL("JBLU US Equity", "ADJ_OPERATING_MARGIN", "FPT=A", "FPO=-2A", "ACT_EST_MAPPING=PRECISE", "FS=MRC", "CURRENCY=USD", "XLFILL=b")</f>
        <v>-15.123405665065428</v>
      </c>
      <c r="M170" s="9">
        <f>_xll.BQL("JBLU US Equity", "ADJ_OPERATING_MARGIN", "FPT=A", "FPO=-3A", "ACT_EST_MAPPING=PRECISE", "FS=MRC", "CURRENCY=USD", "XLFILL=b")</f>
        <v>-67.534663510314502</v>
      </c>
      <c r="N170" s="9">
        <f>_xll.BQL("JBLU US Equity", "ADJ_OPERATING_MARGIN", "FPT=A", "FPO=-4A", "ACT_EST_MAPPING=PRECISE", "FS=MRC", "CURRENCY=USD", "XLFILL=b")</f>
        <v>10.056832221398567</v>
      </c>
    </row>
    <row r="171" spans="1:14" x14ac:dyDescent="0.2">
      <c r="A171" s="8" t="s">
        <v>96</v>
      </c>
      <c r="B171" s="4" t="s">
        <v>177</v>
      </c>
      <c r="C171" s="4" t="s">
        <v>178</v>
      </c>
      <c r="D171" s="4"/>
      <c r="E171" s="9">
        <f>_xll.BQL("JBLU US Equity", "FA_GROWTH(ADJ_OPERATING_MARGIN, YOY)", "FPT=A", "FPO=5A", "ACT_EST_MAPPING=PRECISE", "FS=MRC", "CURRENCY=USD", "XLFILL=b")</f>
        <v>-0.79364826296164759</v>
      </c>
      <c r="F171" s="9">
        <f>_xll.BQL("JBLU US Equity", "FA_GROWTH(ADJ_OPERATING_MARGIN, YOY)", "FPT=A", "FPO=4A", "ACT_EST_MAPPING=PRECISE", "FS=MRC", "CURRENCY=USD", "XLFILL=b")</f>
        <v>30.49073406649957</v>
      </c>
      <c r="G171" s="9">
        <f>_xll.BQL("JBLU US Equity", "FA_GROWTH(ADJ_OPERATING_MARGIN, YOY)", "FPT=A", "FPO=3A", "ACT_EST_MAPPING=PRECISE", "FS=MRC", "CURRENCY=USD", "XLFILL=b")</f>
        <v>338.68755017072027</v>
      </c>
      <c r="H171" s="9">
        <f>_xll.BQL("JBLU US Equity", "FA_GROWTH(ADJ_OPERATING_MARGIN, YOY)", "FPT=A", "FPO=2A", "ACT_EST_MAPPING=PRECISE", "FS=MRC", "CURRENCY=USD", "XLFILL=b")</f>
        <v>137.61198401687247</v>
      </c>
      <c r="I171" s="9">
        <f>_xll.BQL("JBLU US Equity", "FA_GROWTH(ADJ_OPERATING_MARGIN, YOY)", "FPT=A", "FPO=1A", "ACT_EST_MAPPING=PRECISE", "FS=MRC", "CURRENCY=USD", "XLFILL=b")</f>
        <v>-643.72955807718483</v>
      </c>
      <c r="J171" s="9">
        <f>_xll.BQL("JBLU US Equity", "FA_GROWTH(ADJ_OPERATING_MARGIN, YOY)", "FPT=A", "FPO=0A", "ACT_EST_MAPPING=PRECISE", "FS=MRC", "CURRENCY=USD", "XLFILL=b")</f>
        <v>83.009992832145727</v>
      </c>
      <c r="K171" s="9">
        <f>_xll.BQL("JBLU US Equity", "FA_GROWTH(ADJ_OPERATING_MARGIN, YOY)", "FPT=A", "FPO=-1A", "ACT_EST_MAPPING=PRECISE", "FS=MRC", "CURRENCY=USD", "XLFILL=b")</f>
        <v>86.642613655798513</v>
      </c>
      <c r="L171" s="9">
        <f>_xll.BQL("JBLU US Equity", "FA_GROWTH(ADJ_OPERATING_MARGIN, YOY)", "FPT=A", "FPO=-2A", "ACT_EST_MAPPING=PRECISE", "FS=MRC", "CURRENCY=USD", "XLFILL=b")</f>
        <v>77.606454405809473</v>
      </c>
      <c r="M171" s="9">
        <f>_xll.BQL("JBLU US Equity", "FA_GROWTH(ADJ_OPERATING_MARGIN, YOY)", "FPT=A", "FPO=-3A", "ACT_EST_MAPPING=PRECISE", "FS=MRC", "CURRENCY=USD", "XLFILL=b")</f>
        <v>-771.53017991705838</v>
      </c>
      <c r="N171" s="9">
        <f>_xll.BQL("JBLU US Equity", "FA_GROWTH(ADJ_OPERATING_MARGIN, YOY)", "FPT=A", "FPO=-4A", "ACT_EST_MAPPING=PRECISE", "FS=MRC", "CURRENCY=USD", "XLFILL=b")</f>
        <v>9.8647947952499706</v>
      </c>
    </row>
    <row r="172" spans="1:14" x14ac:dyDescent="0.2">
      <c r="A172" s="8" t="s">
        <v>179</v>
      </c>
      <c r="B172" s="4" t="s">
        <v>48</v>
      </c>
      <c r="C172" s="4" t="s">
        <v>129</v>
      </c>
      <c r="D172" s="4"/>
      <c r="E172" s="9">
        <f>_xll.BQL("JBLU US Equity", "IS_COMPARABLE_EBITDA/1M", "FPT=A", "FPO=5A", "ACT_EST_MAPPING=PRECISE", "FS=MRC", "CURRENCY=USD", "XLFILL=b")</f>
        <v>1445</v>
      </c>
      <c r="F172" s="9">
        <f>_xll.BQL("JBLU US Equity", "IS_COMPARABLE_EBITDA/1M", "FPT=A", "FPO=4A", "ACT_EST_MAPPING=PRECISE", "FS=MRC", "CURRENCY=USD", "XLFILL=b")</f>
        <v>1384</v>
      </c>
      <c r="G172" s="9">
        <f>_xll.BQL("JBLU US Equity", "IS_COMPARABLE_EBITDA/1M", "FPT=A", "FPO=3A", "ACT_EST_MAPPING=PRECISE", "FS=MRC", "CURRENCY=USD", "XLFILL=b")</f>
        <v>1195.4444444444443</v>
      </c>
      <c r="H172" s="9">
        <f>_xll.BQL("JBLU US Equity", "IS_COMPARABLE_EBITDA/1M", "FPT=A", "FPO=2A", "ACT_EST_MAPPING=PRECISE", "FS=MRC", "CURRENCY=USD", "XLFILL=b")</f>
        <v>853.28571428571422</v>
      </c>
      <c r="I172" s="9">
        <f>_xll.BQL("JBLU US Equity", "IS_COMPARABLE_EBITDA/1M", "FPT=A", "FPO=1A", "ACT_EST_MAPPING=PRECISE", "FS=MRC", "CURRENCY=USD", "XLFILL=b")</f>
        <v>457.78571428571428</v>
      </c>
      <c r="J172" s="9" t="str">
        <f>_xll.BQL("JBLU US Equity", "IS_COMPARABLE_EBITDA/1M", "FPT=A", "FPO=0A", "ACT_EST_MAPPING=PRECISE", "FS=MRC", "CURRENCY=USD", "XLFILL=b")</f>
        <v/>
      </c>
      <c r="K172" s="9">
        <f>_xll.BQL("JBLU US Equity", "IS_COMPARABLE_EBITDA/1M", "FPT=A", "FPO=-1A", "ACT_EST_MAPPING=PRECISE", "FS=MRC", "CURRENCY=USD", "XLFILL=b")</f>
        <v>401</v>
      </c>
      <c r="L172" s="9">
        <f>_xll.BQL("JBLU US Equity", "IS_COMPARABLE_EBITDA/1M", "FPT=A", "FPO=-2A", "ACT_EST_MAPPING=PRECISE", "FS=MRC", "CURRENCY=USD", "XLFILL=b")</f>
        <v>-373</v>
      </c>
      <c r="M172" s="9">
        <f>_xll.BQL("JBLU US Equity", "IS_COMPARABLE_EBITDA/1M", "FPT=A", "FPO=-3A", "ACT_EST_MAPPING=PRECISE", "FS=MRC", "CURRENCY=USD", "XLFILL=b")</f>
        <v>-1462</v>
      </c>
      <c r="N172" s="9">
        <f>_xll.BQL("JBLU US Equity", "IS_COMPARABLE_EBITDA/1M", "FPT=A", "FPO=-4A", "ACT_EST_MAPPING=PRECISE", "FS=MRC", "CURRENCY=USD", "XLFILL=b")</f>
        <v>1325</v>
      </c>
    </row>
    <row r="173" spans="1:14" x14ac:dyDescent="0.2">
      <c r="A173" s="8" t="s">
        <v>84</v>
      </c>
      <c r="B173" s="4" t="s">
        <v>48</v>
      </c>
      <c r="C173" s="4" t="s">
        <v>129</v>
      </c>
      <c r="D173" s="4"/>
      <c r="E173" s="9">
        <f>_xll.BQL("JBLU US Equity", "FA_GROWTH(IS_COMPARABLE_EBITDA, YOY)", "FPT=A", "FPO=5A", "ACT_EST_MAPPING=PRECISE", "FS=MRC", "CURRENCY=USD", "XLFILL=b")</f>
        <v>4.4075144508670521</v>
      </c>
      <c r="F173" s="9">
        <f>_xll.BQL("JBLU US Equity", "FA_GROWTH(IS_COMPARABLE_EBITDA, YOY)", "FPT=A", "FPO=4A", "ACT_EST_MAPPING=PRECISE", "FS=MRC", "CURRENCY=USD", "XLFILL=b")</f>
        <v>15.772841342132169</v>
      </c>
      <c r="G173" s="9">
        <f>_xll.BQL("JBLU US Equity", "FA_GROWTH(IS_COMPARABLE_EBITDA, YOY)", "FPT=A", "FPO=3A", "ACT_EST_MAPPING=PRECISE", "FS=MRC", "CURRENCY=USD", "XLFILL=b")</f>
        <v>40.098963855869933</v>
      </c>
      <c r="H173" s="9">
        <f>_xll.BQL("JBLU US Equity", "FA_GROWTH(IS_COMPARABLE_EBITDA, YOY)", "FPT=A", "FPO=2A", "ACT_EST_MAPPING=PRECISE", "FS=MRC", "CURRENCY=USD", "XLFILL=b")</f>
        <v>86.394133250117022</v>
      </c>
      <c r="I173" s="9" t="str">
        <f>_xll.BQL("JBLU US Equity", "FA_GROWTH(IS_COMPARABLE_EBITDA, YOY)", "FPT=A", "FPO=1A", "ACT_EST_MAPPING=PRECISE", "FS=MRC", "CURRENCY=USD", "XLFILL=b")</f>
        <v/>
      </c>
      <c r="J173" s="9" t="str">
        <f>_xll.BQL("JBLU US Equity", "FA_GROWTH(IS_COMPARABLE_EBITDA, YOY)", "FPT=A", "FPO=0A", "ACT_EST_MAPPING=PRECISE", "FS=MRC", "CURRENCY=USD", "XLFILL=b")</f>
        <v/>
      </c>
      <c r="K173" s="9">
        <f>_xll.BQL("JBLU US Equity", "FA_GROWTH(IS_COMPARABLE_EBITDA, YOY)", "FPT=A", "FPO=-1A", "ACT_EST_MAPPING=PRECISE", "FS=MRC", "CURRENCY=USD", "XLFILL=b")</f>
        <v>207.50670241286863</v>
      </c>
      <c r="L173" s="9">
        <f>_xll.BQL("JBLU US Equity", "FA_GROWTH(IS_COMPARABLE_EBITDA, YOY)", "FPT=A", "FPO=-2A", "ACT_EST_MAPPING=PRECISE", "FS=MRC", "CURRENCY=USD", "XLFILL=b")</f>
        <v>74.487004103967166</v>
      </c>
      <c r="M173" s="9">
        <f>_xll.BQL("JBLU US Equity", "FA_GROWTH(IS_COMPARABLE_EBITDA, YOY)", "FPT=A", "FPO=-3A", "ACT_EST_MAPPING=PRECISE", "FS=MRC", "CURRENCY=USD", "XLFILL=b")</f>
        <v>-210.33962264150944</v>
      </c>
      <c r="N173" s="9">
        <f>_xll.BQL("JBLU US Equity", "FA_GROWTH(IS_COMPARABLE_EBITDA, YOY)", "FPT=A", "FPO=-4A", "ACT_EST_MAPPING=PRECISE", "FS=MRC", "CURRENCY=USD", "XLFILL=b")</f>
        <v>9.1433278418451405</v>
      </c>
    </row>
    <row r="174" spans="1:14" x14ac:dyDescent="0.2">
      <c r="A174" s="8" t="s">
        <v>180</v>
      </c>
      <c r="B174" s="4" t="s">
        <v>181</v>
      </c>
      <c r="C174" s="4" t="s">
        <v>182</v>
      </c>
      <c r="D174" s="4"/>
      <c r="E174" s="9">
        <f>_xll.BQL("JBLU US Equity", "IS_COMP_PTP_EX_STK_BASED_COMP/1M", "FPT=A", "FPO=5A", "ACT_EST_MAPPING=PRECISE", "FS=MRC", "CURRENCY=USD", "XLFILL=b")</f>
        <v>70.099999999999994</v>
      </c>
      <c r="F174" s="9">
        <f>_xll.BQL("JBLU US Equity", "IS_COMP_PTP_EX_STK_BASED_COMP/1M", "FPT=A", "FPO=4A", "ACT_EST_MAPPING=PRECISE", "FS=MRC", "CURRENCY=USD", "XLFILL=b")</f>
        <v>93.699999999999989</v>
      </c>
      <c r="G174" s="9">
        <f>_xll.BQL("JBLU US Equity", "IS_COMP_PTP_EX_STK_BASED_COMP/1M", "FPT=A", "FPO=3A", "ACT_EST_MAPPING=PRECISE", "FS=MRC", "CURRENCY=USD", "XLFILL=b")</f>
        <v>83.825714285714284</v>
      </c>
      <c r="H174" s="9">
        <f>_xll.BQL("JBLU US Equity", "IS_COMP_PTP_EX_STK_BASED_COMP/1M", "FPT=A", "FPO=2A", "ACT_EST_MAPPING=PRECISE", "FS=MRC", "CURRENCY=USD", "XLFILL=b")</f>
        <v>-206.24727272727273</v>
      </c>
      <c r="I174" s="9">
        <f>_xll.BQL("JBLU US Equity", "IS_COMP_PTP_EX_STK_BASED_COMP/1M", "FPT=A", "FPO=1A", "ACT_EST_MAPPING=PRECISE", "FS=MRC", "CURRENCY=USD", "XLFILL=b")</f>
        <v>-442.81818181818181</v>
      </c>
      <c r="J174" s="9">
        <f>_xll.BQL("JBLU US Equity", "IS_COMP_PTP_EX_STK_BASED_COMP/1M", "FPT=A", "FPO=0A", "ACT_EST_MAPPING=PRECISE", "FS=MRC", "CURRENCY=USD", "XLFILL=b")</f>
        <v>-146</v>
      </c>
      <c r="K174" s="9">
        <f>_xll.BQL("JBLU US Equity", "IS_COMP_PTP_EX_STK_BASED_COMP/1M", "FPT=A", "FPO=-1A", "ACT_EST_MAPPING=PRECISE", "FS=MRC", "CURRENCY=USD", "XLFILL=b")</f>
        <v>-315</v>
      </c>
      <c r="L174" s="9">
        <f>_xll.BQL("JBLU US Equity", "IS_COMP_PTP_EX_STK_BASED_COMP/1M", "FPT=A", "FPO=-2A", "ACT_EST_MAPPING=PRECISE", "FS=MRC", "CURRENCY=USD", "XLFILL=b")</f>
        <v>-1140</v>
      </c>
      <c r="M174" s="9">
        <f>_xll.BQL("JBLU US Equity", "IS_COMP_PTP_EX_STK_BASED_COMP/1M", "FPT=A", "FPO=-3A", "ACT_EST_MAPPING=PRECISE", "FS=MRC", "CURRENCY=USD", "XLFILL=b")</f>
        <v>-2176</v>
      </c>
      <c r="N174" s="9">
        <f>_xll.BQL("JBLU US Equity", "IS_COMP_PTP_EX_STK_BASED_COMP/1M", "FPT=A", "FPO=-4A", "ACT_EST_MAPPING=PRECISE", "FS=MRC", "CURRENCY=USD", "XLFILL=b")</f>
        <v>767</v>
      </c>
    </row>
    <row r="175" spans="1:14" x14ac:dyDescent="0.2">
      <c r="A175" s="8" t="s">
        <v>84</v>
      </c>
      <c r="B175" s="4" t="s">
        <v>181</v>
      </c>
      <c r="C175" s="4" t="s">
        <v>182</v>
      </c>
      <c r="D175" s="4"/>
      <c r="E175" s="9">
        <f>_xll.BQL("JBLU US Equity", "FA_GROWTH(IS_COMP_PTP_EX_STK_BASED_COMP, YOY)", "FPT=A", "FPO=5A", "ACT_EST_MAPPING=PRECISE", "FS=MRC", "CURRENCY=USD", "XLFILL=b")</f>
        <v>-25.186766275346841</v>
      </c>
      <c r="F175" s="9">
        <f>_xll.BQL("JBLU US Equity", "FA_GROWTH(IS_COMP_PTP_EX_STK_BASED_COMP, YOY)", "FPT=A", "FPO=4A", "ACT_EST_MAPPING=PRECISE", "FS=MRC", "CURRENCY=USD", "XLFILL=b")</f>
        <v>11.779542588363597</v>
      </c>
      <c r="G175" s="9">
        <f>_xll.BQL("JBLU US Equity", "FA_GROWTH(IS_COMP_PTP_EX_STK_BASED_COMP, YOY)", "FPT=A", "FPO=3A", "ACT_EST_MAPPING=PRECISE", "FS=MRC", "CURRENCY=USD", "XLFILL=b")</f>
        <v>140.6433079949424</v>
      </c>
      <c r="H175" s="9">
        <f>_xll.BQL("JBLU US Equity", "FA_GROWTH(IS_COMP_PTP_EX_STK_BASED_COMP, YOY)", "FPT=A", "FPO=2A", "ACT_EST_MAPPING=PRECISE", "FS=MRC", "CURRENCY=USD", "XLFILL=b")</f>
        <v>53.423937589817285</v>
      </c>
      <c r="I175" s="9">
        <f>_xll.BQL("JBLU US Equity", "FA_GROWTH(IS_COMP_PTP_EX_STK_BASED_COMP, YOY)", "FPT=A", "FPO=1A", "ACT_EST_MAPPING=PRECISE", "FS=MRC", "CURRENCY=USD", "XLFILL=b")</f>
        <v>-203.30012453300122</v>
      </c>
      <c r="J175" s="9">
        <f>_xll.BQL("JBLU US Equity", "FA_GROWTH(IS_COMP_PTP_EX_STK_BASED_COMP, YOY)", "FPT=A", "FPO=0A", "ACT_EST_MAPPING=PRECISE", "FS=MRC", "CURRENCY=USD", "XLFILL=b")</f>
        <v>53.650793650793652</v>
      </c>
      <c r="K175" s="9">
        <f>_xll.BQL("JBLU US Equity", "FA_GROWTH(IS_COMP_PTP_EX_STK_BASED_COMP, YOY)", "FPT=A", "FPO=-1A", "ACT_EST_MAPPING=PRECISE", "FS=MRC", "CURRENCY=USD", "XLFILL=b")</f>
        <v>72.368421052631575</v>
      </c>
      <c r="L175" s="9">
        <f>_xll.BQL("JBLU US Equity", "FA_GROWTH(IS_COMP_PTP_EX_STK_BASED_COMP, YOY)", "FPT=A", "FPO=-2A", "ACT_EST_MAPPING=PRECISE", "FS=MRC", "CURRENCY=USD", "XLFILL=b")</f>
        <v>47.610294117647058</v>
      </c>
      <c r="M175" s="9">
        <f>_xll.BQL("JBLU US Equity", "FA_GROWTH(IS_COMP_PTP_EX_STK_BASED_COMP, YOY)", "FPT=A", "FPO=-3A", "ACT_EST_MAPPING=PRECISE", "FS=MRC", "CURRENCY=USD", "XLFILL=b")</f>
        <v>-383.70273794002605</v>
      </c>
      <c r="N175" s="9">
        <f>_xll.BQL("JBLU US Equity", "FA_GROWTH(IS_COMP_PTP_EX_STK_BASED_COMP, YOY)", "FPT=A", "FPO=-4A", "ACT_EST_MAPPING=PRECISE", "FS=MRC", "CURRENCY=USD", "XLFILL=b")</f>
        <v>17.278287461773701</v>
      </c>
    </row>
    <row r="176" spans="1:14" x14ac:dyDescent="0.2">
      <c r="A176" s="8" t="s">
        <v>183</v>
      </c>
      <c r="B176" s="4" t="s">
        <v>184</v>
      </c>
      <c r="C176" s="4"/>
      <c r="D176" s="4"/>
      <c r="E176" s="9" t="str">
        <f>_xll.BQL("JBLU US Equity", "CB_IS_ADJ_INC_TAX_EXPN/1M", "FPT=A", "FPO=5A", "ACT_EST_MAPPING=PRECISE", "FS=MRC", "CURRENCY=USD", "XLFILL=b")</f>
        <v/>
      </c>
      <c r="F176" s="9" t="str">
        <f>_xll.BQL("JBLU US Equity", "CB_IS_ADJ_INC_TAX_EXPN/1M", "FPT=A", "FPO=4A", "ACT_EST_MAPPING=PRECISE", "FS=MRC", "CURRENCY=USD", "XLFILL=b")</f>
        <v/>
      </c>
      <c r="G176" s="9" t="str">
        <f>_xll.BQL("JBLU US Equity", "CB_IS_ADJ_INC_TAX_EXPN/1M", "FPT=A", "FPO=3A", "ACT_EST_MAPPING=PRECISE", "FS=MRC", "CURRENCY=USD", "XLFILL=b")</f>
        <v/>
      </c>
      <c r="H176" s="9" t="str">
        <f>_xll.BQL("JBLU US Equity", "CB_IS_ADJ_INC_TAX_EXPN/1M", "FPT=A", "FPO=2A", "ACT_EST_MAPPING=PRECISE", "FS=MRC", "CURRENCY=USD", "XLFILL=b")</f>
        <v/>
      </c>
      <c r="I176" s="9" t="str">
        <f>_xll.BQL("JBLU US Equity", "CB_IS_ADJ_INC_TAX_EXPN/1M", "FPT=A", "FPO=1A", "ACT_EST_MAPPING=PRECISE", "FS=MRC", "CURRENCY=USD", "XLFILL=b")</f>
        <v/>
      </c>
      <c r="J176" s="9">
        <f>_xll.BQL("JBLU US Equity", "CB_IS_ADJ_INC_TAX_EXPN/1M", "FPT=A", "FPO=0A", "ACT_EST_MAPPING=PRECISE", "FS=MRC", "CURRENCY=USD", "XLFILL=b")</f>
        <v>-55</v>
      </c>
      <c r="K176" s="9" t="str">
        <f>_xll.BQL("JBLU US Equity", "CB_IS_ADJ_INC_TAX_EXPN/1M", "FPT=A", "FPO=-1A", "ACT_EST_MAPPING=PRECISE", "FS=MRC", "CURRENCY=USD", "XLFILL=b")</f>
        <v/>
      </c>
      <c r="L176" s="9" t="str">
        <f>_xll.BQL("JBLU US Equity", "CB_IS_ADJ_INC_TAX_EXPN/1M", "FPT=A", "FPO=-2A", "ACT_EST_MAPPING=PRECISE", "FS=MRC", "CURRENCY=USD", "XLFILL=b")</f>
        <v/>
      </c>
      <c r="M176" s="9" t="str">
        <f>_xll.BQL("JBLU US Equity", "CB_IS_ADJ_INC_TAX_EXPN/1M", "FPT=A", "FPO=-3A", "ACT_EST_MAPPING=PRECISE", "FS=MRC", "CURRENCY=USD", "XLFILL=b")</f>
        <v/>
      </c>
      <c r="N176" s="9" t="str">
        <f>_xll.BQL("JBLU US Equity", "CB_IS_ADJ_INC_TAX_EXPN/1M", "FPT=A", "FPO=-4A", "ACT_EST_MAPPING=PRECISE", "FS=MRC", "CURRENCY=USD", "XLFILL=b")</f>
        <v/>
      </c>
    </row>
    <row r="177" spans="1:14" x14ac:dyDescent="0.2">
      <c r="A177" s="8" t="s">
        <v>84</v>
      </c>
      <c r="B177" s="4" t="s">
        <v>184</v>
      </c>
      <c r="C177" s="4"/>
      <c r="D177" s="4"/>
      <c r="E177" s="9" t="str">
        <f>_xll.BQL("JBLU US Equity", "FA_GROWTH(CB_IS_ADJ_INC_TAX_EXPN, YOY)", "FPT=A", "FPO=5A", "ACT_EST_MAPPING=PRECISE", "FS=MRC", "CURRENCY=USD", "XLFILL=b")</f>
        <v/>
      </c>
      <c r="F177" s="9" t="str">
        <f>_xll.BQL("JBLU US Equity", "FA_GROWTH(CB_IS_ADJ_INC_TAX_EXPN, YOY)", "FPT=A", "FPO=4A", "ACT_EST_MAPPING=PRECISE", "FS=MRC", "CURRENCY=USD", "XLFILL=b")</f>
        <v/>
      </c>
      <c r="G177" s="9" t="str">
        <f>_xll.BQL("JBLU US Equity", "FA_GROWTH(CB_IS_ADJ_INC_TAX_EXPN, YOY)", "FPT=A", "FPO=3A", "ACT_EST_MAPPING=PRECISE", "FS=MRC", "CURRENCY=USD", "XLFILL=b")</f>
        <v/>
      </c>
      <c r="H177" s="9" t="str">
        <f>_xll.BQL("JBLU US Equity", "FA_GROWTH(CB_IS_ADJ_INC_TAX_EXPN, YOY)", "FPT=A", "FPO=2A", "ACT_EST_MAPPING=PRECISE", "FS=MRC", "CURRENCY=USD", "XLFILL=b")</f>
        <v/>
      </c>
      <c r="I177" s="9" t="str">
        <f>_xll.BQL("JBLU US Equity", "FA_GROWTH(CB_IS_ADJ_INC_TAX_EXPN, YOY)", "FPT=A", "FPO=1A", "ACT_EST_MAPPING=PRECISE", "FS=MRC", "CURRENCY=USD", "XLFILL=b")</f>
        <v/>
      </c>
      <c r="J177" s="9" t="str">
        <f>_xll.BQL("JBLU US Equity", "FA_GROWTH(CB_IS_ADJ_INC_TAX_EXPN, YOY)", "FPT=A", "FPO=0A", "ACT_EST_MAPPING=PRECISE", "FS=MRC", "CURRENCY=USD", "XLFILL=b")</f>
        <v/>
      </c>
      <c r="K177" s="9" t="str">
        <f>_xll.BQL("JBLU US Equity", "FA_GROWTH(CB_IS_ADJ_INC_TAX_EXPN, YOY)", "FPT=A", "FPO=-1A", "ACT_EST_MAPPING=PRECISE", "FS=MRC", "CURRENCY=USD", "XLFILL=b")</f>
        <v/>
      </c>
      <c r="L177" s="9" t="str">
        <f>_xll.BQL("JBLU US Equity", "FA_GROWTH(CB_IS_ADJ_INC_TAX_EXPN, YOY)", "FPT=A", "FPO=-2A", "ACT_EST_MAPPING=PRECISE", "FS=MRC", "CURRENCY=USD", "XLFILL=b")</f>
        <v/>
      </c>
      <c r="M177" s="9" t="str">
        <f>_xll.BQL("JBLU US Equity", "FA_GROWTH(CB_IS_ADJ_INC_TAX_EXPN, YOY)", "FPT=A", "FPO=-3A", "ACT_EST_MAPPING=PRECISE", "FS=MRC", "CURRENCY=USD", "XLFILL=b")</f>
        <v/>
      </c>
      <c r="N177" s="9" t="str">
        <f>_xll.BQL("JBLU US Equity", "FA_GROWTH(CB_IS_ADJ_INC_TAX_EXPN, YOY)", "FPT=A", "FPO=-4A", "ACT_EST_MAPPING=PRECISE", "FS=MRC", "CURRENCY=USD", "XLFILL=b")</f>
        <v/>
      </c>
    </row>
    <row r="178" spans="1:14" x14ac:dyDescent="0.2">
      <c r="A178" s="8" t="s">
        <v>185</v>
      </c>
      <c r="B178" s="4" t="s">
        <v>50</v>
      </c>
      <c r="C178" s="4" t="s">
        <v>157</v>
      </c>
      <c r="D178" s="4"/>
      <c r="E178" s="9">
        <f>_xll.BQL("JBLU US Equity", "IS_COMP_NET_INCOME_ADJUST_OLD/1M", "FPT=A", "FPO=5A", "ACT_EST_MAPPING=PRECISE", "FS=MRC", "CURRENCY=USD", "XLFILL=b")</f>
        <v>53.699999999999996</v>
      </c>
      <c r="F178" s="9">
        <f>_xll.BQL("JBLU US Equity", "IS_COMP_NET_INCOME_ADJUST_OLD/1M", "FPT=A", "FPO=4A", "ACT_EST_MAPPING=PRECISE", "FS=MRC", "CURRENCY=USD", "XLFILL=b")</f>
        <v>71.7</v>
      </c>
      <c r="G178" s="9">
        <f>_xll.BQL("JBLU US Equity", "IS_COMP_NET_INCOME_ADJUST_OLD/1M", "FPT=A", "FPO=3A", "ACT_EST_MAPPING=PRECISE", "FS=MRC", "CURRENCY=USD", "XLFILL=b")</f>
        <v>37.46</v>
      </c>
      <c r="H178" s="9">
        <f>_xll.BQL("JBLU US Equity", "IS_COMP_NET_INCOME_ADJUST_OLD/1M", "FPT=A", "FPO=2A", "ACT_EST_MAPPING=PRECISE", "FS=MRC", "CURRENCY=USD", "XLFILL=b")</f>
        <v>-162.00071428571431</v>
      </c>
      <c r="I178" s="9">
        <f>_xll.BQL("JBLU US Equity", "IS_COMP_NET_INCOME_ADJUST_OLD/1M", "FPT=A", "FPO=1A", "ACT_EST_MAPPING=PRECISE", "FS=MRC", "CURRENCY=USD", "XLFILL=b")</f>
        <v>-330.71428571428572</v>
      </c>
      <c r="J178" s="9">
        <f>_xll.BQL("JBLU US Equity", "IS_COMP_NET_INCOME_ADJUST_OLD/1M", "FPT=A", "FPO=0A", "ACT_EST_MAPPING=PRECISE", "FS=MRC", "CURRENCY=USD", "XLFILL=b")</f>
        <v>-151</v>
      </c>
      <c r="K178" s="9">
        <f>_xll.BQL("JBLU US Equity", "IS_COMP_NET_INCOME_ADJUST_OLD/1M", "FPT=A", "FPO=-1A", "ACT_EST_MAPPING=PRECISE", "FS=MRC", "CURRENCY=USD", "XLFILL=b")</f>
        <v>-260</v>
      </c>
      <c r="L178" s="9">
        <f>_xll.BQL("JBLU US Equity", "IS_COMP_NET_INCOME_ADJUST_OLD/1M", "FPT=A", "FPO=-2A", "ACT_EST_MAPPING=PRECISE", "FS=MRC", "CURRENCY=USD", "XLFILL=b")</f>
        <v>-797</v>
      </c>
      <c r="M178" s="9">
        <f>_xll.BQL("JBLU US Equity", "IS_COMP_NET_INCOME_ADJUST_OLD/1M", "FPT=A", "FPO=-3A", "ACT_EST_MAPPING=PRECISE", "FS=MRC", "CURRENCY=USD", "XLFILL=b")</f>
        <v>-1576</v>
      </c>
      <c r="N178" s="9">
        <f>_xll.BQL("JBLU US Equity", "IS_COMP_NET_INCOME_ADJUST_OLD/1M", "FPT=A", "FPO=-4A", "ACT_EST_MAPPING=PRECISE", "FS=MRC", "CURRENCY=USD", "XLFILL=b")</f>
        <v>568</v>
      </c>
    </row>
    <row r="179" spans="1:14" x14ac:dyDescent="0.2">
      <c r="A179" s="8" t="s">
        <v>84</v>
      </c>
      <c r="B179" s="4" t="s">
        <v>50</v>
      </c>
      <c r="C179" s="4" t="s">
        <v>157</v>
      </c>
      <c r="D179" s="4"/>
      <c r="E179" s="9">
        <f>_xll.BQL("JBLU US Equity", "FA_GROWTH(IS_COMP_NET_INCOME_ADJUST_OLD, YOY)", "FPT=A", "FPO=5A", "ACT_EST_MAPPING=PRECISE", "FS=MRC", "CURRENCY=USD", "XLFILL=b")</f>
        <v>-25.104602510460261</v>
      </c>
      <c r="F179" s="9">
        <f>_xll.BQL("JBLU US Equity", "FA_GROWTH(IS_COMP_NET_INCOME_ADJUST_OLD, YOY)", "FPT=A", "FPO=4A", "ACT_EST_MAPPING=PRECISE", "FS=MRC", "CURRENCY=USD", "XLFILL=b")</f>
        <v>91.404164442071547</v>
      </c>
      <c r="G179" s="9">
        <f>_xll.BQL("JBLU US Equity", "FA_GROWTH(IS_COMP_NET_INCOME_ADJUST_OLD, YOY)", "FPT=A", "FPO=3A", "ACT_EST_MAPPING=PRECISE", "FS=MRC", "CURRENCY=USD", "XLFILL=b")</f>
        <v>123.12335483529614</v>
      </c>
      <c r="H179" s="9">
        <f>_xll.BQL("JBLU US Equity", "FA_GROWTH(IS_COMP_NET_INCOME_ADJUST_OLD, YOY)", "FPT=A", "FPO=2A", "ACT_EST_MAPPING=PRECISE", "FS=MRC", "CURRENCY=USD", "XLFILL=b")</f>
        <v>51.014902807775378</v>
      </c>
      <c r="I179" s="9">
        <f>_xll.BQL("JBLU US Equity", "FA_GROWTH(IS_COMP_NET_INCOME_ADJUST_OLD, YOY)", "FPT=A", "FPO=1A", "ACT_EST_MAPPING=PRECISE", "FS=MRC", "CURRENCY=USD", "XLFILL=b")</f>
        <v>-119.01608325449386</v>
      </c>
      <c r="J179" s="9">
        <f>_xll.BQL("JBLU US Equity", "FA_GROWTH(IS_COMP_NET_INCOME_ADJUST_OLD, YOY)", "FPT=A", "FPO=0A", "ACT_EST_MAPPING=PRECISE", "FS=MRC", "CURRENCY=USD", "XLFILL=b")</f>
        <v>41.92307692307692</v>
      </c>
      <c r="K179" s="9">
        <f>_xll.BQL("JBLU US Equity", "FA_GROWTH(IS_COMP_NET_INCOME_ADJUST_OLD, YOY)", "FPT=A", "FPO=-1A", "ACT_EST_MAPPING=PRECISE", "FS=MRC", "CURRENCY=USD", "XLFILL=b")</f>
        <v>67.377666248431623</v>
      </c>
      <c r="L179" s="9">
        <f>_xll.BQL("JBLU US Equity", "FA_GROWTH(IS_COMP_NET_INCOME_ADJUST_OLD, YOY)", "FPT=A", "FPO=-2A", "ACT_EST_MAPPING=PRECISE", "FS=MRC", "CURRENCY=USD", "XLFILL=b")</f>
        <v>49.428934010152282</v>
      </c>
      <c r="M179" s="9">
        <f>_xll.BQL("JBLU US Equity", "FA_GROWTH(IS_COMP_NET_INCOME_ADJUST_OLD, YOY)", "FPT=A", "FPO=-3A", "ACT_EST_MAPPING=PRECISE", "FS=MRC", "CURRENCY=USD", "XLFILL=b")</f>
        <v>-377.46478873239437</v>
      </c>
      <c r="N179" s="9">
        <f>_xll.BQL("JBLU US Equity", "FA_GROWTH(IS_COMP_NET_INCOME_ADJUST_OLD, YOY)", "FPT=A", "FPO=-4A", "ACT_EST_MAPPING=PRECISE", "FS=MRC", "CURRENCY=USD", "XLFILL=b")</f>
        <v>16.632443531827516</v>
      </c>
    </row>
    <row r="180" spans="1:14" x14ac:dyDescent="0.2">
      <c r="A180" s="8" t="s">
        <v>186</v>
      </c>
      <c r="B180" s="4" t="s">
        <v>187</v>
      </c>
      <c r="C180" s="4"/>
      <c r="D180" s="4"/>
      <c r="E180" s="9">
        <f>_xll.BQL("JBLU US Equity", "ADJ_PROFIT_MARGIN", "FPT=A", "FPO=5A", "ACT_EST_MAPPING=PRECISE", "FS=MRC", "CURRENCY=USD", "XLFILL=b")</f>
        <v>0.48023392114760721</v>
      </c>
      <c r="F180" s="9">
        <f>_xll.BQL("JBLU US Equity", "ADJ_PROFIT_MARGIN", "FPT=A", "FPO=4A", "ACT_EST_MAPPING=PRECISE", "FS=MRC", "CURRENCY=USD", "XLFILL=b")</f>
        <v>0.66521631302692186</v>
      </c>
      <c r="G180" s="9">
        <f>_xll.BQL("JBLU US Equity", "ADJ_PROFIT_MARGIN", "FPT=A", "FPO=3A", "ACT_EST_MAPPING=PRECISE", "FS=MRC", "CURRENCY=USD", "XLFILL=b")</f>
        <v>0.48851641100312859</v>
      </c>
      <c r="H180" s="9">
        <f>_xll.BQL("JBLU US Equity", "ADJ_PROFIT_MARGIN", "FPT=A", "FPO=2A", "ACT_EST_MAPPING=PRECISE", "FS=MRC", "CURRENCY=USD", "XLFILL=b")</f>
        <v>-1.7913077829502964</v>
      </c>
      <c r="I180" s="9">
        <f>_xll.BQL("JBLU US Equity", "ADJ_PROFIT_MARGIN", "FPT=A", "FPO=1A", "ACT_EST_MAPPING=PRECISE", "FS=MRC", "CURRENCY=USD", "XLFILL=b")</f>
        <v>-4.2211630423449815</v>
      </c>
      <c r="J180" s="9">
        <f>_xll.BQL("JBLU US Equity", "ADJ_PROFIT_MARGIN", "FPT=A", "FPO=0A", "ACT_EST_MAPPING=PRECISE", "FS=MRC", "CURRENCY=USD", "XLFILL=b")</f>
        <v>-1.5704628185127405</v>
      </c>
      <c r="K180" s="9">
        <f>_xll.BQL("JBLU US Equity", "ADJ_PROFIT_MARGIN", "FPT=A", "FPO=-1A", "ACT_EST_MAPPING=PRECISE", "FS=MRC", "CURRENCY=USD", "XLFILL=b")</f>
        <v>-2.8390478270364712</v>
      </c>
      <c r="L180" s="9">
        <f>_xll.BQL("JBLU US Equity", "ADJ_PROFIT_MARGIN", "FPT=A", "FPO=-2A", "ACT_EST_MAPPING=PRECISE", "FS=MRC", "CURRENCY=USD", "XLFILL=b")</f>
        <v>-13.201921484180884</v>
      </c>
      <c r="M180" s="9">
        <f>_xll.BQL("JBLU US Equity", "ADJ_PROFIT_MARGIN", "FPT=A", "FPO=-3A", "ACT_EST_MAPPING=PRECISE", "FS=MRC", "CURRENCY=USD", "XLFILL=b")</f>
        <v>-53.297260737233685</v>
      </c>
      <c r="N180" s="9">
        <f>_xll.BQL("JBLU US Equity", "ADJ_PROFIT_MARGIN", "FPT=A", "FPO=-4A", "ACT_EST_MAPPING=PRECISE", "FS=MRC", "CURRENCY=USD", "XLFILL=b")</f>
        <v>7.0175438596491224</v>
      </c>
    </row>
    <row r="181" spans="1:14" x14ac:dyDescent="0.2">
      <c r="A181" s="8" t="s">
        <v>96</v>
      </c>
      <c r="B181" s="4" t="s">
        <v>187</v>
      </c>
      <c r="C181" s="4"/>
      <c r="D181" s="4"/>
      <c r="E181" s="9">
        <f>_xll.BQL("JBLU US Equity", "FA_GROWTH(ADJ_PROFIT_MARGIN, YOY)", "FPT=A", "FPO=5A", "ACT_EST_MAPPING=PRECISE", "FS=MRC", "CURRENCY=USD", "XLFILL=b")</f>
        <v>-27.80785561881256</v>
      </c>
      <c r="F181" s="9">
        <f>_xll.BQL("JBLU US Equity", "FA_GROWTH(ADJ_PROFIT_MARGIN, YOY)", "FPT=A", "FPO=4A", "ACT_EST_MAPPING=PRECISE", "FS=MRC", "CURRENCY=USD", "XLFILL=b")</f>
        <v>36.170719763734127</v>
      </c>
      <c r="G181" s="9">
        <f>_xll.BQL("JBLU US Equity", "FA_GROWTH(ADJ_PROFIT_MARGIN, YOY)", "FPT=A", "FPO=3A", "ACT_EST_MAPPING=PRECISE", "FS=MRC", "CURRENCY=USD", "XLFILL=b")</f>
        <v>127.27149491856385</v>
      </c>
      <c r="H181" s="9">
        <f>_xll.BQL("JBLU US Equity", "FA_GROWTH(ADJ_PROFIT_MARGIN, YOY)", "FPT=A", "FPO=2A", "ACT_EST_MAPPING=PRECISE", "FS=MRC", "CURRENCY=USD", "XLFILL=b")</f>
        <v>57.563643835108259</v>
      </c>
      <c r="I181" s="9">
        <f>_xll.BQL("JBLU US Equity", "FA_GROWTH(ADJ_PROFIT_MARGIN, YOY)", "FPT=A", "FPO=1A", "ACT_EST_MAPPING=PRECISE", "FS=MRC", "CURRENCY=USD", "XLFILL=b")</f>
        <v>-168.78465332547682</v>
      </c>
      <c r="J181" s="9">
        <f>_xll.BQL("JBLU US Equity", "FA_GROWTH(ADJ_PROFIT_MARGIN, YOY)", "FPT=A", "FPO=0A", "ACT_EST_MAPPING=PRECISE", "FS=MRC", "CURRENCY=USD", "XLFILL=b")</f>
        <v>44.683467338693553</v>
      </c>
      <c r="K181" s="9">
        <f>_xll.BQL("JBLU US Equity", "FA_GROWTH(ADJ_PROFIT_MARGIN, YOY)", "FPT=A", "FPO=-1A", "ACT_EST_MAPPING=PRECISE", "FS=MRC", "CURRENCY=USD", "XLFILL=b")</f>
        <v>78.495192306374932</v>
      </c>
      <c r="L181" s="9">
        <f>_xll.BQL("JBLU US Equity", "FA_GROWTH(ADJ_PROFIT_MARGIN, YOY)", "FPT=A", "FPO=-2A", "ACT_EST_MAPPING=PRECISE", "FS=MRC", "CURRENCY=USD", "XLFILL=b")</f>
        <v>75.229643509693602</v>
      </c>
      <c r="M181" s="9">
        <f>_xll.BQL("JBLU US Equity", "FA_GROWTH(ADJ_PROFIT_MARGIN, YOY)", "FPT=A", "FPO=-3A", "ACT_EST_MAPPING=PRECISE", "FS=MRC", "CURRENCY=USD", "XLFILL=b")</f>
        <v>-859.48596550558</v>
      </c>
      <c r="N181" s="9">
        <f>_xll.BQL("JBLU US Equity", "FA_GROWTH(ADJ_PROFIT_MARGIN, YOY)", "FPT=A", "FPO=-4A", "ACT_EST_MAPPING=PRECISE", "FS=MRC", "CURRENCY=USD", "XLFILL=b")</f>
        <v>-6.7007797270955187</v>
      </c>
    </row>
    <row r="182" spans="1:14" x14ac:dyDescent="0.2">
      <c r="A182" s="8" t="s">
        <v>188</v>
      </c>
      <c r="B182" s="4" t="s">
        <v>10</v>
      </c>
      <c r="C182" s="4" t="s">
        <v>165</v>
      </c>
      <c r="D182" s="4"/>
      <c r="E182" s="9">
        <f>_xll.BQL("JBLU US Equity", "IS_COMP_EPS_ADJUSTED_OLD", "FPT=A", "FPO=5A", "ACT_EST_MAPPING=PRECISE", "FS=MRC", "CURRENCY=USD", "XLFILL=b")</f>
        <v>0.15</v>
      </c>
      <c r="F182" s="9">
        <f>_xll.BQL("JBLU US Equity", "IS_COMP_EPS_ADJUSTED_OLD", "FPT=A", "FPO=4A", "ACT_EST_MAPPING=PRECISE", "FS=MRC", "CURRENCY=USD", "XLFILL=b")</f>
        <v>0.2</v>
      </c>
      <c r="G182" s="9">
        <f>_xll.BQL("JBLU US Equity", "IS_COMP_EPS_ADJUSTED_OLD", "FPT=A", "FPO=3A", "ACT_EST_MAPPING=PRECISE", "FS=MRC", "CURRENCY=USD", "XLFILL=b")</f>
        <v>0.10777777777777779</v>
      </c>
      <c r="H182" s="9">
        <f>_xll.BQL("JBLU US Equity", "IS_COMP_EPS_ADJUSTED_OLD", "FPT=A", "FPO=2A", "ACT_EST_MAPPING=PRECISE", "FS=MRC", "CURRENCY=USD", "XLFILL=b")</f>
        <v>-0.43933333333333341</v>
      </c>
      <c r="I182" s="9">
        <f>_xll.BQL("JBLU US Equity", "IS_COMP_EPS_ADJUSTED_OLD", "FPT=A", "FPO=1A", "ACT_EST_MAPPING=PRECISE", "FS=MRC", "CURRENCY=USD", "XLFILL=b")</f>
        <v>-0.95866666666666656</v>
      </c>
      <c r="J182" s="9">
        <f>_xll.BQL("JBLU US Equity", "IS_COMP_EPS_ADJUSTED_OLD", "FPT=A", "FPO=0A", "ACT_EST_MAPPING=PRECISE", "FS=MRC", "CURRENCY=USD", "XLFILL=b")</f>
        <v>-0.45</v>
      </c>
      <c r="K182" s="9">
        <f>_xll.BQL("JBLU US Equity", "IS_COMP_EPS_ADJUSTED_OLD", "FPT=A", "FPO=-1A", "ACT_EST_MAPPING=PRECISE", "FS=MRC", "CURRENCY=USD", "XLFILL=b")</f>
        <v>-0.8</v>
      </c>
      <c r="L182" s="9">
        <f>_xll.BQL("JBLU US Equity", "IS_COMP_EPS_ADJUSTED_OLD", "FPT=A", "FPO=-2A", "ACT_EST_MAPPING=PRECISE", "FS=MRC", "CURRENCY=USD", "XLFILL=b")</f>
        <v>-2.5099999999999998</v>
      </c>
      <c r="M182" s="9">
        <f>_xll.BQL("JBLU US Equity", "IS_COMP_EPS_ADJUSTED_OLD", "FPT=A", "FPO=-3A", "ACT_EST_MAPPING=PRECISE", "FS=MRC", "CURRENCY=USD", "XLFILL=b")</f>
        <v>-5.68</v>
      </c>
      <c r="N182" s="9">
        <f>_xll.BQL("JBLU US Equity", "IS_COMP_EPS_ADJUSTED_OLD", "FPT=A", "FPO=-4A", "ACT_EST_MAPPING=PRECISE", "FS=MRC", "CURRENCY=USD", "XLFILL=b")</f>
        <v>1.9</v>
      </c>
    </row>
    <row r="183" spans="1:14" x14ac:dyDescent="0.2">
      <c r="A183" s="8" t="s">
        <v>84</v>
      </c>
      <c r="B183" s="4" t="s">
        <v>10</v>
      </c>
      <c r="C183" s="4" t="s">
        <v>165</v>
      </c>
      <c r="D183" s="4"/>
      <c r="E183" s="9">
        <f>_xll.BQL("JBLU US Equity", "FA_GROWTH(IS_COMP_EPS_ADJUSTED_OLD, YOY)", "FPT=A", "FPO=5A", "ACT_EST_MAPPING=PRECISE", "FS=MRC", "CURRENCY=USD", "XLFILL=b")</f>
        <v>-25.000000000000007</v>
      </c>
      <c r="F183" s="9">
        <f>_xll.BQL("JBLU US Equity", "FA_GROWTH(IS_COMP_EPS_ADJUSTED_OLD, YOY)", "FPT=A", "FPO=4A", "ACT_EST_MAPPING=PRECISE", "FS=MRC", "CURRENCY=USD", "XLFILL=b")</f>
        <v>85.567010309278331</v>
      </c>
      <c r="G183" s="9">
        <f>_xll.BQL("JBLU US Equity", "FA_GROWTH(IS_COMP_EPS_ADJUSTED_OLD, YOY)", "FPT=A", "FPO=3A", "ACT_EST_MAPPING=PRECISE", "FS=MRC", "CURRENCY=USD", "XLFILL=b")</f>
        <v>124.53211937278705</v>
      </c>
      <c r="H183" s="9">
        <f>_xll.BQL("JBLU US Equity", "FA_GROWTH(IS_COMP_EPS_ADJUSTED_OLD, YOY)", "FPT=A", "FPO=2A", "ACT_EST_MAPPING=PRECISE", "FS=MRC", "CURRENCY=USD", "XLFILL=b")</f>
        <v>54.172461752433932</v>
      </c>
      <c r="I183" s="9">
        <f>_xll.BQL("JBLU US Equity", "FA_GROWTH(IS_COMP_EPS_ADJUSTED_OLD, YOY)", "FPT=A", "FPO=1A", "ACT_EST_MAPPING=PRECISE", "FS=MRC", "CURRENCY=USD", "XLFILL=b")</f>
        <v>-113.03703703703702</v>
      </c>
      <c r="J183" s="9">
        <f>_xll.BQL("JBLU US Equity", "FA_GROWTH(IS_COMP_EPS_ADJUSTED_OLD, YOY)", "FPT=A", "FPO=0A", "ACT_EST_MAPPING=PRECISE", "FS=MRC", "CURRENCY=USD", "XLFILL=b")</f>
        <v>43.75</v>
      </c>
      <c r="K183" s="9">
        <f>_xll.BQL("JBLU US Equity", "FA_GROWTH(IS_COMP_EPS_ADJUSTED_OLD, YOY)", "FPT=A", "FPO=-1A", "ACT_EST_MAPPING=PRECISE", "FS=MRC", "CURRENCY=USD", "XLFILL=b")</f>
        <v>68.127490039840637</v>
      </c>
      <c r="L183" s="9">
        <f>_xll.BQL("JBLU US Equity", "FA_GROWTH(IS_COMP_EPS_ADJUSTED_OLD, YOY)", "FPT=A", "FPO=-2A", "ACT_EST_MAPPING=PRECISE", "FS=MRC", "CURRENCY=USD", "XLFILL=b")</f>
        <v>55.809859154929583</v>
      </c>
      <c r="M183" s="9">
        <f>_xll.BQL("JBLU US Equity", "FA_GROWTH(IS_COMP_EPS_ADJUSTED_OLD, YOY)", "FPT=A", "FPO=-3A", "ACT_EST_MAPPING=PRECISE", "FS=MRC", "CURRENCY=USD", "XLFILL=b")</f>
        <v>-398.94736842105266</v>
      </c>
      <c r="N183" s="9">
        <f>_xll.BQL("JBLU US Equity", "FA_GROWTH(IS_COMP_EPS_ADJUSTED_OLD, YOY)", "FPT=A", "FPO=-4A", "ACT_EST_MAPPING=PRECISE", "FS=MRC", "CURRENCY=USD", "XLFILL=b")</f>
        <v>22.580645161290313</v>
      </c>
    </row>
    <row r="184" spans="1:14" x14ac:dyDescent="0.2">
      <c r="A184" s="8" t="s">
        <v>16</v>
      </c>
      <c r="B184" s="4"/>
      <c r="C184" s="4"/>
      <c r="D184" s="4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x14ac:dyDescent="0.2">
      <c r="A185" s="8" t="s">
        <v>189</v>
      </c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x14ac:dyDescent="0.2">
      <c r="A186" s="8" t="s">
        <v>190</v>
      </c>
      <c r="B186" s="4" t="s">
        <v>191</v>
      </c>
      <c r="C186" s="4"/>
      <c r="D186" s="4"/>
      <c r="E186" s="9" t="str">
        <f>_xll.BQL("JBLU US Equity", "CF_STOCK_BASED_COMPENSATION/1M", "FPT=A", "FPO=5A", "ACT_EST_MAPPING=PRECISE", "FS=MRC", "CURRENCY=USD", "XLFILL=b")</f>
        <v/>
      </c>
      <c r="F186" s="9" t="str">
        <f>_xll.BQL("JBLU US Equity", "CF_STOCK_BASED_COMPENSATION/1M", "FPT=A", "FPO=4A", "ACT_EST_MAPPING=PRECISE", "FS=MRC", "CURRENCY=USD", "XLFILL=b")</f>
        <v/>
      </c>
      <c r="G186" s="9">
        <f>_xll.BQL("JBLU US Equity", "CF_STOCK_BASED_COMPENSATION/1M", "FPT=A", "FPO=3A", "ACT_EST_MAPPING=PRECISE", "FS=MRC", "CURRENCY=USD", "XLFILL=b")</f>
        <v>38.829960030290216</v>
      </c>
      <c r="H186" s="9">
        <f>_xll.BQL("JBLU US Equity", "CF_STOCK_BASED_COMPENSATION/1M", "FPT=A", "FPO=2A", "ACT_EST_MAPPING=PRECISE", "FS=MRC", "CURRENCY=USD", "XLFILL=b")</f>
        <v>34.264401238738387</v>
      </c>
      <c r="I186" s="9">
        <f>_xll.BQL("JBLU US Equity", "CF_STOCK_BASED_COMPENSATION/1M", "FPT=A", "FPO=1A", "ACT_EST_MAPPING=PRECISE", "FS=MRC", "CURRENCY=USD", "XLFILL=b")</f>
        <v>36.22569013749407</v>
      </c>
      <c r="J186" s="9">
        <f>_xll.BQL("JBLU US Equity", "CF_STOCK_BASED_COMPENSATION/1M", "FPT=A", "FPO=0A", "ACT_EST_MAPPING=PRECISE", "FS=MRC", "CURRENCY=USD", "XLFILL=b")</f>
        <v>39</v>
      </c>
      <c r="K186" s="9">
        <f>_xll.BQL("JBLU US Equity", "CF_STOCK_BASED_COMPENSATION/1M", "FPT=A", "FPO=-1A", "ACT_EST_MAPPING=PRECISE", "FS=MRC", "CURRENCY=USD", "XLFILL=b")</f>
        <v>30</v>
      </c>
      <c r="L186" s="9">
        <f>_xll.BQL("JBLU US Equity", "CF_STOCK_BASED_COMPENSATION/1M", "FPT=A", "FPO=-2A", "ACT_EST_MAPPING=PRECISE", "FS=MRC", "CURRENCY=USD", "XLFILL=b")</f>
        <v>28</v>
      </c>
      <c r="M186" s="9">
        <f>_xll.BQL("JBLU US Equity", "CF_STOCK_BASED_COMPENSATION/1M", "FPT=A", "FPO=-3A", "ACT_EST_MAPPING=PRECISE", "FS=MRC", "CURRENCY=USD", "XLFILL=b")</f>
        <v>28</v>
      </c>
      <c r="N186" s="9">
        <f>_xll.BQL("JBLU US Equity", "CF_STOCK_BASED_COMPENSATION/1M", "FPT=A", "FPO=-4A", "ACT_EST_MAPPING=PRECISE", "FS=MRC", "CURRENCY=USD", "XLFILL=b")</f>
        <v>31</v>
      </c>
    </row>
    <row r="187" spans="1:14" x14ac:dyDescent="0.2">
      <c r="A187" s="8" t="s">
        <v>84</v>
      </c>
      <c r="B187" s="4" t="s">
        <v>191</v>
      </c>
      <c r="C187" s="4"/>
      <c r="D187" s="4"/>
      <c r="E187" s="9" t="str">
        <f>_xll.BQL("JBLU US Equity", "FA_GROWTH(CF_STOCK_BASED_COMPENSATION, YOY)", "FPT=A", "FPO=5A", "ACT_EST_MAPPING=PRECISE", "FS=MRC", "CURRENCY=USD", "XLFILL=b")</f>
        <v/>
      </c>
      <c r="F187" s="9" t="str">
        <f>_xll.BQL("JBLU US Equity", "FA_GROWTH(CF_STOCK_BASED_COMPENSATION, YOY)", "FPT=A", "FPO=4A", "ACT_EST_MAPPING=PRECISE", "FS=MRC", "CURRENCY=USD", "XLFILL=b")</f>
        <v/>
      </c>
      <c r="G187" s="9">
        <f>_xll.BQL("JBLU US Equity", "FA_GROWTH(CF_STOCK_BASED_COMPENSATION, YOY)", "FPT=A", "FPO=3A", "ACT_EST_MAPPING=PRECISE", "FS=MRC", "CURRENCY=USD", "XLFILL=b")</f>
        <v>13.324496055661797</v>
      </c>
      <c r="H187" s="9">
        <f>_xll.BQL("JBLU US Equity", "FA_GROWTH(CF_STOCK_BASED_COMPENSATION, YOY)", "FPT=A", "FPO=2A", "ACT_EST_MAPPING=PRECISE", "FS=MRC", "CURRENCY=USD", "XLFILL=b")</f>
        <v>-5.4140829099780889</v>
      </c>
      <c r="I187" s="9">
        <f>_xll.BQL("JBLU US Equity", "FA_GROWTH(CF_STOCK_BASED_COMPENSATION, YOY)", "FPT=A", "FPO=1A", "ACT_EST_MAPPING=PRECISE", "FS=MRC", "CURRENCY=USD", "XLFILL=b")</f>
        <v>-7.1136150320664813</v>
      </c>
      <c r="J187" s="9">
        <f>_xll.BQL("JBLU US Equity", "FA_GROWTH(CF_STOCK_BASED_COMPENSATION, YOY)", "FPT=A", "FPO=0A", "ACT_EST_MAPPING=PRECISE", "FS=MRC", "CURRENCY=USD", "XLFILL=b")</f>
        <v>30</v>
      </c>
      <c r="K187" s="9">
        <f>_xll.BQL("JBLU US Equity", "FA_GROWTH(CF_STOCK_BASED_COMPENSATION, YOY)", "FPT=A", "FPO=-1A", "ACT_EST_MAPPING=PRECISE", "FS=MRC", "CURRENCY=USD", "XLFILL=b")</f>
        <v>7.1428571428571432</v>
      </c>
      <c r="L187" s="9">
        <f>_xll.BQL("JBLU US Equity", "FA_GROWTH(CF_STOCK_BASED_COMPENSATION, YOY)", "FPT=A", "FPO=-2A", "ACT_EST_MAPPING=PRECISE", "FS=MRC", "CURRENCY=USD", "XLFILL=b")</f>
        <v>0</v>
      </c>
      <c r="M187" s="9">
        <f>_xll.BQL("JBLU US Equity", "FA_GROWTH(CF_STOCK_BASED_COMPENSATION, YOY)", "FPT=A", "FPO=-3A", "ACT_EST_MAPPING=PRECISE", "FS=MRC", "CURRENCY=USD", "XLFILL=b")</f>
        <v>-9.67741935483871</v>
      </c>
      <c r="N187" s="9">
        <f>_xll.BQL("JBLU US Equity", "FA_GROWTH(CF_STOCK_BASED_COMPENSATION, YOY)", "FPT=A", "FPO=-4A", "ACT_EST_MAPPING=PRECISE", "FS=MRC", "CURRENCY=USD", "XLFILL=b")</f>
        <v>10.714285714285714</v>
      </c>
    </row>
    <row r="188" spans="1:14" x14ac:dyDescent="0.2">
      <c r="A188" s="8" t="s">
        <v>192</v>
      </c>
      <c r="B188" s="4" t="s">
        <v>193</v>
      </c>
      <c r="C188" s="4"/>
      <c r="D188" s="4"/>
      <c r="E188" s="9" t="str">
        <f>_xll.BQL("JBLU US Equity", "HEADLINE_AMORT_EXPN/1M", "FPT=A", "FPO=5A", "ACT_EST_MAPPING=PRECISE", "FS=MRC", "CURRENCY=USD", "XLFILL=b")</f>
        <v/>
      </c>
      <c r="F188" s="9" t="str">
        <f>_xll.BQL("JBLU US Equity", "HEADLINE_AMORT_EXPN/1M", "FPT=A", "FPO=4A", "ACT_EST_MAPPING=PRECISE", "FS=MRC", "CURRENCY=USD", "XLFILL=b")</f>
        <v/>
      </c>
      <c r="G188" s="9" t="str">
        <f>_xll.BQL("JBLU US Equity", "HEADLINE_AMORT_EXPN/1M", "FPT=A", "FPO=3A", "ACT_EST_MAPPING=PRECISE", "FS=MRC", "CURRENCY=USD", "XLFILL=b")</f>
        <v/>
      </c>
      <c r="H188" s="9" t="str">
        <f>_xll.BQL("JBLU US Equity", "HEADLINE_AMORT_EXPN/1M", "FPT=A", "FPO=2A", "ACT_EST_MAPPING=PRECISE", "FS=MRC", "CURRENCY=USD", "XLFILL=b")</f>
        <v/>
      </c>
      <c r="I188" s="9" t="str">
        <f>_xll.BQL("JBLU US Equity", "HEADLINE_AMORT_EXPN/1M", "FPT=A", "FPO=1A", "ACT_EST_MAPPING=PRECISE", "FS=MRC", "CURRENCY=USD", "XLFILL=b")</f>
        <v/>
      </c>
      <c r="J188" s="9">
        <f>_xll.BQL("JBLU US Equity", "HEADLINE_AMORT_EXPN/1M", "FPT=A", "FPO=0A", "ACT_EST_MAPPING=PRECISE", "FS=MRC", "CURRENCY=USD", "XLFILL=b")</f>
        <v>62</v>
      </c>
      <c r="K188" s="9">
        <f>_xll.BQL("JBLU US Equity", "HEADLINE_AMORT_EXPN/1M", "FPT=A", "FPO=-1A", "ACT_EST_MAPPING=PRECISE", "FS=MRC", "CURRENCY=USD", "XLFILL=b")</f>
        <v>51</v>
      </c>
      <c r="L188" s="9">
        <f>_xll.BQL("JBLU US Equity", "HEADLINE_AMORT_EXPN/1M", "FPT=A", "FPO=-2A", "ACT_EST_MAPPING=PRECISE", "FS=MRC", "CURRENCY=USD", "XLFILL=b")</f>
        <v>45</v>
      </c>
      <c r="M188" s="9">
        <f>_xll.BQL("JBLU US Equity", "HEADLINE_AMORT_EXPN/1M", "FPT=A", "FPO=-3A", "ACT_EST_MAPPING=PRECISE", "FS=MRC", "CURRENCY=USD", "XLFILL=b")</f>
        <v>44</v>
      </c>
      <c r="N188" s="9">
        <f>_xll.BQL("JBLU US Equity", "HEADLINE_AMORT_EXPN/1M", "FPT=A", "FPO=-4A", "ACT_EST_MAPPING=PRECISE", "FS=MRC", "CURRENCY=USD", "XLFILL=b")</f>
        <v>51</v>
      </c>
    </row>
    <row r="189" spans="1:14" x14ac:dyDescent="0.2">
      <c r="A189" s="8" t="s">
        <v>84</v>
      </c>
      <c r="B189" s="4" t="s">
        <v>193</v>
      </c>
      <c r="C189" s="4"/>
      <c r="D189" s="4"/>
      <c r="E189" s="9" t="str">
        <f>_xll.BQL("JBLU US Equity", "FA_GROWTH(HEADLINE_AMORT_EXPN, YOY)", "FPT=A", "FPO=5A", "ACT_EST_MAPPING=PRECISE", "FS=MRC", "CURRENCY=USD", "XLFILL=b")</f>
        <v/>
      </c>
      <c r="F189" s="9" t="str">
        <f>_xll.BQL("JBLU US Equity", "FA_GROWTH(HEADLINE_AMORT_EXPN, YOY)", "FPT=A", "FPO=4A", "ACT_EST_MAPPING=PRECISE", "FS=MRC", "CURRENCY=USD", "XLFILL=b")</f>
        <v/>
      </c>
      <c r="G189" s="9" t="str">
        <f>_xll.BQL("JBLU US Equity", "FA_GROWTH(HEADLINE_AMORT_EXPN, YOY)", "FPT=A", "FPO=3A", "ACT_EST_MAPPING=PRECISE", "FS=MRC", "CURRENCY=USD", "XLFILL=b")</f>
        <v/>
      </c>
      <c r="H189" s="9" t="str">
        <f>_xll.BQL("JBLU US Equity", "FA_GROWTH(HEADLINE_AMORT_EXPN, YOY)", "FPT=A", "FPO=2A", "ACT_EST_MAPPING=PRECISE", "FS=MRC", "CURRENCY=USD", "XLFILL=b")</f>
        <v/>
      </c>
      <c r="I189" s="9" t="str">
        <f>_xll.BQL("JBLU US Equity", "FA_GROWTH(HEADLINE_AMORT_EXPN, YOY)", "FPT=A", "FPO=1A", "ACT_EST_MAPPING=PRECISE", "FS=MRC", "CURRENCY=USD", "XLFILL=b")</f>
        <v/>
      </c>
      <c r="J189" s="9">
        <f>_xll.BQL("JBLU US Equity", "FA_GROWTH(HEADLINE_AMORT_EXPN, YOY)", "FPT=A", "FPO=0A", "ACT_EST_MAPPING=PRECISE", "FS=MRC", "CURRENCY=USD", "XLFILL=b")</f>
        <v>21.568627450980394</v>
      </c>
      <c r="K189" s="9">
        <f>_xll.BQL("JBLU US Equity", "FA_GROWTH(HEADLINE_AMORT_EXPN, YOY)", "FPT=A", "FPO=-1A", "ACT_EST_MAPPING=PRECISE", "FS=MRC", "CURRENCY=USD", "XLFILL=b")</f>
        <v>13.333333333333334</v>
      </c>
      <c r="L189" s="9">
        <f>_xll.BQL("JBLU US Equity", "FA_GROWTH(HEADLINE_AMORT_EXPN, YOY)", "FPT=A", "FPO=-2A", "ACT_EST_MAPPING=PRECISE", "FS=MRC", "CURRENCY=USD", "XLFILL=b")</f>
        <v>2.2727272727272729</v>
      </c>
      <c r="M189" s="9">
        <f>_xll.BQL("JBLU US Equity", "FA_GROWTH(HEADLINE_AMORT_EXPN, YOY)", "FPT=A", "FPO=-3A", "ACT_EST_MAPPING=PRECISE", "FS=MRC", "CURRENCY=USD", "XLFILL=b")</f>
        <v>-13.725490196078431</v>
      </c>
      <c r="N189" s="9">
        <f>_xll.BQL("JBLU US Equity", "FA_GROWTH(HEADLINE_AMORT_EXPN, YOY)", "FPT=A", "FPO=-4A", "ACT_EST_MAPPING=PRECISE", "FS=MRC", "CURRENCY=USD", "XLFILL=b")</f>
        <v>10.869565217391305</v>
      </c>
    </row>
    <row r="190" spans="1:14" x14ac:dyDescent="0.2">
      <c r="A190" s="8" t="s">
        <v>194</v>
      </c>
      <c r="B190" s="4" t="s">
        <v>195</v>
      </c>
      <c r="C190" s="4"/>
      <c r="D190" s="4"/>
      <c r="E190" s="9" t="str">
        <f>_xll.BQL("JBLU US Equity", "IS_ABNORMAL_ITEM/1M", "FPT=A", "FPO=5A", "ACT_EST_MAPPING=PRECISE", "FS=MRC", "CURRENCY=USD", "XLFILL=b")</f>
        <v/>
      </c>
      <c r="F190" s="9" t="str">
        <f>_xll.BQL("JBLU US Equity", "IS_ABNORMAL_ITEM/1M", "FPT=A", "FPO=4A", "ACT_EST_MAPPING=PRECISE", "FS=MRC", "CURRENCY=USD", "XLFILL=b")</f>
        <v/>
      </c>
      <c r="G190" s="9" t="str">
        <f>_xll.BQL("JBLU US Equity", "IS_ABNORMAL_ITEM/1M", "FPT=A", "FPO=3A", "ACT_EST_MAPPING=PRECISE", "FS=MRC", "CURRENCY=USD", "XLFILL=b")</f>
        <v/>
      </c>
      <c r="H190" s="9" t="str">
        <f>_xll.BQL("JBLU US Equity", "IS_ABNORMAL_ITEM/1M", "FPT=A", "FPO=2A", "ACT_EST_MAPPING=PRECISE", "FS=MRC", "CURRENCY=USD", "XLFILL=b")</f>
        <v/>
      </c>
      <c r="I190" s="9">
        <f>_xll.BQL("JBLU US Equity", "IS_ABNORMAL_ITEM/1M", "FPT=A", "FPO=1A", "ACT_EST_MAPPING=PRECISE", "FS=MRC", "CURRENCY=USD", "XLFILL=b")</f>
        <v>587</v>
      </c>
      <c r="J190" s="9">
        <f>_xll.BQL("JBLU US Equity", "IS_ABNORMAL_ITEM/1M", "FPT=A", "FPO=0A", "ACT_EST_MAPPING=PRECISE", "FS=MRC", "CURRENCY=USD", "XLFILL=b")</f>
        <v>188</v>
      </c>
      <c r="K190" s="9">
        <f>_xll.BQL("JBLU US Equity", "IS_ABNORMAL_ITEM/1M", "FPT=A", "FPO=-1A", "ACT_EST_MAPPING=PRECISE", "FS=MRC", "CURRENCY=USD", "XLFILL=b")</f>
        <v>122</v>
      </c>
      <c r="L190" s="9">
        <f>_xll.BQL("JBLU US Equity", "IS_ABNORMAL_ITEM/1M", "FPT=A", "FPO=-2A", "ACT_EST_MAPPING=PRECISE", "FS=MRC", "CURRENCY=USD", "XLFILL=b")</f>
        <v>-877</v>
      </c>
      <c r="M190" s="9">
        <f>_xll.BQL("JBLU US Equity", "IS_ABNORMAL_ITEM/1M", "FPT=A", "FPO=-3A", "ACT_EST_MAPPING=PRECISE", "FS=MRC", "CURRENCY=USD", "XLFILL=b")</f>
        <v>-283</v>
      </c>
      <c r="N190" s="9">
        <f>_xll.BQL("JBLU US Equity", "IS_ABNORMAL_ITEM/1M", "FPT=A", "FPO=-4A", "ACT_EST_MAPPING=PRECISE", "FS=MRC", "CURRENCY=USD", "XLFILL=b")</f>
        <v>-1</v>
      </c>
    </row>
    <row r="191" spans="1:14" x14ac:dyDescent="0.2">
      <c r="A191" s="8" t="s">
        <v>84</v>
      </c>
      <c r="B191" s="4" t="s">
        <v>195</v>
      </c>
      <c r="C191" s="4"/>
      <c r="D191" s="4"/>
      <c r="E191" s="9" t="str">
        <f>_xll.BQL("JBLU US Equity", "FA_GROWTH(IS_ABNORMAL_ITEM, YOY)", "FPT=A", "FPO=5A", "ACT_EST_MAPPING=PRECISE", "FS=MRC", "CURRENCY=USD", "XLFILL=b")</f>
        <v/>
      </c>
      <c r="F191" s="9" t="str">
        <f>_xll.BQL("JBLU US Equity", "FA_GROWTH(IS_ABNORMAL_ITEM, YOY)", "FPT=A", "FPO=4A", "ACT_EST_MAPPING=PRECISE", "FS=MRC", "CURRENCY=USD", "XLFILL=b")</f>
        <v/>
      </c>
      <c r="G191" s="9" t="str">
        <f>_xll.BQL("JBLU US Equity", "FA_GROWTH(IS_ABNORMAL_ITEM, YOY)", "FPT=A", "FPO=3A", "ACT_EST_MAPPING=PRECISE", "FS=MRC", "CURRENCY=USD", "XLFILL=b")</f>
        <v/>
      </c>
      <c r="H191" s="9" t="str">
        <f>_xll.BQL("JBLU US Equity", "FA_GROWTH(IS_ABNORMAL_ITEM, YOY)", "FPT=A", "FPO=2A", "ACT_EST_MAPPING=PRECISE", "FS=MRC", "CURRENCY=USD", "XLFILL=b")</f>
        <v/>
      </c>
      <c r="I191" s="9">
        <f>_xll.BQL("JBLU US Equity", "FA_GROWTH(IS_ABNORMAL_ITEM, YOY)", "FPT=A", "FPO=1A", "ACT_EST_MAPPING=PRECISE", "FS=MRC", "CURRENCY=USD", "XLFILL=b")</f>
        <v>212.2340425531915</v>
      </c>
      <c r="J191" s="9">
        <f>_xll.BQL("JBLU US Equity", "FA_GROWTH(IS_ABNORMAL_ITEM, YOY)", "FPT=A", "FPO=0A", "ACT_EST_MAPPING=PRECISE", "FS=MRC", "CURRENCY=USD", "XLFILL=b")</f>
        <v>54.098360655737707</v>
      </c>
      <c r="K191" s="9">
        <f>_xll.BQL("JBLU US Equity", "FA_GROWTH(IS_ABNORMAL_ITEM, YOY)", "FPT=A", "FPO=-1A", "ACT_EST_MAPPING=PRECISE", "FS=MRC", "CURRENCY=USD", "XLFILL=b")</f>
        <v>113.91106043329532</v>
      </c>
      <c r="L191" s="9">
        <f>_xll.BQL("JBLU US Equity", "FA_GROWTH(IS_ABNORMAL_ITEM, YOY)", "FPT=A", "FPO=-2A", "ACT_EST_MAPPING=PRECISE", "FS=MRC", "CURRENCY=USD", "XLFILL=b")</f>
        <v>-209.8939929328622</v>
      </c>
      <c r="M191" s="9">
        <f>_xll.BQL("JBLU US Equity", "FA_GROWTH(IS_ABNORMAL_ITEM, YOY)", "FPT=A", "FPO=-3A", "ACT_EST_MAPPING=PRECISE", "FS=MRC", "CURRENCY=USD", "XLFILL=b")</f>
        <v>-28200</v>
      </c>
      <c r="N191" s="9">
        <f>_xll.BQL("JBLU US Equity", "FA_GROWTH(IS_ABNORMAL_ITEM, YOY)", "FPT=A", "FPO=-4A", "ACT_EST_MAPPING=PRECISE", "FS=MRC", "CURRENCY=USD", "XLFILL=b")</f>
        <v>-100.22988505747126</v>
      </c>
    </row>
    <row r="192" spans="1:14" x14ac:dyDescent="0.2">
      <c r="A192" s="8" t="s">
        <v>196</v>
      </c>
      <c r="B192" s="4" t="s">
        <v>197</v>
      </c>
      <c r="C192" s="4"/>
      <c r="D192" s="4"/>
      <c r="E192" s="9" t="str">
        <f>_xll.BQL("JBLU US Equity", "IS_OTHER_ONE_TIME_ITEMS_OP/1M", "FPT=A", "FPO=5A", "ACT_EST_MAPPING=PRECISE", "FS=MRC", "CURRENCY=USD", "XLFILL=b")</f>
        <v/>
      </c>
      <c r="F192" s="9" t="str">
        <f>_xll.BQL("JBLU US Equity", "IS_OTHER_ONE_TIME_ITEMS_OP/1M", "FPT=A", "FPO=4A", "ACT_EST_MAPPING=PRECISE", "FS=MRC", "CURRENCY=USD", "XLFILL=b")</f>
        <v/>
      </c>
      <c r="G192" s="9">
        <f>_xll.BQL("JBLU US Equity", "IS_OTHER_ONE_TIME_ITEMS_OP/1M", "FPT=A", "FPO=3A", "ACT_EST_MAPPING=PRECISE", "FS=MRC", "CURRENCY=USD", "XLFILL=b")</f>
        <v>0</v>
      </c>
      <c r="H192" s="9">
        <f>_xll.BQL("JBLU US Equity", "IS_OTHER_ONE_TIME_ITEMS_OP/1M", "FPT=A", "FPO=2A", "ACT_EST_MAPPING=PRECISE", "FS=MRC", "CURRENCY=USD", "XLFILL=b")</f>
        <v>281.5</v>
      </c>
      <c r="I192" s="9">
        <f>_xll.BQL("JBLU US Equity", "IS_OTHER_ONE_TIME_ITEMS_OP/1M", "FPT=A", "FPO=1A", "ACT_EST_MAPPING=PRECISE", "FS=MRC", "CURRENCY=USD", "XLFILL=b")</f>
        <v>563</v>
      </c>
      <c r="J192" s="9">
        <f>_xll.BQL("JBLU US Equity", "IS_OTHER_ONE_TIME_ITEMS_OP/1M", "FPT=A", "FPO=0A", "ACT_EST_MAPPING=PRECISE", "FS=MRC", "CURRENCY=USD", "XLFILL=b")</f>
        <v>197</v>
      </c>
      <c r="K192" s="9">
        <f>_xll.BQL("JBLU US Equity", "IS_OTHER_ONE_TIME_ITEMS_OP/1M", "FPT=A", "FPO=-1A", "ACT_EST_MAPPING=PRECISE", "FS=MRC", "CURRENCY=USD", "XLFILL=b")</f>
        <v>113</v>
      </c>
      <c r="L192" s="9">
        <f>_xll.BQL("JBLU US Equity", "IS_OTHER_ONE_TIME_ITEMS_OP/1M", "FPT=A", "FPO=-2A", "ACT_EST_MAPPING=PRECISE", "FS=MRC", "CURRENCY=USD", "XLFILL=b")</f>
        <v>-833</v>
      </c>
      <c r="M192" s="9">
        <f>_xll.BQL("JBLU US Equity", "IS_OTHER_ONE_TIME_ITEMS_OP/1M", "FPT=A", "FPO=-3A", "ACT_EST_MAPPING=PRECISE", "FS=MRC", "CURRENCY=USD", "XLFILL=b")</f>
        <v>-283</v>
      </c>
      <c r="N192" s="9">
        <f>_xll.BQL("JBLU US Equity", "IS_OTHER_ONE_TIME_ITEMS_OP/1M", "FPT=A", "FPO=-4A", "ACT_EST_MAPPING=PRECISE", "FS=MRC", "CURRENCY=USD", "XLFILL=b")</f>
        <v>8</v>
      </c>
    </row>
    <row r="193" spans="1:14" x14ac:dyDescent="0.2">
      <c r="A193" s="8" t="s">
        <v>84</v>
      </c>
      <c r="B193" s="4" t="s">
        <v>197</v>
      </c>
      <c r="C193" s="4"/>
      <c r="D193" s="4"/>
      <c r="E193" s="9" t="str">
        <f>_xll.BQL("JBLU US Equity", "FA_GROWTH(IS_OTHER_ONE_TIME_ITEMS_OP, YOY)", "FPT=A", "FPO=5A", "ACT_EST_MAPPING=PRECISE", "FS=MRC", "CURRENCY=USD", "XLFILL=b")</f>
        <v/>
      </c>
      <c r="F193" s="9" t="str">
        <f>_xll.BQL("JBLU US Equity", "FA_GROWTH(IS_OTHER_ONE_TIME_ITEMS_OP, YOY)", "FPT=A", "FPO=4A", "ACT_EST_MAPPING=PRECISE", "FS=MRC", "CURRENCY=USD", "XLFILL=b")</f>
        <v/>
      </c>
      <c r="G193" s="9">
        <f>_xll.BQL("JBLU US Equity", "FA_GROWTH(IS_OTHER_ONE_TIME_ITEMS_OP, YOY)", "FPT=A", "FPO=3A", "ACT_EST_MAPPING=PRECISE", "FS=MRC", "CURRENCY=USD", "XLFILL=b")</f>
        <v>-100</v>
      </c>
      <c r="H193" s="9">
        <f>_xll.BQL("JBLU US Equity", "FA_GROWTH(IS_OTHER_ONE_TIME_ITEMS_OP, YOY)", "FPT=A", "FPO=2A", "ACT_EST_MAPPING=PRECISE", "FS=MRC", "CURRENCY=USD", "XLFILL=b")</f>
        <v>-50</v>
      </c>
      <c r="I193" s="9">
        <f>_xll.BQL("JBLU US Equity", "FA_GROWTH(IS_OTHER_ONE_TIME_ITEMS_OP, YOY)", "FPT=A", "FPO=1A", "ACT_EST_MAPPING=PRECISE", "FS=MRC", "CURRENCY=USD", "XLFILL=b")</f>
        <v>185.78680203045684</v>
      </c>
      <c r="J193" s="9">
        <f>_xll.BQL("JBLU US Equity", "FA_GROWTH(IS_OTHER_ONE_TIME_ITEMS_OP, YOY)", "FPT=A", "FPO=0A", "ACT_EST_MAPPING=PRECISE", "FS=MRC", "CURRENCY=USD", "XLFILL=b")</f>
        <v>74.336283185840713</v>
      </c>
      <c r="K193" s="9">
        <f>_xll.BQL("JBLU US Equity", "FA_GROWTH(IS_OTHER_ONE_TIME_ITEMS_OP, YOY)", "FPT=A", "FPO=-1A", "ACT_EST_MAPPING=PRECISE", "FS=MRC", "CURRENCY=USD", "XLFILL=b")</f>
        <v>113.56542617046819</v>
      </c>
      <c r="L193" s="9">
        <f>_xll.BQL("JBLU US Equity", "FA_GROWTH(IS_OTHER_ONE_TIME_ITEMS_OP, YOY)", "FPT=A", "FPO=-2A", "ACT_EST_MAPPING=PRECISE", "FS=MRC", "CURRENCY=USD", "XLFILL=b")</f>
        <v>-194.34628975265016</v>
      </c>
      <c r="M193" s="9">
        <f>_xll.BQL("JBLU US Equity", "FA_GROWTH(IS_OTHER_ONE_TIME_ITEMS_OP, YOY)", "FPT=A", "FPO=-3A", "ACT_EST_MAPPING=PRECISE", "FS=MRC", "CURRENCY=USD", "XLFILL=b")</f>
        <v>-3637.5</v>
      </c>
      <c r="N193" s="9">
        <f>_xll.BQL("JBLU US Equity", "FA_GROWTH(IS_OTHER_ONE_TIME_ITEMS_OP, YOY)", "FPT=A", "FPO=-4A", "ACT_EST_MAPPING=PRECISE", "FS=MRC", "CURRENCY=USD", "XLFILL=b")</f>
        <v>-89.041095890410958</v>
      </c>
    </row>
    <row r="194" spans="1:14" x14ac:dyDescent="0.2">
      <c r="A194" s="8" t="s">
        <v>198</v>
      </c>
      <c r="B194" s="4" t="s">
        <v>199</v>
      </c>
      <c r="C194" s="4"/>
      <c r="D194" s="4"/>
      <c r="E194" s="9" t="str">
        <f>_xll.BQL("JBLU US Equity", "IS_NET_ABNORMAL_ITEMS/1M", "FPT=A", "FPO=5A", "ACT_EST_MAPPING=PRECISE", "FS=MRC", "CURRENCY=USD", "XLFILL=b")</f>
        <v/>
      </c>
      <c r="F194" s="9" t="str">
        <f>_xll.BQL("JBLU US Equity", "IS_NET_ABNORMAL_ITEMS/1M", "FPT=A", "FPO=4A", "ACT_EST_MAPPING=PRECISE", "FS=MRC", "CURRENCY=USD", "XLFILL=b")</f>
        <v/>
      </c>
      <c r="G194" s="9" t="str">
        <f>_xll.BQL("JBLU US Equity", "IS_NET_ABNORMAL_ITEMS/1M", "FPT=A", "FPO=3A", "ACT_EST_MAPPING=PRECISE", "FS=MRC", "CURRENCY=USD", "XLFILL=b")</f>
        <v/>
      </c>
      <c r="H194" s="9" t="str">
        <f>_xll.BQL("JBLU US Equity", "IS_NET_ABNORMAL_ITEMS/1M", "FPT=A", "FPO=2A", "ACT_EST_MAPPING=PRECISE", "FS=MRC", "CURRENCY=USD", "XLFILL=b")</f>
        <v/>
      </c>
      <c r="I194" s="9">
        <f>_xll.BQL("JBLU US Equity", "IS_NET_ABNORMAL_ITEMS/1M", "FPT=A", "FPO=1A", "ACT_EST_MAPPING=PRECISE", "FS=MRC", "CURRENCY=USD", "XLFILL=b")</f>
        <v>572.1</v>
      </c>
      <c r="J194" s="9">
        <f>_xll.BQL("JBLU US Equity", "IS_NET_ABNORMAL_ITEMS/1M", "FPT=A", "FPO=0A", "ACT_EST_MAPPING=PRECISE", "FS=MRC", "CURRENCY=USD", "XLFILL=b")</f>
        <v>159</v>
      </c>
      <c r="K194" s="9">
        <f>_xll.BQL("JBLU US Equity", "IS_NET_ABNORMAL_ITEMS/1M", "FPT=A", "FPO=-1A", "ACT_EST_MAPPING=PRECISE", "FS=MRC", "CURRENCY=USD", "XLFILL=b")</f>
        <v>102</v>
      </c>
      <c r="L194" s="9">
        <f>_xll.BQL("JBLU US Equity", "IS_NET_ABNORMAL_ITEMS/1M", "FPT=A", "FPO=-2A", "ACT_EST_MAPPING=PRECISE", "FS=MRC", "CURRENCY=USD", "XLFILL=b")</f>
        <v>-553</v>
      </c>
      <c r="M194" s="9">
        <f>_xll.BQL("JBLU US Equity", "IS_NET_ABNORMAL_ITEMS/1M", "FPT=A", "FPO=-3A", "ACT_EST_MAPPING=PRECISE", "FS=MRC", "CURRENCY=USD", "XLFILL=b")</f>
        <v>-214</v>
      </c>
      <c r="N194" s="9">
        <f>_xll.BQL("JBLU US Equity", "IS_NET_ABNORMAL_ITEMS/1M", "FPT=A", "FPO=-4A", "ACT_EST_MAPPING=PRECISE", "FS=MRC", "CURRENCY=USD", "XLFILL=b")</f>
        <v>15.221714285714</v>
      </c>
    </row>
    <row r="195" spans="1:14" x14ac:dyDescent="0.2">
      <c r="A195" s="8" t="s">
        <v>84</v>
      </c>
      <c r="B195" s="4" t="s">
        <v>199</v>
      </c>
      <c r="C195" s="4"/>
      <c r="D195" s="4"/>
      <c r="E195" s="9" t="str">
        <f>_xll.BQL("JBLU US Equity", "FA_GROWTH(IS_NET_ABNORMAL_ITEMS, YOY)", "FPT=A", "FPO=5A", "ACT_EST_MAPPING=PRECISE", "FS=MRC", "CURRENCY=USD", "XLFILL=b")</f>
        <v/>
      </c>
      <c r="F195" s="9" t="str">
        <f>_xll.BQL("JBLU US Equity", "FA_GROWTH(IS_NET_ABNORMAL_ITEMS, YOY)", "FPT=A", "FPO=4A", "ACT_EST_MAPPING=PRECISE", "FS=MRC", "CURRENCY=USD", "XLFILL=b")</f>
        <v/>
      </c>
      <c r="G195" s="9" t="str">
        <f>_xll.BQL("JBLU US Equity", "FA_GROWTH(IS_NET_ABNORMAL_ITEMS, YOY)", "FPT=A", "FPO=3A", "ACT_EST_MAPPING=PRECISE", "FS=MRC", "CURRENCY=USD", "XLFILL=b")</f>
        <v/>
      </c>
      <c r="H195" s="9" t="str">
        <f>_xll.BQL("JBLU US Equity", "FA_GROWTH(IS_NET_ABNORMAL_ITEMS, YOY)", "FPT=A", "FPO=2A", "ACT_EST_MAPPING=PRECISE", "FS=MRC", "CURRENCY=USD", "XLFILL=b")</f>
        <v/>
      </c>
      <c r="I195" s="9">
        <f>_xll.BQL("JBLU US Equity", "FA_GROWTH(IS_NET_ABNORMAL_ITEMS, YOY)", "FPT=A", "FPO=1A", "ACT_EST_MAPPING=PRECISE", "FS=MRC", "CURRENCY=USD", "XLFILL=b")</f>
        <v>259.81132075471697</v>
      </c>
      <c r="J195" s="9">
        <f>_xll.BQL("JBLU US Equity", "FA_GROWTH(IS_NET_ABNORMAL_ITEMS, YOY)", "FPT=A", "FPO=0A", "ACT_EST_MAPPING=PRECISE", "FS=MRC", "CURRENCY=USD", "XLFILL=b")</f>
        <v>55.882352941176471</v>
      </c>
      <c r="K195" s="9">
        <f>_xll.BQL("JBLU US Equity", "FA_GROWTH(IS_NET_ABNORMAL_ITEMS, YOY)", "FPT=A", "FPO=-1A", "ACT_EST_MAPPING=PRECISE", "FS=MRC", "CURRENCY=USD", "XLFILL=b")</f>
        <v>118.44484629294756</v>
      </c>
      <c r="L195" s="9">
        <f>_xll.BQL("JBLU US Equity", "FA_GROWTH(IS_NET_ABNORMAL_ITEMS, YOY)", "FPT=A", "FPO=-2A", "ACT_EST_MAPPING=PRECISE", "FS=MRC", "CURRENCY=USD", "XLFILL=b")</f>
        <v>-158.41121495327104</v>
      </c>
      <c r="M195" s="9">
        <f>_xll.BQL("JBLU US Equity", "FA_GROWTH(IS_NET_ABNORMAL_ITEMS, YOY)", "FPT=A", "FPO=-3A", "ACT_EST_MAPPING=PRECISE", "FS=MRC", "CURRENCY=USD", "XLFILL=b")</f>
        <v>-1505.8863278024139</v>
      </c>
      <c r="N195" s="9">
        <f>_xll.BQL("JBLU US Equity", "FA_GROWTH(IS_NET_ABNORMAL_ITEMS, YOY)", "FPT=A", "FPO=-4A", "ACT_EST_MAPPING=PRECISE", "FS=MRC", "CURRENCY=USD", "XLFILL=b")</f>
        <v>-95.177660609626471</v>
      </c>
    </row>
    <row r="196" spans="1:14" x14ac:dyDescent="0.2">
      <c r="A196" s="8" t="s">
        <v>16</v>
      </c>
      <c r="B196" s="4"/>
      <c r="C196" s="4"/>
      <c r="D196" s="4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x14ac:dyDescent="0.2">
      <c r="A197" s="8" t="s">
        <v>200</v>
      </c>
      <c r="B197" s="4"/>
      <c r="C197" s="4" t="s">
        <v>201</v>
      </c>
      <c r="D197" s="4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x14ac:dyDescent="0.2">
      <c r="A198" s="8" t="s">
        <v>202</v>
      </c>
      <c r="B198" s="4"/>
      <c r="C198" s="4" t="s">
        <v>203</v>
      </c>
      <c r="D198" s="4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x14ac:dyDescent="0.2">
      <c r="A199" s="8" t="s">
        <v>204</v>
      </c>
      <c r="B199" s="4" t="s">
        <v>205</v>
      </c>
      <c r="C199" s="4" t="s">
        <v>206</v>
      </c>
      <c r="D199" s="4"/>
      <c r="E199" s="9">
        <f>_xll.BQL("JBLU US Equity", "BS_CUR_ASSET_REPORT/1M", "FPT=A", "FPO=5A", "ACT_EST_MAPPING=PRECISE", "FS=MRC", "CURRENCY=USD", "XLFILL=b")</f>
        <v>2834.1241370068924</v>
      </c>
      <c r="F199" s="9">
        <f>_xll.BQL("JBLU US Equity", "BS_CUR_ASSET_REPORT/1M", "FPT=A", "FPO=4A", "ACT_EST_MAPPING=PRECISE", "FS=MRC", "CURRENCY=USD", "XLFILL=b")</f>
        <v>2672.8640863129717</v>
      </c>
      <c r="G199" s="9">
        <f>_xll.BQL("JBLU US Equity", "BS_CUR_ASSET_REPORT/1M", "FPT=A", "FPO=3A", "ACT_EST_MAPPING=PRECISE", "FS=MRC", "CURRENCY=USD", "XLFILL=b")</f>
        <v>3079.1142909747532</v>
      </c>
      <c r="H199" s="9">
        <f>_xll.BQL("JBLU US Equity", "BS_CUR_ASSET_REPORT/1M", "FPT=A", "FPO=2A", "ACT_EST_MAPPING=PRECISE", "FS=MRC", "CURRENCY=USD", "XLFILL=b")</f>
        <v>3073.7868667728394</v>
      </c>
      <c r="I199" s="9">
        <f>_xll.BQL("JBLU US Equity", "BS_CUR_ASSET_REPORT/1M", "FPT=A", "FPO=1A", "ACT_EST_MAPPING=PRECISE", "FS=MRC", "CURRENCY=USD", "XLFILL=b")</f>
        <v>3550.8538966727806</v>
      </c>
      <c r="J199" s="9">
        <f>_xll.BQL("JBLU US Equity", "BS_CUR_ASSET_REPORT/1M", "FPT=A", "FPO=0A", "ACT_EST_MAPPING=PRECISE", "FS=MRC", "CURRENCY=USD", "XLFILL=b")</f>
        <v>2160</v>
      </c>
      <c r="K199" s="9">
        <f>_xll.BQL("JBLU US Equity", "BS_CUR_ASSET_REPORT/1M", "FPT=A", "FPO=-1A", "ACT_EST_MAPPING=PRECISE", "FS=MRC", "CURRENCY=USD", "XLFILL=b")</f>
        <v>1916</v>
      </c>
      <c r="L199" s="9">
        <f>_xll.BQL("JBLU US Equity", "BS_CUR_ASSET_REPORT/1M", "FPT=A", "FPO=-2A", "ACT_EST_MAPPING=PRECISE", "FS=MRC", "CURRENCY=USD", "XLFILL=b")</f>
        <v>3247</v>
      </c>
      <c r="M199" s="9">
        <f>_xll.BQL("JBLU US Equity", "BS_CUR_ASSET_REPORT/1M", "FPT=A", "FPO=-3A", "ACT_EST_MAPPING=PRECISE", "FS=MRC", "CURRENCY=USD", "XLFILL=b")</f>
        <v>3345</v>
      </c>
      <c r="N199" s="9">
        <f>_xll.BQL("JBLU US Equity", "BS_CUR_ASSET_REPORT/1M", "FPT=A", "FPO=-4A", "ACT_EST_MAPPING=PRECISE", "FS=MRC", "CURRENCY=USD", "XLFILL=b")</f>
        <v>1786</v>
      </c>
    </row>
    <row r="200" spans="1:14" x14ac:dyDescent="0.2">
      <c r="A200" s="8" t="s">
        <v>84</v>
      </c>
      <c r="B200" s="4" t="s">
        <v>205</v>
      </c>
      <c r="C200" s="4" t="s">
        <v>206</v>
      </c>
      <c r="D200" s="4"/>
      <c r="E200" s="9">
        <f>_xll.BQL("JBLU US Equity", "FA_GROWTH(BS_CUR_ASSET_REPORT, YOY)", "FPT=A", "FPO=5A", "ACT_EST_MAPPING=PRECISE", "FS=MRC", "CURRENCY=USD", "XLFILL=b")</f>
        <v>6.0332304781111237</v>
      </c>
      <c r="F200" s="9">
        <f>_xll.BQL("JBLU US Equity", "FA_GROWTH(BS_CUR_ASSET_REPORT, YOY)", "FPT=A", "FPO=4A", "ACT_EST_MAPPING=PRECISE", "FS=MRC", "CURRENCY=USD", "XLFILL=b")</f>
        <v>-13.193735804239191</v>
      </c>
      <c r="G200" s="9">
        <f>_xll.BQL("JBLU US Equity", "FA_GROWTH(BS_CUR_ASSET_REPORT, YOY)", "FPT=A", "FPO=3A", "ACT_EST_MAPPING=PRECISE", "FS=MRC", "CURRENCY=USD", "XLFILL=b")</f>
        <v>0.17331794404818582</v>
      </c>
      <c r="H200" s="9">
        <f>_xll.BQL("JBLU US Equity", "FA_GROWTH(BS_CUR_ASSET_REPORT, YOY)", "FPT=A", "FPO=2A", "ACT_EST_MAPPING=PRECISE", "FS=MRC", "CURRENCY=USD", "XLFILL=b")</f>
        <v>-13.435276240088674</v>
      </c>
      <c r="I200" s="9">
        <f>_xll.BQL("JBLU US Equity", "FA_GROWTH(BS_CUR_ASSET_REPORT, YOY)", "FPT=A", "FPO=1A", "ACT_EST_MAPPING=PRECISE", "FS=MRC", "CURRENCY=USD", "XLFILL=b")</f>
        <v>64.39138410522132</v>
      </c>
      <c r="J200" s="9">
        <f>_xll.BQL("JBLU US Equity", "FA_GROWTH(BS_CUR_ASSET_REPORT, YOY)", "FPT=A", "FPO=0A", "ACT_EST_MAPPING=PRECISE", "FS=MRC", "CURRENCY=USD", "XLFILL=b")</f>
        <v>12.734864300626304</v>
      </c>
      <c r="K200" s="9">
        <f>_xll.BQL("JBLU US Equity", "FA_GROWTH(BS_CUR_ASSET_REPORT, YOY)", "FPT=A", "FPO=-1A", "ACT_EST_MAPPING=PRECISE", "FS=MRC", "CURRENCY=USD", "XLFILL=b")</f>
        <v>-40.991684631967971</v>
      </c>
      <c r="L200" s="9">
        <f>_xll.BQL("JBLU US Equity", "FA_GROWTH(BS_CUR_ASSET_REPORT, YOY)", "FPT=A", "FPO=-2A", "ACT_EST_MAPPING=PRECISE", "FS=MRC", "CURRENCY=USD", "XLFILL=b")</f>
        <v>-2.9297458893871449</v>
      </c>
      <c r="M200" s="9">
        <f>_xll.BQL("JBLU US Equity", "FA_GROWTH(BS_CUR_ASSET_REPORT, YOY)", "FPT=A", "FPO=-3A", "ACT_EST_MAPPING=PRECISE", "FS=MRC", "CURRENCY=USD", "XLFILL=b")</f>
        <v>87.290033594624859</v>
      </c>
      <c r="N200" s="9">
        <f>_xll.BQL("JBLU US Equity", "FA_GROWTH(BS_CUR_ASSET_REPORT, YOY)", "FPT=A", "FPO=-4A", "ACT_EST_MAPPING=PRECISE", "FS=MRC", "CURRENCY=USD", "XLFILL=b")</f>
        <v>28.67435158501441</v>
      </c>
    </row>
    <row r="201" spans="1:14" x14ac:dyDescent="0.2">
      <c r="A201" s="8" t="s">
        <v>207</v>
      </c>
      <c r="B201" s="4" t="s">
        <v>208</v>
      </c>
      <c r="C201" s="4" t="s">
        <v>209</v>
      </c>
      <c r="D201" s="4"/>
      <c r="E201" s="9">
        <f>_xll.BQL("JBLU US Equity", "BS_CASH_CASH_EQUIVALENTS_AND_STI/1M", "FPT=A", "FPO=5A", "ACT_EST_MAPPING=PRECISE", "FS=MRC", "CURRENCY=USD", "XLFILL=b")</f>
        <v>2058.9241370068921</v>
      </c>
      <c r="F201" s="9">
        <f>_xll.BQL("JBLU US Equity", "BS_CASH_CASH_EQUIVALENTS_AND_STI/1M", "FPT=A", "FPO=4A", "ACT_EST_MAPPING=PRECISE", "FS=MRC", "CURRENCY=USD", "XLFILL=b")</f>
        <v>1940.4640863129716</v>
      </c>
      <c r="G201" s="9">
        <f>_xll.BQL("JBLU US Equity", "BS_CASH_CASH_EQUIVALENTS_AND_STI/1M", "FPT=A", "FPO=3A", "ACT_EST_MAPPING=PRECISE", "FS=MRC", "CURRENCY=USD", "XLFILL=b")</f>
        <v>2432.6182040548742</v>
      </c>
      <c r="H201" s="9">
        <f>_xll.BQL("JBLU US Equity", "BS_CASH_CASH_EQUIVALENTS_AND_STI/1M", "FPT=A", "FPO=2A", "ACT_EST_MAPPING=PRECISE", "FS=MRC", "CURRENCY=USD", "XLFILL=b")</f>
        <v>2600.8948613602702</v>
      </c>
      <c r="I201" s="9">
        <f>_xll.BQL("JBLU US Equity", "BS_CASH_CASH_EQUIVALENTS_AND_STI/1M", "FPT=A", "FPO=1A", "ACT_EST_MAPPING=PRECISE", "FS=MRC", "CURRENCY=USD", "XLFILL=b")</f>
        <v>3174.7726191919073</v>
      </c>
      <c r="J201" s="9">
        <f>_xll.BQL("JBLU US Equity", "BS_CASH_CASH_EQUIVALENTS_AND_STI/1M", "FPT=A", "FPO=0A", "ACT_EST_MAPPING=PRECISE", "FS=MRC", "CURRENCY=USD", "XLFILL=b")</f>
        <v>1567</v>
      </c>
      <c r="K201" s="9">
        <f>_xll.BQL("JBLU US Equity", "BS_CASH_CASH_EQUIVALENTS_AND_STI/1M", "FPT=A", "FPO=-1A", "ACT_EST_MAPPING=PRECISE", "FS=MRC", "CURRENCY=USD", "XLFILL=b")</f>
        <v>1392</v>
      </c>
      <c r="L201" s="9">
        <f>_xll.BQL("JBLU US Equity", "BS_CASH_CASH_EQUIVALENTS_AND_STI/1M", "FPT=A", "FPO=-2A", "ACT_EST_MAPPING=PRECISE", "FS=MRC", "CURRENCY=USD", "XLFILL=b")</f>
        <v>2842</v>
      </c>
      <c r="M201" s="9">
        <f>_xll.BQL("JBLU US Equity", "BS_CASH_CASH_EQUIVALENTS_AND_STI/1M", "FPT=A", "FPO=-3A", "ACT_EST_MAPPING=PRECISE", "FS=MRC", "CURRENCY=USD", "XLFILL=b")</f>
        <v>3053</v>
      </c>
      <c r="N201" s="9">
        <f>_xll.BQL("JBLU US Equity", "BS_CASH_CASH_EQUIVALENTS_AND_STI/1M", "FPT=A", "FPO=-4A", "ACT_EST_MAPPING=PRECISE", "FS=MRC", "CURRENCY=USD", "XLFILL=b")</f>
        <v>1328</v>
      </c>
    </row>
    <row r="202" spans="1:14" x14ac:dyDescent="0.2">
      <c r="A202" s="8" t="s">
        <v>96</v>
      </c>
      <c r="B202" s="4" t="s">
        <v>208</v>
      </c>
      <c r="C202" s="4" t="s">
        <v>209</v>
      </c>
      <c r="D202" s="4"/>
      <c r="E202" s="9">
        <f>_xll.BQL("JBLU US Equity", "FA_GROWTH(BS_CASH_CASH_EQUIVALENTS_AND_STI, YOY)", "FPT=A", "FPO=5A", "ACT_EST_MAPPING=PRECISE", "FS=MRC", "CURRENCY=USD", "XLFILL=b")</f>
        <v>6.1047278086451815</v>
      </c>
      <c r="F202" s="9">
        <f>_xll.BQL("JBLU US Equity", "FA_GROWTH(BS_CASH_CASH_EQUIVALENTS_AND_STI, YOY)", "FPT=A", "FPO=4A", "ACT_EST_MAPPING=PRECISE", "FS=MRC", "CURRENCY=USD", "XLFILL=b")</f>
        <v>-20.23145748566473</v>
      </c>
      <c r="G202" s="9">
        <f>_xll.BQL("JBLU US Equity", "FA_GROWTH(BS_CASH_CASH_EQUIVALENTS_AND_STI, YOY)", "FPT=A", "FPO=3A", "ACT_EST_MAPPING=PRECISE", "FS=MRC", "CURRENCY=USD", "XLFILL=b")</f>
        <v>-6.4699523154652541</v>
      </c>
      <c r="H202" s="9">
        <f>_xll.BQL("JBLU US Equity", "FA_GROWTH(BS_CASH_CASH_EQUIVALENTS_AND_STI, YOY)", "FPT=A", "FPO=2A", "ACT_EST_MAPPING=PRECISE", "FS=MRC", "CURRENCY=USD", "XLFILL=b")</f>
        <v>-18.076184554524403</v>
      </c>
      <c r="I202" s="9">
        <f>_xll.BQL("JBLU US Equity", "FA_GROWTH(BS_CASH_CASH_EQUIVALENTS_AND_STI, YOY)", "FPT=A", "FPO=1A", "ACT_EST_MAPPING=PRECISE", "FS=MRC", "CURRENCY=USD", "XLFILL=b")</f>
        <v>102.60195400075987</v>
      </c>
      <c r="J202" s="9">
        <f>_xll.BQL("JBLU US Equity", "FA_GROWTH(BS_CASH_CASH_EQUIVALENTS_AND_STI, YOY)", "FPT=A", "FPO=0A", "ACT_EST_MAPPING=PRECISE", "FS=MRC", "CURRENCY=USD", "XLFILL=b")</f>
        <v>12.571839080459769</v>
      </c>
      <c r="K202" s="9">
        <f>_xll.BQL("JBLU US Equity", "FA_GROWTH(BS_CASH_CASH_EQUIVALENTS_AND_STI, YOY)", "FPT=A", "FPO=-1A", "ACT_EST_MAPPING=PRECISE", "FS=MRC", "CURRENCY=USD", "XLFILL=b")</f>
        <v>-51.020408163265309</v>
      </c>
      <c r="L202" s="9">
        <f>_xll.BQL("JBLU US Equity", "FA_GROWTH(BS_CASH_CASH_EQUIVALENTS_AND_STI, YOY)", "FPT=A", "FPO=-2A", "ACT_EST_MAPPING=PRECISE", "FS=MRC", "CURRENCY=USD", "XLFILL=b")</f>
        <v>-6.9112348509662631</v>
      </c>
      <c r="M202" s="9">
        <f>_xll.BQL("JBLU US Equity", "FA_GROWTH(BS_CASH_CASH_EQUIVALENTS_AND_STI, YOY)", "FPT=A", "FPO=-3A", "ACT_EST_MAPPING=PRECISE", "FS=MRC", "CURRENCY=USD", "XLFILL=b")</f>
        <v>129.89457831325302</v>
      </c>
      <c r="N202" s="9">
        <f>_xll.BQL("JBLU US Equity", "FA_GROWTH(BS_CASH_CASH_EQUIVALENTS_AND_STI, YOY)", "FPT=A", "FPO=-4A", "ACT_EST_MAPPING=PRECISE", "FS=MRC", "CURRENCY=USD", "XLFILL=b")</f>
        <v>49.718151071025929</v>
      </c>
    </row>
    <row r="203" spans="1:14" x14ac:dyDescent="0.2">
      <c r="A203" s="8" t="s">
        <v>210</v>
      </c>
      <c r="B203" s="4" t="s">
        <v>211</v>
      </c>
      <c r="C203" s="4" t="s">
        <v>212</v>
      </c>
      <c r="D203" s="4"/>
      <c r="E203" s="9">
        <f>_xll.BQL("JBLU US Equity", "BS_CASH_NEAR_CASH_ITEM/1M", "FPT=A", "FPO=5A", "ACT_EST_MAPPING=PRECISE", "FS=MRC", "CURRENCY=USD", "XLFILL=b")</f>
        <v>1874.9241370068924</v>
      </c>
      <c r="F203" s="9">
        <f>_xll.BQL("JBLU US Equity", "BS_CASH_NEAR_CASH_ITEM/1M", "FPT=A", "FPO=4A", "ACT_EST_MAPPING=PRECISE", "FS=MRC", "CURRENCY=USD", "XLFILL=b")</f>
        <v>1756.4640863129716</v>
      </c>
      <c r="G203" s="9">
        <f>_xll.BQL("JBLU US Equity", "BS_CASH_NEAR_CASH_ITEM/1M", "FPT=A", "FPO=3A", "ACT_EST_MAPPING=PRECISE", "FS=MRC", "CURRENCY=USD", "XLFILL=b")</f>
        <v>2279.6604409325264</v>
      </c>
      <c r="H203" s="9">
        <f>_xll.BQL("JBLU US Equity", "BS_CASH_NEAR_CASH_ITEM/1M", "FPT=A", "FPO=2A", "ACT_EST_MAPPING=PRECISE", "FS=MRC", "CURRENCY=USD", "XLFILL=b")</f>
        <v>2374.4347137751511</v>
      </c>
      <c r="I203" s="9">
        <f>_xll.BQL("JBLU US Equity", "BS_CASH_NEAR_CASH_ITEM/1M", "FPT=A", "FPO=1A", "ACT_EST_MAPPING=PRECISE", "FS=MRC", "CURRENCY=USD", "XLFILL=b")</f>
        <v>2904.9845160583827</v>
      </c>
      <c r="J203" s="9">
        <f>_xll.BQL("JBLU US Equity", "BS_CASH_NEAR_CASH_ITEM/1M", "FPT=A", "FPO=0A", "ACT_EST_MAPPING=PRECISE", "FS=MRC", "CURRENCY=USD", "XLFILL=b")</f>
        <v>1166</v>
      </c>
      <c r="K203" s="9">
        <f>_xll.BQL("JBLU US Equity", "BS_CASH_NEAR_CASH_ITEM/1M", "FPT=A", "FPO=-1A", "ACT_EST_MAPPING=PRECISE", "FS=MRC", "CURRENCY=USD", "XLFILL=b")</f>
        <v>1042</v>
      </c>
      <c r="L203" s="9">
        <f>_xll.BQL("JBLU US Equity", "BS_CASH_NEAR_CASH_ITEM/1M", "FPT=A", "FPO=-2A", "ACT_EST_MAPPING=PRECISE", "FS=MRC", "CURRENCY=USD", "XLFILL=b")</f>
        <v>2018</v>
      </c>
      <c r="M203" s="9">
        <f>_xll.BQL("JBLU US Equity", "BS_CASH_NEAR_CASH_ITEM/1M", "FPT=A", "FPO=-3A", "ACT_EST_MAPPING=PRECISE", "FS=MRC", "CURRENCY=USD", "XLFILL=b")</f>
        <v>1918</v>
      </c>
      <c r="N203" s="9">
        <f>_xll.BQL("JBLU US Equity", "BS_CASH_NEAR_CASH_ITEM/1M", "FPT=A", "FPO=-4A", "ACT_EST_MAPPING=PRECISE", "FS=MRC", "CURRENCY=USD", "XLFILL=b")</f>
        <v>959</v>
      </c>
    </row>
    <row r="204" spans="1:14" x14ac:dyDescent="0.2">
      <c r="A204" s="8" t="s">
        <v>213</v>
      </c>
      <c r="B204" s="4" t="s">
        <v>211</v>
      </c>
      <c r="C204" s="4" t="s">
        <v>212</v>
      </c>
      <c r="D204" s="4"/>
      <c r="E204" s="9">
        <f>_xll.BQL("JBLU US Equity", "FA_GROWTH(BS_CASH_NEAR_CASH_ITEM, YOY)", "FPT=A", "FPO=5A", "ACT_EST_MAPPING=PRECISE", "FS=MRC", "CURRENCY=USD", "XLFILL=b")</f>
        <v>6.7442341472852254</v>
      </c>
      <c r="F204" s="9">
        <f>_xll.BQL("JBLU US Equity", "FA_GROWTH(BS_CASH_NEAR_CASH_ITEM, YOY)", "FPT=A", "FPO=4A", "ACT_EST_MAPPING=PRECISE", "FS=MRC", "CURRENCY=USD", "XLFILL=b")</f>
        <v>-22.950626559345579</v>
      </c>
      <c r="G204" s="9">
        <f>_xll.BQL("JBLU US Equity", "FA_GROWTH(BS_CASH_NEAR_CASH_ITEM, YOY)", "FPT=A", "FPO=3A", "ACT_EST_MAPPING=PRECISE", "FS=MRC", "CURRENCY=USD", "XLFILL=b")</f>
        <v>-3.9914457235988414</v>
      </c>
      <c r="H204" s="9">
        <f>_xll.BQL("JBLU US Equity", "FA_GROWTH(BS_CASH_NEAR_CASH_ITEM, YOY)", "FPT=A", "FPO=2A", "ACT_EST_MAPPING=PRECISE", "FS=MRC", "CURRENCY=USD", "XLFILL=b")</f>
        <v>-18.263429610396198</v>
      </c>
      <c r="I204" s="9">
        <f>_xll.BQL("JBLU US Equity", "FA_GROWTH(BS_CASH_NEAR_CASH_ITEM, YOY)", "FPT=A", "FPO=1A", "ACT_EST_MAPPING=PRECISE", "FS=MRC", "CURRENCY=USD", "XLFILL=b")</f>
        <v>149.14103911306884</v>
      </c>
      <c r="J204" s="9">
        <f>_xll.BQL("JBLU US Equity", "FA_GROWTH(BS_CASH_NEAR_CASH_ITEM, YOY)", "FPT=A", "FPO=0A", "ACT_EST_MAPPING=PRECISE", "FS=MRC", "CURRENCY=USD", "XLFILL=b")</f>
        <v>11.900191938579654</v>
      </c>
      <c r="K204" s="9">
        <f>_xll.BQL("JBLU US Equity", "FA_GROWTH(BS_CASH_NEAR_CASH_ITEM, YOY)", "FPT=A", "FPO=-1A", "ACT_EST_MAPPING=PRECISE", "FS=MRC", "CURRENCY=USD", "XLFILL=b")</f>
        <v>-48.364717542120914</v>
      </c>
      <c r="L204" s="9">
        <f>_xll.BQL("JBLU US Equity", "FA_GROWTH(BS_CASH_NEAR_CASH_ITEM, YOY)", "FPT=A", "FPO=-2A", "ACT_EST_MAPPING=PRECISE", "FS=MRC", "CURRENCY=USD", "XLFILL=b")</f>
        <v>5.2137643378519289</v>
      </c>
      <c r="M204" s="9">
        <f>_xll.BQL("JBLU US Equity", "FA_GROWTH(BS_CASH_NEAR_CASH_ITEM, YOY)", "FPT=A", "FPO=-3A", "ACT_EST_MAPPING=PRECISE", "FS=MRC", "CURRENCY=USD", "XLFILL=b")</f>
        <v>100</v>
      </c>
      <c r="N204" s="9">
        <f>_xll.BQL("JBLU US Equity", "FA_GROWTH(BS_CASH_NEAR_CASH_ITEM, YOY)", "FPT=A", "FPO=-4A", "ACT_EST_MAPPING=PRECISE", "FS=MRC", "CURRENCY=USD", "XLFILL=b")</f>
        <v>102.32067510548524</v>
      </c>
    </row>
    <row r="205" spans="1:14" x14ac:dyDescent="0.2">
      <c r="A205" s="8" t="s">
        <v>214</v>
      </c>
      <c r="B205" s="4" t="s">
        <v>215</v>
      </c>
      <c r="C205" s="4" t="s">
        <v>216</v>
      </c>
      <c r="D205" s="4"/>
      <c r="E205" s="9" t="str">
        <f>_xll.BQL("JBLU US Equity", "BS_MKT_SEC_OTHER_ST_INVEST/1M", "FPT=A", "FPO=5A", "ACT_EST_MAPPING=PRECISE", "FS=MRC", "CURRENCY=USD", "XLFILL=b")</f>
        <v/>
      </c>
      <c r="F205" s="9" t="str">
        <f>_xll.BQL("JBLU US Equity", "BS_MKT_SEC_OTHER_ST_INVEST/1M", "FPT=A", "FPO=4A", "ACT_EST_MAPPING=PRECISE", "FS=MRC", "CURRENCY=USD", "XLFILL=b")</f>
        <v/>
      </c>
      <c r="G205" s="9">
        <f>_xll.BQL("JBLU US Equity", "BS_MKT_SEC_OTHER_ST_INVEST/1M", "FPT=A", "FPO=3A", "ACT_EST_MAPPING=PRECISE", "FS=MRC", "CURRENCY=USD", "XLFILL=b")</f>
        <v>110.66666666666667</v>
      </c>
      <c r="H205" s="9">
        <f>_xll.BQL("JBLU US Equity", "BS_MKT_SEC_OTHER_ST_INVEST/1M", "FPT=A", "FPO=2A", "ACT_EST_MAPPING=PRECISE", "FS=MRC", "CURRENCY=USD", "XLFILL=b")</f>
        <v>190.16666666666666</v>
      </c>
      <c r="I205" s="9">
        <f>_xll.BQL("JBLU US Equity", "BS_MKT_SEC_OTHER_ST_INVEST/1M", "FPT=A", "FPO=1A", "ACT_EST_MAPPING=PRECISE", "FS=MRC", "CURRENCY=USD", "XLFILL=b")</f>
        <v>206.83333333333334</v>
      </c>
      <c r="J205" s="9">
        <f>_xll.BQL("JBLU US Equity", "BS_MKT_SEC_OTHER_ST_INVEST/1M", "FPT=A", "FPO=0A", "ACT_EST_MAPPING=PRECISE", "FS=MRC", "CURRENCY=USD", "XLFILL=b")</f>
        <v>401</v>
      </c>
      <c r="K205" s="9">
        <f>_xll.BQL("JBLU US Equity", "BS_MKT_SEC_OTHER_ST_INVEST/1M", "FPT=A", "FPO=-1A", "ACT_EST_MAPPING=PRECISE", "FS=MRC", "CURRENCY=USD", "XLFILL=b")</f>
        <v>350</v>
      </c>
      <c r="L205" s="9">
        <f>_xll.BQL("JBLU US Equity", "BS_MKT_SEC_OTHER_ST_INVEST/1M", "FPT=A", "FPO=-2A", "ACT_EST_MAPPING=PRECISE", "FS=MRC", "CURRENCY=USD", "XLFILL=b")</f>
        <v>824</v>
      </c>
      <c r="M205" s="9">
        <f>_xll.BQL("JBLU US Equity", "BS_MKT_SEC_OTHER_ST_INVEST/1M", "FPT=A", "FPO=-3A", "ACT_EST_MAPPING=PRECISE", "FS=MRC", "CURRENCY=USD", "XLFILL=b")</f>
        <v>1135</v>
      </c>
      <c r="N205" s="9">
        <f>_xll.BQL("JBLU US Equity", "BS_MKT_SEC_OTHER_ST_INVEST/1M", "FPT=A", "FPO=-4A", "ACT_EST_MAPPING=PRECISE", "FS=MRC", "CURRENCY=USD", "XLFILL=b")</f>
        <v>369</v>
      </c>
    </row>
    <row r="206" spans="1:14" x14ac:dyDescent="0.2">
      <c r="A206" s="8" t="s">
        <v>213</v>
      </c>
      <c r="B206" s="4" t="s">
        <v>215</v>
      </c>
      <c r="C206" s="4" t="s">
        <v>216</v>
      </c>
      <c r="D206" s="4"/>
      <c r="E206" s="9" t="str">
        <f>_xll.BQL("JBLU US Equity", "FA_GROWTH(BS_MKT_SEC_OTHER_ST_INVEST, YOY)", "FPT=A", "FPO=5A", "ACT_EST_MAPPING=PRECISE", "FS=MRC", "CURRENCY=USD", "XLFILL=b")</f>
        <v/>
      </c>
      <c r="F206" s="9" t="str">
        <f>_xll.BQL("JBLU US Equity", "FA_GROWTH(BS_MKT_SEC_OTHER_ST_INVEST, YOY)", "FPT=A", "FPO=4A", "ACT_EST_MAPPING=PRECISE", "FS=MRC", "CURRENCY=USD", "XLFILL=b")</f>
        <v/>
      </c>
      <c r="G206" s="9">
        <f>_xll.BQL("JBLU US Equity", "FA_GROWTH(BS_MKT_SEC_OTHER_ST_INVEST, YOY)", "FPT=A", "FPO=3A", "ACT_EST_MAPPING=PRECISE", "FS=MRC", "CURRENCY=USD", "XLFILL=b")</f>
        <v>-41.805433829973701</v>
      </c>
      <c r="H206" s="9">
        <f>_xll.BQL("JBLU US Equity", "FA_GROWTH(BS_MKT_SEC_OTHER_ST_INVEST, YOY)", "FPT=A", "FPO=2A", "ACT_EST_MAPPING=PRECISE", "FS=MRC", "CURRENCY=USD", "XLFILL=b")</f>
        <v>-8.0580177276390099</v>
      </c>
      <c r="I206" s="9">
        <f>_xll.BQL("JBLU US Equity", "FA_GROWTH(BS_MKT_SEC_OTHER_ST_INVEST, YOY)", "FPT=A", "FPO=1A", "ACT_EST_MAPPING=PRECISE", "FS=MRC", "CURRENCY=USD", "XLFILL=b")</f>
        <v>-48.420615128844545</v>
      </c>
      <c r="J206" s="9">
        <f>_xll.BQL("JBLU US Equity", "FA_GROWTH(BS_MKT_SEC_OTHER_ST_INVEST, YOY)", "FPT=A", "FPO=0A", "ACT_EST_MAPPING=PRECISE", "FS=MRC", "CURRENCY=USD", "XLFILL=b")</f>
        <v>14.571428571428571</v>
      </c>
      <c r="K206" s="9">
        <f>_xll.BQL("JBLU US Equity", "FA_GROWTH(BS_MKT_SEC_OTHER_ST_INVEST, YOY)", "FPT=A", "FPO=-1A", "ACT_EST_MAPPING=PRECISE", "FS=MRC", "CURRENCY=USD", "XLFILL=b")</f>
        <v>-57.524271844660191</v>
      </c>
      <c r="L206" s="9">
        <f>_xll.BQL("JBLU US Equity", "FA_GROWTH(BS_MKT_SEC_OTHER_ST_INVEST, YOY)", "FPT=A", "FPO=-2A", "ACT_EST_MAPPING=PRECISE", "FS=MRC", "CURRENCY=USD", "XLFILL=b")</f>
        <v>-27.400881057268723</v>
      </c>
      <c r="M206" s="9">
        <f>_xll.BQL("JBLU US Equity", "FA_GROWTH(BS_MKT_SEC_OTHER_ST_INVEST, YOY)", "FPT=A", "FPO=-3A", "ACT_EST_MAPPING=PRECISE", "FS=MRC", "CURRENCY=USD", "XLFILL=b")</f>
        <v>207.58807588075879</v>
      </c>
      <c r="N206" s="9">
        <f>_xll.BQL("JBLU US Equity", "FA_GROWTH(BS_MKT_SEC_OTHER_ST_INVEST, YOY)", "FPT=A", "FPO=-4A", "ACT_EST_MAPPING=PRECISE", "FS=MRC", "CURRENCY=USD", "XLFILL=b")</f>
        <v>-10.653753026634382</v>
      </c>
    </row>
    <row r="207" spans="1:14" x14ac:dyDescent="0.2">
      <c r="A207" s="8" t="s">
        <v>217</v>
      </c>
      <c r="B207" s="4" t="s">
        <v>218</v>
      </c>
      <c r="C207" s="4" t="s">
        <v>219</v>
      </c>
      <c r="D207" s="4"/>
      <c r="E207" s="9">
        <f>_xll.BQL("JBLU US Equity", "BS_ACCTS_REC_EXCL_NOTES_REC/1M", "FPT=A", "FPO=5A", "ACT_EST_MAPPING=PRECISE", "FS=MRC", "CURRENCY=USD", "XLFILL=b")</f>
        <v>492.60000000000014</v>
      </c>
      <c r="F207" s="9">
        <f>_xll.BQL("JBLU US Equity", "BS_ACCTS_REC_EXCL_NOTES_REC/1M", "FPT=A", "FPO=4A", "ACT_EST_MAPPING=PRECISE", "FS=MRC", "CURRENCY=USD", "XLFILL=b")</f>
        <v>456.2000000000001</v>
      </c>
      <c r="G207" s="9">
        <f>_xll.BQL("JBLU US Equity", "BS_ACCTS_REC_EXCL_NOTES_REC/1M", "FPT=A", "FPO=3A", "ACT_EST_MAPPING=PRECISE", "FS=MRC", "CURRENCY=USD", "XLFILL=b")</f>
        <v>330.319386412271</v>
      </c>
      <c r="H207" s="9">
        <f>_xll.BQL("JBLU US Equity", "BS_ACCTS_REC_EXCL_NOTES_REC/1M", "FPT=A", "FPO=2A", "ACT_EST_MAPPING=PRECISE", "FS=MRC", "CURRENCY=USD", "XLFILL=b")</f>
        <v>315.13433009259478</v>
      </c>
      <c r="I207" s="9">
        <f>_xll.BQL("JBLU US Equity", "BS_ACCTS_REC_EXCL_NOTES_REC/1M", "FPT=A", "FPO=1A", "ACT_EST_MAPPING=PRECISE", "FS=MRC", "CURRENCY=USD", "XLFILL=b")</f>
        <v>324.62491689205604</v>
      </c>
      <c r="J207" s="9">
        <f>_xll.BQL("JBLU US Equity", "BS_ACCTS_REC_EXCL_NOTES_REC/1M", "FPT=A", "FPO=0A", "ACT_EST_MAPPING=PRECISE", "FS=MRC", "CURRENCY=USD", "XLFILL=b")</f>
        <v>336</v>
      </c>
      <c r="K207" s="9">
        <f>_xll.BQL("JBLU US Equity", "BS_ACCTS_REC_EXCL_NOTES_REC/1M", "FPT=A", "FPO=-1A", "ACT_EST_MAPPING=PRECISE", "FS=MRC", "CURRENCY=USD", "XLFILL=b")</f>
        <v>317</v>
      </c>
      <c r="L207" s="9">
        <f>_xll.BQL("JBLU US Equity", "BS_ACCTS_REC_EXCL_NOTES_REC/1M", "FPT=A", "FPO=-2A", "ACT_EST_MAPPING=PRECISE", "FS=MRC", "CURRENCY=USD", "XLFILL=b")</f>
        <v>207</v>
      </c>
      <c r="M207" s="9">
        <f>_xll.BQL("JBLU US Equity", "BS_ACCTS_REC_EXCL_NOTES_REC/1M", "FPT=A", "FPO=-3A", "ACT_EST_MAPPING=PRECISE", "FS=MRC", "CURRENCY=USD", "XLFILL=b")</f>
        <v>98</v>
      </c>
      <c r="N207" s="9">
        <f>_xll.BQL("JBLU US Equity", "BS_ACCTS_REC_EXCL_NOTES_REC/1M", "FPT=A", "FPO=-4A", "ACT_EST_MAPPING=PRECISE", "FS=MRC", "CURRENCY=USD", "XLFILL=b")</f>
        <v>231</v>
      </c>
    </row>
    <row r="208" spans="1:14" x14ac:dyDescent="0.2">
      <c r="A208" s="8" t="s">
        <v>96</v>
      </c>
      <c r="B208" s="4" t="s">
        <v>218</v>
      </c>
      <c r="C208" s="4" t="s">
        <v>219</v>
      </c>
      <c r="D208" s="4"/>
      <c r="E208" s="9">
        <f>_xll.BQL("JBLU US Equity", "FA_GROWTH(BS_ACCTS_REC_EXCL_NOTES_REC, YOY)", "FPT=A", "FPO=5A", "ACT_EST_MAPPING=PRECISE", "FS=MRC", "CURRENCY=USD", "XLFILL=b")</f>
        <v>7.9789565979833386</v>
      </c>
      <c r="F208" s="9">
        <f>_xll.BQL("JBLU US Equity", "FA_GROWTH(BS_ACCTS_REC_EXCL_NOTES_REC, YOY)", "FPT=A", "FPO=4A", "ACT_EST_MAPPING=PRECISE", "FS=MRC", "CURRENCY=USD", "XLFILL=b")</f>
        <v>38.108757392343215</v>
      </c>
      <c r="G208" s="9">
        <f>_xll.BQL("JBLU US Equity", "FA_GROWTH(BS_ACCTS_REC_EXCL_NOTES_REC, YOY)", "FPT=A", "FPO=3A", "ACT_EST_MAPPING=PRECISE", "FS=MRC", "CURRENCY=USD", "XLFILL=b")</f>
        <v>4.8185979341617431</v>
      </c>
      <c r="H208" s="9">
        <f>_xll.BQL("JBLU US Equity", "FA_GROWTH(BS_ACCTS_REC_EXCL_NOTES_REC, YOY)", "FPT=A", "FPO=2A", "ACT_EST_MAPPING=PRECISE", "FS=MRC", "CURRENCY=USD", "XLFILL=b")</f>
        <v>-2.923554633551757</v>
      </c>
      <c r="I208" s="9">
        <f>_xll.BQL("JBLU US Equity", "FA_GROWTH(BS_ACCTS_REC_EXCL_NOTES_REC, YOY)", "FPT=A", "FPO=1A", "ACT_EST_MAPPING=PRECISE", "FS=MRC", "CURRENCY=USD", "XLFILL=b")</f>
        <v>-3.3854414011737952</v>
      </c>
      <c r="J208" s="9">
        <f>_xll.BQL("JBLU US Equity", "FA_GROWTH(BS_ACCTS_REC_EXCL_NOTES_REC, YOY)", "FPT=A", "FPO=0A", "ACT_EST_MAPPING=PRECISE", "FS=MRC", "CURRENCY=USD", "XLFILL=b")</f>
        <v>5.9936908517350158</v>
      </c>
      <c r="K208" s="9">
        <f>_xll.BQL("JBLU US Equity", "FA_GROWTH(BS_ACCTS_REC_EXCL_NOTES_REC, YOY)", "FPT=A", "FPO=-1A", "ACT_EST_MAPPING=PRECISE", "FS=MRC", "CURRENCY=USD", "XLFILL=b")</f>
        <v>53.140096618357489</v>
      </c>
      <c r="L208" s="9">
        <f>_xll.BQL("JBLU US Equity", "FA_GROWTH(BS_ACCTS_REC_EXCL_NOTES_REC, YOY)", "FPT=A", "FPO=-2A", "ACT_EST_MAPPING=PRECISE", "FS=MRC", "CURRENCY=USD", "XLFILL=b")</f>
        <v>111.22448979591837</v>
      </c>
      <c r="M208" s="9">
        <f>_xll.BQL("JBLU US Equity", "FA_GROWTH(BS_ACCTS_REC_EXCL_NOTES_REC, YOY)", "FPT=A", "FPO=-3A", "ACT_EST_MAPPING=PRECISE", "FS=MRC", "CURRENCY=USD", "XLFILL=b")</f>
        <v>-57.575757575757578</v>
      </c>
      <c r="N208" s="9">
        <f>_xll.BQL("JBLU US Equity", "FA_GROWTH(BS_ACCTS_REC_EXCL_NOTES_REC, YOY)", "FPT=A", "FPO=-4A", "ACT_EST_MAPPING=PRECISE", "FS=MRC", "CURRENCY=USD", "XLFILL=b")</f>
        <v>9.4786729857819907</v>
      </c>
    </row>
    <row r="209" spans="1:14" x14ac:dyDescent="0.2">
      <c r="A209" s="8" t="s">
        <v>220</v>
      </c>
      <c r="B209" s="4" t="s">
        <v>221</v>
      </c>
      <c r="C209" s="4" t="s">
        <v>222</v>
      </c>
      <c r="D209" s="4"/>
      <c r="E209" s="9" t="str">
        <f>_xll.BQL("JBLU US Equity", "BS_INVENTORIES/1M", "FPT=A", "FPO=5A", "ACT_EST_MAPPING=PRECISE", "FS=MRC", "CURRENCY=USD", "XLFILL=b")</f>
        <v/>
      </c>
      <c r="F209" s="9" t="str">
        <f>_xll.BQL("JBLU US Equity", "BS_INVENTORIES/1M", "FPT=A", "FPO=4A", "ACT_EST_MAPPING=PRECISE", "FS=MRC", "CURRENCY=USD", "XLFILL=b")</f>
        <v/>
      </c>
      <c r="G209" s="9">
        <f>_xll.BQL("JBLU US Equity", "BS_INVENTORIES/1M", "FPT=A", "FPO=3A", "ACT_EST_MAPPING=PRECISE", "FS=MRC", "CURRENCY=USD", "XLFILL=b")</f>
        <v>82.337003355332612</v>
      </c>
      <c r="H209" s="9">
        <f>_xll.BQL("JBLU US Equity", "BS_INVENTORIES/1M", "FPT=A", "FPO=2A", "ACT_EST_MAPPING=PRECISE", "FS=MRC", "CURRENCY=USD", "XLFILL=b")</f>
        <v>95.198708473532832</v>
      </c>
      <c r="I209" s="9">
        <f>_xll.BQL("JBLU US Equity", "BS_INVENTORIES/1M", "FPT=A", "FPO=1A", "ACT_EST_MAPPING=PRECISE", "FS=MRC", "CURRENCY=USD", "XLFILL=b")</f>
        <v>108.63650441017052</v>
      </c>
      <c r="J209" s="9">
        <f>_xll.BQL("JBLU US Equity", "BS_INVENTORIES/1M", "FPT=A", "FPO=0A", "ACT_EST_MAPPING=PRECISE", "FS=MRC", "CURRENCY=USD", "XLFILL=b")</f>
        <v>109</v>
      </c>
      <c r="K209" s="9">
        <f>_xll.BQL("JBLU US Equity", "BS_INVENTORIES/1M", "FPT=A", "FPO=-1A", "ACT_EST_MAPPING=PRECISE", "FS=MRC", "CURRENCY=USD", "XLFILL=b")</f>
        <v>87</v>
      </c>
      <c r="L209" s="9">
        <f>_xll.BQL("JBLU US Equity", "BS_INVENTORIES/1M", "FPT=A", "FPO=-2A", "ACT_EST_MAPPING=PRECISE", "FS=MRC", "CURRENCY=USD", "XLFILL=b")</f>
        <v>74</v>
      </c>
      <c r="M209" s="9">
        <f>_xll.BQL("JBLU US Equity", "BS_INVENTORIES/1M", "FPT=A", "FPO=-3A", "ACT_EST_MAPPING=PRECISE", "FS=MRC", "CURRENCY=USD", "XLFILL=b")</f>
        <v>71</v>
      </c>
      <c r="N209" s="9">
        <f>_xll.BQL("JBLU US Equity", "BS_INVENTORIES/1M", "FPT=A", "FPO=-4A", "ACT_EST_MAPPING=PRECISE", "FS=MRC", "CURRENCY=USD", "XLFILL=b")</f>
        <v>81</v>
      </c>
    </row>
    <row r="210" spans="1:14" x14ac:dyDescent="0.2">
      <c r="A210" s="8" t="s">
        <v>96</v>
      </c>
      <c r="B210" s="4" t="s">
        <v>221</v>
      </c>
      <c r="C210" s="4" t="s">
        <v>222</v>
      </c>
      <c r="D210" s="4"/>
      <c r="E210" s="9" t="str">
        <f>_xll.BQL("JBLU US Equity", "FA_GROWTH(BS_INVENTORIES, YOY)", "FPT=A", "FPO=5A", "ACT_EST_MAPPING=PRECISE", "FS=MRC", "CURRENCY=USD", "XLFILL=b")</f>
        <v/>
      </c>
      <c r="F210" s="9" t="str">
        <f>_xll.BQL("JBLU US Equity", "FA_GROWTH(BS_INVENTORIES, YOY)", "FPT=A", "FPO=4A", "ACT_EST_MAPPING=PRECISE", "FS=MRC", "CURRENCY=USD", "XLFILL=b")</f>
        <v/>
      </c>
      <c r="G210" s="9">
        <f>_xll.BQL("JBLU US Equity", "FA_GROWTH(BS_INVENTORIES, YOY)", "FPT=A", "FPO=3A", "ACT_EST_MAPPING=PRECISE", "FS=MRC", "CURRENCY=USD", "XLFILL=b")</f>
        <v>-13.51037773981569</v>
      </c>
      <c r="H210" s="9">
        <f>_xll.BQL("JBLU US Equity", "FA_GROWTH(BS_INVENTORIES, YOY)", "FPT=A", "FPO=2A", "ACT_EST_MAPPING=PRECISE", "FS=MRC", "CURRENCY=USD", "XLFILL=b")</f>
        <v>-12.369503243496892</v>
      </c>
      <c r="I210" s="9">
        <f>_xll.BQL("JBLU US Equity", "FA_GROWTH(BS_INVENTORIES, YOY)", "FPT=A", "FPO=1A", "ACT_EST_MAPPING=PRECISE", "FS=MRC", "CURRENCY=USD", "XLFILL=b")</f>
        <v>-0.33348219250411887</v>
      </c>
      <c r="J210" s="9">
        <f>_xll.BQL("JBLU US Equity", "FA_GROWTH(BS_INVENTORIES, YOY)", "FPT=A", "FPO=0A", "ACT_EST_MAPPING=PRECISE", "FS=MRC", "CURRENCY=USD", "XLFILL=b")</f>
        <v>25.287356321839081</v>
      </c>
      <c r="K210" s="9">
        <f>_xll.BQL("JBLU US Equity", "FA_GROWTH(BS_INVENTORIES, YOY)", "FPT=A", "FPO=-1A", "ACT_EST_MAPPING=PRECISE", "FS=MRC", "CURRENCY=USD", "XLFILL=b")</f>
        <v>17.567567567567568</v>
      </c>
      <c r="L210" s="9">
        <f>_xll.BQL("JBLU US Equity", "FA_GROWTH(BS_INVENTORIES, YOY)", "FPT=A", "FPO=-2A", "ACT_EST_MAPPING=PRECISE", "FS=MRC", "CURRENCY=USD", "XLFILL=b")</f>
        <v>4.225352112676056</v>
      </c>
      <c r="M210" s="9">
        <f>_xll.BQL("JBLU US Equity", "FA_GROWTH(BS_INVENTORIES, YOY)", "FPT=A", "FPO=-3A", "ACT_EST_MAPPING=PRECISE", "FS=MRC", "CURRENCY=USD", "XLFILL=b")</f>
        <v>-12.345679012345679</v>
      </c>
      <c r="N210" s="9">
        <f>_xll.BQL("JBLU US Equity", "FA_GROWTH(BS_INVENTORIES, YOY)", "FPT=A", "FPO=-4A", "ACT_EST_MAPPING=PRECISE", "FS=MRC", "CURRENCY=USD", "XLFILL=b")</f>
        <v>3.8461538461538463</v>
      </c>
    </row>
    <row r="211" spans="1:14" x14ac:dyDescent="0.2">
      <c r="A211" s="8" t="s">
        <v>223</v>
      </c>
      <c r="B211" s="4" t="s">
        <v>224</v>
      </c>
      <c r="C211" s="4" t="s">
        <v>225</v>
      </c>
      <c r="D211" s="4"/>
      <c r="E211" s="9" t="str">
        <f>_xll.BQL("JBLU US Equity", "BS_OTHER_CUR_ASSET/1M", "FPT=A", "FPO=5A", "ACT_EST_MAPPING=PRECISE", "FS=MRC", "CURRENCY=USD", "XLFILL=b")</f>
        <v/>
      </c>
      <c r="F211" s="9" t="str">
        <f>_xll.BQL("JBLU US Equity", "BS_OTHER_CUR_ASSET/1M", "FPT=A", "FPO=4A", "ACT_EST_MAPPING=PRECISE", "FS=MRC", "CURRENCY=USD", "XLFILL=b")</f>
        <v/>
      </c>
      <c r="G211" s="9">
        <f>_xll.BQL("JBLU US Equity", "BS_OTHER_CUR_ASSET/1M", "FPT=A", "FPO=3A", "ACT_EST_MAPPING=PRECISE", "FS=MRC", "CURRENCY=USD", "XLFILL=b")</f>
        <v>115.63160995168401</v>
      </c>
      <c r="H211" s="9">
        <f>_xll.BQL("JBLU US Equity", "BS_OTHER_CUR_ASSET/1M", "FPT=A", "FPO=2A", "ACT_EST_MAPPING=PRECISE", "FS=MRC", "CURRENCY=USD", "XLFILL=b")</f>
        <v>135.21583740597347</v>
      </c>
      <c r="I211" s="9">
        <f>_xll.BQL("JBLU US Equity", "BS_OTHER_CUR_ASSET/1M", "FPT=A", "FPO=1A", "ACT_EST_MAPPING=PRECISE", "FS=MRC", "CURRENCY=USD", "XLFILL=b")</f>
        <v>146.63493278107177</v>
      </c>
      <c r="J211" s="9">
        <f>_xll.BQL("JBLU US Equity", "BS_OTHER_CUR_ASSET/1M", "FPT=A", "FPO=0A", "ACT_EST_MAPPING=PRECISE", "FS=MRC", "CURRENCY=USD", "XLFILL=b")</f>
        <v>148</v>
      </c>
      <c r="K211" s="9">
        <f>_xll.BQL("JBLU US Equity", "BS_OTHER_CUR_ASSET/1M", "FPT=A", "FPO=-1A", "ACT_EST_MAPPING=PRECISE", "FS=MRC", "CURRENCY=USD", "XLFILL=b")</f>
        <v>120</v>
      </c>
      <c r="L211" s="9">
        <f>_xll.BQL("JBLU US Equity", "BS_OTHER_CUR_ASSET/1M", "FPT=A", "FPO=-2A", "ACT_EST_MAPPING=PRECISE", "FS=MRC", "CURRENCY=USD", "XLFILL=b")</f>
        <v>124</v>
      </c>
      <c r="M211" s="9">
        <f>_xll.BQL("JBLU US Equity", "BS_OTHER_CUR_ASSET/1M", "FPT=A", "FPO=-3A", "ACT_EST_MAPPING=PRECISE", "FS=MRC", "CURRENCY=USD", "XLFILL=b")</f>
        <v>123</v>
      </c>
      <c r="N211" s="9">
        <f>_xll.BQL("JBLU US Equity", "BS_OTHER_CUR_ASSET/1M", "FPT=A", "FPO=-4A", "ACT_EST_MAPPING=PRECISE", "FS=MRC", "CURRENCY=USD", "XLFILL=b")</f>
        <v>146</v>
      </c>
    </row>
    <row r="212" spans="1:14" x14ac:dyDescent="0.2">
      <c r="A212" s="8" t="s">
        <v>96</v>
      </c>
      <c r="B212" s="4" t="s">
        <v>224</v>
      </c>
      <c r="C212" s="4" t="s">
        <v>225</v>
      </c>
      <c r="D212" s="4"/>
      <c r="E212" s="9" t="str">
        <f>_xll.BQL("JBLU US Equity", "FA_GROWTH(BS_OTHER_CUR_ASSET, YOY)", "FPT=A", "FPO=5A", "ACT_EST_MAPPING=PRECISE", "FS=MRC", "CURRENCY=USD", "XLFILL=b")</f>
        <v/>
      </c>
      <c r="F212" s="9" t="str">
        <f>_xll.BQL("JBLU US Equity", "FA_GROWTH(BS_OTHER_CUR_ASSET, YOY)", "FPT=A", "FPO=4A", "ACT_EST_MAPPING=PRECISE", "FS=MRC", "CURRENCY=USD", "XLFILL=b")</f>
        <v/>
      </c>
      <c r="G212" s="9">
        <f>_xll.BQL("JBLU US Equity", "FA_GROWTH(BS_OTHER_CUR_ASSET, YOY)", "FPT=A", "FPO=3A", "ACT_EST_MAPPING=PRECISE", "FS=MRC", "CURRENCY=USD", "XLFILL=b")</f>
        <v>-14.483678709535747</v>
      </c>
      <c r="H212" s="9">
        <f>_xll.BQL("JBLU US Equity", "FA_GROWTH(BS_OTHER_CUR_ASSET, YOY)", "FPT=A", "FPO=2A", "ACT_EST_MAPPING=PRECISE", "FS=MRC", "CURRENCY=USD", "XLFILL=b")</f>
        <v>-7.78743179304157</v>
      </c>
      <c r="I212" s="9">
        <f>_xll.BQL("JBLU US Equity", "FA_GROWTH(BS_OTHER_CUR_ASSET, YOY)", "FPT=A", "FPO=1A", "ACT_EST_MAPPING=PRECISE", "FS=MRC", "CURRENCY=USD", "XLFILL=b")</f>
        <v>-0.92234271549203917</v>
      </c>
      <c r="J212" s="9">
        <f>_xll.BQL("JBLU US Equity", "FA_GROWTH(BS_OTHER_CUR_ASSET, YOY)", "FPT=A", "FPO=0A", "ACT_EST_MAPPING=PRECISE", "FS=MRC", "CURRENCY=USD", "XLFILL=b")</f>
        <v>23.333333333333332</v>
      </c>
      <c r="K212" s="9">
        <f>_xll.BQL("JBLU US Equity", "FA_GROWTH(BS_OTHER_CUR_ASSET, YOY)", "FPT=A", "FPO=-1A", "ACT_EST_MAPPING=PRECISE", "FS=MRC", "CURRENCY=USD", "XLFILL=b")</f>
        <v>-3.225806451612903</v>
      </c>
      <c r="L212" s="9">
        <f>_xll.BQL("JBLU US Equity", "FA_GROWTH(BS_OTHER_CUR_ASSET, YOY)", "FPT=A", "FPO=-2A", "ACT_EST_MAPPING=PRECISE", "FS=MRC", "CURRENCY=USD", "XLFILL=b")</f>
        <v>0.81300813008130079</v>
      </c>
      <c r="M212" s="9">
        <f>_xll.BQL("JBLU US Equity", "FA_GROWTH(BS_OTHER_CUR_ASSET, YOY)", "FPT=A", "FPO=-3A", "ACT_EST_MAPPING=PRECISE", "FS=MRC", "CURRENCY=USD", "XLFILL=b")</f>
        <v>-15.753424657534246</v>
      </c>
      <c r="N212" s="9">
        <f>_xll.BQL("JBLU US Equity", "FA_GROWTH(BS_OTHER_CUR_ASSET, YOY)", "FPT=A", "FPO=-4A", "ACT_EST_MAPPING=PRECISE", "FS=MRC", "CURRENCY=USD", "XLFILL=b")</f>
        <v>-31.132075471698112</v>
      </c>
    </row>
    <row r="213" spans="1:14" x14ac:dyDescent="0.2">
      <c r="A213" s="8" t="s">
        <v>226</v>
      </c>
      <c r="B213" s="4" t="s">
        <v>227</v>
      </c>
      <c r="C213" s="4" t="s">
        <v>228</v>
      </c>
      <c r="D213" s="4"/>
      <c r="E213" s="9" t="str">
        <f>_xll.BQL("JBLU US Equity", "BS_TOTAL_NON_CURRENT_ASSETS/1M", "FPT=A", "FPO=5A", "ACT_EST_MAPPING=PRECISE", "FS=MRC", "CURRENCY=USD", "XLFILL=b")</f>
        <v/>
      </c>
      <c r="F213" s="9" t="str">
        <f>_xll.BQL("JBLU US Equity", "BS_TOTAL_NON_CURRENT_ASSETS/1M", "FPT=A", "FPO=4A", "ACT_EST_MAPPING=PRECISE", "FS=MRC", "CURRENCY=USD", "XLFILL=b")</f>
        <v/>
      </c>
      <c r="G213" s="9" t="str">
        <f>_xll.BQL("JBLU US Equity", "BS_TOTAL_NON_CURRENT_ASSETS/1M", "FPT=A", "FPO=3A", "ACT_EST_MAPPING=PRECISE", "FS=MRC", "CURRENCY=USD", "XLFILL=b")</f>
        <v/>
      </c>
      <c r="H213" s="9" t="str">
        <f>_xll.BQL("JBLU US Equity", "BS_TOTAL_NON_CURRENT_ASSETS/1M", "FPT=A", "FPO=2A", "ACT_EST_MAPPING=PRECISE", "FS=MRC", "CURRENCY=USD", "XLFILL=b")</f>
        <v/>
      </c>
      <c r="I213" s="9" t="str">
        <f>_xll.BQL("JBLU US Equity", "BS_TOTAL_NON_CURRENT_ASSETS/1M", "FPT=A", "FPO=1A", "ACT_EST_MAPPING=PRECISE", "FS=MRC", "CURRENCY=USD", "XLFILL=b")</f>
        <v/>
      </c>
      <c r="J213" s="9">
        <f>_xll.BQL("JBLU US Equity", "BS_TOTAL_NON_CURRENT_ASSETS/1M", "FPT=A", "FPO=0A", "ACT_EST_MAPPING=PRECISE", "FS=MRC", "CURRENCY=USD", "XLFILL=b")</f>
        <v>11693</v>
      </c>
      <c r="K213" s="9">
        <f>_xll.BQL("JBLU US Equity", "BS_TOTAL_NON_CURRENT_ASSETS/1M", "FPT=A", "FPO=-1A", "ACT_EST_MAPPING=PRECISE", "FS=MRC", "CURRENCY=USD", "XLFILL=b")</f>
        <v>11129</v>
      </c>
      <c r="L213" s="9">
        <f>_xll.BQL("JBLU US Equity", "BS_TOTAL_NON_CURRENT_ASSETS/1M", "FPT=A", "FPO=-2A", "ACT_EST_MAPPING=PRECISE", "FS=MRC", "CURRENCY=USD", "XLFILL=b")</f>
        <v>10395</v>
      </c>
      <c r="M213" s="9">
        <f>_xll.BQL("JBLU US Equity", "BS_TOTAL_NON_CURRENT_ASSETS/1M", "FPT=A", "FPO=-3A", "ACT_EST_MAPPING=PRECISE", "FS=MRC", "CURRENCY=USD", "XLFILL=b")</f>
        <v>10061</v>
      </c>
      <c r="N213" s="9">
        <f>_xll.BQL("JBLU US Equity", "BS_TOTAL_NON_CURRENT_ASSETS/1M", "FPT=A", "FPO=-4A", "ACT_EST_MAPPING=PRECISE", "FS=MRC", "CURRENCY=USD", "XLFILL=b")</f>
        <v>10132</v>
      </c>
    </row>
    <row r="214" spans="1:14" x14ac:dyDescent="0.2">
      <c r="A214" s="8" t="s">
        <v>84</v>
      </c>
      <c r="B214" s="4" t="s">
        <v>227</v>
      </c>
      <c r="C214" s="4" t="s">
        <v>228</v>
      </c>
      <c r="D214" s="4"/>
      <c r="E214" s="9" t="str">
        <f>_xll.BQL("JBLU US Equity", "FA_GROWTH(BS_TOTAL_NON_CURRENT_ASSETS, YOY)", "FPT=A", "FPO=5A", "ACT_EST_MAPPING=PRECISE", "FS=MRC", "CURRENCY=USD", "XLFILL=b")</f>
        <v/>
      </c>
      <c r="F214" s="9" t="str">
        <f>_xll.BQL("JBLU US Equity", "FA_GROWTH(BS_TOTAL_NON_CURRENT_ASSETS, YOY)", "FPT=A", "FPO=4A", "ACT_EST_MAPPING=PRECISE", "FS=MRC", "CURRENCY=USD", "XLFILL=b")</f>
        <v/>
      </c>
      <c r="G214" s="9" t="str">
        <f>_xll.BQL("JBLU US Equity", "FA_GROWTH(BS_TOTAL_NON_CURRENT_ASSETS, YOY)", "FPT=A", "FPO=3A", "ACT_EST_MAPPING=PRECISE", "FS=MRC", "CURRENCY=USD", "XLFILL=b")</f>
        <v/>
      </c>
      <c r="H214" s="9" t="str">
        <f>_xll.BQL("JBLU US Equity", "FA_GROWTH(BS_TOTAL_NON_CURRENT_ASSETS, YOY)", "FPT=A", "FPO=2A", "ACT_EST_MAPPING=PRECISE", "FS=MRC", "CURRENCY=USD", "XLFILL=b")</f>
        <v/>
      </c>
      <c r="I214" s="9" t="str">
        <f>_xll.BQL("JBLU US Equity", "FA_GROWTH(BS_TOTAL_NON_CURRENT_ASSETS, YOY)", "FPT=A", "FPO=1A", "ACT_EST_MAPPING=PRECISE", "FS=MRC", "CURRENCY=USD", "XLFILL=b")</f>
        <v/>
      </c>
      <c r="J214" s="9">
        <f>_xll.BQL("JBLU US Equity", "FA_GROWTH(BS_TOTAL_NON_CURRENT_ASSETS, YOY)", "FPT=A", "FPO=0A", "ACT_EST_MAPPING=PRECISE", "FS=MRC", "CURRENCY=USD", "XLFILL=b")</f>
        <v>5.0678407763500761</v>
      </c>
      <c r="K214" s="9">
        <f>_xll.BQL("JBLU US Equity", "FA_GROWTH(BS_TOTAL_NON_CURRENT_ASSETS, YOY)", "FPT=A", "FPO=-1A", "ACT_EST_MAPPING=PRECISE", "FS=MRC", "CURRENCY=USD", "XLFILL=b")</f>
        <v>7.0610870610870613</v>
      </c>
      <c r="L214" s="9">
        <f>_xll.BQL("JBLU US Equity", "FA_GROWTH(BS_TOTAL_NON_CURRENT_ASSETS, YOY)", "FPT=A", "FPO=-2A", "ACT_EST_MAPPING=PRECISE", "FS=MRC", "CURRENCY=USD", "XLFILL=b")</f>
        <v>3.3197495278799325</v>
      </c>
      <c r="M214" s="9">
        <f>_xll.BQL("JBLU US Equity", "FA_GROWTH(BS_TOTAL_NON_CURRENT_ASSETS, YOY)", "FPT=A", "FPO=-3A", "ACT_EST_MAPPING=PRECISE", "FS=MRC", "CURRENCY=USD", "XLFILL=b")</f>
        <v>-0.70075009869719695</v>
      </c>
      <c r="N214" s="9">
        <f>_xll.BQL("JBLU US Equity", "FA_GROWTH(BS_TOTAL_NON_CURRENT_ASSETS, YOY)", "FPT=A", "FPO=-4A", "ACT_EST_MAPPING=PRECISE", "FS=MRC", "CURRENCY=USD", "XLFILL=b")</f>
        <v>5.8614564831261102</v>
      </c>
    </row>
    <row r="215" spans="1:14" x14ac:dyDescent="0.2">
      <c r="A215" s="8" t="s">
        <v>229</v>
      </c>
      <c r="B215" s="4" t="s">
        <v>230</v>
      </c>
      <c r="C215" s="4" t="s">
        <v>231</v>
      </c>
      <c r="D215" s="4"/>
      <c r="E215" s="9">
        <f>_xll.BQL("JBLU US Equity", "CB_BS_PP_AND_E_NET/1M", "FPT=A", "FPO=5A", "ACT_EST_MAPPING=PRECISE", "FS=MRC", "CURRENCY=USD", "XLFILL=b")</f>
        <v>13541</v>
      </c>
      <c r="F215" s="9">
        <f>_xll.BQL("JBLU US Equity", "CB_BS_PP_AND_E_NET/1M", "FPT=A", "FPO=4A", "ACT_EST_MAPPING=PRECISE", "FS=MRC", "CURRENCY=USD", "XLFILL=b")</f>
        <v>12857</v>
      </c>
      <c r="G215" s="9">
        <f>_xll.BQL("JBLU US Equity", "CB_BS_PP_AND_E_NET/1M", "FPT=A", "FPO=3A", "ACT_EST_MAPPING=PRECISE", "FS=MRC", "CURRENCY=USD", "XLFILL=b")</f>
        <v>11885.478950201903</v>
      </c>
      <c r="H215" s="9">
        <f>_xll.BQL("JBLU US Equity", "CB_BS_PP_AND_E_NET/1M", "FPT=A", "FPO=2A", "ACT_EST_MAPPING=PRECISE", "FS=MRC", "CURRENCY=USD", "XLFILL=b")</f>
        <v>11454.078686825504</v>
      </c>
      <c r="I215" s="9">
        <f>_xll.BQL("JBLU US Equity", "CB_BS_PP_AND_E_NET/1M", "FPT=A", "FPO=1A", "ACT_EST_MAPPING=PRECISE", "FS=MRC", "CURRENCY=USD", "XLFILL=b")</f>
        <v>10824.277230349639</v>
      </c>
      <c r="J215" s="9">
        <f>_xll.BQL("JBLU US Equity", "CB_BS_PP_AND_E_NET/1M", "FPT=A", "FPO=0A", "ACT_EST_MAPPING=PRECISE", "FS=MRC", "CURRENCY=USD", "XLFILL=b")</f>
        <v>9675</v>
      </c>
      <c r="K215" s="9">
        <f>_xll.BQL("JBLU US Equity", "CB_BS_PP_AND_E_NET/1M", "FPT=A", "FPO=-1A", "ACT_EST_MAPPING=PRECISE", "FS=MRC", "CURRENCY=USD", "XLFILL=b")</f>
        <v>9147</v>
      </c>
      <c r="L215" s="9">
        <f>_xll.BQL("JBLU US Equity", "CB_BS_PP_AND_E_NET/1M", "FPT=A", "FPO=-2A", "ACT_EST_MAPPING=PRECISE", "FS=MRC", "CURRENCY=USD", "XLFILL=b")</f>
        <v>8814</v>
      </c>
      <c r="M215" s="9">
        <f>_xll.BQL("JBLU US Equity", "CB_BS_PP_AND_E_NET/1M", "FPT=A", "FPO=-3A", "ACT_EST_MAPPING=PRECISE", "FS=MRC", "CURRENCY=USD", "XLFILL=b")</f>
        <v>8399</v>
      </c>
      <c r="N215" s="9">
        <f>_xll.BQL("JBLU US Equity", "CB_BS_PP_AND_E_NET/1M", "FPT=A", "FPO=-4A", "ACT_EST_MAPPING=PRECISE", "FS=MRC", "CURRENCY=USD", "XLFILL=b")</f>
        <v>8614</v>
      </c>
    </row>
    <row r="216" spans="1:14" x14ac:dyDescent="0.2">
      <c r="A216" s="8" t="s">
        <v>96</v>
      </c>
      <c r="B216" s="4" t="s">
        <v>230</v>
      </c>
      <c r="C216" s="4" t="s">
        <v>231</v>
      </c>
      <c r="D216" s="4"/>
      <c r="E216" s="9">
        <f>_xll.BQL("JBLU US Equity", "FA_GROWTH(CB_BS_PP_AND_E_NET, YOY)", "FPT=A", "FPO=5A", "ACT_EST_MAPPING=PRECISE", "FS=MRC", "CURRENCY=USD", "XLFILL=b")</f>
        <v>5.3200591117679084</v>
      </c>
      <c r="F216" s="9">
        <f>_xll.BQL("JBLU US Equity", "FA_GROWTH(CB_BS_PP_AND_E_NET, YOY)", "FPT=A", "FPO=4A", "ACT_EST_MAPPING=PRECISE", "FS=MRC", "CURRENCY=USD", "XLFILL=b")</f>
        <v>8.1740168306940131</v>
      </c>
      <c r="G216" s="9">
        <f>_xll.BQL("JBLU US Equity", "FA_GROWTH(CB_BS_PP_AND_E_NET, YOY)", "FPT=A", "FPO=3A", "ACT_EST_MAPPING=PRECISE", "FS=MRC", "CURRENCY=USD", "XLFILL=b")</f>
        <v>3.7663462524715778</v>
      </c>
      <c r="H216" s="9">
        <f>_xll.BQL("JBLU US Equity", "FA_GROWTH(CB_BS_PP_AND_E_NET, YOY)", "FPT=A", "FPO=2A", "ACT_EST_MAPPING=PRECISE", "FS=MRC", "CURRENCY=USD", "XLFILL=b")</f>
        <v>5.8184157987934579</v>
      </c>
      <c r="I216" s="9">
        <f>_xll.BQL("JBLU US Equity", "FA_GROWTH(CB_BS_PP_AND_E_NET, YOY)", "FPT=A", "FPO=1A", "ACT_EST_MAPPING=PRECISE", "FS=MRC", "CURRENCY=USD", "XLFILL=b")</f>
        <v>11.878834422218482</v>
      </c>
      <c r="J216" s="9">
        <f>_xll.BQL("JBLU US Equity", "FA_GROWTH(CB_BS_PP_AND_E_NET, YOY)", "FPT=A", "FPO=0A", "ACT_EST_MAPPING=PRECISE", "FS=MRC", "CURRENCY=USD", "XLFILL=b")</f>
        <v>5.7723843883240411</v>
      </c>
      <c r="K216" s="9">
        <f>_xll.BQL("JBLU US Equity", "FA_GROWTH(CB_BS_PP_AND_E_NET, YOY)", "FPT=A", "FPO=-1A", "ACT_EST_MAPPING=PRECISE", "FS=MRC", "CURRENCY=USD", "XLFILL=b")</f>
        <v>3.7780803267528933</v>
      </c>
      <c r="L216" s="9">
        <f>_xll.BQL("JBLU US Equity", "FA_GROWTH(CB_BS_PP_AND_E_NET, YOY)", "FPT=A", "FPO=-2A", "ACT_EST_MAPPING=PRECISE", "FS=MRC", "CURRENCY=USD", "XLFILL=b")</f>
        <v>4.9410644124300509</v>
      </c>
      <c r="M216" s="9">
        <f>_xll.BQL("JBLU US Equity", "FA_GROWTH(CB_BS_PP_AND_E_NET, YOY)", "FPT=A", "FPO=-3A", "ACT_EST_MAPPING=PRECISE", "FS=MRC", "CURRENCY=USD", "XLFILL=b")</f>
        <v>-2.4959368469932666</v>
      </c>
      <c r="N216" s="9">
        <f>_xll.BQL("JBLU US Equity", "FA_GROWTH(CB_BS_PP_AND_E_NET, YOY)", "FPT=A", "FPO=-4A", "ACT_EST_MAPPING=PRECISE", "FS=MRC", "CURRENCY=USD", "XLFILL=b")</f>
        <v>7.9042966303394717</v>
      </c>
    </row>
    <row r="217" spans="1:14" x14ac:dyDescent="0.2">
      <c r="A217" s="8" t="s">
        <v>232</v>
      </c>
      <c r="B217" s="4" t="s">
        <v>233</v>
      </c>
      <c r="C217" s="4"/>
      <c r="D217" s="4"/>
      <c r="E217" s="9" t="str">
        <f>_xll.BQL("JBLU US Equity", "BS_MACHINERY_EQUIPMENT_NET/1M", "FPT=A", "FPO=5A", "ACT_EST_MAPPING=PRECISE", "FS=MRC", "CURRENCY=USD", "XLFILL=b")</f>
        <v/>
      </c>
      <c r="F217" s="9" t="str">
        <f>_xll.BQL("JBLU US Equity", "BS_MACHINERY_EQUIPMENT_NET/1M", "FPT=A", "FPO=4A", "ACT_EST_MAPPING=PRECISE", "FS=MRC", "CURRENCY=USD", "XLFILL=b")</f>
        <v/>
      </c>
      <c r="G217" s="9">
        <f>_xll.BQL("JBLU US Equity", "BS_MACHINERY_EQUIPMENT_NET/1M", "FPT=A", "FPO=3A", "ACT_EST_MAPPING=PRECISE", "FS=MRC", "CURRENCY=USD", "XLFILL=b")</f>
        <v>14998.76053498914</v>
      </c>
      <c r="H217" s="9">
        <f>_xll.BQL("JBLU US Equity", "BS_MACHINERY_EQUIPMENT_NET/1M", "FPT=A", "FPO=2A", "ACT_EST_MAPPING=PRECISE", "FS=MRC", "CURRENCY=USD", "XLFILL=b")</f>
        <v>14490.76053498914</v>
      </c>
      <c r="I217" s="9">
        <f>_xll.BQL("JBLU US Equity", "BS_MACHINERY_EQUIPMENT_NET/1M", "FPT=A", "FPO=1A", "ACT_EST_MAPPING=PRECISE", "FS=MRC", "CURRENCY=USD", "XLFILL=b")</f>
        <v>13849.76053498914</v>
      </c>
      <c r="J217" s="9" t="str">
        <f>_xll.BQL("JBLU US Equity", "BS_MACHINERY_EQUIPMENT_NET/1M", "FPT=A", "FPO=0A", "ACT_EST_MAPPING=PRECISE", "FS=MRC", "CURRENCY=USD", "XLFILL=b")</f>
        <v/>
      </c>
      <c r="K217" s="9" t="str">
        <f>_xll.BQL("JBLU US Equity", "BS_MACHINERY_EQUIPMENT_NET/1M", "FPT=A", "FPO=-1A", "ACT_EST_MAPPING=PRECISE", "FS=MRC", "CURRENCY=USD", "XLFILL=b")</f>
        <v/>
      </c>
      <c r="L217" s="9" t="str">
        <f>_xll.BQL("JBLU US Equity", "BS_MACHINERY_EQUIPMENT_NET/1M", "FPT=A", "FPO=-2A", "ACT_EST_MAPPING=PRECISE", "FS=MRC", "CURRENCY=USD", "XLFILL=b")</f>
        <v/>
      </c>
      <c r="M217" s="9" t="str">
        <f>_xll.BQL("JBLU US Equity", "BS_MACHINERY_EQUIPMENT_NET/1M", "FPT=A", "FPO=-3A", "ACT_EST_MAPPING=PRECISE", "FS=MRC", "CURRENCY=USD", "XLFILL=b")</f>
        <v/>
      </c>
      <c r="N217" s="9">
        <f>_xll.BQL("JBLU US Equity", "BS_MACHINERY_EQUIPMENT_NET/1M", "FPT=A", "FPO=-4A", "ACT_EST_MAPPING=PRECISE", "FS=MRC", "CURRENCY=USD", "XLFILL=b")</f>
        <v>10332</v>
      </c>
    </row>
    <row r="218" spans="1:14" x14ac:dyDescent="0.2">
      <c r="A218" s="8" t="s">
        <v>96</v>
      </c>
      <c r="B218" s="4" t="s">
        <v>233</v>
      </c>
      <c r="C218" s="4"/>
      <c r="D218" s="4"/>
      <c r="E218" s="9" t="str">
        <f>_xll.BQL("JBLU US Equity", "FA_GROWTH(BS_MACHINERY_EQUIPMENT_NET, YOY)", "FPT=A", "FPO=5A", "ACT_EST_MAPPING=PRECISE", "FS=MRC", "CURRENCY=USD", "XLFILL=b")</f>
        <v/>
      </c>
      <c r="F218" s="9" t="str">
        <f>_xll.BQL("JBLU US Equity", "FA_GROWTH(BS_MACHINERY_EQUIPMENT_NET, YOY)", "FPT=A", "FPO=4A", "ACT_EST_MAPPING=PRECISE", "FS=MRC", "CURRENCY=USD", "XLFILL=b")</f>
        <v/>
      </c>
      <c r="G218" s="9">
        <f>_xll.BQL("JBLU US Equity", "FA_GROWTH(BS_MACHINERY_EQUIPMENT_NET, YOY)", "FPT=A", "FPO=3A", "ACT_EST_MAPPING=PRECISE", "FS=MRC", "CURRENCY=USD", "XLFILL=b")</f>
        <v>3.505682112221729</v>
      </c>
      <c r="H218" s="9">
        <f>_xll.BQL("JBLU US Equity", "FA_GROWTH(BS_MACHINERY_EQUIPMENT_NET, YOY)", "FPT=A", "FPO=2A", "ACT_EST_MAPPING=PRECISE", "FS=MRC", "CURRENCY=USD", "XLFILL=b")</f>
        <v>4.6282388665177212</v>
      </c>
      <c r="I218" s="9" t="str">
        <f>_xll.BQL("JBLU US Equity", "FA_GROWTH(BS_MACHINERY_EQUIPMENT_NET, YOY)", "FPT=A", "FPO=1A", "ACT_EST_MAPPING=PRECISE", "FS=MRC", "CURRENCY=USD", "XLFILL=b")</f>
        <v/>
      </c>
      <c r="J218" s="9" t="str">
        <f>_xll.BQL("JBLU US Equity", "FA_GROWTH(BS_MACHINERY_EQUIPMENT_NET, YOY)", "FPT=A", "FPO=0A", "ACT_EST_MAPPING=PRECISE", "FS=MRC", "CURRENCY=USD", "XLFILL=b")</f>
        <v/>
      </c>
      <c r="K218" s="9" t="str">
        <f>_xll.BQL("JBLU US Equity", "FA_GROWTH(BS_MACHINERY_EQUIPMENT_NET, YOY)", "FPT=A", "FPO=-1A", "ACT_EST_MAPPING=PRECISE", "FS=MRC", "CURRENCY=USD", "XLFILL=b")</f>
        <v/>
      </c>
      <c r="L218" s="9" t="str">
        <f>_xll.BQL("JBLU US Equity", "FA_GROWTH(BS_MACHINERY_EQUIPMENT_NET, YOY)", "FPT=A", "FPO=-2A", "ACT_EST_MAPPING=PRECISE", "FS=MRC", "CURRENCY=USD", "XLFILL=b")</f>
        <v/>
      </c>
      <c r="M218" s="9" t="str">
        <f>_xll.BQL("JBLU US Equity", "FA_GROWTH(BS_MACHINERY_EQUIPMENT_NET, YOY)", "FPT=A", "FPO=-3A", "ACT_EST_MAPPING=PRECISE", "FS=MRC", "CURRENCY=USD", "XLFILL=b")</f>
        <v/>
      </c>
      <c r="N218" s="9">
        <f>_xll.BQL("JBLU US Equity", "FA_GROWTH(BS_MACHINERY_EQUIPMENT_NET, YOY)", "FPT=A", "FPO=-4A", "ACT_EST_MAPPING=PRECISE", "FS=MRC", "CURRENCY=USD", "XLFILL=b")</f>
        <v>8.4724409448818889</v>
      </c>
    </row>
    <row r="219" spans="1:14" x14ac:dyDescent="0.2">
      <c r="A219" s="8" t="s">
        <v>234</v>
      </c>
      <c r="B219" s="4" t="s">
        <v>235</v>
      </c>
      <c r="C219" s="4"/>
      <c r="D219" s="4"/>
      <c r="E219" s="9" t="str">
        <f>_xll.BQL("JBLU US Equity", "CB_BS_PREPAYMENT_FIXED_ASSETS/1M", "FPT=A", "FPO=5A", "ACT_EST_MAPPING=PRECISE", "FS=MRC", "CURRENCY=USD", "XLFILL=b")</f>
        <v/>
      </c>
      <c r="F219" s="9" t="str">
        <f>_xll.BQL("JBLU US Equity", "CB_BS_PREPAYMENT_FIXED_ASSETS/1M", "FPT=A", "FPO=4A", "ACT_EST_MAPPING=PRECISE", "FS=MRC", "CURRENCY=USD", "XLFILL=b")</f>
        <v/>
      </c>
      <c r="G219" s="9">
        <f>_xll.BQL("JBLU US Equity", "CB_BS_PREPAYMENT_FIXED_ASSETS/1M", "FPT=A", "FPO=3A", "ACT_EST_MAPPING=PRECISE", "FS=MRC", "CURRENCY=USD", "XLFILL=b")</f>
        <v>360</v>
      </c>
      <c r="H219" s="9">
        <f>_xll.BQL("JBLU US Equity", "CB_BS_PREPAYMENT_FIXED_ASSETS/1M", "FPT=A", "FPO=2A", "ACT_EST_MAPPING=PRECISE", "FS=MRC", "CURRENCY=USD", "XLFILL=b")</f>
        <v>360</v>
      </c>
      <c r="I219" s="9">
        <f>_xll.BQL("JBLU US Equity", "CB_BS_PREPAYMENT_FIXED_ASSETS/1M", "FPT=A", "FPO=1A", "ACT_EST_MAPPING=PRECISE", "FS=MRC", "CURRENCY=USD", "XLFILL=b")</f>
        <v>360</v>
      </c>
      <c r="J219" s="9">
        <f>_xll.BQL("JBLU US Equity", "CB_BS_PREPAYMENT_FIXED_ASSETS/1M", "FPT=A", "FPO=0A", "ACT_EST_MAPPING=PRECISE", "FS=MRC", "CURRENCY=USD", "XLFILL=b")</f>
        <v>393</v>
      </c>
      <c r="K219" s="9">
        <f>_xll.BQL("JBLU US Equity", "CB_BS_PREPAYMENT_FIXED_ASSETS/1M", "FPT=A", "FPO=-1A", "ACT_EST_MAPPING=PRECISE", "FS=MRC", "CURRENCY=USD", "XLFILL=b")</f>
        <v>415</v>
      </c>
      <c r="L219" s="9">
        <f>_xll.BQL("JBLU US Equity", "CB_BS_PREPAYMENT_FIXED_ASSETS/1M", "FPT=A", "FPO=-2A", "ACT_EST_MAPPING=PRECISE", "FS=MRC", "CURRENCY=USD", "XLFILL=b")</f>
        <v>337</v>
      </c>
      <c r="M219" s="9">
        <f>_xll.BQL("JBLU US Equity", "CB_BS_PREPAYMENT_FIXED_ASSETS/1M", "FPT=A", "FPO=-3A", "ACT_EST_MAPPING=PRECISE", "FS=MRC", "CURRENCY=USD", "XLFILL=b")</f>
        <v>420</v>
      </c>
      <c r="N219" s="9">
        <f>_xll.BQL("JBLU US Equity", "CB_BS_PREPAYMENT_FIXED_ASSETS/1M", "FPT=A", "FPO=-4A", "ACT_EST_MAPPING=PRECISE", "FS=MRC", "CURRENCY=USD", "XLFILL=b")</f>
        <v>433</v>
      </c>
    </row>
    <row r="220" spans="1:14" x14ac:dyDescent="0.2">
      <c r="A220" s="8" t="s">
        <v>96</v>
      </c>
      <c r="B220" s="4" t="s">
        <v>235</v>
      </c>
      <c r="C220" s="4"/>
      <c r="D220" s="4"/>
      <c r="E220" s="9" t="str">
        <f>_xll.BQL("JBLU US Equity", "FA_GROWTH(CB_BS_PREPAYMENT_FIXED_ASSETS, YOY)", "FPT=A", "FPO=5A", "ACT_EST_MAPPING=PRECISE", "FS=MRC", "CURRENCY=USD", "XLFILL=b")</f>
        <v/>
      </c>
      <c r="F220" s="9" t="str">
        <f>_xll.BQL("JBLU US Equity", "FA_GROWTH(CB_BS_PREPAYMENT_FIXED_ASSETS, YOY)", "FPT=A", "FPO=4A", "ACT_EST_MAPPING=PRECISE", "FS=MRC", "CURRENCY=USD", "XLFILL=b")</f>
        <v/>
      </c>
      <c r="G220" s="9">
        <f>_xll.BQL("JBLU US Equity", "FA_GROWTH(CB_BS_PREPAYMENT_FIXED_ASSETS, YOY)", "FPT=A", "FPO=3A", "ACT_EST_MAPPING=PRECISE", "FS=MRC", "CURRENCY=USD", "XLFILL=b")</f>
        <v>0</v>
      </c>
      <c r="H220" s="9">
        <f>_xll.BQL("JBLU US Equity", "FA_GROWTH(CB_BS_PREPAYMENT_FIXED_ASSETS, YOY)", "FPT=A", "FPO=2A", "ACT_EST_MAPPING=PRECISE", "FS=MRC", "CURRENCY=USD", "XLFILL=b")</f>
        <v>0</v>
      </c>
      <c r="I220" s="9">
        <f>_xll.BQL("JBLU US Equity", "FA_GROWTH(CB_BS_PREPAYMENT_FIXED_ASSETS, YOY)", "FPT=A", "FPO=1A", "ACT_EST_MAPPING=PRECISE", "FS=MRC", "CURRENCY=USD", "XLFILL=b")</f>
        <v>-8.3969465648854964</v>
      </c>
      <c r="J220" s="9">
        <f>_xll.BQL("JBLU US Equity", "FA_GROWTH(CB_BS_PREPAYMENT_FIXED_ASSETS, YOY)", "FPT=A", "FPO=0A", "ACT_EST_MAPPING=PRECISE", "FS=MRC", "CURRENCY=USD", "XLFILL=b")</f>
        <v>-5.3012048192771086</v>
      </c>
      <c r="K220" s="9">
        <f>_xll.BQL("JBLU US Equity", "FA_GROWTH(CB_BS_PREPAYMENT_FIXED_ASSETS, YOY)", "FPT=A", "FPO=-1A", "ACT_EST_MAPPING=PRECISE", "FS=MRC", "CURRENCY=USD", "XLFILL=b")</f>
        <v>23.145400593471809</v>
      </c>
      <c r="L220" s="9">
        <f>_xll.BQL("JBLU US Equity", "FA_GROWTH(CB_BS_PREPAYMENT_FIXED_ASSETS, YOY)", "FPT=A", "FPO=-2A", "ACT_EST_MAPPING=PRECISE", "FS=MRC", "CURRENCY=USD", "XLFILL=b")</f>
        <v>-19.761904761904763</v>
      </c>
      <c r="M220" s="9">
        <f>_xll.BQL("JBLU US Equity", "FA_GROWTH(CB_BS_PREPAYMENT_FIXED_ASSETS, YOY)", "FPT=A", "FPO=-3A", "ACT_EST_MAPPING=PRECISE", "FS=MRC", "CURRENCY=USD", "XLFILL=b")</f>
        <v>-3.0023094688221708</v>
      </c>
      <c r="N220" s="9">
        <f>_xll.BQL("JBLU US Equity", "FA_GROWTH(CB_BS_PREPAYMENT_FIXED_ASSETS, YOY)", "FPT=A", "FPO=-4A", "ACT_EST_MAPPING=PRECISE", "FS=MRC", "CURRENCY=USD", "XLFILL=b")</f>
        <v>47.781569965870304</v>
      </c>
    </row>
    <row r="221" spans="1:14" x14ac:dyDescent="0.2">
      <c r="A221" s="8" t="s">
        <v>236</v>
      </c>
      <c r="B221" s="4" t="s">
        <v>237</v>
      </c>
      <c r="C221" s="4"/>
      <c r="D221" s="4"/>
      <c r="E221" s="9">
        <f>_xll.BQL("JBLU US Equity", "BS_OPER_LEA_RT_OF_USE_ASSETS/1M", "FPT=A", "FPO=5A", "ACT_EST_MAPPING=PRECISE", "FS=MRC", "CURRENCY=USD", "XLFILL=b")</f>
        <v>571</v>
      </c>
      <c r="F221" s="9">
        <f>_xll.BQL("JBLU US Equity", "BS_OPER_LEA_RT_OF_USE_ASSETS/1M", "FPT=A", "FPO=4A", "ACT_EST_MAPPING=PRECISE", "FS=MRC", "CURRENCY=USD", "XLFILL=b")</f>
        <v>571</v>
      </c>
      <c r="G221" s="9">
        <f>_xll.BQL("JBLU US Equity", "BS_OPER_LEA_RT_OF_USE_ASSETS/1M", "FPT=A", "FPO=3A", "ACT_EST_MAPPING=PRECISE", "FS=MRC", "CURRENCY=USD", "XLFILL=b")</f>
        <v>571</v>
      </c>
      <c r="H221" s="9">
        <f>_xll.BQL("JBLU US Equity", "BS_OPER_LEA_RT_OF_USE_ASSETS/1M", "FPT=A", "FPO=2A", "ACT_EST_MAPPING=PRECISE", "FS=MRC", "CURRENCY=USD", "XLFILL=b")</f>
        <v>561.65633200000002</v>
      </c>
      <c r="I221" s="9">
        <f>_xll.BQL("JBLU US Equity", "BS_OPER_LEA_RT_OF_USE_ASSETS/1M", "FPT=A", "FPO=1A", "ACT_EST_MAPPING=PRECISE", "FS=MRC", "CURRENCY=USD", "XLFILL=b")</f>
        <v>567.82209999999998</v>
      </c>
      <c r="J221" s="9">
        <f>_xll.BQL("JBLU US Equity", "BS_OPER_LEA_RT_OF_USE_ASSETS/1M", "FPT=A", "FPO=0A", "ACT_EST_MAPPING=PRECISE", "FS=MRC", "CURRENCY=USD", "XLFILL=b")</f>
        <v>593</v>
      </c>
      <c r="K221" s="9">
        <f>_xll.BQL("JBLU US Equity", "BS_OPER_LEA_RT_OF_USE_ASSETS/1M", "FPT=A", "FPO=-1A", "ACT_EST_MAPPING=PRECISE", "FS=MRC", "CURRENCY=USD", "XLFILL=b")</f>
        <v>660</v>
      </c>
      <c r="L221" s="9">
        <f>_xll.BQL("JBLU US Equity", "BS_OPER_LEA_RT_OF_USE_ASSETS/1M", "FPT=A", "FPO=-2A", "ACT_EST_MAPPING=PRECISE", "FS=MRC", "CURRENCY=USD", "XLFILL=b")</f>
        <v>729</v>
      </c>
      <c r="M221" s="9">
        <f>_xll.BQL("JBLU US Equity", "BS_OPER_LEA_RT_OF_USE_ASSETS/1M", "FPT=A", "FPO=-3A", "ACT_EST_MAPPING=PRECISE", "FS=MRC", "CURRENCY=USD", "XLFILL=b")</f>
        <v>804</v>
      </c>
      <c r="N221" s="9">
        <f>_xll.BQL("JBLU US Equity", "BS_OPER_LEA_RT_OF_USE_ASSETS/1M", "FPT=A", "FPO=-4A", "ACT_EST_MAPPING=PRECISE", "FS=MRC", "CURRENCY=USD", "XLFILL=b")</f>
        <v>912</v>
      </c>
    </row>
    <row r="222" spans="1:14" x14ac:dyDescent="0.2">
      <c r="A222" s="8" t="s">
        <v>96</v>
      </c>
      <c r="B222" s="4" t="s">
        <v>237</v>
      </c>
      <c r="C222" s="4"/>
      <c r="D222" s="4"/>
      <c r="E222" s="9">
        <f>_xll.BQL("JBLU US Equity", "FA_GROWTH(BS_OPER_LEA_RT_OF_USE_ASSETS, YOY)", "FPT=A", "FPO=5A", "ACT_EST_MAPPING=PRECISE", "FS=MRC", "CURRENCY=USD", "XLFILL=b")</f>
        <v>0</v>
      </c>
      <c r="F222" s="9">
        <f>_xll.BQL("JBLU US Equity", "FA_GROWTH(BS_OPER_LEA_RT_OF_USE_ASSETS, YOY)", "FPT=A", "FPO=4A", "ACT_EST_MAPPING=PRECISE", "FS=MRC", "CURRENCY=USD", "XLFILL=b")</f>
        <v>0</v>
      </c>
      <c r="G222" s="9">
        <f>_xll.BQL("JBLU US Equity", "FA_GROWTH(BS_OPER_LEA_RT_OF_USE_ASSETS, YOY)", "FPT=A", "FPO=3A", "ACT_EST_MAPPING=PRECISE", "FS=MRC", "CURRENCY=USD", "XLFILL=b")</f>
        <v>1.6635916783361395</v>
      </c>
      <c r="H222" s="9">
        <f>_xll.BQL("JBLU US Equity", "FA_GROWTH(BS_OPER_LEA_RT_OF_USE_ASSETS, YOY)", "FPT=A", "FPO=2A", "ACT_EST_MAPPING=PRECISE", "FS=MRC", "CURRENCY=USD", "XLFILL=b")</f>
        <v>-1.0858626319757543</v>
      </c>
      <c r="I222" s="9">
        <f>_xll.BQL("JBLU US Equity", "FA_GROWTH(BS_OPER_LEA_RT_OF_USE_ASSETS, YOY)", "FPT=A", "FPO=1A", "ACT_EST_MAPPING=PRECISE", "FS=MRC", "CURRENCY=USD", "XLFILL=b")</f>
        <v>-4.2458516020236088</v>
      </c>
      <c r="J222" s="9">
        <f>_xll.BQL("JBLU US Equity", "FA_GROWTH(BS_OPER_LEA_RT_OF_USE_ASSETS, YOY)", "FPT=A", "FPO=0A", "ACT_EST_MAPPING=PRECISE", "FS=MRC", "CURRENCY=USD", "XLFILL=b")</f>
        <v>-10.151515151515152</v>
      </c>
      <c r="K222" s="9">
        <f>_xll.BQL("JBLU US Equity", "FA_GROWTH(BS_OPER_LEA_RT_OF_USE_ASSETS, YOY)", "FPT=A", "FPO=-1A", "ACT_EST_MAPPING=PRECISE", "FS=MRC", "CURRENCY=USD", "XLFILL=b")</f>
        <v>-9.4650205761316872</v>
      </c>
      <c r="L222" s="9">
        <f>_xll.BQL("JBLU US Equity", "FA_GROWTH(BS_OPER_LEA_RT_OF_USE_ASSETS, YOY)", "FPT=A", "FPO=-2A", "ACT_EST_MAPPING=PRECISE", "FS=MRC", "CURRENCY=USD", "XLFILL=b")</f>
        <v>-9.3283582089552244</v>
      </c>
      <c r="M222" s="9">
        <f>_xll.BQL("JBLU US Equity", "FA_GROWTH(BS_OPER_LEA_RT_OF_USE_ASSETS, YOY)", "FPT=A", "FPO=-3A", "ACT_EST_MAPPING=PRECISE", "FS=MRC", "CURRENCY=USD", "XLFILL=b")</f>
        <v>-11.842105263157896</v>
      </c>
      <c r="N222" s="9">
        <f>_xll.BQL("JBLU US Equity", "FA_GROWTH(BS_OPER_LEA_RT_OF_USE_ASSETS, YOY)", "FPT=A", "FPO=-4A", "ACT_EST_MAPPING=PRECISE", "FS=MRC", "CURRENCY=USD", "XLFILL=b")</f>
        <v>-13.636363636363637</v>
      </c>
    </row>
    <row r="223" spans="1:14" x14ac:dyDescent="0.2">
      <c r="A223" s="8" t="s">
        <v>238</v>
      </c>
      <c r="B223" s="4" t="s">
        <v>239</v>
      </c>
      <c r="C223" s="4"/>
      <c r="D223" s="4"/>
      <c r="E223" s="9">
        <f>_xll.BQL("JBLU US Equity", "OTHER_ASSETS_AND_LT_INVESTMENTS/1M", "FPT=A", "FPO=5A", "ACT_EST_MAPPING=PRECISE", "FS=MRC", "CURRENCY=USD", "XLFILL=b")</f>
        <v>1042</v>
      </c>
      <c r="F223" s="9">
        <f>_xll.BQL("JBLU US Equity", "OTHER_ASSETS_AND_LT_INVESTMENTS/1M", "FPT=A", "FPO=4A", "ACT_EST_MAPPING=PRECISE", "FS=MRC", "CURRENCY=USD", "XLFILL=b")</f>
        <v>1042</v>
      </c>
      <c r="G223" s="9">
        <f>_xll.BQL("JBLU US Equity", "OTHER_ASSETS_AND_LT_INVESTMENTS/1M", "FPT=A", "FPO=3A", "ACT_EST_MAPPING=PRECISE", "FS=MRC", "CURRENCY=USD", "XLFILL=b")</f>
        <v>1042</v>
      </c>
      <c r="H223" s="9">
        <f>_xll.BQL("JBLU US Equity", "OTHER_ASSETS_AND_LT_INVESTMENTS/1M", "FPT=A", "FPO=2A", "ACT_EST_MAPPING=PRECISE", "FS=MRC", "CURRENCY=USD", "XLFILL=b")</f>
        <v>1042</v>
      </c>
      <c r="I223" s="9">
        <f>_xll.BQL("JBLU US Equity", "OTHER_ASSETS_AND_LT_INVESTMENTS/1M", "FPT=A", "FPO=1A", "ACT_EST_MAPPING=PRECISE", "FS=MRC", "CURRENCY=USD", "XLFILL=b")</f>
        <v>1042</v>
      </c>
      <c r="J223" s="9">
        <f>_xll.BQL("JBLU US Equity", "OTHER_ASSETS_AND_LT_INVESTMENTS/1M", "FPT=A", "FPO=0A", "ACT_EST_MAPPING=PRECISE", "FS=MRC", "CURRENCY=USD", "XLFILL=b")</f>
        <v>1425</v>
      </c>
      <c r="K223" s="9">
        <f>_xll.BQL("JBLU US Equity", "OTHER_ASSETS_AND_LT_INVESTMENTS/1M", "FPT=A", "FPO=-1A", "ACT_EST_MAPPING=PRECISE", "FS=MRC", "CURRENCY=USD", "XLFILL=b")</f>
        <v>1322</v>
      </c>
      <c r="L223" s="9">
        <f>_xll.BQL("JBLU US Equity", "OTHER_ASSETS_AND_LT_INVESTMENTS/1M", "FPT=A", "FPO=-2A", "ACT_EST_MAPPING=PRECISE", "FS=MRC", "CURRENCY=USD", "XLFILL=b")</f>
        <v>852</v>
      </c>
      <c r="M223" s="9">
        <f>_xll.BQL("JBLU US Equity", "OTHER_ASSETS_AND_LT_INVESTMENTS/1M", "FPT=A", "FPO=-3A", "ACT_EST_MAPPING=PRECISE", "FS=MRC", "CURRENCY=USD", "XLFILL=b")</f>
        <v>858</v>
      </c>
      <c r="N223" s="9">
        <f>_xll.BQL("JBLU US Equity", "OTHER_ASSETS_AND_LT_INVESTMENTS/1M", "FPT=A", "FPO=-4A", "ACT_EST_MAPPING=PRECISE", "FS=MRC", "CURRENCY=USD", "XLFILL=b")</f>
        <v>606</v>
      </c>
    </row>
    <row r="224" spans="1:14" x14ac:dyDescent="0.2">
      <c r="A224" s="8" t="s">
        <v>96</v>
      </c>
      <c r="B224" s="4" t="s">
        <v>239</v>
      </c>
      <c r="C224" s="4"/>
      <c r="D224" s="4"/>
      <c r="E224" s="9">
        <f>_xll.BQL("JBLU US Equity", "FA_GROWTH(OTHER_ASSETS_AND_LT_INVESTMENTS, YOY)", "FPT=A", "FPO=5A", "ACT_EST_MAPPING=PRECISE", "FS=MRC", "CURRENCY=USD", "XLFILL=b")</f>
        <v>0</v>
      </c>
      <c r="F224" s="9">
        <f>_xll.BQL("JBLU US Equity", "FA_GROWTH(OTHER_ASSETS_AND_LT_INVESTMENTS, YOY)", "FPT=A", "FPO=4A", "ACT_EST_MAPPING=PRECISE", "FS=MRC", "CURRENCY=USD", "XLFILL=b")</f>
        <v>0</v>
      </c>
      <c r="G224" s="9">
        <f>_xll.BQL("JBLU US Equity", "FA_GROWTH(OTHER_ASSETS_AND_LT_INVESTMENTS, YOY)", "FPT=A", "FPO=3A", "ACT_EST_MAPPING=PRECISE", "FS=MRC", "CURRENCY=USD", "XLFILL=b")</f>
        <v>0</v>
      </c>
      <c r="H224" s="9">
        <f>_xll.BQL("JBLU US Equity", "FA_GROWTH(OTHER_ASSETS_AND_LT_INVESTMENTS, YOY)", "FPT=A", "FPO=2A", "ACT_EST_MAPPING=PRECISE", "FS=MRC", "CURRENCY=USD", "XLFILL=b")</f>
        <v>0</v>
      </c>
      <c r="I224" s="9">
        <f>_xll.BQL("JBLU US Equity", "FA_GROWTH(OTHER_ASSETS_AND_LT_INVESTMENTS, YOY)", "FPT=A", "FPO=1A", "ACT_EST_MAPPING=PRECISE", "FS=MRC", "CURRENCY=USD", "XLFILL=b")</f>
        <v>-26.87719298245614</v>
      </c>
      <c r="J224" s="9">
        <f>_xll.BQL("JBLU US Equity", "FA_GROWTH(OTHER_ASSETS_AND_LT_INVESTMENTS, YOY)", "FPT=A", "FPO=0A", "ACT_EST_MAPPING=PRECISE", "FS=MRC", "CURRENCY=USD", "XLFILL=b")</f>
        <v>7.7912254160363084</v>
      </c>
      <c r="K224" s="9">
        <f>_xll.BQL("JBLU US Equity", "FA_GROWTH(OTHER_ASSETS_AND_LT_INVESTMENTS, YOY)", "FPT=A", "FPO=-1A", "ACT_EST_MAPPING=PRECISE", "FS=MRC", "CURRENCY=USD", "XLFILL=b")</f>
        <v>55.164319248826288</v>
      </c>
      <c r="L224" s="9">
        <f>_xll.BQL("JBLU US Equity", "FA_GROWTH(OTHER_ASSETS_AND_LT_INVESTMENTS, YOY)", "FPT=A", "FPO=-2A", "ACT_EST_MAPPING=PRECISE", "FS=MRC", "CURRENCY=USD", "XLFILL=b")</f>
        <v>-0.69930069930069927</v>
      </c>
      <c r="M224" s="9">
        <f>_xll.BQL("JBLU US Equity", "FA_GROWTH(OTHER_ASSETS_AND_LT_INVESTMENTS, YOY)", "FPT=A", "FPO=-3A", "ACT_EST_MAPPING=PRECISE", "FS=MRC", "CURRENCY=USD", "XLFILL=b")</f>
        <v>41.584158415841586</v>
      </c>
      <c r="N224" s="9">
        <f>_xll.BQL("JBLU US Equity", "FA_GROWTH(OTHER_ASSETS_AND_LT_INVESTMENTS, YOY)", "FPT=A", "FPO=-4A", "ACT_EST_MAPPING=PRECISE", "FS=MRC", "CURRENCY=USD", "XLFILL=b")</f>
        <v>13.909774436090226</v>
      </c>
    </row>
    <row r="225" spans="1:14" x14ac:dyDescent="0.2">
      <c r="A225" s="8" t="s">
        <v>240</v>
      </c>
      <c r="B225" s="4" t="s">
        <v>241</v>
      </c>
      <c r="C225" s="4" t="s">
        <v>242</v>
      </c>
      <c r="D225" s="4"/>
      <c r="E225" s="9" t="str">
        <f>_xll.BQL("JBLU US Equity", "BS_LONG_TERM_INVESTMENTS/1M", "FPT=A", "FPO=5A", "ACT_EST_MAPPING=PRECISE", "FS=MRC", "CURRENCY=USD", "XLFILL=b")</f>
        <v/>
      </c>
      <c r="F225" s="9" t="str">
        <f>_xll.BQL("JBLU US Equity", "BS_LONG_TERM_INVESTMENTS/1M", "FPT=A", "FPO=4A", "ACT_EST_MAPPING=PRECISE", "FS=MRC", "CURRENCY=USD", "XLFILL=b")</f>
        <v/>
      </c>
      <c r="G225" s="9">
        <f>_xll.BQL("JBLU US Equity", "BS_LONG_TERM_INVESTMENTS/1M", "FPT=A", "FPO=3A", "ACT_EST_MAPPING=PRECISE", "FS=MRC", "CURRENCY=USD", "XLFILL=b")</f>
        <v>104</v>
      </c>
      <c r="H225" s="9">
        <f>_xll.BQL("JBLU US Equity", "BS_LONG_TERM_INVESTMENTS/1M", "FPT=A", "FPO=2A", "ACT_EST_MAPPING=PRECISE", "FS=MRC", "CURRENCY=USD", "XLFILL=b")</f>
        <v>104</v>
      </c>
      <c r="I225" s="9">
        <f>_xll.BQL("JBLU US Equity", "BS_LONG_TERM_INVESTMENTS/1M", "FPT=A", "FPO=1A", "ACT_EST_MAPPING=PRECISE", "FS=MRC", "CURRENCY=USD", "XLFILL=b")</f>
        <v>104</v>
      </c>
      <c r="J225" s="9">
        <f>_xll.BQL("JBLU US Equity", "BS_LONG_TERM_INVESTMENTS/1M", "FPT=A", "FPO=0A", "ACT_EST_MAPPING=PRECISE", "FS=MRC", "CURRENCY=USD", "XLFILL=b")</f>
        <v>163</v>
      </c>
      <c r="K225" s="9">
        <f>_xll.BQL("JBLU US Equity", "BS_LONG_TERM_INVESTMENTS/1M", "FPT=A", "FPO=-1A", "ACT_EST_MAPPING=PRECISE", "FS=MRC", "CURRENCY=USD", "XLFILL=b")</f>
        <v>172</v>
      </c>
      <c r="L225" s="9">
        <f>_xll.BQL("JBLU US Equity", "BS_LONG_TERM_INVESTMENTS/1M", "FPT=A", "FPO=-2A", "ACT_EST_MAPPING=PRECISE", "FS=MRC", "CURRENCY=USD", "XLFILL=b")</f>
        <v>39</v>
      </c>
      <c r="M225" s="9">
        <f>_xll.BQL("JBLU US Equity", "BS_LONG_TERM_INVESTMENTS/1M", "FPT=A", "FPO=-3A", "ACT_EST_MAPPING=PRECISE", "FS=MRC", "CURRENCY=USD", "XLFILL=b")</f>
        <v>2</v>
      </c>
      <c r="N225" s="9">
        <f>_xll.BQL("JBLU US Equity", "BS_LONG_TERM_INVESTMENTS/1M", "FPT=A", "FPO=-4A", "ACT_EST_MAPPING=PRECISE", "FS=MRC", "CURRENCY=USD", "XLFILL=b")</f>
        <v>3</v>
      </c>
    </row>
    <row r="226" spans="1:14" x14ac:dyDescent="0.2">
      <c r="A226" s="8" t="s">
        <v>96</v>
      </c>
      <c r="B226" s="4" t="s">
        <v>241</v>
      </c>
      <c r="C226" s="4" t="s">
        <v>242</v>
      </c>
      <c r="D226" s="4"/>
      <c r="E226" s="9" t="str">
        <f>_xll.BQL("JBLU US Equity", "FA_GROWTH(BS_LONG_TERM_INVESTMENTS, YOY)", "FPT=A", "FPO=5A", "ACT_EST_MAPPING=PRECISE", "FS=MRC", "CURRENCY=USD", "XLFILL=b")</f>
        <v/>
      </c>
      <c r="F226" s="9" t="str">
        <f>_xll.BQL("JBLU US Equity", "FA_GROWTH(BS_LONG_TERM_INVESTMENTS, YOY)", "FPT=A", "FPO=4A", "ACT_EST_MAPPING=PRECISE", "FS=MRC", "CURRENCY=USD", "XLFILL=b")</f>
        <v/>
      </c>
      <c r="G226" s="9">
        <f>_xll.BQL("JBLU US Equity", "FA_GROWTH(BS_LONG_TERM_INVESTMENTS, YOY)", "FPT=A", "FPO=3A", "ACT_EST_MAPPING=PRECISE", "FS=MRC", "CURRENCY=USD", "XLFILL=b")</f>
        <v>0</v>
      </c>
      <c r="H226" s="9">
        <f>_xll.BQL("JBLU US Equity", "FA_GROWTH(BS_LONG_TERM_INVESTMENTS, YOY)", "FPT=A", "FPO=2A", "ACT_EST_MAPPING=PRECISE", "FS=MRC", "CURRENCY=USD", "XLFILL=b")</f>
        <v>0</v>
      </c>
      <c r="I226" s="9">
        <f>_xll.BQL("JBLU US Equity", "FA_GROWTH(BS_LONG_TERM_INVESTMENTS, YOY)", "FPT=A", "FPO=1A", "ACT_EST_MAPPING=PRECISE", "FS=MRC", "CURRENCY=USD", "XLFILL=b")</f>
        <v>-36.196319018404907</v>
      </c>
      <c r="J226" s="9">
        <f>_xll.BQL("JBLU US Equity", "FA_GROWTH(BS_LONG_TERM_INVESTMENTS, YOY)", "FPT=A", "FPO=0A", "ACT_EST_MAPPING=PRECISE", "FS=MRC", "CURRENCY=USD", "XLFILL=b")</f>
        <v>-5.2325581395348841</v>
      </c>
      <c r="K226" s="9">
        <f>_xll.BQL("JBLU US Equity", "FA_GROWTH(BS_LONG_TERM_INVESTMENTS, YOY)", "FPT=A", "FPO=-1A", "ACT_EST_MAPPING=PRECISE", "FS=MRC", "CURRENCY=USD", "XLFILL=b")</f>
        <v>341.02564102564105</v>
      </c>
      <c r="L226" s="9">
        <f>_xll.BQL("JBLU US Equity", "FA_GROWTH(BS_LONG_TERM_INVESTMENTS, YOY)", "FPT=A", "FPO=-2A", "ACT_EST_MAPPING=PRECISE", "FS=MRC", "CURRENCY=USD", "XLFILL=b")</f>
        <v>1850</v>
      </c>
      <c r="M226" s="9">
        <f>_xll.BQL("JBLU US Equity", "FA_GROWTH(BS_LONG_TERM_INVESTMENTS, YOY)", "FPT=A", "FPO=-3A", "ACT_EST_MAPPING=PRECISE", "FS=MRC", "CURRENCY=USD", "XLFILL=b")</f>
        <v>-33.333333333333336</v>
      </c>
      <c r="N226" s="9">
        <f>_xll.BQL("JBLU US Equity", "FA_GROWTH(BS_LONG_TERM_INVESTMENTS, YOY)", "FPT=A", "FPO=-4A", "ACT_EST_MAPPING=PRECISE", "FS=MRC", "CURRENCY=USD", "XLFILL=b")</f>
        <v>0</v>
      </c>
    </row>
    <row r="227" spans="1:14" x14ac:dyDescent="0.2">
      <c r="A227" s="8" t="s">
        <v>243</v>
      </c>
      <c r="B227" s="4" t="s">
        <v>244</v>
      </c>
      <c r="C227" s="4"/>
      <c r="D227" s="4"/>
      <c r="E227" s="9" t="str">
        <f>_xll.BQL("JBLU US Equity", "BS_LONG_TERM_RESTRCTD_CASH_INVT/1M", "FPT=A", "FPO=5A", "ACT_EST_MAPPING=PRECISE", "FS=MRC", "CURRENCY=USD", "XLFILL=b")</f>
        <v/>
      </c>
      <c r="F227" s="9" t="str">
        <f>_xll.BQL("JBLU US Equity", "BS_LONG_TERM_RESTRCTD_CASH_INVT/1M", "FPT=A", "FPO=4A", "ACT_EST_MAPPING=PRECISE", "FS=MRC", "CURRENCY=USD", "XLFILL=b")</f>
        <v/>
      </c>
      <c r="G227" s="9">
        <f>_xll.BQL("JBLU US Equity", "BS_LONG_TERM_RESTRCTD_CASH_INVT/1M", "FPT=A", "FPO=3A", "ACT_EST_MAPPING=PRECISE", "FS=MRC", "CURRENCY=USD", "XLFILL=b")</f>
        <v>134</v>
      </c>
      <c r="H227" s="9">
        <f>_xll.BQL("JBLU US Equity", "BS_LONG_TERM_RESTRCTD_CASH_INVT/1M", "FPT=A", "FPO=2A", "ACT_EST_MAPPING=PRECISE", "FS=MRC", "CURRENCY=USD", "XLFILL=b")</f>
        <v>134</v>
      </c>
      <c r="I227" s="9">
        <f>_xll.BQL("JBLU US Equity", "BS_LONG_TERM_RESTRCTD_CASH_INVT/1M", "FPT=A", "FPO=1A", "ACT_EST_MAPPING=PRECISE", "FS=MRC", "CURRENCY=USD", "XLFILL=b")</f>
        <v>134</v>
      </c>
      <c r="J227" s="9">
        <f>_xll.BQL("JBLU US Equity", "BS_LONG_TERM_RESTRCTD_CASH_INVT/1M", "FPT=A", "FPO=0A", "ACT_EST_MAPPING=PRECISE", "FS=MRC", "CURRENCY=USD", "XLFILL=b")</f>
        <v>151</v>
      </c>
      <c r="K227" s="9">
        <f>_xll.BQL("JBLU US Equity", "BS_LONG_TERM_RESTRCTD_CASH_INVT/1M", "FPT=A", "FPO=-1A", "ACT_EST_MAPPING=PRECISE", "FS=MRC", "CURRENCY=USD", "XLFILL=b")</f>
        <v>146</v>
      </c>
      <c r="L227" s="9">
        <f>_xll.BQL("JBLU US Equity", "BS_LONG_TERM_RESTRCTD_CASH_INVT/1M", "FPT=A", "FPO=-2A", "ACT_EST_MAPPING=PRECISE", "FS=MRC", "CURRENCY=USD", "XLFILL=b")</f>
        <v>59</v>
      </c>
      <c r="M227" s="9">
        <f>_xll.BQL("JBLU US Equity", "BS_LONG_TERM_RESTRCTD_CASH_INVT/1M", "FPT=A", "FPO=-3A", "ACT_EST_MAPPING=PRECISE", "FS=MRC", "CURRENCY=USD", "XLFILL=b")</f>
        <v>51</v>
      </c>
      <c r="N227" s="9">
        <f>_xll.BQL("JBLU US Equity", "BS_LONG_TERM_RESTRCTD_CASH_INVT/1M", "FPT=A", "FPO=-4A", "ACT_EST_MAPPING=PRECISE", "FS=MRC", "CURRENCY=USD", "XLFILL=b")</f>
        <v>59</v>
      </c>
    </row>
    <row r="228" spans="1:14" x14ac:dyDescent="0.2">
      <c r="A228" s="8" t="s">
        <v>96</v>
      </c>
      <c r="B228" s="4" t="s">
        <v>244</v>
      </c>
      <c r="C228" s="4"/>
      <c r="D228" s="4"/>
      <c r="E228" s="9" t="str">
        <f>_xll.BQL("JBLU US Equity", "FA_GROWTH(BS_LONG_TERM_RESTRCTD_CASH_INVT, YOY)", "FPT=A", "FPO=5A", "ACT_EST_MAPPING=PRECISE", "FS=MRC", "CURRENCY=USD", "XLFILL=b")</f>
        <v/>
      </c>
      <c r="F228" s="9" t="str">
        <f>_xll.BQL("JBLU US Equity", "FA_GROWTH(BS_LONG_TERM_RESTRCTD_CASH_INVT, YOY)", "FPT=A", "FPO=4A", "ACT_EST_MAPPING=PRECISE", "FS=MRC", "CURRENCY=USD", "XLFILL=b")</f>
        <v/>
      </c>
      <c r="G228" s="9">
        <f>_xll.BQL("JBLU US Equity", "FA_GROWTH(BS_LONG_TERM_RESTRCTD_CASH_INVT, YOY)", "FPT=A", "FPO=3A", "ACT_EST_MAPPING=PRECISE", "FS=MRC", "CURRENCY=USD", "XLFILL=b")</f>
        <v>0</v>
      </c>
      <c r="H228" s="9">
        <f>_xll.BQL("JBLU US Equity", "FA_GROWTH(BS_LONG_TERM_RESTRCTD_CASH_INVT, YOY)", "FPT=A", "FPO=2A", "ACT_EST_MAPPING=PRECISE", "FS=MRC", "CURRENCY=USD", "XLFILL=b")</f>
        <v>0</v>
      </c>
      <c r="I228" s="9">
        <f>_xll.BQL("JBLU US Equity", "FA_GROWTH(BS_LONG_TERM_RESTRCTD_CASH_INVT, YOY)", "FPT=A", "FPO=1A", "ACT_EST_MAPPING=PRECISE", "FS=MRC", "CURRENCY=USD", "XLFILL=b")</f>
        <v>-11.258278145695364</v>
      </c>
      <c r="J228" s="9">
        <f>_xll.BQL("JBLU US Equity", "FA_GROWTH(BS_LONG_TERM_RESTRCTD_CASH_INVT, YOY)", "FPT=A", "FPO=0A", "ACT_EST_MAPPING=PRECISE", "FS=MRC", "CURRENCY=USD", "XLFILL=b")</f>
        <v>3.4246575342465753</v>
      </c>
      <c r="K228" s="9">
        <f>_xll.BQL("JBLU US Equity", "FA_GROWTH(BS_LONG_TERM_RESTRCTD_CASH_INVT, YOY)", "FPT=A", "FPO=-1A", "ACT_EST_MAPPING=PRECISE", "FS=MRC", "CURRENCY=USD", "XLFILL=b")</f>
        <v>147.45762711864407</v>
      </c>
      <c r="L228" s="9">
        <f>_xll.BQL("JBLU US Equity", "FA_GROWTH(BS_LONG_TERM_RESTRCTD_CASH_INVT, YOY)", "FPT=A", "FPO=-2A", "ACT_EST_MAPPING=PRECISE", "FS=MRC", "CURRENCY=USD", "XLFILL=b")</f>
        <v>15.686274509803921</v>
      </c>
      <c r="M228" s="9">
        <f>_xll.BQL("JBLU US Equity", "FA_GROWTH(BS_LONG_TERM_RESTRCTD_CASH_INVT, YOY)", "FPT=A", "FPO=-3A", "ACT_EST_MAPPING=PRECISE", "FS=MRC", "CURRENCY=USD", "XLFILL=b")</f>
        <v>-13.559322033898304</v>
      </c>
      <c r="N228" s="9">
        <f>_xll.BQL("JBLU US Equity", "FA_GROWTH(BS_LONG_TERM_RESTRCTD_CASH_INVT, YOY)", "FPT=A", "FPO=-4A", "ACT_EST_MAPPING=PRECISE", "FS=MRC", "CURRENCY=USD", "XLFILL=b")</f>
        <v>0</v>
      </c>
    </row>
    <row r="229" spans="1:14" x14ac:dyDescent="0.2">
      <c r="A229" s="8" t="s">
        <v>245</v>
      </c>
      <c r="B229" s="4" t="s">
        <v>246</v>
      </c>
      <c r="C229" s="4" t="s">
        <v>247</v>
      </c>
      <c r="D229" s="4"/>
      <c r="E229" s="9">
        <f>_xll.BQL("JBLU US Equity", "BS_TOT_ASSET/1M", "FPT=A", "FPO=5A", "ACT_EST_MAPPING=PRECISE", "FS=MRC", "CURRENCY=USD", "XLFILL=b")</f>
        <v>17988.124137006893</v>
      </c>
      <c r="F229" s="9">
        <f>_xll.BQL("JBLU US Equity", "BS_TOT_ASSET/1M", "FPT=A", "FPO=4A", "ACT_EST_MAPPING=PRECISE", "FS=MRC", "CURRENCY=USD", "XLFILL=b")</f>
        <v>17142.864086312973</v>
      </c>
      <c r="G229" s="9">
        <f>_xll.BQL("JBLU US Equity", "BS_TOT_ASSET/1M", "FPT=A", "FPO=3A", "ACT_EST_MAPPING=PRECISE", "FS=MRC", "CURRENCY=USD", "XLFILL=b")</f>
        <v>16814.716556843421</v>
      </c>
      <c r="H229" s="9">
        <f>_xll.BQL("JBLU US Equity", "BS_TOT_ASSET/1M", "FPT=A", "FPO=2A", "ACT_EST_MAPPING=PRECISE", "FS=MRC", "CURRENCY=USD", "XLFILL=b")</f>
        <v>16002.857120783796</v>
      </c>
      <c r="I229" s="9">
        <f>_xll.BQL("JBLU US Equity", "BS_TOT_ASSET/1M", "FPT=A", "FPO=1A", "ACT_EST_MAPPING=PRECISE", "FS=MRC", "CURRENCY=USD", "XLFILL=b")</f>
        <v>15956.560590031022</v>
      </c>
      <c r="J229" s="9">
        <f>_xll.BQL("JBLU US Equity", "BS_TOT_ASSET/1M", "FPT=A", "FPO=0A", "ACT_EST_MAPPING=PRECISE", "FS=MRC", "CURRENCY=USD", "XLFILL=b")</f>
        <v>13853</v>
      </c>
      <c r="K229" s="9">
        <f>_xll.BQL("JBLU US Equity", "BS_TOT_ASSET/1M", "FPT=A", "FPO=-1A", "ACT_EST_MAPPING=PRECISE", "FS=MRC", "CURRENCY=USD", "XLFILL=b")</f>
        <v>13045</v>
      </c>
      <c r="L229" s="9">
        <f>_xll.BQL("JBLU US Equity", "BS_TOT_ASSET/1M", "FPT=A", "FPO=-2A", "ACT_EST_MAPPING=PRECISE", "FS=MRC", "CURRENCY=USD", "XLFILL=b")</f>
        <v>13642</v>
      </c>
      <c r="M229" s="9">
        <f>_xll.BQL("JBLU US Equity", "BS_TOT_ASSET/1M", "FPT=A", "FPO=-3A", "ACT_EST_MAPPING=PRECISE", "FS=MRC", "CURRENCY=USD", "XLFILL=b")</f>
        <v>13406</v>
      </c>
      <c r="N229" s="9">
        <f>_xll.BQL("JBLU US Equity", "BS_TOT_ASSET/1M", "FPT=A", "FPO=-4A", "ACT_EST_MAPPING=PRECISE", "FS=MRC", "CURRENCY=USD", "XLFILL=b")</f>
        <v>11918</v>
      </c>
    </row>
    <row r="230" spans="1:14" x14ac:dyDescent="0.2">
      <c r="A230" s="8" t="s">
        <v>84</v>
      </c>
      <c r="B230" s="4" t="s">
        <v>246</v>
      </c>
      <c r="C230" s="4" t="s">
        <v>247</v>
      </c>
      <c r="D230" s="4"/>
      <c r="E230" s="9">
        <f>_xll.BQL("JBLU US Equity", "FA_GROWTH(BS_TOT_ASSET, YOY)", "FPT=A", "FPO=5A", "ACT_EST_MAPPING=PRECISE", "FS=MRC", "CURRENCY=USD", "XLFILL=b")</f>
        <v>4.9306816319496098</v>
      </c>
      <c r="F230" s="9">
        <f>_xll.BQL("JBLU US Equity", "FA_GROWTH(BS_TOT_ASSET, YOY)", "FPT=A", "FPO=4A", "ACT_EST_MAPPING=PRECISE", "FS=MRC", "CURRENCY=USD", "XLFILL=b")</f>
        <v>1.9515495748038543</v>
      </c>
      <c r="G230" s="9">
        <f>_xll.BQL("JBLU US Equity", "FA_GROWTH(BS_TOT_ASSET, YOY)", "FPT=A", "FPO=3A", "ACT_EST_MAPPING=PRECISE", "FS=MRC", "CURRENCY=USD", "XLFILL=b")</f>
        <v>5.0732155510231909</v>
      </c>
      <c r="H230" s="9">
        <f>_xll.BQL("JBLU US Equity", "FA_GROWTH(BS_TOT_ASSET, YOY)", "FPT=A", "FPO=2A", "ACT_EST_MAPPING=PRECISE", "FS=MRC", "CURRENCY=USD", "XLFILL=b")</f>
        <v>0.2901410394273769</v>
      </c>
      <c r="I230" s="9">
        <f>_xll.BQL("JBLU US Equity", "FA_GROWTH(BS_TOT_ASSET, YOY)", "FPT=A", "FPO=1A", "ACT_EST_MAPPING=PRECISE", "FS=MRC", "CURRENCY=USD", "XLFILL=b")</f>
        <v>15.184873962542563</v>
      </c>
      <c r="J230" s="9">
        <f>_xll.BQL("JBLU US Equity", "FA_GROWTH(BS_TOT_ASSET, YOY)", "FPT=A", "FPO=0A", "ACT_EST_MAPPING=PRECISE", "FS=MRC", "CURRENCY=USD", "XLFILL=b")</f>
        <v>6.193944039862016</v>
      </c>
      <c r="K230" s="9">
        <f>_xll.BQL("JBLU US Equity", "FA_GROWTH(BS_TOT_ASSET, YOY)", "FPT=A", "FPO=-1A", "ACT_EST_MAPPING=PRECISE", "FS=MRC", "CURRENCY=USD", "XLFILL=b")</f>
        <v>-4.3761911743146165</v>
      </c>
      <c r="L230" s="9">
        <f>_xll.BQL("JBLU US Equity", "FA_GROWTH(BS_TOT_ASSET, YOY)", "FPT=A", "FPO=-2A", "ACT_EST_MAPPING=PRECISE", "FS=MRC", "CURRENCY=USD", "XLFILL=b")</f>
        <v>1.7604057884529316</v>
      </c>
      <c r="M230" s="9">
        <f>_xll.BQL("JBLU US Equity", "FA_GROWTH(BS_TOT_ASSET, YOY)", "FPT=A", "FPO=-3A", "ACT_EST_MAPPING=PRECISE", "FS=MRC", "CURRENCY=USD", "XLFILL=b")</f>
        <v>12.485316328242995</v>
      </c>
      <c r="N230" s="9">
        <f>_xll.BQL("JBLU US Equity", "FA_GROWTH(BS_TOT_ASSET, YOY)", "FPT=A", "FPO=-4A", "ACT_EST_MAPPING=PRECISE", "FS=MRC", "CURRENCY=USD", "XLFILL=b")</f>
        <v>8.7507984305137327</v>
      </c>
    </row>
    <row r="231" spans="1:14" x14ac:dyDescent="0.2">
      <c r="A231" s="8" t="s">
        <v>16</v>
      </c>
      <c r="B231" s="4"/>
      <c r="C231" s="4"/>
      <c r="D231" s="4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x14ac:dyDescent="0.2">
      <c r="A232" s="8" t="s">
        <v>248</v>
      </c>
      <c r="B232" s="4"/>
      <c r="C232" s="4" t="s">
        <v>249</v>
      </c>
      <c r="D232" s="4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x14ac:dyDescent="0.2">
      <c r="A233" s="8" t="s">
        <v>250</v>
      </c>
      <c r="B233" s="4" t="s">
        <v>251</v>
      </c>
      <c r="C233" s="4" t="s">
        <v>252</v>
      </c>
      <c r="D233" s="4"/>
      <c r="E233" s="9">
        <f>_xll.BQL("JBLU US Equity", "BS_CUR_LIAB/1M", "FPT=A", "FPO=5A", "ACT_EST_MAPPING=PRECISE", "FS=MRC", "CURRENCY=USD", "XLFILL=b")</f>
        <v>4325.8000000000011</v>
      </c>
      <c r="F233" s="9">
        <f>_xll.BQL("JBLU US Equity", "BS_CUR_LIAB/1M", "FPT=A", "FPO=4A", "ACT_EST_MAPPING=PRECISE", "FS=MRC", "CURRENCY=USD", "XLFILL=b")</f>
        <v>4135.4000000000015</v>
      </c>
      <c r="G233" s="9">
        <f>_xll.BQL("JBLU US Equity", "BS_CUR_LIAB/1M", "FPT=A", "FPO=3A", "ACT_EST_MAPPING=PRECISE", "FS=MRC", "CURRENCY=USD", "XLFILL=b")</f>
        <v>4091.5323942545328</v>
      </c>
      <c r="H233" s="9">
        <f>_xll.BQL("JBLU US Equity", "BS_CUR_LIAB/1M", "FPT=A", "FPO=2A", "ACT_EST_MAPPING=PRECISE", "FS=MRC", "CURRENCY=USD", "XLFILL=b")</f>
        <v>3657.3400191101873</v>
      </c>
      <c r="I233" s="9">
        <f>_xll.BQL("JBLU US Equity", "BS_CUR_LIAB/1M", "FPT=A", "FPO=1A", "ACT_EST_MAPPING=PRECISE", "FS=MRC", "CURRENCY=USD", "XLFILL=b")</f>
        <v>3492.0604373387409</v>
      </c>
      <c r="J233" s="9">
        <f>_xll.BQL("JBLU US Equity", "BS_CUR_LIAB/1M", "FPT=A", "FPO=0A", "ACT_EST_MAPPING=PRECISE", "FS=MRC", "CURRENCY=USD", "XLFILL=b")</f>
        <v>3628</v>
      </c>
      <c r="K233" s="9">
        <f>_xll.BQL("JBLU US Equity", "BS_CUR_LIAB/1M", "FPT=A", "FPO=-1A", "ACT_EST_MAPPING=PRECISE", "FS=MRC", "CURRENCY=USD", "XLFILL=b")</f>
        <v>3748</v>
      </c>
      <c r="L233" s="9">
        <f>_xll.BQL("JBLU US Equity", "BS_CUR_LIAB/1M", "FPT=A", "FPO=-2A", "ACT_EST_MAPPING=PRECISE", "FS=MRC", "CURRENCY=USD", "XLFILL=b")</f>
        <v>3417</v>
      </c>
      <c r="M233" s="9">
        <f>_xll.BQL("JBLU US Equity", "BS_CUR_LIAB/1M", "FPT=A", "FPO=-3A", "ACT_EST_MAPPING=PRECISE", "FS=MRC", "CURRENCY=USD", "XLFILL=b")</f>
        <v>2674</v>
      </c>
      <c r="N233" s="9">
        <f>_xll.BQL("JBLU US Equity", "BS_CUR_LIAB/1M", "FPT=A", "FPO=-4A", "ACT_EST_MAPPING=PRECISE", "FS=MRC", "CURRENCY=USD", "XLFILL=b")</f>
        <v>2663</v>
      </c>
    </row>
    <row r="234" spans="1:14" x14ac:dyDescent="0.2">
      <c r="A234" s="8" t="s">
        <v>84</v>
      </c>
      <c r="B234" s="4" t="s">
        <v>251</v>
      </c>
      <c r="C234" s="4" t="s">
        <v>252</v>
      </c>
      <c r="D234" s="4"/>
      <c r="E234" s="9">
        <f>_xll.BQL("JBLU US Equity", "FA_GROWTH(BS_CUR_LIAB, YOY)", "FPT=A", "FPO=5A", "ACT_EST_MAPPING=PRECISE", "FS=MRC", "CURRENCY=USD", "XLFILL=b")</f>
        <v>4.6041495381341457</v>
      </c>
      <c r="F234" s="9">
        <f>_xll.BQL("JBLU US Equity", "FA_GROWTH(BS_CUR_LIAB, YOY)", "FPT=A", "FPO=4A", "ACT_EST_MAPPING=PRECISE", "FS=MRC", "CURRENCY=USD", "XLFILL=b")</f>
        <v>1.0721558946244438</v>
      </c>
      <c r="G234" s="9">
        <f>_xll.BQL("JBLU US Equity", "FA_GROWTH(BS_CUR_LIAB, YOY)", "FPT=A", "FPO=3A", "ACT_EST_MAPPING=PRECISE", "FS=MRC", "CURRENCY=USD", "XLFILL=b")</f>
        <v>11.871807731182241</v>
      </c>
      <c r="H234" s="9">
        <f>_xll.BQL("JBLU US Equity", "FA_GROWTH(BS_CUR_LIAB, YOY)", "FPT=A", "FPO=2A", "ACT_EST_MAPPING=PRECISE", "FS=MRC", "CURRENCY=USD", "XLFILL=b")</f>
        <v>4.733010345531258</v>
      </c>
      <c r="I234" s="9">
        <f>_xll.BQL("JBLU US Equity", "FA_GROWTH(BS_CUR_LIAB, YOY)", "FPT=A", "FPO=1A", "ACT_EST_MAPPING=PRECISE", "FS=MRC", "CURRENCY=USD", "XLFILL=b")</f>
        <v>-3.7469559719200434</v>
      </c>
      <c r="J234" s="9">
        <f>_xll.BQL("JBLU US Equity", "FA_GROWTH(BS_CUR_LIAB, YOY)", "FPT=A", "FPO=0A", "ACT_EST_MAPPING=PRECISE", "FS=MRC", "CURRENCY=USD", "XLFILL=b")</f>
        <v>-3.2017075773746</v>
      </c>
      <c r="K234" s="9">
        <f>_xll.BQL("JBLU US Equity", "FA_GROWTH(BS_CUR_LIAB, YOY)", "FPT=A", "FPO=-1A", "ACT_EST_MAPPING=PRECISE", "FS=MRC", "CURRENCY=USD", "XLFILL=b")</f>
        <v>9.6868598185542876</v>
      </c>
      <c r="L234" s="9">
        <f>_xll.BQL("JBLU US Equity", "FA_GROWTH(BS_CUR_LIAB, YOY)", "FPT=A", "FPO=-2A", "ACT_EST_MAPPING=PRECISE", "FS=MRC", "CURRENCY=USD", "XLFILL=b")</f>
        <v>27.786088257292445</v>
      </c>
      <c r="M234" s="9">
        <f>_xll.BQL("JBLU US Equity", "FA_GROWTH(BS_CUR_LIAB, YOY)", "FPT=A", "FPO=-3A", "ACT_EST_MAPPING=PRECISE", "FS=MRC", "CURRENCY=USD", "XLFILL=b")</f>
        <v>0.41306796845662785</v>
      </c>
      <c r="N234" s="9">
        <f>_xll.BQL("JBLU US Equity", "FA_GROWTH(BS_CUR_LIAB, YOY)", "FPT=A", "FPO=-4A", "ACT_EST_MAPPING=PRECISE", "FS=MRC", "CURRENCY=USD", "XLFILL=b")</f>
        <v>5.4653465346534658</v>
      </c>
    </row>
    <row r="235" spans="1:14" x14ac:dyDescent="0.2">
      <c r="A235" s="8" t="s">
        <v>253</v>
      </c>
      <c r="B235" s="4" t="s">
        <v>254</v>
      </c>
      <c r="C235" s="4" t="s">
        <v>255</v>
      </c>
      <c r="D235" s="4"/>
      <c r="E235" s="9">
        <f>_xll.BQL("JBLU US Equity", "BS_ACCT_PAYABLE/1M", "FPT=A", "FPO=5A", "ACT_EST_MAPPING=PRECISE", "FS=MRC", "CURRENCY=USD", "XLFILL=b")</f>
        <v>902.40000000000009</v>
      </c>
      <c r="F235" s="9">
        <f>_xll.BQL("JBLU US Equity", "BS_ACCT_PAYABLE/1M", "FPT=A", "FPO=4A", "ACT_EST_MAPPING=PRECISE", "FS=MRC", "CURRENCY=USD", "XLFILL=b")</f>
        <v>838.80000000000007</v>
      </c>
      <c r="G235" s="9">
        <f>_xll.BQL("JBLU US Equity", "BS_ACCT_PAYABLE/1M", "FPT=A", "FPO=3A", "ACT_EST_MAPPING=PRECISE", "FS=MRC", "CURRENCY=USD", "XLFILL=b")</f>
        <v>640.72853378168816</v>
      </c>
      <c r="H235" s="9">
        <f>_xll.BQL("JBLU US Equity", "BS_ACCT_PAYABLE/1M", "FPT=A", "FPO=2A", "ACT_EST_MAPPING=PRECISE", "FS=MRC", "CURRENCY=USD", "XLFILL=b")</f>
        <v>619.01447715724294</v>
      </c>
      <c r="I235" s="9">
        <f>_xll.BQL("JBLU US Equity", "BS_ACCT_PAYABLE/1M", "FPT=A", "FPO=1A", "ACT_EST_MAPPING=PRECISE", "FS=MRC", "CURRENCY=USD", "XLFILL=b")</f>
        <v>623.17597122669463</v>
      </c>
      <c r="J235" s="9">
        <f>_xll.BQL("JBLU US Equity", "BS_ACCT_PAYABLE/1M", "FPT=A", "FPO=0A", "ACT_EST_MAPPING=PRECISE", "FS=MRC", "CURRENCY=USD", "XLFILL=b")</f>
        <v>641</v>
      </c>
      <c r="K235" s="9">
        <f>_xll.BQL("JBLU US Equity", "BS_ACCT_PAYABLE/1M", "FPT=A", "FPO=-1A", "ACT_EST_MAPPING=PRECISE", "FS=MRC", "CURRENCY=USD", "XLFILL=b")</f>
        <v>532</v>
      </c>
      <c r="L235" s="9">
        <f>_xll.BQL("JBLU US Equity", "BS_ACCT_PAYABLE/1M", "FPT=A", "FPO=-2A", "ACT_EST_MAPPING=PRECISE", "FS=MRC", "CURRENCY=USD", "XLFILL=b")</f>
        <v>499</v>
      </c>
      <c r="M235" s="9">
        <f>_xll.BQL("JBLU US Equity", "BS_ACCT_PAYABLE/1M", "FPT=A", "FPO=-3A", "ACT_EST_MAPPING=PRECISE", "FS=MRC", "CURRENCY=USD", "XLFILL=b")</f>
        <v>365</v>
      </c>
      <c r="N235" s="9">
        <f>_xll.BQL("JBLU US Equity", "BS_ACCT_PAYABLE/1M", "FPT=A", "FPO=-4A", "ACT_EST_MAPPING=PRECISE", "FS=MRC", "CURRENCY=USD", "XLFILL=b")</f>
        <v>401</v>
      </c>
    </row>
    <row r="236" spans="1:14" x14ac:dyDescent="0.2">
      <c r="A236" s="8" t="s">
        <v>96</v>
      </c>
      <c r="B236" s="4" t="s">
        <v>254</v>
      </c>
      <c r="C236" s="4" t="s">
        <v>255</v>
      </c>
      <c r="D236" s="4"/>
      <c r="E236" s="9">
        <f>_xll.BQL("JBLU US Equity", "FA_GROWTH(BS_ACCT_PAYABLE, YOY)", "FPT=A", "FPO=5A", "ACT_EST_MAPPING=PRECISE", "FS=MRC", "CURRENCY=USD", "XLFILL=b")</f>
        <v>7.5822603719599417</v>
      </c>
      <c r="F236" s="9">
        <f>_xll.BQL("JBLU US Equity", "FA_GROWTH(BS_ACCT_PAYABLE, YOY)", "FPT=A", "FPO=4A", "ACT_EST_MAPPING=PRECISE", "FS=MRC", "CURRENCY=USD", "XLFILL=b")</f>
        <v>30.913476733939195</v>
      </c>
      <c r="G236" s="9">
        <f>_xll.BQL("JBLU US Equity", "FA_GROWTH(BS_ACCT_PAYABLE, YOY)", "FPT=A", "FPO=3A", "ACT_EST_MAPPING=PRECISE", "FS=MRC", "CURRENCY=USD", "XLFILL=b")</f>
        <v>3.507843099916625</v>
      </c>
      <c r="H236" s="9">
        <f>_xll.BQL("JBLU US Equity", "FA_GROWTH(BS_ACCT_PAYABLE, YOY)", "FPT=A", "FPO=2A", "ACT_EST_MAPPING=PRECISE", "FS=MRC", "CURRENCY=USD", "XLFILL=b")</f>
        <v>-0.66778795422101578</v>
      </c>
      <c r="I236" s="9">
        <f>_xll.BQL("JBLU US Equity", "FA_GROWTH(BS_ACCT_PAYABLE, YOY)", "FPT=A", "FPO=1A", "ACT_EST_MAPPING=PRECISE", "FS=MRC", "CURRENCY=USD", "XLFILL=b")</f>
        <v>-2.780659715024246</v>
      </c>
      <c r="J236" s="9">
        <f>_xll.BQL("JBLU US Equity", "FA_GROWTH(BS_ACCT_PAYABLE, YOY)", "FPT=A", "FPO=0A", "ACT_EST_MAPPING=PRECISE", "FS=MRC", "CURRENCY=USD", "XLFILL=b")</f>
        <v>20.488721804511279</v>
      </c>
      <c r="K236" s="9">
        <f>_xll.BQL("JBLU US Equity", "FA_GROWTH(BS_ACCT_PAYABLE, YOY)", "FPT=A", "FPO=-1A", "ACT_EST_MAPPING=PRECISE", "FS=MRC", "CURRENCY=USD", "XLFILL=b")</f>
        <v>6.6132264529058116</v>
      </c>
      <c r="L236" s="9">
        <f>_xll.BQL("JBLU US Equity", "FA_GROWTH(BS_ACCT_PAYABLE, YOY)", "FPT=A", "FPO=-2A", "ACT_EST_MAPPING=PRECISE", "FS=MRC", "CURRENCY=USD", "XLFILL=b")</f>
        <v>36.712328767123289</v>
      </c>
      <c r="M236" s="9">
        <f>_xll.BQL("JBLU US Equity", "FA_GROWTH(BS_ACCT_PAYABLE, YOY)", "FPT=A", "FPO=-3A", "ACT_EST_MAPPING=PRECISE", "FS=MRC", "CURRENCY=USD", "XLFILL=b")</f>
        <v>-8.9775561097256862</v>
      </c>
      <c r="N236" s="9">
        <f>_xll.BQL("JBLU US Equity", "FA_GROWTH(BS_ACCT_PAYABLE, YOY)", "FPT=A", "FPO=-4A", "ACT_EST_MAPPING=PRECISE", "FS=MRC", "CURRENCY=USD", "XLFILL=b")</f>
        <v>-8.2379862700228834</v>
      </c>
    </row>
    <row r="237" spans="1:14" x14ac:dyDescent="0.2">
      <c r="A237" s="8" t="s">
        <v>256</v>
      </c>
      <c r="B237" s="4" t="s">
        <v>257</v>
      </c>
      <c r="C237" s="4"/>
      <c r="D237" s="4"/>
      <c r="E237" s="9">
        <f>_xll.BQL("JBLU US Equity", "BS_ACCRUAL/1M", "FPT=A", "FPO=5A", "ACT_EST_MAPPING=PRECISE", "FS=MRC", "CURRENCY=USD", "XLFILL=b")</f>
        <v>1472.4</v>
      </c>
      <c r="F237" s="9">
        <f>_xll.BQL("JBLU US Equity", "BS_ACCRUAL/1M", "FPT=A", "FPO=4A", "ACT_EST_MAPPING=PRECISE", "FS=MRC", "CURRENCY=USD", "XLFILL=b")</f>
        <v>1398.4</v>
      </c>
      <c r="G237" s="9">
        <f>_xll.BQL("JBLU US Equity", "BS_ACCRUAL/1M", "FPT=A", "FPO=3A", "ACT_EST_MAPPING=PRECISE", "FS=MRC", "CURRENCY=USD", "XLFILL=b")</f>
        <v>1360.7268189253641</v>
      </c>
      <c r="H237" s="9">
        <f>_xll.BQL("JBLU US Equity", "BS_ACCRUAL/1M", "FPT=A", "FPO=2A", "ACT_EST_MAPPING=PRECISE", "FS=MRC", "CURRENCY=USD", "XLFILL=b")</f>
        <v>1283.7575598428125</v>
      </c>
      <c r="I237" s="9">
        <f>_xll.BQL("JBLU US Equity", "BS_ACCRUAL/1M", "FPT=A", "FPO=1A", "ACT_EST_MAPPING=PRECISE", "FS=MRC", "CURRENCY=USD", "XLFILL=b")</f>
        <v>1098.30236759185</v>
      </c>
      <c r="J237" s="9">
        <f>_xll.BQL("JBLU US Equity", "BS_ACCRUAL/1M", "FPT=A", "FPO=0A", "ACT_EST_MAPPING=PRECISE", "FS=MRC", "CURRENCY=USD", "XLFILL=b")</f>
        <v>1100</v>
      </c>
      <c r="K237" s="9">
        <f>_xll.BQL("JBLU US Equity", "BS_ACCRUAL/1M", "FPT=A", "FPO=-1A", "ACT_EST_MAPPING=PRECISE", "FS=MRC", "CURRENCY=USD", "XLFILL=b")</f>
        <v>984</v>
      </c>
      <c r="L237" s="9">
        <f>_xll.BQL("JBLU US Equity", "BS_ACCRUAL/1M", "FPT=A", "FPO=-2A", "ACT_EST_MAPPING=PRECISE", "FS=MRC", "CURRENCY=USD", "XLFILL=b")</f>
        <v>839</v>
      </c>
      <c r="M237" s="9">
        <f>_xll.BQL("JBLU US Equity", "BS_ACCRUAL/1M", "FPT=A", "FPO=-3A", "ACT_EST_MAPPING=PRECISE", "FS=MRC", "CURRENCY=USD", "XLFILL=b")</f>
        <v>624</v>
      </c>
      <c r="N237" s="9">
        <f>_xll.BQL("JBLU US Equity", "BS_ACCRUAL/1M", "FPT=A", "FPO=-4A", "ACT_EST_MAPPING=PRECISE", "FS=MRC", "CURRENCY=USD", "XLFILL=b")</f>
        <v>671</v>
      </c>
    </row>
    <row r="238" spans="1:14" x14ac:dyDescent="0.2">
      <c r="A238" s="8" t="s">
        <v>96</v>
      </c>
      <c r="B238" s="4" t="s">
        <v>257</v>
      </c>
      <c r="C238" s="4"/>
      <c r="D238" s="4"/>
      <c r="E238" s="9">
        <f>_xll.BQL("JBLU US Equity", "FA_GROWTH(BS_ACCRUAL, YOY)", "FPT=A", "FPO=5A", "ACT_EST_MAPPING=PRECISE", "FS=MRC", "CURRENCY=USD", "XLFILL=b")</f>
        <v>5.2917620137299775</v>
      </c>
      <c r="F238" s="9">
        <f>_xll.BQL("JBLU US Equity", "FA_GROWTH(BS_ACCRUAL, YOY)", "FPT=A", "FPO=4A", "ACT_EST_MAPPING=PRECISE", "FS=MRC", "CURRENCY=USD", "XLFILL=b")</f>
        <v>2.7686072289211165</v>
      </c>
      <c r="G238" s="9">
        <f>_xll.BQL("JBLU US Equity", "FA_GROWTH(BS_ACCRUAL, YOY)", "FPT=A", "FPO=3A", "ACT_EST_MAPPING=PRECISE", "FS=MRC", "CURRENCY=USD", "XLFILL=b")</f>
        <v>5.995622654169674</v>
      </c>
      <c r="H238" s="9">
        <f>_xll.BQL("JBLU US Equity", "FA_GROWTH(BS_ACCRUAL, YOY)", "FPT=A", "FPO=2A", "ACT_EST_MAPPING=PRECISE", "FS=MRC", "CURRENCY=USD", "XLFILL=b")</f>
        <v>16.885622550153798</v>
      </c>
      <c r="I238" s="9">
        <f>_xll.BQL("JBLU US Equity", "FA_GROWTH(BS_ACCRUAL, YOY)", "FPT=A", "FPO=1A", "ACT_EST_MAPPING=PRECISE", "FS=MRC", "CURRENCY=USD", "XLFILL=b")</f>
        <v>-0.15433021892272342</v>
      </c>
      <c r="J238" s="9">
        <f>_xll.BQL("JBLU US Equity", "FA_GROWTH(BS_ACCRUAL, YOY)", "FPT=A", "FPO=0A", "ACT_EST_MAPPING=PRECISE", "FS=MRC", "CURRENCY=USD", "XLFILL=b")</f>
        <v>11.788617886178862</v>
      </c>
      <c r="K238" s="9">
        <f>_xll.BQL("JBLU US Equity", "FA_GROWTH(BS_ACCRUAL, YOY)", "FPT=A", "FPO=-1A", "ACT_EST_MAPPING=PRECISE", "FS=MRC", "CURRENCY=USD", "XLFILL=b")</f>
        <v>17.28247914183552</v>
      </c>
      <c r="L238" s="9">
        <f>_xll.BQL("JBLU US Equity", "FA_GROWTH(BS_ACCRUAL, YOY)", "FPT=A", "FPO=-2A", "ACT_EST_MAPPING=PRECISE", "FS=MRC", "CURRENCY=USD", "XLFILL=b")</f>
        <v>34.455128205128204</v>
      </c>
      <c r="M238" s="9">
        <f>_xll.BQL("JBLU US Equity", "FA_GROWTH(BS_ACCRUAL, YOY)", "FPT=A", "FPO=-3A", "ACT_EST_MAPPING=PRECISE", "FS=MRC", "CURRENCY=USD", "XLFILL=b")</f>
        <v>-7.0044709388971684</v>
      </c>
      <c r="N238" s="9">
        <f>_xll.BQL("JBLU US Equity", "FA_GROWTH(BS_ACCRUAL, YOY)", "FPT=A", "FPO=-4A", "ACT_EST_MAPPING=PRECISE", "FS=MRC", "CURRENCY=USD", "XLFILL=b")</f>
        <v>9.8199672667757767</v>
      </c>
    </row>
    <row r="239" spans="1:14" x14ac:dyDescent="0.2">
      <c r="A239" s="8" t="s">
        <v>258</v>
      </c>
      <c r="B239" s="4" t="s">
        <v>259</v>
      </c>
      <c r="C239" s="4"/>
      <c r="D239" s="4"/>
      <c r="E239" s="9" t="str">
        <f>_xll.BQL("JBLU US Equity", "BS_ST_ACC_CMPNSTN_POSTRET_OBLIG/1M", "FPT=A", "FPO=5A", "ACT_EST_MAPPING=PRECISE", "FS=MRC", "CURRENCY=USD", "XLFILL=b")</f>
        <v/>
      </c>
      <c r="F239" s="9" t="str">
        <f>_xll.BQL("JBLU US Equity", "BS_ST_ACC_CMPNSTN_POSTRET_OBLIG/1M", "FPT=A", "FPO=4A", "ACT_EST_MAPPING=PRECISE", "FS=MRC", "CURRENCY=USD", "XLFILL=b")</f>
        <v/>
      </c>
      <c r="G239" s="9">
        <f>_xll.BQL("JBLU US Equity", "BS_ST_ACC_CMPNSTN_POSTRET_OBLIG/1M", "FPT=A", "FPO=3A", "ACT_EST_MAPPING=PRECISE", "FS=MRC", "CURRENCY=USD", "XLFILL=b")</f>
        <v>574.92818007780295</v>
      </c>
      <c r="H239" s="9">
        <f>_xll.BQL("JBLU US Equity", "BS_ST_ACC_CMPNSTN_POSTRET_OBLIG/1M", "FPT=A", "FPO=2A", "ACT_EST_MAPPING=PRECISE", "FS=MRC", "CURRENCY=USD", "XLFILL=b")</f>
        <v>594.394803201184</v>
      </c>
      <c r="I239" s="9">
        <f>_xll.BQL("JBLU US Equity", "BS_ST_ACC_CMPNSTN_POSTRET_OBLIG/1M", "FPT=A", "FPO=1A", "ACT_EST_MAPPING=PRECISE", "FS=MRC", "CURRENCY=USD", "XLFILL=b")</f>
        <v>597.53714910322719</v>
      </c>
      <c r="J239" s="9">
        <f>_xll.BQL("JBLU US Equity", "BS_ST_ACC_CMPNSTN_POSTRET_OBLIG/1M", "FPT=A", "FPO=0A", "ACT_EST_MAPPING=PRECISE", "FS=MRC", "CURRENCY=USD", "XLFILL=b")</f>
        <v>591</v>
      </c>
      <c r="K239" s="9">
        <f>_xll.BQL("JBLU US Equity", "BS_ST_ACC_CMPNSTN_POSTRET_OBLIG/1M", "FPT=A", "FPO=-1A", "ACT_EST_MAPPING=PRECISE", "FS=MRC", "CURRENCY=USD", "XLFILL=b")</f>
        <v>498</v>
      </c>
      <c r="L239" s="9">
        <f>_xll.BQL("JBLU US Equity", "BS_ST_ACC_CMPNSTN_POSTRET_OBLIG/1M", "FPT=A", "FPO=-2A", "ACT_EST_MAPPING=PRECISE", "FS=MRC", "CURRENCY=USD", "XLFILL=b")</f>
        <v>480</v>
      </c>
      <c r="M239" s="9">
        <f>_xll.BQL("JBLU US Equity", "BS_ST_ACC_CMPNSTN_POSTRET_OBLIG/1M", "FPT=A", "FPO=-3A", "ACT_EST_MAPPING=PRECISE", "FS=MRC", "CURRENCY=USD", "XLFILL=b")</f>
        <v>409</v>
      </c>
      <c r="N239" s="9">
        <f>_xll.BQL("JBLU US Equity", "BS_ST_ACC_CMPNSTN_POSTRET_OBLIG/1M", "FPT=A", "FPO=-4A", "ACT_EST_MAPPING=PRECISE", "FS=MRC", "CURRENCY=USD", "XLFILL=b")</f>
        <v>376</v>
      </c>
    </row>
    <row r="240" spans="1:14" x14ac:dyDescent="0.2">
      <c r="A240" s="8" t="s">
        <v>96</v>
      </c>
      <c r="B240" s="4" t="s">
        <v>259</v>
      </c>
      <c r="C240" s="4"/>
      <c r="D240" s="4"/>
      <c r="E240" s="9" t="str">
        <f>_xll.BQL("JBLU US Equity", "FA_GROWTH(BS_ST_ACC_CMPNSTN_POSTRET_OBLIG, YOY)", "FPT=A", "FPO=5A", "ACT_EST_MAPPING=PRECISE", "FS=MRC", "CURRENCY=USD", "XLFILL=b")</f>
        <v/>
      </c>
      <c r="F240" s="9" t="str">
        <f>_xll.BQL("JBLU US Equity", "FA_GROWTH(BS_ST_ACC_CMPNSTN_POSTRET_OBLIG, YOY)", "FPT=A", "FPO=4A", "ACT_EST_MAPPING=PRECISE", "FS=MRC", "CURRENCY=USD", "XLFILL=b")</f>
        <v/>
      </c>
      <c r="G240" s="9">
        <f>_xll.BQL("JBLU US Equity", "FA_GROWTH(BS_ST_ACC_CMPNSTN_POSTRET_OBLIG, YOY)", "FPT=A", "FPO=3A", "ACT_EST_MAPPING=PRECISE", "FS=MRC", "CURRENCY=USD", "XLFILL=b")</f>
        <v>-3.2750325235922859</v>
      </c>
      <c r="H240" s="9">
        <f>_xll.BQL("JBLU US Equity", "FA_GROWTH(BS_ST_ACC_CMPNSTN_POSTRET_OBLIG, YOY)", "FPT=A", "FPO=2A", "ACT_EST_MAPPING=PRECISE", "FS=MRC", "CURRENCY=USD", "XLFILL=b")</f>
        <v>-0.52588293577379741</v>
      </c>
      <c r="I240" s="9">
        <f>_xll.BQL("JBLU US Equity", "FA_GROWTH(BS_ST_ACC_CMPNSTN_POSTRET_OBLIG, YOY)", "FPT=A", "FPO=1A", "ACT_EST_MAPPING=PRECISE", "FS=MRC", "CURRENCY=USD", "XLFILL=b")</f>
        <v>1.1061165995308186</v>
      </c>
      <c r="J240" s="9">
        <f>_xll.BQL("JBLU US Equity", "FA_GROWTH(BS_ST_ACC_CMPNSTN_POSTRET_OBLIG, YOY)", "FPT=A", "FPO=0A", "ACT_EST_MAPPING=PRECISE", "FS=MRC", "CURRENCY=USD", "XLFILL=b")</f>
        <v>18.674698795180724</v>
      </c>
      <c r="K240" s="9">
        <f>_xll.BQL("JBLU US Equity", "FA_GROWTH(BS_ST_ACC_CMPNSTN_POSTRET_OBLIG, YOY)", "FPT=A", "FPO=-1A", "ACT_EST_MAPPING=PRECISE", "FS=MRC", "CURRENCY=USD", "XLFILL=b")</f>
        <v>3.75</v>
      </c>
      <c r="L240" s="9">
        <f>_xll.BQL("JBLU US Equity", "FA_GROWTH(BS_ST_ACC_CMPNSTN_POSTRET_OBLIG, YOY)", "FPT=A", "FPO=-2A", "ACT_EST_MAPPING=PRECISE", "FS=MRC", "CURRENCY=USD", "XLFILL=b")</f>
        <v>17.359413202933986</v>
      </c>
      <c r="M240" s="9">
        <f>_xll.BQL("JBLU US Equity", "FA_GROWTH(BS_ST_ACC_CMPNSTN_POSTRET_OBLIG, YOY)", "FPT=A", "FPO=-3A", "ACT_EST_MAPPING=PRECISE", "FS=MRC", "CURRENCY=USD", "XLFILL=b")</f>
        <v>8.7765957446808507</v>
      </c>
      <c r="N240" s="9">
        <f>_xll.BQL("JBLU US Equity", "FA_GROWTH(BS_ST_ACC_CMPNSTN_POSTRET_OBLIG, YOY)", "FPT=A", "FPO=-4A", "ACT_EST_MAPPING=PRECISE", "FS=MRC", "CURRENCY=USD", "XLFILL=b")</f>
        <v>20.12779552715655</v>
      </c>
    </row>
    <row r="241" spans="1:14" x14ac:dyDescent="0.2">
      <c r="A241" s="8" t="s">
        <v>260</v>
      </c>
      <c r="B241" s="4" t="s">
        <v>261</v>
      </c>
      <c r="C241" s="4"/>
      <c r="D241" s="4"/>
      <c r="E241" s="9" t="str">
        <f>_xll.BQL("JBLU US Equity", "BS_SHORTTERM_ACCRUD_EXPNSS/1M", "FPT=A", "FPO=5A", "ACT_EST_MAPPING=PRECISE", "FS=MRC", "CURRENCY=USD", "XLFILL=b")</f>
        <v/>
      </c>
      <c r="F241" s="9" t="str">
        <f>_xll.BQL("JBLU US Equity", "BS_SHORTTERM_ACCRUD_EXPNSS/1M", "FPT=A", "FPO=4A", "ACT_EST_MAPPING=PRECISE", "FS=MRC", "CURRENCY=USD", "XLFILL=b")</f>
        <v/>
      </c>
      <c r="G241" s="9">
        <f>_xll.BQL("JBLU US Equity", "BS_SHORTTERM_ACCRUD_EXPNSS/1M", "FPT=A", "FPO=3A", "ACT_EST_MAPPING=PRECISE", "FS=MRC", "CURRENCY=USD", "XLFILL=b")</f>
        <v>506.35475298389014</v>
      </c>
      <c r="H241" s="9">
        <f>_xll.BQL("JBLU US Equity", "BS_SHORTTERM_ACCRUD_EXPNSS/1M", "FPT=A", "FPO=2A", "ACT_EST_MAPPING=PRECISE", "FS=MRC", "CURRENCY=USD", "XLFILL=b")</f>
        <v>509.17019740043304</v>
      </c>
      <c r="I241" s="9">
        <f>_xll.BQL("JBLU US Equity", "BS_SHORTTERM_ACCRUD_EXPNSS/1M", "FPT=A", "FPO=1A", "ACT_EST_MAPPING=PRECISE", "FS=MRC", "CURRENCY=USD", "XLFILL=b")</f>
        <v>518.12269524517308</v>
      </c>
      <c r="J241" s="9">
        <f>_xll.BQL("JBLU US Equity", "BS_SHORTTERM_ACCRUD_EXPNSS/1M", "FPT=A", "FPO=0A", "ACT_EST_MAPPING=PRECISE", "FS=MRC", "CURRENCY=USD", "XLFILL=b")</f>
        <v>509</v>
      </c>
      <c r="K241" s="9">
        <f>_xll.BQL("JBLU US Equity", "BS_SHORTTERM_ACCRUD_EXPNSS/1M", "FPT=A", "FPO=-1A", "ACT_EST_MAPPING=PRECISE", "FS=MRC", "CURRENCY=USD", "XLFILL=b")</f>
        <v>486</v>
      </c>
      <c r="L241" s="9">
        <f>_xll.BQL("JBLU US Equity", "BS_SHORTTERM_ACCRUD_EXPNSS/1M", "FPT=A", "FPO=-2A", "ACT_EST_MAPPING=PRECISE", "FS=MRC", "CURRENCY=USD", "XLFILL=b")</f>
        <v>359</v>
      </c>
      <c r="M241" s="9">
        <f>_xll.BQL("JBLU US Equity", "BS_SHORTTERM_ACCRUD_EXPNSS/1M", "FPT=A", "FPO=-3A", "ACT_EST_MAPPING=PRECISE", "FS=MRC", "CURRENCY=USD", "XLFILL=b")</f>
        <v>215</v>
      </c>
      <c r="N241" s="9">
        <f>_xll.BQL("JBLU US Equity", "BS_SHORTTERM_ACCRUD_EXPNSS/1M", "FPT=A", "FPO=-4A", "ACT_EST_MAPPING=PRECISE", "FS=MRC", "CURRENCY=USD", "XLFILL=b")</f>
        <v>295</v>
      </c>
    </row>
    <row r="242" spans="1:14" x14ac:dyDescent="0.2">
      <c r="A242" s="8" t="s">
        <v>96</v>
      </c>
      <c r="B242" s="4" t="s">
        <v>261</v>
      </c>
      <c r="C242" s="4"/>
      <c r="D242" s="4"/>
      <c r="E242" s="9" t="str">
        <f>_xll.BQL("JBLU US Equity", "FA_GROWTH(BS_SHORTTERM_ACCRUD_EXPNSS, YOY)", "FPT=A", "FPO=5A", "ACT_EST_MAPPING=PRECISE", "FS=MRC", "CURRENCY=USD", "XLFILL=b")</f>
        <v/>
      </c>
      <c r="F242" s="9" t="str">
        <f>_xll.BQL("JBLU US Equity", "FA_GROWTH(BS_SHORTTERM_ACCRUD_EXPNSS, YOY)", "FPT=A", "FPO=4A", "ACT_EST_MAPPING=PRECISE", "FS=MRC", "CURRENCY=USD", "XLFILL=b")</f>
        <v/>
      </c>
      <c r="G242" s="9">
        <f>_xll.BQL("JBLU US Equity", "FA_GROWTH(BS_SHORTTERM_ACCRUD_EXPNSS, YOY)", "FPT=A", "FPO=3A", "ACT_EST_MAPPING=PRECISE", "FS=MRC", "CURRENCY=USD", "XLFILL=b")</f>
        <v>-0.55294760591197023</v>
      </c>
      <c r="H242" s="9">
        <f>_xll.BQL("JBLU US Equity", "FA_GROWTH(BS_SHORTTERM_ACCRUD_EXPNSS, YOY)", "FPT=A", "FPO=2A", "ACT_EST_MAPPING=PRECISE", "FS=MRC", "CURRENCY=USD", "XLFILL=b")</f>
        <v>-1.7278721675188837</v>
      </c>
      <c r="I242" s="9">
        <f>_xll.BQL("JBLU US Equity", "FA_GROWTH(BS_SHORTTERM_ACCRUD_EXPNSS, YOY)", "FPT=A", "FPO=1A", "ACT_EST_MAPPING=PRECISE", "FS=MRC", "CURRENCY=USD", "XLFILL=b")</f>
        <v>1.7922780442383295</v>
      </c>
      <c r="J242" s="9">
        <f>_xll.BQL("JBLU US Equity", "FA_GROWTH(BS_SHORTTERM_ACCRUD_EXPNSS, YOY)", "FPT=A", "FPO=0A", "ACT_EST_MAPPING=PRECISE", "FS=MRC", "CURRENCY=USD", "XLFILL=b")</f>
        <v>4.7325102880658436</v>
      </c>
      <c r="K242" s="9">
        <f>_xll.BQL("JBLU US Equity", "FA_GROWTH(BS_SHORTTERM_ACCRUD_EXPNSS, YOY)", "FPT=A", "FPO=-1A", "ACT_EST_MAPPING=PRECISE", "FS=MRC", "CURRENCY=USD", "XLFILL=b")</f>
        <v>35.376044568245128</v>
      </c>
      <c r="L242" s="9">
        <f>_xll.BQL("JBLU US Equity", "FA_GROWTH(BS_SHORTTERM_ACCRUD_EXPNSS, YOY)", "FPT=A", "FPO=-2A", "ACT_EST_MAPPING=PRECISE", "FS=MRC", "CURRENCY=USD", "XLFILL=b")</f>
        <v>66.976744186046517</v>
      </c>
      <c r="M242" s="9">
        <f>_xll.BQL("JBLU US Equity", "FA_GROWTH(BS_SHORTTERM_ACCRUD_EXPNSS, YOY)", "FPT=A", "FPO=-3A", "ACT_EST_MAPPING=PRECISE", "FS=MRC", "CURRENCY=USD", "XLFILL=b")</f>
        <v>-27.118644067796609</v>
      </c>
      <c r="N242" s="9">
        <f>_xll.BQL("JBLU US Equity", "FA_GROWTH(BS_SHORTTERM_ACCRUD_EXPNSS, YOY)", "FPT=A", "FPO=-4A", "ACT_EST_MAPPING=PRECISE", "FS=MRC", "CURRENCY=USD", "XLFILL=b")</f>
        <v>-1.0067114093959733</v>
      </c>
    </row>
    <row r="243" spans="1:14" x14ac:dyDescent="0.2">
      <c r="A243" s="8" t="s">
        <v>262</v>
      </c>
      <c r="B243" s="4" t="s">
        <v>263</v>
      </c>
      <c r="C243" s="4" t="s">
        <v>264</v>
      </c>
      <c r="D243" s="4"/>
      <c r="E243" s="9">
        <f>_xll.BQL("JBLU US Equity", "ST_DEFERRED_REVENUE/1M", "FPT=A", "FPO=5A", "ACT_EST_MAPPING=PRECISE", "FS=MRC", "CURRENCY=USD", "XLFILL=b")</f>
        <v>1494.0000000000009</v>
      </c>
      <c r="F243" s="9">
        <f>_xll.BQL("JBLU US Equity", "ST_DEFERRED_REVENUE/1M", "FPT=A", "FPO=4A", "ACT_EST_MAPPING=PRECISE", "FS=MRC", "CURRENCY=USD", "XLFILL=b")</f>
        <v>1441.2000000000007</v>
      </c>
      <c r="G243" s="9">
        <f>_xll.BQL("JBLU US Equity", "ST_DEFERRED_REVENUE/1M", "FPT=A", "FPO=3A", "ACT_EST_MAPPING=PRECISE", "FS=MRC", "CURRENCY=USD", "XLFILL=b")</f>
        <v>1507.7564026914761</v>
      </c>
      <c r="H243" s="9">
        <f>_xll.BQL("JBLU US Equity", "ST_DEFERRED_REVENUE/1M", "FPT=A", "FPO=2A", "ACT_EST_MAPPING=PRECISE", "FS=MRC", "CURRENCY=USD", "XLFILL=b")</f>
        <v>1611.5575501462474</v>
      </c>
      <c r="I243" s="9">
        <f>_xll.BQL("JBLU US Equity", "ST_DEFERRED_REVENUE/1M", "FPT=A", "FPO=1A", "ACT_EST_MAPPING=PRECISE", "FS=MRC", "CURRENCY=USD", "XLFILL=b")</f>
        <v>1501.6422728965333</v>
      </c>
      <c r="J243" s="9">
        <f>_xll.BQL("JBLU US Equity", "ST_DEFERRED_REVENUE/1M", "FPT=A", "FPO=0A", "ACT_EST_MAPPING=PRECISE", "FS=MRC", "CURRENCY=USD", "XLFILL=b")</f>
        <v>1463</v>
      </c>
      <c r="K243" s="9">
        <f>_xll.BQL("JBLU US Equity", "ST_DEFERRED_REVENUE/1M", "FPT=A", "FPO=-1A", "ACT_EST_MAPPING=PRECISE", "FS=MRC", "CURRENCY=USD", "XLFILL=b")</f>
        <v>1581</v>
      </c>
      <c r="L243" s="9">
        <f>_xll.BQL("JBLU US Equity", "ST_DEFERRED_REVENUE/1M", "FPT=A", "FPO=-2A", "ACT_EST_MAPPING=PRECISE", "FS=MRC", "CURRENCY=USD", "XLFILL=b")</f>
        <v>1618</v>
      </c>
      <c r="M243" s="9">
        <f>_xll.BQL("JBLU US Equity", "ST_DEFERRED_REVENUE/1M", "FPT=A", "FPO=-3A", "ACT_EST_MAPPING=PRECISE", "FS=MRC", "CURRENCY=USD", "XLFILL=b")</f>
        <v>1122</v>
      </c>
      <c r="N243" s="9">
        <f>_xll.BQL("JBLU US Equity", "ST_DEFERRED_REVENUE/1M", "FPT=A", "FPO=-4A", "ACT_EST_MAPPING=PRECISE", "FS=MRC", "CURRENCY=USD", "XLFILL=b")</f>
        <v>1119</v>
      </c>
    </row>
    <row r="244" spans="1:14" x14ac:dyDescent="0.2">
      <c r="A244" s="8" t="s">
        <v>96</v>
      </c>
      <c r="B244" s="4" t="s">
        <v>263</v>
      </c>
      <c r="C244" s="4" t="s">
        <v>264</v>
      </c>
      <c r="D244" s="4"/>
      <c r="E244" s="9">
        <f>_xll.BQL("JBLU US Equity", "FA_GROWTH(ST_DEFERRED_REVENUE, YOY)", "FPT=A", "FPO=5A", "ACT_EST_MAPPING=PRECISE", "FS=MRC", "CURRENCY=USD", "XLFILL=b")</f>
        <v>3.6636136552872753</v>
      </c>
      <c r="F244" s="9">
        <f>_xll.BQL("JBLU US Equity", "FA_GROWTH(ST_DEFERRED_REVENUE, YOY)", "FPT=A", "FPO=4A", "ACT_EST_MAPPING=PRECISE", "FS=MRC", "CURRENCY=USD", "XLFILL=b")</f>
        <v>-4.4142676212594045</v>
      </c>
      <c r="G244" s="9">
        <f>_xll.BQL("JBLU US Equity", "FA_GROWTH(ST_DEFERRED_REVENUE, YOY)", "FPT=A", "FPO=3A", "ACT_EST_MAPPING=PRECISE", "FS=MRC", "CURRENCY=USD", "XLFILL=b")</f>
        <v>-6.4410450278583848</v>
      </c>
      <c r="H244" s="9">
        <f>_xll.BQL("JBLU US Equity", "FA_GROWTH(ST_DEFERRED_REVENUE, YOY)", "FPT=A", "FPO=2A", "ACT_EST_MAPPING=PRECISE", "FS=MRC", "CURRENCY=USD", "XLFILL=b")</f>
        <v>7.3196712182121386</v>
      </c>
      <c r="I244" s="9">
        <f>_xll.BQL("JBLU US Equity", "FA_GROWTH(ST_DEFERRED_REVENUE, YOY)", "FPT=A", "FPO=1A", "ACT_EST_MAPPING=PRECISE", "FS=MRC", "CURRENCY=USD", "XLFILL=b")</f>
        <v>2.6413036839735646</v>
      </c>
      <c r="J244" s="9">
        <f>_xll.BQL("JBLU US Equity", "FA_GROWTH(ST_DEFERRED_REVENUE, YOY)", "FPT=A", "FPO=0A", "ACT_EST_MAPPING=PRECISE", "FS=MRC", "CURRENCY=USD", "XLFILL=b")</f>
        <v>-7.4636306135357371</v>
      </c>
      <c r="K244" s="9">
        <f>_xll.BQL("JBLU US Equity", "FA_GROWTH(ST_DEFERRED_REVENUE, YOY)", "FPT=A", "FPO=-1A", "ACT_EST_MAPPING=PRECISE", "FS=MRC", "CURRENCY=USD", "XLFILL=b")</f>
        <v>-2.2867737948084055</v>
      </c>
      <c r="L244" s="9">
        <f>_xll.BQL("JBLU US Equity", "FA_GROWTH(ST_DEFERRED_REVENUE, YOY)", "FPT=A", "FPO=-2A", "ACT_EST_MAPPING=PRECISE", "FS=MRC", "CURRENCY=USD", "XLFILL=b")</f>
        <v>44.206773618538321</v>
      </c>
      <c r="M244" s="9">
        <f>_xll.BQL("JBLU US Equity", "FA_GROWTH(ST_DEFERRED_REVENUE, YOY)", "FPT=A", "FPO=-3A", "ACT_EST_MAPPING=PRECISE", "FS=MRC", "CURRENCY=USD", "XLFILL=b")</f>
        <v>0.26809651474530832</v>
      </c>
      <c r="N244" s="9">
        <f>_xll.BQL("JBLU US Equity", "FA_GROWTH(ST_DEFERRED_REVENUE, YOY)", "FPT=A", "FPO=-4A", "ACT_EST_MAPPING=PRECISE", "FS=MRC", "CURRENCY=USD", "XLFILL=b")</f>
        <v>8.1159420289855078</v>
      </c>
    </row>
    <row r="245" spans="1:14" x14ac:dyDescent="0.2">
      <c r="A245" s="8" t="s">
        <v>265</v>
      </c>
      <c r="B245" s="4" t="s">
        <v>266</v>
      </c>
      <c r="C245" s="4" t="s">
        <v>267</v>
      </c>
      <c r="D245" s="4"/>
      <c r="E245" s="9">
        <f>_xll.BQL("JBLU US Equity", "CB_BS_CURRENT_PORTION_OF_LT_DEBT/1M", "FPT=A", "FPO=5A", "ACT_EST_MAPPING=PRECISE", "FS=MRC", "CURRENCY=USD", "XLFILL=b")</f>
        <v>354</v>
      </c>
      <c r="F245" s="9">
        <f>_xll.BQL("JBLU US Equity", "CB_BS_CURRENT_PORTION_OF_LT_DEBT/1M", "FPT=A", "FPO=4A", "ACT_EST_MAPPING=PRECISE", "FS=MRC", "CURRENCY=USD", "XLFILL=b")</f>
        <v>354</v>
      </c>
      <c r="G245" s="9">
        <f>_xll.BQL("JBLU US Equity", "CB_BS_CURRENT_PORTION_OF_LT_DEBT/1M", "FPT=A", "FPO=3A", "ACT_EST_MAPPING=PRECISE", "FS=MRC", "CURRENCY=USD", "XLFILL=b")</f>
        <v>361.18162282488214</v>
      </c>
      <c r="H245" s="9">
        <f>_xll.BQL("JBLU US Equity", "CB_BS_CURRENT_PORTION_OF_LT_DEBT/1M", "FPT=A", "FPO=2A", "ACT_EST_MAPPING=PRECISE", "FS=MRC", "CURRENCY=USD", "XLFILL=b")</f>
        <v>332.49969039236919</v>
      </c>
      <c r="I245" s="9">
        <f>_xll.BQL("JBLU US Equity", "CB_BS_CURRENT_PORTION_OF_LT_DEBT/1M", "FPT=A", "FPO=1A", "ACT_EST_MAPPING=PRECISE", "FS=MRC", "CURRENCY=USD", "XLFILL=b")</f>
        <v>345.94715783425193</v>
      </c>
      <c r="J245" s="9">
        <f>_xll.BQL("JBLU US Equity", "CB_BS_CURRENT_PORTION_OF_LT_DEBT/1M", "FPT=A", "FPO=0A", "ACT_EST_MAPPING=PRECISE", "FS=MRC", "CURRENCY=USD", "XLFILL=b")</f>
        <v>307</v>
      </c>
      <c r="K245" s="9">
        <f>_xll.BQL("JBLU US Equity", "CB_BS_CURRENT_PORTION_OF_LT_DEBT/1M", "FPT=A", "FPO=-1A", "ACT_EST_MAPPING=PRECISE", "FS=MRC", "CURRENCY=USD", "XLFILL=b")</f>
        <v>554</v>
      </c>
      <c r="L245" s="9">
        <f>_xll.BQL("JBLU US Equity", "CB_BS_CURRENT_PORTION_OF_LT_DEBT/1M", "FPT=A", "FPO=-2A", "ACT_EST_MAPPING=PRECISE", "FS=MRC", "CURRENCY=USD", "XLFILL=b")</f>
        <v>355</v>
      </c>
      <c r="M245" s="9">
        <f>_xll.BQL("JBLU US Equity", "CB_BS_CURRENT_PORTION_OF_LT_DEBT/1M", "FPT=A", "FPO=-3A", "ACT_EST_MAPPING=PRECISE", "FS=MRC", "CURRENCY=USD", "XLFILL=b")</f>
        <v>450</v>
      </c>
      <c r="N245" s="9">
        <f>_xll.BQL("JBLU US Equity", "CB_BS_CURRENT_PORTION_OF_LT_DEBT/1M", "FPT=A", "FPO=-4A", "ACT_EST_MAPPING=PRECISE", "FS=MRC", "CURRENCY=USD", "XLFILL=b")</f>
        <v>344</v>
      </c>
    </row>
    <row r="246" spans="1:14" x14ac:dyDescent="0.2">
      <c r="A246" s="8" t="s">
        <v>96</v>
      </c>
      <c r="B246" s="4" t="s">
        <v>266</v>
      </c>
      <c r="C246" s="4" t="s">
        <v>267</v>
      </c>
      <c r="D246" s="4"/>
      <c r="E246" s="9">
        <f>_xll.BQL("JBLU US Equity", "FA_GROWTH(CB_BS_CURRENT_PORTION_OF_LT_DEBT, YOY)", "FPT=A", "FPO=5A", "ACT_EST_MAPPING=PRECISE", "FS=MRC", "CURRENCY=USD", "XLFILL=b")</f>
        <v>0</v>
      </c>
      <c r="F246" s="9">
        <f>_xll.BQL("JBLU US Equity", "FA_GROWTH(CB_BS_CURRENT_PORTION_OF_LT_DEBT, YOY)", "FPT=A", "FPO=4A", "ACT_EST_MAPPING=PRECISE", "FS=MRC", "CURRENCY=USD", "XLFILL=b")</f>
        <v>-1.9883688346912762</v>
      </c>
      <c r="G246" s="9">
        <f>_xll.BQL("JBLU US Equity", "FA_GROWTH(CB_BS_CURRENT_PORTION_OF_LT_DEBT, YOY)", "FPT=A", "FPO=3A", "ACT_EST_MAPPING=PRECISE", "FS=MRC", "CURRENCY=USD", "XLFILL=b")</f>
        <v>8.6261531247342127</v>
      </c>
      <c r="H246" s="9">
        <f>_xll.BQL("JBLU US Equity", "FA_GROWTH(CB_BS_CURRENT_PORTION_OF_LT_DEBT, YOY)", "FPT=A", "FPO=2A", "ACT_EST_MAPPING=PRECISE", "FS=MRC", "CURRENCY=USD", "XLFILL=b")</f>
        <v>-3.8871449403048994</v>
      </c>
      <c r="I246" s="9">
        <f>_xll.BQL("JBLU US Equity", "FA_GROWTH(CB_BS_CURRENT_PORTION_OF_LT_DEBT, YOY)", "FPT=A", "FPO=1A", "ACT_EST_MAPPING=PRECISE", "FS=MRC", "CURRENCY=USD", "XLFILL=b")</f>
        <v>12.686370630049492</v>
      </c>
      <c r="J246" s="9">
        <f>_xll.BQL("JBLU US Equity", "FA_GROWTH(CB_BS_CURRENT_PORTION_OF_LT_DEBT, YOY)", "FPT=A", "FPO=0A", "ACT_EST_MAPPING=PRECISE", "FS=MRC", "CURRENCY=USD", "XLFILL=b")</f>
        <v>-44.584837545126355</v>
      </c>
      <c r="K246" s="9">
        <f>_xll.BQL("JBLU US Equity", "FA_GROWTH(CB_BS_CURRENT_PORTION_OF_LT_DEBT, YOY)", "FPT=A", "FPO=-1A", "ACT_EST_MAPPING=PRECISE", "FS=MRC", "CURRENCY=USD", "XLFILL=b")</f>
        <v>56.056338028169016</v>
      </c>
      <c r="L246" s="9">
        <f>_xll.BQL("JBLU US Equity", "FA_GROWTH(CB_BS_CURRENT_PORTION_OF_LT_DEBT, YOY)", "FPT=A", "FPO=-2A", "ACT_EST_MAPPING=PRECISE", "FS=MRC", "CURRENCY=USD", "XLFILL=b")</f>
        <v>-21.111111111111111</v>
      </c>
      <c r="M246" s="9">
        <f>_xll.BQL("JBLU US Equity", "FA_GROWTH(CB_BS_CURRENT_PORTION_OF_LT_DEBT, YOY)", "FPT=A", "FPO=-3A", "ACT_EST_MAPPING=PRECISE", "FS=MRC", "CURRENCY=USD", "XLFILL=b")</f>
        <v>30.813953488372093</v>
      </c>
      <c r="N246" s="9">
        <f>_xll.BQL("JBLU US Equity", "FA_GROWTH(CB_BS_CURRENT_PORTION_OF_LT_DEBT, YOY)", "FPT=A", "FPO=-4A", "ACT_EST_MAPPING=PRECISE", "FS=MRC", "CURRENCY=USD", "XLFILL=b")</f>
        <v>11.326860841423947</v>
      </c>
    </row>
    <row r="247" spans="1:14" x14ac:dyDescent="0.2">
      <c r="A247" s="8" t="s">
        <v>268</v>
      </c>
      <c r="B247" s="4" t="s">
        <v>269</v>
      </c>
      <c r="C247" s="4" t="s">
        <v>270</v>
      </c>
      <c r="D247" s="4"/>
      <c r="E247" s="9">
        <f>_xll.BQL("JBLU US Equity", "BS_ST_OPERATING_LEASE_LIABS/1M", "FPT=A", "FPO=5A", "ACT_EST_MAPPING=PRECISE", "FS=MRC", "CURRENCY=USD", "XLFILL=b")</f>
        <v>103</v>
      </c>
      <c r="F247" s="9">
        <f>_xll.BQL("JBLU US Equity", "BS_ST_OPERATING_LEASE_LIABS/1M", "FPT=A", "FPO=4A", "ACT_EST_MAPPING=PRECISE", "FS=MRC", "CURRENCY=USD", "XLFILL=b")</f>
        <v>103</v>
      </c>
      <c r="G247" s="9">
        <f>_xll.BQL("JBLU US Equity", "BS_ST_OPERATING_LEASE_LIABS/1M", "FPT=A", "FPO=3A", "ACT_EST_MAPPING=PRECISE", "FS=MRC", "CURRENCY=USD", "XLFILL=b")</f>
        <v>108.2533491517128</v>
      </c>
      <c r="H247" s="9">
        <f>_xll.BQL("JBLU US Equity", "BS_ST_OPERATING_LEASE_LIABS/1M", "FPT=A", "FPO=2A", "ACT_EST_MAPPING=PRECISE", "FS=MRC", "CURRENCY=USD", "XLFILL=b")</f>
        <v>107.17082800596823</v>
      </c>
      <c r="I247" s="9">
        <f>_xll.BQL("JBLU US Equity", "BS_ST_OPERATING_LEASE_LIABS/1M", "FPT=A", "FPO=1A", "ACT_EST_MAPPING=PRECISE", "FS=MRC", "CURRENCY=USD", "XLFILL=b")</f>
        <v>108.36522668249776</v>
      </c>
      <c r="J247" s="9">
        <f>_xll.BQL("JBLU US Equity", "BS_ST_OPERATING_LEASE_LIABS/1M", "FPT=A", "FPO=0A", "ACT_EST_MAPPING=PRECISE", "FS=MRC", "CURRENCY=USD", "XLFILL=b")</f>
        <v>117</v>
      </c>
      <c r="K247" s="9">
        <f>_xll.BQL("JBLU US Equity", "BS_ST_OPERATING_LEASE_LIABS/1M", "FPT=A", "FPO=-1A", "ACT_EST_MAPPING=PRECISE", "FS=MRC", "CURRENCY=USD", "XLFILL=b")</f>
        <v>97</v>
      </c>
      <c r="L247" s="9">
        <f>_xll.BQL("JBLU US Equity", "BS_ST_OPERATING_LEASE_LIABS/1M", "FPT=A", "FPO=-2A", "ACT_EST_MAPPING=PRECISE", "FS=MRC", "CURRENCY=USD", "XLFILL=b")</f>
        <v>106</v>
      </c>
      <c r="M247" s="9">
        <f>_xll.BQL("JBLU US Equity", "BS_ST_OPERATING_LEASE_LIABS/1M", "FPT=A", "FPO=-3A", "ACT_EST_MAPPING=PRECISE", "FS=MRC", "CURRENCY=USD", "XLFILL=b")</f>
        <v>113</v>
      </c>
      <c r="N247" s="9">
        <f>_xll.BQL("JBLU US Equity", "BS_ST_OPERATING_LEASE_LIABS/1M", "FPT=A", "FPO=-4A", "ACT_EST_MAPPING=PRECISE", "FS=MRC", "CURRENCY=USD", "XLFILL=b")</f>
        <v>128</v>
      </c>
    </row>
    <row r="248" spans="1:14" x14ac:dyDescent="0.2">
      <c r="A248" s="8" t="s">
        <v>96</v>
      </c>
      <c r="B248" s="4" t="s">
        <v>269</v>
      </c>
      <c r="C248" s="4" t="s">
        <v>270</v>
      </c>
      <c r="D248" s="4"/>
      <c r="E248" s="9">
        <f>_xll.BQL("JBLU US Equity", "FA_GROWTH(BS_ST_OPERATING_LEASE_LIABS, YOY)", "FPT=A", "FPO=5A", "ACT_EST_MAPPING=PRECISE", "FS=MRC", "CURRENCY=USD", "XLFILL=b")</f>
        <v>0</v>
      </c>
      <c r="F248" s="9">
        <f>_xll.BQL("JBLU US Equity", "FA_GROWTH(BS_ST_OPERATING_LEASE_LIABS, YOY)", "FPT=A", "FPO=4A", "ACT_EST_MAPPING=PRECISE", "FS=MRC", "CURRENCY=USD", "XLFILL=b")</f>
        <v>-4.8528282892665322</v>
      </c>
      <c r="G248" s="9">
        <f>_xll.BQL("JBLU US Equity", "FA_GROWTH(BS_ST_OPERATING_LEASE_LIABS, YOY)", "FPT=A", "FPO=3A", "ACT_EST_MAPPING=PRECISE", "FS=MRC", "CURRENCY=USD", "XLFILL=b")</f>
        <v>1.0100893740265566</v>
      </c>
      <c r="H248" s="9">
        <f>_xll.BQL("JBLU US Equity", "FA_GROWTH(BS_ST_OPERATING_LEASE_LIABS, YOY)", "FPT=A", "FPO=2A", "ACT_EST_MAPPING=PRECISE", "FS=MRC", "CURRENCY=USD", "XLFILL=b")</f>
        <v>-1.1021973681917752</v>
      </c>
      <c r="I248" s="9">
        <f>_xll.BQL("JBLU US Equity", "FA_GROWTH(BS_ST_OPERATING_LEASE_LIABS, YOY)", "FPT=A", "FPO=1A", "ACT_EST_MAPPING=PRECISE", "FS=MRC", "CURRENCY=USD", "XLFILL=b")</f>
        <v>-7.3801481346172908</v>
      </c>
      <c r="J248" s="9">
        <f>_xll.BQL("JBLU US Equity", "FA_GROWTH(BS_ST_OPERATING_LEASE_LIABS, YOY)", "FPT=A", "FPO=0A", "ACT_EST_MAPPING=PRECISE", "FS=MRC", "CURRENCY=USD", "XLFILL=b")</f>
        <v>20.618556701030929</v>
      </c>
      <c r="K248" s="9">
        <f>_xll.BQL("JBLU US Equity", "FA_GROWTH(BS_ST_OPERATING_LEASE_LIABS, YOY)", "FPT=A", "FPO=-1A", "ACT_EST_MAPPING=PRECISE", "FS=MRC", "CURRENCY=USD", "XLFILL=b")</f>
        <v>-8.4905660377358494</v>
      </c>
      <c r="L248" s="9">
        <f>_xll.BQL("JBLU US Equity", "FA_GROWTH(BS_ST_OPERATING_LEASE_LIABS, YOY)", "FPT=A", "FPO=-2A", "ACT_EST_MAPPING=PRECISE", "FS=MRC", "CURRENCY=USD", "XLFILL=b")</f>
        <v>-6.1946902654867255</v>
      </c>
      <c r="M248" s="9">
        <f>_xll.BQL("JBLU US Equity", "FA_GROWTH(BS_ST_OPERATING_LEASE_LIABS, YOY)", "FPT=A", "FPO=-3A", "ACT_EST_MAPPING=PRECISE", "FS=MRC", "CURRENCY=USD", "XLFILL=b")</f>
        <v>-11.71875</v>
      </c>
      <c r="N248" s="9">
        <f>_xll.BQL("JBLU US Equity", "FA_GROWTH(BS_ST_OPERATING_LEASE_LIABS, YOY)", "FPT=A", "FPO=-4A", "ACT_EST_MAPPING=PRECISE", "FS=MRC", "CURRENCY=USD", "XLFILL=b")</f>
        <v>-3.7593984962406015</v>
      </c>
    </row>
    <row r="249" spans="1:14" x14ac:dyDescent="0.2">
      <c r="A249" s="8" t="s">
        <v>271</v>
      </c>
      <c r="B249" s="4"/>
      <c r="C249" s="4" t="s">
        <v>272</v>
      </c>
      <c r="D249" s="4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x14ac:dyDescent="0.2">
      <c r="A250" s="8" t="s">
        <v>273</v>
      </c>
      <c r="B250" s="4" t="s">
        <v>274</v>
      </c>
      <c r="C250" s="4" t="s">
        <v>275</v>
      </c>
      <c r="D250" s="4"/>
      <c r="E250" s="9">
        <f>_xll.BQL("JBLU US Equity", "CB_BS_LT_BORROWING/1M", "FPT=A", "FPO=5A", "ACT_EST_MAPPING=PRECISE", "FS=MRC", "CURRENCY=USD", "XLFILL=b")</f>
        <v>9196</v>
      </c>
      <c r="F250" s="9">
        <f>_xll.BQL("JBLU US Equity", "CB_BS_LT_BORROWING/1M", "FPT=A", "FPO=4A", "ACT_EST_MAPPING=PRECISE", "FS=MRC", "CURRENCY=USD", "XLFILL=b")</f>
        <v>8516</v>
      </c>
      <c r="G250" s="9">
        <f>_xll.BQL("JBLU US Equity", "CB_BS_LT_BORROWING/1M", "FPT=A", "FPO=3A", "ACT_EST_MAPPING=PRECISE", "FS=MRC", "CURRENCY=USD", "XLFILL=b")</f>
        <v>7720.625</v>
      </c>
      <c r="H250" s="9">
        <f>_xll.BQL("JBLU US Equity", "CB_BS_LT_BORROWING/1M", "FPT=A", "FPO=2A", "ACT_EST_MAPPING=PRECISE", "FS=MRC", "CURRENCY=USD", "XLFILL=b")</f>
        <v>7312.833333333333</v>
      </c>
      <c r="I250" s="9">
        <f>_xll.BQL("JBLU US Equity", "CB_BS_LT_BORROWING/1M", "FPT=A", "FPO=1A", "ACT_EST_MAPPING=PRECISE", "FS=MRC", "CURRENCY=USD", "XLFILL=b")</f>
        <v>7497.333333333333</v>
      </c>
      <c r="J250" s="9">
        <f>_xll.BQL("JBLU US Equity", "CB_BS_LT_BORROWING/1M", "FPT=A", "FPO=0A", "ACT_EST_MAPPING=PRECISE", "FS=MRC", "CURRENCY=USD", "XLFILL=b")</f>
        <v>4409</v>
      </c>
      <c r="K250" s="9">
        <f>_xll.BQL("JBLU US Equity", "CB_BS_LT_BORROWING/1M", "FPT=A", "FPO=-1A", "ACT_EST_MAPPING=PRECISE", "FS=MRC", "CURRENCY=USD", "XLFILL=b")</f>
        <v>3093</v>
      </c>
      <c r="L250" s="9">
        <f>_xll.BQL("JBLU US Equity", "CB_BS_LT_BORROWING/1M", "FPT=A", "FPO=-2A", "ACT_EST_MAPPING=PRECISE", "FS=MRC", "CURRENCY=USD", "XLFILL=b")</f>
        <v>3651</v>
      </c>
      <c r="M250" s="9">
        <f>_xll.BQL("JBLU US Equity", "CB_BS_LT_BORROWING/1M", "FPT=A", "FPO=-3A", "ACT_EST_MAPPING=PRECISE", "FS=MRC", "CURRENCY=USD", "XLFILL=b")</f>
        <v>4413</v>
      </c>
      <c r="N250" s="9">
        <f>_xll.BQL("JBLU US Equity", "CB_BS_LT_BORROWING/1M", "FPT=A", "FPO=-4A", "ACT_EST_MAPPING=PRECISE", "FS=MRC", "CURRENCY=USD", "XLFILL=b")</f>
        <v>1990</v>
      </c>
    </row>
    <row r="251" spans="1:14" x14ac:dyDescent="0.2">
      <c r="A251" s="8" t="s">
        <v>96</v>
      </c>
      <c r="B251" s="4" t="s">
        <v>274</v>
      </c>
      <c r="C251" s="4" t="s">
        <v>275</v>
      </c>
      <c r="D251" s="4"/>
      <c r="E251" s="9">
        <f>_xll.BQL("JBLU US Equity", "FA_GROWTH(CB_BS_LT_BORROWING, YOY)", "FPT=A", "FPO=5A", "ACT_EST_MAPPING=PRECISE", "FS=MRC", "CURRENCY=USD", "XLFILL=b")</f>
        <v>7.9849694692343824</v>
      </c>
      <c r="F251" s="9">
        <f>_xll.BQL("JBLU US Equity", "FA_GROWTH(CB_BS_LT_BORROWING, YOY)", "FPT=A", "FPO=4A", "ACT_EST_MAPPING=PRECISE", "FS=MRC", "CURRENCY=USD", "XLFILL=b")</f>
        <v>10.301950943090747</v>
      </c>
      <c r="G251" s="9">
        <f>_xll.BQL("JBLU US Equity", "FA_GROWTH(CB_BS_LT_BORROWING, YOY)", "FPT=A", "FPO=3A", "ACT_EST_MAPPING=PRECISE", "FS=MRC", "CURRENCY=USD", "XLFILL=b")</f>
        <v>5.5763839824965293</v>
      </c>
      <c r="H251" s="9">
        <f>_xll.BQL("JBLU US Equity", "FA_GROWTH(CB_BS_LT_BORROWING, YOY)", "FPT=A", "FPO=2A", "ACT_EST_MAPPING=PRECISE", "FS=MRC", "CURRENCY=USD", "XLFILL=b")</f>
        <v>-2.460874977769874</v>
      </c>
      <c r="I251" s="9">
        <f>_xll.BQL("JBLU US Equity", "FA_GROWTH(CB_BS_LT_BORROWING, YOY)", "FPT=A", "FPO=1A", "ACT_EST_MAPPING=PRECISE", "FS=MRC", "CURRENCY=USD", "XLFILL=b")</f>
        <v>70.046117789370228</v>
      </c>
      <c r="J251" s="9">
        <f>_xll.BQL("JBLU US Equity", "FA_GROWTH(CB_BS_LT_BORROWING, YOY)", "FPT=A", "FPO=0A", "ACT_EST_MAPPING=PRECISE", "FS=MRC", "CURRENCY=USD", "XLFILL=b")</f>
        <v>42.547688328483673</v>
      </c>
      <c r="K251" s="9">
        <f>_xll.BQL("JBLU US Equity", "FA_GROWTH(CB_BS_LT_BORROWING, YOY)", "FPT=A", "FPO=-1A", "ACT_EST_MAPPING=PRECISE", "FS=MRC", "CURRENCY=USD", "XLFILL=b")</f>
        <v>-15.283483976992605</v>
      </c>
      <c r="L251" s="9">
        <f>_xll.BQL("JBLU US Equity", "FA_GROWTH(CB_BS_LT_BORROWING, YOY)", "FPT=A", "FPO=-2A", "ACT_EST_MAPPING=PRECISE", "FS=MRC", "CURRENCY=USD", "XLFILL=b")</f>
        <v>-17.26716519374575</v>
      </c>
      <c r="M251" s="9">
        <f>_xll.BQL("JBLU US Equity", "FA_GROWTH(CB_BS_LT_BORROWING, YOY)", "FPT=A", "FPO=-3A", "ACT_EST_MAPPING=PRECISE", "FS=MRC", "CURRENCY=USD", "XLFILL=b")</f>
        <v>121.75879396984925</v>
      </c>
      <c r="N251" s="9">
        <f>_xll.BQL("JBLU US Equity", "FA_GROWTH(CB_BS_LT_BORROWING, YOY)", "FPT=A", "FPO=-4A", "ACT_EST_MAPPING=PRECISE", "FS=MRC", "CURRENCY=USD", "XLFILL=b")</f>
        <v>46.21601763409258</v>
      </c>
    </row>
    <row r="252" spans="1:14" x14ac:dyDescent="0.2">
      <c r="A252" s="8" t="s">
        <v>276</v>
      </c>
      <c r="B252" s="4" t="s">
        <v>277</v>
      </c>
      <c r="C252" s="4" t="s">
        <v>278</v>
      </c>
      <c r="D252" s="4"/>
      <c r="E252" s="9">
        <f>_xll.BQL("JBLU US Equity", "BS_LT_OPERATING_LEASE_LIABS/1M", "FPT=A", "FPO=5A", "ACT_EST_MAPPING=PRECISE", "FS=MRC", "CURRENCY=USD", "XLFILL=b")</f>
        <v>532</v>
      </c>
      <c r="F252" s="9">
        <f>_xll.BQL("JBLU US Equity", "BS_LT_OPERATING_LEASE_LIABS/1M", "FPT=A", "FPO=4A", "ACT_EST_MAPPING=PRECISE", "FS=MRC", "CURRENCY=USD", "XLFILL=b")</f>
        <v>532</v>
      </c>
      <c r="G252" s="9">
        <f>_xll.BQL("JBLU US Equity", "BS_LT_OPERATING_LEASE_LIABS/1M", "FPT=A", "FPO=3A", "ACT_EST_MAPPING=PRECISE", "FS=MRC", "CURRENCY=USD", "XLFILL=b")</f>
        <v>884.36249999999995</v>
      </c>
      <c r="H252" s="9">
        <f>_xll.BQL("JBLU US Equity", "BS_LT_OPERATING_LEASE_LIABS/1M", "FPT=A", "FPO=2A", "ACT_EST_MAPPING=PRECISE", "FS=MRC", "CURRENCY=USD", "XLFILL=b")</f>
        <v>672.2308822857143</v>
      </c>
      <c r="I252" s="9">
        <f>_xll.BQL("JBLU US Equity", "BS_LT_OPERATING_LEASE_LIABS/1M", "FPT=A", "FPO=1A", "ACT_EST_MAPPING=PRECISE", "FS=MRC", "CURRENCY=USD", "XLFILL=b")</f>
        <v>595.32611428571431</v>
      </c>
      <c r="J252" s="9">
        <f>_xll.BQL("JBLU US Equity", "BS_LT_OPERATING_LEASE_LIABS/1M", "FPT=A", "FPO=0A", "ACT_EST_MAPPING=PRECISE", "FS=MRC", "CURRENCY=USD", "XLFILL=b")</f>
        <v>547</v>
      </c>
      <c r="K252" s="9">
        <f>_xll.BQL("JBLU US Equity", "BS_LT_OPERATING_LEASE_LIABS/1M", "FPT=A", "FPO=-1A", "ACT_EST_MAPPING=PRECISE", "FS=MRC", "CURRENCY=USD", "XLFILL=b")</f>
        <v>639</v>
      </c>
      <c r="L252" s="9">
        <f>_xll.BQL("JBLU US Equity", "BS_LT_OPERATING_LEASE_LIABS/1M", "FPT=A", "FPO=-2A", "ACT_EST_MAPPING=PRECISE", "FS=MRC", "CURRENCY=USD", "XLFILL=b")</f>
        <v>690</v>
      </c>
      <c r="M252" s="9">
        <f>_xll.BQL("JBLU US Equity", "BS_LT_OPERATING_LEASE_LIABS/1M", "FPT=A", "FPO=-3A", "ACT_EST_MAPPING=PRECISE", "FS=MRC", "CURRENCY=USD", "XLFILL=b")</f>
        <v>752</v>
      </c>
      <c r="N252" s="9">
        <f>_xll.BQL("JBLU US Equity", "BS_LT_OPERATING_LEASE_LIABS/1M", "FPT=A", "FPO=-4A", "ACT_EST_MAPPING=PRECISE", "FS=MRC", "CURRENCY=USD", "XLFILL=b")</f>
        <v>690</v>
      </c>
    </row>
    <row r="253" spans="1:14" x14ac:dyDescent="0.2">
      <c r="A253" s="8" t="s">
        <v>96</v>
      </c>
      <c r="B253" s="4" t="s">
        <v>277</v>
      </c>
      <c r="C253" s="4" t="s">
        <v>278</v>
      </c>
      <c r="D253" s="4"/>
      <c r="E253" s="9">
        <f>_xll.BQL("JBLU US Equity", "FA_GROWTH(BS_LT_OPERATING_LEASE_LIABS, YOY)", "FPT=A", "FPO=5A", "ACT_EST_MAPPING=PRECISE", "FS=MRC", "CURRENCY=USD", "XLFILL=b")</f>
        <v>0</v>
      </c>
      <c r="F253" s="9">
        <f>_xll.BQL("JBLU US Equity", "FA_GROWTH(BS_LT_OPERATING_LEASE_LIABS, YOY)", "FPT=A", "FPO=4A", "ACT_EST_MAPPING=PRECISE", "FS=MRC", "CURRENCY=USD", "XLFILL=b")</f>
        <v>-39.843672702087659</v>
      </c>
      <c r="G253" s="9">
        <f>_xll.BQL("JBLU US Equity", "FA_GROWTH(BS_LT_OPERATING_LEASE_LIABS, YOY)", "FPT=A", "FPO=3A", "ACT_EST_MAPPING=PRECISE", "FS=MRC", "CURRENCY=USD", "XLFILL=b")</f>
        <v>31.556363044940369</v>
      </c>
      <c r="H253" s="9">
        <f>_xll.BQL("JBLU US Equity", "FA_GROWTH(BS_LT_OPERATING_LEASE_LIABS, YOY)", "FPT=A", "FPO=2A", "ACT_EST_MAPPING=PRECISE", "FS=MRC", "CURRENCY=USD", "XLFILL=b")</f>
        <v>12.918090800077211</v>
      </c>
      <c r="I253" s="9">
        <f>_xll.BQL("JBLU US Equity", "FA_GROWTH(BS_LT_OPERATING_LEASE_LIABS, YOY)", "FPT=A", "FPO=1A", "ACT_EST_MAPPING=PRECISE", "FS=MRC", "CURRENCY=USD", "XLFILL=b")</f>
        <v>8.8347558109166844</v>
      </c>
      <c r="J253" s="9">
        <f>_xll.BQL("JBLU US Equity", "FA_GROWTH(BS_LT_OPERATING_LEASE_LIABS, YOY)", "FPT=A", "FPO=0A", "ACT_EST_MAPPING=PRECISE", "FS=MRC", "CURRENCY=USD", "XLFILL=b")</f>
        <v>-14.397496087636933</v>
      </c>
      <c r="K253" s="9">
        <f>_xll.BQL("JBLU US Equity", "FA_GROWTH(BS_LT_OPERATING_LEASE_LIABS, YOY)", "FPT=A", "FPO=-1A", "ACT_EST_MAPPING=PRECISE", "FS=MRC", "CURRENCY=USD", "XLFILL=b")</f>
        <v>-7.3913043478260869</v>
      </c>
      <c r="L253" s="9">
        <f>_xll.BQL("JBLU US Equity", "FA_GROWTH(BS_LT_OPERATING_LEASE_LIABS, YOY)", "FPT=A", "FPO=-2A", "ACT_EST_MAPPING=PRECISE", "FS=MRC", "CURRENCY=USD", "XLFILL=b")</f>
        <v>-8.2446808510638299</v>
      </c>
      <c r="M253" s="9">
        <f>_xll.BQL("JBLU US Equity", "FA_GROWTH(BS_LT_OPERATING_LEASE_LIABS, YOY)", "FPT=A", "FPO=-3A", "ACT_EST_MAPPING=PRECISE", "FS=MRC", "CURRENCY=USD", "XLFILL=b")</f>
        <v>8.9855072463768124</v>
      </c>
      <c r="N253" s="9">
        <f>_xll.BQL("JBLU US Equity", "FA_GROWTH(BS_LT_OPERATING_LEASE_LIABS, YOY)", "FPT=A", "FPO=-4A", "ACT_EST_MAPPING=PRECISE", "FS=MRC", "CURRENCY=USD", "XLFILL=b")</f>
        <v>-13.533834586466165</v>
      </c>
    </row>
    <row r="254" spans="1:14" x14ac:dyDescent="0.2">
      <c r="A254" s="8" t="s">
        <v>279</v>
      </c>
      <c r="B254" s="4" t="s">
        <v>280</v>
      </c>
      <c r="C254" s="4" t="s">
        <v>281</v>
      </c>
      <c r="D254" s="4"/>
      <c r="E254" s="9" t="str">
        <f>_xll.BQL("JBLU US Equity", "BS_DEFERRED_TAX_LIABILITIES_LT/1M", "FPT=A", "FPO=5A", "ACT_EST_MAPPING=PRECISE", "FS=MRC", "CURRENCY=USD", "XLFILL=b")</f>
        <v/>
      </c>
      <c r="F254" s="9" t="str">
        <f>_xll.BQL("JBLU US Equity", "BS_DEFERRED_TAX_LIABILITIES_LT/1M", "FPT=A", "FPO=4A", "ACT_EST_MAPPING=PRECISE", "FS=MRC", "CURRENCY=USD", "XLFILL=b")</f>
        <v/>
      </c>
      <c r="G254" s="9">
        <f>_xll.BQL("JBLU US Equity", "BS_DEFERRED_TAX_LIABILITIES_LT/1M", "FPT=A", "FPO=3A", "ACT_EST_MAPPING=PRECISE", "FS=MRC", "CURRENCY=USD", "XLFILL=b")</f>
        <v>694</v>
      </c>
      <c r="H254" s="9">
        <f>_xll.BQL("JBLU US Equity", "BS_DEFERRED_TAX_LIABILITIES_LT/1M", "FPT=A", "FPO=2A", "ACT_EST_MAPPING=PRECISE", "FS=MRC", "CURRENCY=USD", "XLFILL=b")</f>
        <v>670.83818483145376</v>
      </c>
      <c r="I254" s="9">
        <f>_xll.BQL("JBLU US Equity", "BS_DEFERRED_TAX_LIABILITIES_LT/1M", "FPT=A", "FPO=1A", "ACT_EST_MAPPING=PRECISE", "FS=MRC", "CURRENCY=USD", "XLFILL=b")</f>
        <v>684.85426851697366</v>
      </c>
      <c r="J254" s="9">
        <f>_xll.BQL("JBLU US Equity", "BS_DEFERRED_TAX_LIABILITIES_LT/1M", "FPT=A", "FPO=0A", "ACT_EST_MAPPING=PRECISE", "FS=MRC", "CURRENCY=USD", "XLFILL=b")</f>
        <v>743</v>
      </c>
      <c r="K254" s="9">
        <f>_xll.BQL("JBLU US Equity", "BS_DEFERRED_TAX_LIABILITIES_LT/1M", "FPT=A", "FPO=-1A", "ACT_EST_MAPPING=PRECISE", "FS=MRC", "CURRENCY=USD", "XLFILL=b")</f>
        <v>770</v>
      </c>
      <c r="L254" s="9">
        <f>_xll.BQL("JBLU US Equity", "BS_DEFERRED_TAX_LIABILITIES_LT/1M", "FPT=A", "FPO=-2A", "ACT_EST_MAPPING=PRECISE", "FS=MRC", "CURRENCY=USD", "XLFILL=b")</f>
        <v>843</v>
      </c>
      <c r="M254" s="9">
        <f>_xll.BQL("JBLU US Equity", "BS_DEFERRED_TAX_LIABILITIES_LT/1M", "FPT=A", "FPO=-3A", "ACT_EST_MAPPING=PRECISE", "FS=MRC", "CURRENCY=USD", "XLFILL=b")</f>
        <v>922</v>
      </c>
      <c r="N254" s="9">
        <f>_xll.BQL("JBLU US Equity", "BS_DEFERRED_TAX_LIABILITIES_LT/1M", "FPT=A", "FPO=-4A", "ACT_EST_MAPPING=PRECISE", "FS=MRC", "CURRENCY=USD", "XLFILL=b")</f>
        <v>1251</v>
      </c>
    </row>
    <row r="255" spans="1:14" x14ac:dyDescent="0.2">
      <c r="A255" s="8" t="s">
        <v>96</v>
      </c>
      <c r="B255" s="4" t="s">
        <v>280</v>
      </c>
      <c r="C255" s="4" t="s">
        <v>281</v>
      </c>
      <c r="D255" s="4"/>
      <c r="E255" s="9" t="str">
        <f>_xll.BQL("JBLU US Equity", "FA_GROWTH(BS_DEFERRED_TAX_LIABILITIES_LT, YOY)", "FPT=A", "FPO=5A", "ACT_EST_MAPPING=PRECISE", "FS=MRC", "CURRENCY=USD", "XLFILL=b")</f>
        <v/>
      </c>
      <c r="F255" s="9" t="str">
        <f>_xll.BQL("JBLU US Equity", "FA_GROWTH(BS_DEFERRED_TAX_LIABILITIES_LT, YOY)", "FPT=A", "FPO=4A", "ACT_EST_MAPPING=PRECISE", "FS=MRC", "CURRENCY=USD", "XLFILL=b")</f>
        <v/>
      </c>
      <c r="G255" s="9">
        <f>_xll.BQL("JBLU US Equity", "FA_GROWTH(BS_DEFERRED_TAX_LIABILITIES_LT, YOY)", "FPT=A", "FPO=3A", "ACT_EST_MAPPING=PRECISE", "FS=MRC", "CURRENCY=USD", "XLFILL=b")</f>
        <v>3.4526679745228783</v>
      </c>
      <c r="H255" s="9">
        <f>_xll.BQL("JBLU US Equity", "FA_GROWTH(BS_DEFERRED_TAX_LIABILITIES_LT, YOY)", "FPT=A", "FPO=2A", "ACT_EST_MAPPING=PRECISE", "FS=MRC", "CURRENCY=USD", "XLFILL=b")</f>
        <v>-2.0465790066361302</v>
      </c>
      <c r="I255" s="9">
        <f>_xll.BQL("JBLU US Equity", "FA_GROWTH(BS_DEFERRED_TAX_LIABILITIES_LT, YOY)", "FPT=A", "FPO=1A", "ACT_EST_MAPPING=PRECISE", "FS=MRC", "CURRENCY=USD", "XLFILL=b")</f>
        <v>-7.8258050448218563</v>
      </c>
      <c r="J255" s="9">
        <f>_xll.BQL("JBLU US Equity", "FA_GROWTH(BS_DEFERRED_TAX_LIABILITIES_LT, YOY)", "FPT=A", "FPO=0A", "ACT_EST_MAPPING=PRECISE", "FS=MRC", "CURRENCY=USD", "XLFILL=b")</f>
        <v>-3.5064935064935066</v>
      </c>
      <c r="K255" s="9">
        <f>_xll.BQL("JBLU US Equity", "FA_GROWTH(BS_DEFERRED_TAX_LIABILITIES_LT, YOY)", "FPT=A", "FPO=-1A", "ACT_EST_MAPPING=PRECISE", "FS=MRC", "CURRENCY=USD", "XLFILL=b")</f>
        <v>-8.6595492289442468</v>
      </c>
      <c r="L255" s="9">
        <f>_xll.BQL("JBLU US Equity", "FA_GROWTH(BS_DEFERRED_TAX_LIABILITIES_LT, YOY)", "FPT=A", "FPO=-2A", "ACT_EST_MAPPING=PRECISE", "FS=MRC", "CURRENCY=USD", "XLFILL=b")</f>
        <v>-8.568329718004339</v>
      </c>
      <c r="M255" s="9">
        <f>_xll.BQL("JBLU US Equity", "FA_GROWTH(BS_DEFERRED_TAX_LIABILITIES_LT, YOY)", "FPT=A", "FPO=-3A", "ACT_EST_MAPPING=PRECISE", "FS=MRC", "CURRENCY=USD", "XLFILL=b")</f>
        <v>-26.298960831334931</v>
      </c>
      <c r="N255" s="9">
        <f>_xll.BQL("JBLU US Equity", "FA_GROWTH(BS_DEFERRED_TAX_LIABILITIES_LT, YOY)", "FPT=A", "FPO=-4A", "ACT_EST_MAPPING=PRECISE", "FS=MRC", "CURRENCY=USD", "XLFILL=b")</f>
        <v>12.5</v>
      </c>
    </row>
    <row r="256" spans="1:14" x14ac:dyDescent="0.2">
      <c r="A256" s="8" t="s">
        <v>282</v>
      </c>
      <c r="B256" s="4" t="s">
        <v>283</v>
      </c>
      <c r="C256" s="4"/>
      <c r="D256" s="4"/>
      <c r="E256" s="9" t="str">
        <f>_xll.BQL("JBLU US Equity", "CB_BS_APIC/1M", "FPT=A", "FPO=5A", "ACT_EST_MAPPING=PRECISE", "FS=MRC", "CURRENCY=USD", "XLFILL=b")</f>
        <v/>
      </c>
      <c r="F256" s="9" t="str">
        <f>_xll.BQL("JBLU US Equity", "CB_BS_APIC/1M", "FPT=A", "FPO=4A", "ACT_EST_MAPPING=PRECISE", "FS=MRC", "CURRENCY=USD", "XLFILL=b")</f>
        <v/>
      </c>
      <c r="G256" s="9" t="str">
        <f>_xll.BQL("JBLU US Equity", "CB_BS_APIC/1M", "FPT=A", "FPO=3A", "ACT_EST_MAPPING=PRECISE", "FS=MRC", "CURRENCY=USD", "XLFILL=b")</f>
        <v/>
      </c>
      <c r="H256" s="9" t="str">
        <f>_xll.BQL("JBLU US Equity", "CB_BS_APIC/1M", "FPT=A", "FPO=2A", "ACT_EST_MAPPING=PRECISE", "FS=MRC", "CURRENCY=USD", "XLFILL=b")</f>
        <v/>
      </c>
      <c r="I256" s="9" t="str">
        <f>_xll.BQL("JBLU US Equity", "CB_BS_APIC/1M", "FPT=A", "FPO=1A", "ACT_EST_MAPPING=PRECISE", "FS=MRC", "CURRENCY=USD", "XLFILL=b")</f>
        <v/>
      </c>
      <c r="J256" s="9">
        <f>_xll.BQL("JBLU US Equity", "CB_BS_APIC/1M", "FPT=A", "FPO=0A", "ACT_EST_MAPPING=PRECISE", "FS=MRC", "CURRENCY=USD", "XLFILL=b")</f>
        <v>3221</v>
      </c>
      <c r="K256" s="9">
        <f>_xll.BQL("JBLU US Equity", "CB_BS_APIC/1M", "FPT=A", "FPO=-1A", "ACT_EST_MAPPING=PRECISE", "FS=MRC", "CURRENCY=USD", "XLFILL=b")</f>
        <v>3129</v>
      </c>
      <c r="L256" s="9">
        <f>_xll.BQL("JBLU US Equity", "CB_BS_APIC/1M", "FPT=A", "FPO=-2A", "ACT_EST_MAPPING=PRECISE", "FS=MRC", "CURRENCY=USD", "XLFILL=b")</f>
        <v>3047</v>
      </c>
      <c r="M256" s="9">
        <f>_xll.BQL("JBLU US Equity", "CB_BS_APIC/1M", "FPT=A", "FPO=-3A", "ACT_EST_MAPPING=PRECISE", "FS=MRC", "CURRENCY=USD", "XLFILL=b")</f>
        <v>2959</v>
      </c>
      <c r="N256" s="9">
        <f>_xll.BQL("JBLU US Equity", "CB_BS_APIC/1M", "FPT=A", "FPO=-4A", "ACT_EST_MAPPING=PRECISE", "FS=MRC", "CURRENCY=USD", "XLFILL=b")</f>
        <v>2253</v>
      </c>
    </row>
    <row r="257" spans="1:14" x14ac:dyDescent="0.2">
      <c r="A257" s="8" t="s">
        <v>96</v>
      </c>
      <c r="B257" s="4" t="s">
        <v>283</v>
      </c>
      <c r="C257" s="4"/>
      <c r="D257" s="4"/>
      <c r="E257" s="9" t="str">
        <f>_xll.BQL("JBLU US Equity", "FA_GROWTH(CB_BS_APIC, YOY)", "FPT=A", "FPO=5A", "ACT_EST_MAPPING=PRECISE", "FS=MRC", "CURRENCY=USD", "XLFILL=b")</f>
        <v/>
      </c>
      <c r="F257" s="9" t="str">
        <f>_xll.BQL("JBLU US Equity", "FA_GROWTH(CB_BS_APIC, YOY)", "FPT=A", "FPO=4A", "ACT_EST_MAPPING=PRECISE", "FS=MRC", "CURRENCY=USD", "XLFILL=b")</f>
        <v/>
      </c>
      <c r="G257" s="9" t="str">
        <f>_xll.BQL("JBLU US Equity", "FA_GROWTH(CB_BS_APIC, YOY)", "FPT=A", "FPO=3A", "ACT_EST_MAPPING=PRECISE", "FS=MRC", "CURRENCY=USD", "XLFILL=b")</f>
        <v/>
      </c>
      <c r="H257" s="9" t="str">
        <f>_xll.BQL("JBLU US Equity", "FA_GROWTH(CB_BS_APIC, YOY)", "FPT=A", "FPO=2A", "ACT_EST_MAPPING=PRECISE", "FS=MRC", "CURRENCY=USD", "XLFILL=b")</f>
        <v/>
      </c>
      <c r="I257" s="9" t="str">
        <f>_xll.BQL("JBLU US Equity", "FA_GROWTH(CB_BS_APIC, YOY)", "FPT=A", "FPO=1A", "ACT_EST_MAPPING=PRECISE", "FS=MRC", "CURRENCY=USD", "XLFILL=b")</f>
        <v/>
      </c>
      <c r="J257" s="9">
        <f>_xll.BQL("JBLU US Equity", "FA_GROWTH(CB_BS_APIC, YOY)", "FPT=A", "FPO=0A", "ACT_EST_MAPPING=PRECISE", "FS=MRC", "CURRENCY=USD", "XLFILL=b")</f>
        <v>2.9402364972834771</v>
      </c>
      <c r="K257" s="9">
        <f>_xll.BQL("JBLU US Equity", "FA_GROWTH(CB_BS_APIC, YOY)", "FPT=A", "FPO=-1A", "ACT_EST_MAPPING=PRECISE", "FS=MRC", "CURRENCY=USD", "XLFILL=b")</f>
        <v>2.6911716442402365</v>
      </c>
      <c r="L257" s="9">
        <f>_xll.BQL("JBLU US Equity", "FA_GROWTH(CB_BS_APIC, YOY)", "FPT=A", "FPO=-2A", "ACT_EST_MAPPING=PRECISE", "FS=MRC", "CURRENCY=USD", "XLFILL=b")</f>
        <v>2.9739776951672861</v>
      </c>
      <c r="M257" s="9">
        <f>_xll.BQL("JBLU US Equity", "FA_GROWTH(CB_BS_APIC, YOY)", "FPT=A", "FPO=-3A", "ACT_EST_MAPPING=PRECISE", "FS=MRC", "CURRENCY=USD", "XLFILL=b")</f>
        <v>31.335996449178872</v>
      </c>
      <c r="N257" s="9">
        <f>_xll.BQL("JBLU US Equity", "FA_GROWTH(CB_BS_APIC, YOY)", "FPT=A", "FPO=-4A", "ACT_EST_MAPPING=PRECISE", "FS=MRC", "CURRENCY=USD", "XLFILL=b")</f>
        <v>2.2696323195642307</v>
      </c>
    </row>
    <row r="258" spans="1:14" x14ac:dyDescent="0.2">
      <c r="A258" s="8" t="s">
        <v>284</v>
      </c>
      <c r="B258" s="4" t="s">
        <v>285</v>
      </c>
      <c r="C258" s="4"/>
      <c r="D258" s="4"/>
      <c r="E258" s="9" t="str">
        <f>_xll.BQL("JBLU US Equity", "BS_CONTRACT_LIABS_LONG_TERM/1M", "FPT=A", "FPO=5A", "ACT_EST_MAPPING=PRECISE", "FS=MRC", "CURRENCY=USD", "XLFILL=b")</f>
        <v/>
      </c>
      <c r="F258" s="9" t="str">
        <f>_xll.BQL("JBLU US Equity", "BS_CONTRACT_LIABS_LONG_TERM/1M", "FPT=A", "FPO=4A", "ACT_EST_MAPPING=PRECISE", "FS=MRC", "CURRENCY=USD", "XLFILL=b")</f>
        <v/>
      </c>
      <c r="G258" s="9">
        <f>_xll.BQL("JBLU US Equity", "BS_CONTRACT_LIABS_LONG_TERM/1M", "FPT=A", "FPO=3A", "ACT_EST_MAPPING=PRECISE", "FS=MRC", "CURRENCY=USD", "XLFILL=b")</f>
        <v>740</v>
      </c>
      <c r="H258" s="9">
        <f>_xll.BQL("JBLU US Equity", "BS_CONTRACT_LIABS_LONG_TERM/1M", "FPT=A", "FPO=2A", "ACT_EST_MAPPING=PRECISE", "FS=MRC", "CURRENCY=USD", "XLFILL=b")</f>
        <v>733.73822938467595</v>
      </c>
      <c r="I258" s="9">
        <f>_xll.BQL("JBLU US Equity", "BS_CONTRACT_LIABS_LONG_TERM/1M", "FPT=A", "FPO=1A", "ACT_EST_MAPPING=PRECISE", "FS=MRC", "CURRENCY=USD", "XLFILL=b")</f>
        <v>724.00369623999597</v>
      </c>
      <c r="J258" s="9">
        <f>_xll.BQL("JBLU US Equity", "BS_CONTRACT_LIABS_LONG_TERM/1M", "FPT=A", "FPO=0A", "ACT_EST_MAPPING=PRECISE", "FS=MRC", "CURRENCY=USD", "XLFILL=b")</f>
        <v>740</v>
      </c>
      <c r="K258" s="9">
        <f>_xll.BQL("JBLU US Equity", "BS_CONTRACT_LIABS_LONG_TERM/1M", "FPT=A", "FPO=-1A", "ACT_EST_MAPPING=PRECISE", "FS=MRC", "CURRENCY=USD", "XLFILL=b")</f>
        <v>738</v>
      </c>
      <c r="L258" s="9">
        <f>_xll.BQL("JBLU US Equity", "BS_CONTRACT_LIABS_LONG_TERM/1M", "FPT=A", "FPO=-2A", "ACT_EST_MAPPING=PRECISE", "FS=MRC", "CURRENCY=USD", "XLFILL=b")</f>
        <v>640</v>
      </c>
      <c r="M258" s="9">
        <f>_xll.BQL("JBLU US Equity", "BS_CONTRACT_LIABS_LONG_TERM/1M", "FPT=A", "FPO=-3A", "ACT_EST_MAPPING=PRECISE", "FS=MRC", "CURRENCY=USD", "XLFILL=b")</f>
        <v>616</v>
      </c>
      <c r="N258" s="9">
        <f>_xll.BQL("JBLU US Equity", "BS_CONTRACT_LIABS_LONG_TERM/1M", "FPT=A", "FPO=-4A", "ACT_EST_MAPPING=PRECISE", "FS=MRC", "CURRENCY=USD", "XLFILL=b")</f>
        <v>481</v>
      </c>
    </row>
    <row r="259" spans="1:14" x14ac:dyDescent="0.2">
      <c r="A259" s="8" t="s">
        <v>96</v>
      </c>
      <c r="B259" s="4" t="s">
        <v>285</v>
      </c>
      <c r="C259" s="4"/>
      <c r="D259" s="4"/>
      <c r="E259" s="9" t="str">
        <f>_xll.BQL("JBLU US Equity", "FA_GROWTH(BS_CONTRACT_LIABS_LONG_TERM, YOY)", "FPT=A", "FPO=5A", "ACT_EST_MAPPING=PRECISE", "FS=MRC", "CURRENCY=USD", "XLFILL=b")</f>
        <v/>
      </c>
      <c r="F259" s="9" t="str">
        <f>_xll.BQL("JBLU US Equity", "FA_GROWTH(BS_CONTRACT_LIABS_LONG_TERM, YOY)", "FPT=A", "FPO=4A", "ACT_EST_MAPPING=PRECISE", "FS=MRC", "CURRENCY=USD", "XLFILL=b")</f>
        <v/>
      </c>
      <c r="G259" s="9">
        <f>_xll.BQL("JBLU US Equity", "FA_GROWTH(BS_CONTRACT_LIABS_LONG_TERM, YOY)", "FPT=A", "FPO=3A", "ACT_EST_MAPPING=PRECISE", "FS=MRC", "CURRENCY=USD", "XLFILL=b")</f>
        <v>0.85340661894845471</v>
      </c>
      <c r="H259" s="9">
        <f>_xll.BQL("JBLU US Equity", "FA_GROWTH(BS_CONTRACT_LIABS_LONG_TERM, YOY)", "FPT=A", "FPO=2A", "ACT_EST_MAPPING=PRECISE", "FS=MRC", "CURRENCY=USD", "XLFILL=b")</f>
        <v>1.3445419125944873</v>
      </c>
      <c r="I259" s="9">
        <f>_xll.BQL("JBLU US Equity", "FA_GROWTH(BS_CONTRACT_LIABS_LONG_TERM, YOY)", "FPT=A", "FPO=1A", "ACT_EST_MAPPING=PRECISE", "FS=MRC", "CURRENCY=USD", "XLFILL=b")</f>
        <v>-2.1616626702708168</v>
      </c>
      <c r="J259" s="9">
        <f>_xll.BQL("JBLU US Equity", "FA_GROWTH(BS_CONTRACT_LIABS_LONG_TERM, YOY)", "FPT=A", "FPO=0A", "ACT_EST_MAPPING=PRECISE", "FS=MRC", "CURRENCY=USD", "XLFILL=b")</f>
        <v>0.27100271002710025</v>
      </c>
      <c r="K259" s="9">
        <f>_xll.BQL("JBLU US Equity", "FA_GROWTH(BS_CONTRACT_LIABS_LONG_TERM, YOY)", "FPT=A", "FPO=-1A", "ACT_EST_MAPPING=PRECISE", "FS=MRC", "CURRENCY=USD", "XLFILL=b")</f>
        <v>15.3125</v>
      </c>
      <c r="L259" s="9">
        <f>_xll.BQL("JBLU US Equity", "FA_GROWTH(BS_CONTRACT_LIABS_LONG_TERM, YOY)", "FPT=A", "FPO=-2A", "ACT_EST_MAPPING=PRECISE", "FS=MRC", "CURRENCY=USD", "XLFILL=b")</f>
        <v>3.8961038961038961</v>
      </c>
      <c r="M259" s="9">
        <f>_xll.BQL("JBLU US Equity", "FA_GROWTH(BS_CONTRACT_LIABS_LONG_TERM, YOY)", "FPT=A", "FPO=-3A", "ACT_EST_MAPPING=PRECISE", "FS=MRC", "CURRENCY=USD", "XLFILL=b")</f>
        <v>28.066528066528065</v>
      </c>
      <c r="N259" s="9" t="str">
        <f>_xll.BQL("JBLU US Equity", "FA_GROWTH(BS_CONTRACT_LIABS_LONG_TERM, YOY)", "FPT=A", "FPO=-4A", "ACT_EST_MAPPING=PRECISE", "FS=MRC", "CURRENCY=USD", "XLFILL=b")</f>
        <v/>
      </c>
    </row>
    <row r="260" spans="1:14" x14ac:dyDescent="0.2">
      <c r="A260" s="8" t="s">
        <v>286</v>
      </c>
      <c r="B260" s="4" t="s">
        <v>287</v>
      </c>
      <c r="C260" s="4"/>
      <c r="D260" s="4"/>
      <c r="E260" s="9" t="str">
        <f>_xll.BQL("JBLU US Equity", "CB_BS_OTHER_NONCURRENT_LIABS/1M", "FPT=A", "FPO=5A", "ACT_EST_MAPPING=PRECISE", "FS=MRC", "CURRENCY=USD", "XLFILL=b")</f>
        <v/>
      </c>
      <c r="F260" s="9" t="str">
        <f>_xll.BQL("JBLU US Equity", "CB_BS_OTHER_NONCURRENT_LIABS/1M", "FPT=A", "FPO=4A", "ACT_EST_MAPPING=PRECISE", "FS=MRC", "CURRENCY=USD", "XLFILL=b")</f>
        <v/>
      </c>
      <c r="G260" s="9">
        <f>_xll.BQL("JBLU US Equity", "CB_BS_OTHER_NONCURRENT_LIABS/1M", "FPT=A", "FPO=3A", "ACT_EST_MAPPING=PRECISE", "FS=MRC", "CURRENCY=USD", "XLFILL=b")</f>
        <v>420</v>
      </c>
      <c r="H260" s="9">
        <f>_xll.BQL("JBLU US Equity", "CB_BS_OTHER_NONCURRENT_LIABS/1M", "FPT=A", "FPO=2A", "ACT_EST_MAPPING=PRECISE", "FS=MRC", "CURRENCY=USD", "XLFILL=b")</f>
        <v>299.6224305840708</v>
      </c>
      <c r="I260" s="9">
        <f>_xll.BQL("JBLU US Equity", "CB_BS_OTHER_NONCURRENT_LIABS/1M", "FPT=A", "FPO=1A", "ACT_EST_MAPPING=PRECISE", "FS=MRC", "CURRENCY=USD", "XLFILL=b")</f>
        <v>480.08150376000373</v>
      </c>
      <c r="J260" s="9">
        <f>_xll.BQL("JBLU US Equity", "CB_BS_OTHER_NONCURRENT_LIABS/1M", "FPT=A", "FPO=0A", "ACT_EST_MAPPING=PRECISE", "FS=MRC", "CURRENCY=USD", "XLFILL=b")</f>
        <v>449</v>
      </c>
      <c r="K260" s="9">
        <f>_xll.BQL("JBLU US Equity", "CB_BS_OTHER_NONCURRENT_LIABS/1M", "FPT=A", "FPO=-1A", "ACT_EST_MAPPING=PRECISE", "FS=MRC", "CURRENCY=USD", "XLFILL=b")</f>
        <v>494</v>
      </c>
      <c r="L260" s="9">
        <f>_xll.BQL("JBLU US Equity", "CB_BS_OTHER_NONCURRENT_LIABS/1M", "FPT=A", "FPO=-2A", "ACT_EST_MAPPING=PRECISE", "FS=MRC", "CURRENCY=USD", "XLFILL=b")</f>
        <v>552</v>
      </c>
      <c r="M260" s="9">
        <f>_xll.BQL("JBLU US Equity", "CB_BS_OTHER_NONCURRENT_LIABS/1M", "FPT=A", "FPO=-3A", "ACT_EST_MAPPING=PRECISE", "FS=MRC", "CURRENCY=USD", "XLFILL=b")</f>
        <v>78</v>
      </c>
      <c r="N260" s="9">
        <f>_xll.BQL("JBLU US Equity", "CB_BS_OTHER_NONCURRENT_LIABS/1M", "FPT=A", "FPO=-4A", "ACT_EST_MAPPING=PRECISE", "FS=MRC", "CURRENCY=USD", "XLFILL=b")</f>
        <v>44</v>
      </c>
    </row>
    <row r="261" spans="1:14" x14ac:dyDescent="0.2">
      <c r="A261" s="8" t="s">
        <v>96</v>
      </c>
      <c r="B261" s="4" t="s">
        <v>287</v>
      </c>
      <c r="C261" s="4"/>
      <c r="D261" s="4"/>
      <c r="E261" s="9" t="str">
        <f>_xll.BQL("JBLU US Equity", "FA_GROWTH(CB_BS_OTHER_NONCURRENT_LIABS, YOY)", "FPT=A", "FPO=5A", "ACT_EST_MAPPING=PRECISE", "FS=MRC", "CURRENCY=USD", "XLFILL=b")</f>
        <v/>
      </c>
      <c r="F261" s="9" t="str">
        <f>_xll.BQL("JBLU US Equity", "FA_GROWTH(CB_BS_OTHER_NONCURRENT_LIABS, YOY)", "FPT=A", "FPO=4A", "ACT_EST_MAPPING=PRECISE", "FS=MRC", "CURRENCY=USD", "XLFILL=b")</f>
        <v/>
      </c>
      <c r="G261" s="9">
        <f>_xll.BQL("JBLU US Equity", "FA_GROWTH(CB_BS_OTHER_NONCURRENT_LIABS, YOY)", "FPT=A", "FPO=3A", "ACT_EST_MAPPING=PRECISE", "FS=MRC", "CURRENCY=USD", "XLFILL=b")</f>
        <v>40.176421098136899</v>
      </c>
      <c r="H261" s="9">
        <f>_xll.BQL("JBLU US Equity", "FA_GROWTH(CB_BS_OTHER_NONCURRENT_LIABS, YOY)", "FPT=A", "FPO=2A", "ACT_EST_MAPPING=PRECISE", "FS=MRC", "CURRENCY=USD", "XLFILL=b")</f>
        <v>-37.589257607838555</v>
      </c>
      <c r="I261" s="9">
        <f>_xll.BQL("JBLU US Equity", "FA_GROWTH(CB_BS_OTHER_NONCURRENT_LIABS, YOY)", "FPT=A", "FPO=1A", "ACT_EST_MAPPING=PRECISE", "FS=MRC", "CURRENCY=USD", "XLFILL=b")</f>
        <v>6.9223839109139753</v>
      </c>
      <c r="J261" s="9">
        <f>_xll.BQL("JBLU US Equity", "FA_GROWTH(CB_BS_OTHER_NONCURRENT_LIABS, YOY)", "FPT=A", "FPO=0A", "ACT_EST_MAPPING=PRECISE", "FS=MRC", "CURRENCY=USD", "XLFILL=b")</f>
        <v>-9.1093117408906874</v>
      </c>
      <c r="K261" s="9">
        <f>_xll.BQL("JBLU US Equity", "FA_GROWTH(CB_BS_OTHER_NONCURRENT_LIABS, YOY)", "FPT=A", "FPO=-1A", "ACT_EST_MAPPING=PRECISE", "FS=MRC", "CURRENCY=USD", "XLFILL=b")</f>
        <v>-10.507246376811594</v>
      </c>
      <c r="L261" s="9">
        <f>_xll.BQL("JBLU US Equity", "FA_GROWTH(CB_BS_OTHER_NONCURRENT_LIABS, YOY)", "FPT=A", "FPO=-2A", "ACT_EST_MAPPING=PRECISE", "FS=MRC", "CURRENCY=USD", "XLFILL=b")</f>
        <v>607.69230769230774</v>
      </c>
      <c r="M261" s="9">
        <f>_xll.BQL("JBLU US Equity", "FA_GROWTH(CB_BS_OTHER_NONCURRENT_LIABS, YOY)", "FPT=A", "FPO=-3A", "ACT_EST_MAPPING=PRECISE", "FS=MRC", "CURRENCY=USD", "XLFILL=b")</f>
        <v>77.272727272727266</v>
      </c>
      <c r="N261" s="9">
        <f>_xll.BQL("JBLU US Equity", "FA_GROWTH(CB_BS_OTHER_NONCURRENT_LIABS, YOY)", "FPT=A", "FPO=-4A", "ACT_EST_MAPPING=PRECISE", "FS=MRC", "CURRENCY=USD", "XLFILL=b")</f>
        <v>-90.794979079497907</v>
      </c>
    </row>
    <row r="262" spans="1:14" x14ac:dyDescent="0.2">
      <c r="A262" s="8" t="s">
        <v>288</v>
      </c>
      <c r="B262" s="4" t="s">
        <v>289</v>
      </c>
      <c r="C262" s="4" t="s">
        <v>290</v>
      </c>
      <c r="D262" s="4"/>
      <c r="E262" s="9">
        <f>_xll.BQL("JBLU US Equity", "BS_TOTAL_LIABILITIES/1M", "FPT=A", "FPO=5A", "ACT_EST_MAPPING=PRECISE", "FS=MRC", "CURRENCY=USD", "XLFILL=b")</f>
        <v>15559</v>
      </c>
      <c r="F262" s="9">
        <f>_xll.BQL("JBLU US Equity", "BS_TOTAL_LIABILITIES/1M", "FPT=A", "FPO=4A", "ACT_EST_MAPPING=PRECISE", "FS=MRC", "CURRENCY=USD", "XLFILL=b")</f>
        <v>14767.400000000001</v>
      </c>
      <c r="G262" s="9">
        <f>_xll.BQL("JBLU US Equity", "BS_TOTAL_LIABILITIES/1M", "FPT=A", "FPO=3A", "ACT_EST_MAPPING=PRECISE", "FS=MRC", "CURRENCY=USD", "XLFILL=b")</f>
        <v>14524.191770054847</v>
      </c>
      <c r="H262" s="9">
        <f>_xll.BQL("JBLU US Equity", "BS_TOTAL_LIABILITIES/1M", "FPT=A", "FPO=2A", "ACT_EST_MAPPING=PRECISE", "FS=MRC", "CURRENCY=USD", "XLFILL=b")</f>
        <v>13072.348616971791</v>
      </c>
      <c r="I262" s="9">
        <f>_xll.BQL("JBLU US Equity", "BS_TOTAL_LIABILITIES/1M", "FPT=A", "FPO=1A", "ACT_EST_MAPPING=PRECISE", "FS=MRC", "CURRENCY=USD", "XLFILL=b")</f>
        <v>13400.88613432079</v>
      </c>
      <c r="J262" s="9">
        <f>_xll.BQL("JBLU US Equity", "BS_TOTAL_LIABILITIES/1M", "FPT=A", "FPO=0A", "ACT_EST_MAPPING=PRECISE", "FS=MRC", "CURRENCY=USD", "XLFILL=b")</f>
        <v>10516</v>
      </c>
      <c r="K262" s="9">
        <f>_xll.BQL("JBLU US Equity", "BS_TOTAL_LIABILITIES/1M", "FPT=A", "FPO=-1A", "ACT_EST_MAPPING=PRECISE", "FS=MRC", "CURRENCY=USD", "XLFILL=b")</f>
        <v>9482</v>
      </c>
      <c r="L262" s="9">
        <f>_xll.BQL("JBLU US Equity", "BS_TOTAL_LIABILITIES/1M", "FPT=A", "FPO=-2A", "ACT_EST_MAPPING=PRECISE", "FS=MRC", "CURRENCY=USD", "XLFILL=b")</f>
        <v>9793</v>
      </c>
      <c r="M262" s="9">
        <f>_xll.BQL("JBLU US Equity", "BS_TOTAL_LIABILITIES/1M", "FPT=A", "FPO=-3A", "ACT_EST_MAPPING=PRECISE", "FS=MRC", "CURRENCY=USD", "XLFILL=b")</f>
        <v>9455</v>
      </c>
      <c r="N262" s="9">
        <f>_xll.BQL("JBLU US Equity", "BS_TOTAL_LIABILITIES/1M", "FPT=A", "FPO=-4A", "ACT_EST_MAPPING=PRECISE", "FS=MRC", "CURRENCY=USD", "XLFILL=b")</f>
        <v>7119</v>
      </c>
    </row>
    <row r="263" spans="1:14" x14ac:dyDescent="0.2">
      <c r="A263" s="8" t="s">
        <v>84</v>
      </c>
      <c r="B263" s="4" t="s">
        <v>289</v>
      </c>
      <c r="C263" s="4" t="s">
        <v>290</v>
      </c>
      <c r="D263" s="4"/>
      <c r="E263" s="9">
        <f>_xll.BQL("JBLU US Equity", "FA_GROWTH(BS_TOTAL_LIABILITIES, YOY)", "FPT=A", "FPO=5A", "ACT_EST_MAPPING=PRECISE", "FS=MRC", "CURRENCY=USD", "XLFILL=b")</f>
        <v>5.3604561398756587</v>
      </c>
      <c r="F263" s="9">
        <f>_xll.BQL("JBLU US Equity", "FA_GROWTH(BS_TOTAL_LIABILITIES, YOY)", "FPT=A", "FPO=4A", "ACT_EST_MAPPING=PRECISE", "FS=MRC", "CURRENCY=USD", "XLFILL=b")</f>
        <v>1.6745043978735332</v>
      </c>
      <c r="G263" s="9">
        <f>_xll.BQL("JBLU US Equity", "FA_GROWTH(BS_TOTAL_LIABILITIES, YOY)", "FPT=A", "FPO=3A", "ACT_EST_MAPPING=PRECISE", "FS=MRC", "CURRENCY=USD", "XLFILL=b")</f>
        <v>11.106215077512037</v>
      </c>
      <c r="H263" s="9">
        <f>_xll.BQL("JBLU US Equity", "FA_GROWTH(BS_TOTAL_LIABILITIES, YOY)", "FPT=A", "FPO=2A", "ACT_EST_MAPPING=PRECISE", "FS=MRC", "CURRENCY=USD", "XLFILL=b")</f>
        <v>-2.45161039393945</v>
      </c>
      <c r="I263" s="9">
        <f>_xll.BQL("JBLU US Equity", "FA_GROWTH(BS_TOTAL_LIABILITIES, YOY)", "FPT=A", "FPO=1A", "ACT_EST_MAPPING=PRECISE", "FS=MRC", "CURRENCY=USD", "XLFILL=b")</f>
        <v>27.433302912902143</v>
      </c>
      <c r="J263" s="9">
        <f>_xll.BQL("JBLU US Equity", "FA_GROWTH(BS_TOTAL_LIABILITIES, YOY)", "FPT=A", "FPO=0A", "ACT_EST_MAPPING=PRECISE", "FS=MRC", "CURRENCY=USD", "XLFILL=b")</f>
        <v>10.904872389791183</v>
      </c>
      <c r="K263" s="9">
        <f>_xll.BQL("JBLU US Equity", "FA_GROWTH(BS_TOTAL_LIABILITIES, YOY)", "FPT=A", "FPO=-1A", "ACT_EST_MAPPING=PRECISE", "FS=MRC", "CURRENCY=USD", "XLFILL=b")</f>
        <v>-3.1757377718778721</v>
      </c>
      <c r="L263" s="9">
        <f>_xll.BQL("JBLU US Equity", "FA_GROWTH(BS_TOTAL_LIABILITIES, YOY)", "FPT=A", "FPO=-2A", "ACT_EST_MAPPING=PRECISE", "FS=MRC", "CURRENCY=USD", "XLFILL=b")</f>
        <v>3.574828133262824</v>
      </c>
      <c r="M263" s="9">
        <f>_xll.BQL("JBLU US Equity", "FA_GROWTH(BS_TOTAL_LIABILITIES, YOY)", "FPT=A", "FPO=-3A", "ACT_EST_MAPPING=PRECISE", "FS=MRC", "CURRENCY=USD", "XLFILL=b")</f>
        <v>32.813597415367326</v>
      </c>
      <c r="N263" s="9">
        <f>_xll.BQL("JBLU US Equity", "FA_GROWTH(BS_TOTAL_LIABILITIES, YOY)", "FPT=A", "FPO=-4A", "ACT_EST_MAPPING=PRECISE", "FS=MRC", "CURRENCY=USD", "XLFILL=b")</f>
        <v>13.468281797896079</v>
      </c>
    </row>
    <row r="264" spans="1:14" x14ac:dyDescent="0.2">
      <c r="A264" s="8" t="s">
        <v>291</v>
      </c>
      <c r="B264" s="4" t="s">
        <v>292</v>
      </c>
      <c r="C264" s="4" t="s">
        <v>293</v>
      </c>
      <c r="D264" s="4"/>
      <c r="E264" s="9">
        <f>_xll.BQL("JBLU US Equity", "HEADLINE_NAV/1M", "FPT=A", "FPO=5A", "ACT_EST_MAPPING=PRECISE", "FS=MRC", "CURRENCY=USD", "XLFILL=b")</f>
        <v>2429</v>
      </c>
      <c r="F264" s="9">
        <f>_xll.BQL("JBLU US Equity", "HEADLINE_NAV/1M", "FPT=A", "FPO=4A", "ACT_EST_MAPPING=PRECISE", "FS=MRC", "CURRENCY=USD", "XLFILL=b")</f>
        <v>2375</v>
      </c>
      <c r="G264" s="9">
        <f>_xll.BQL("JBLU US Equity", "HEADLINE_NAV/1M", "FPT=A", "FPO=3A", "ACT_EST_MAPPING=PRECISE", "FS=MRC", "CURRENCY=USD", "XLFILL=b")</f>
        <v>2561.5</v>
      </c>
      <c r="H264" s="9">
        <f>_xll.BQL("JBLU US Equity", "HEADLINE_NAV/1M", "FPT=A", "FPO=2A", "ACT_EST_MAPPING=PRECISE", "FS=MRC", "CURRENCY=USD", "XLFILL=b")</f>
        <v>2805.5</v>
      </c>
      <c r="I264" s="9">
        <f>_xll.BQL("JBLU US Equity", "HEADLINE_NAV/1M", "FPT=A", "FPO=1A", "ACT_EST_MAPPING=PRECISE", "FS=MRC", "CURRENCY=USD", "XLFILL=b")</f>
        <v>2851.125</v>
      </c>
      <c r="J264" s="9">
        <f>_xll.BQL("JBLU US Equity", "HEADLINE_NAV/1M", "FPT=A", "FPO=0A", "ACT_EST_MAPPING=PRECISE", "FS=MRC", "CURRENCY=USD", "XLFILL=b")</f>
        <v>3337</v>
      </c>
      <c r="K264" s="9">
        <f>_xll.BQL("JBLU US Equity", "HEADLINE_NAV/1M", "FPT=A", "FPO=-1A", "ACT_EST_MAPPING=PRECISE", "FS=MRC", "CURRENCY=USD", "XLFILL=b")</f>
        <v>3563</v>
      </c>
      <c r="L264" s="9">
        <f>_xll.BQL("JBLU US Equity", "HEADLINE_NAV/1M", "FPT=A", "FPO=-2A", "ACT_EST_MAPPING=PRECISE", "FS=MRC", "CURRENCY=USD", "XLFILL=b")</f>
        <v>3849</v>
      </c>
      <c r="M264" s="9">
        <f>_xll.BQL("JBLU US Equity", "HEADLINE_NAV/1M", "FPT=A", "FPO=-3A", "ACT_EST_MAPPING=PRECISE", "FS=MRC", "CURRENCY=USD", "XLFILL=b")</f>
        <v>3951</v>
      </c>
      <c r="N264" s="9">
        <f>_xll.BQL("JBLU US Equity", "HEADLINE_NAV/1M", "FPT=A", "FPO=-4A", "ACT_EST_MAPPING=PRECISE", "FS=MRC", "CURRENCY=USD", "XLFILL=b")</f>
        <v>4799</v>
      </c>
    </row>
    <row r="265" spans="1:14" x14ac:dyDescent="0.2">
      <c r="A265" s="8" t="s">
        <v>84</v>
      </c>
      <c r="B265" s="4" t="s">
        <v>292</v>
      </c>
      <c r="C265" s="4" t="s">
        <v>293</v>
      </c>
      <c r="D265" s="4"/>
      <c r="E265" s="9">
        <f>_xll.BQL("JBLU US Equity", "FA_GROWTH(HEADLINE_NAV, YOY)", "FPT=A", "FPO=5A", "ACT_EST_MAPPING=PRECISE", "FS=MRC", "CURRENCY=USD", "XLFILL=b")</f>
        <v>2.2736842105263158</v>
      </c>
      <c r="F265" s="9">
        <f>_xll.BQL("JBLU US Equity", "FA_GROWTH(HEADLINE_NAV, YOY)", "FPT=A", "FPO=4A", "ACT_EST_MAPPING=PRECISE", "FS=MRC", "CURRENCY=USD", "XLFILL=b")</f>
        <v>-7.2808901034550066</v>
      </c>
      <c r="G265" s="9">
        <f>_xll.BQL("JBLU US Equity", "FA_GROWTH(HEADLINE_NAV, YOY)", "FPT=A", "FPO=3A", "ACT_EST_MAPPING=PRECISE", "FS=MRC", "CURRENCY=USD", "XLFILL=b")</f>
        <v>-8.6972019247905905</v>
      </c>
      <c r="H265" s="9">
        <f>_xll.BQL("JBLU US Equity", "FA_GROWTH(HEADLINE_NAV, YOY)", "FPT=A", "FPO=2A", "ACT_EST_MAPPING=PRECISE", "FS=MRC", "CURRENCY=USD", "XLFILL=b")</f>
        <v>-1.6002455171204348</v>
      </c>
      <c r="I265" s="9">
        <f>_xll.BQL("JBLU US Equity", "FA_GROWTH(HEADLINE_NAV, YOY)", "FPT=A", "FPO=1A", "ACT_EST_MAPPING=PRECISE", "FS=MRC", "CURRENCY=USD", "XLFILL=b")</f>
        <v>-14.560233742882829</v>
      </c>
      <c r="J265" s="9">
        <f>_xll.BQL("JBLU US Equity", "FA_GROWTH(HEADLINE_NAV, YOY)", "FPT=A", "FPO=0A", "ACT_EST_MAPPING=PRECISE", "FS=MRC", "CURRENCY=USD", "XLFILL=b")</f>
        <v>-6.3429694078024141</v>
      </c>
      <c r="K265" s="9">
        <f>_xll.BQL("JBLU US Equity", "FA_GROWTH(HEADLINE_NAV, YOY)", "FPT=A", "FPO=-1A", "ACT_EST_MAPPING=PRECISE", "FS=MRC", "CURRENCY=USD", "XLFILL=b")</f>
        <v>-7.4305014289425824</v>
      </c>
      <c r="L265" s="9">
        <f>_xll.BQL("JBLU US Equity", "FA_GROWTH(HEADLINE_NAV, YOY)", "FPT=A", "FPO=-2A", "ACT_EST_MAPPING=PRECISE", "FS=MRC", "CURRENCY=USD", "XLFILL=b")</f>
        <v>-2.5816249050873195</v>
      </c>
      <c r="M265" s="9">
        <f>_xll.BQL("JBLU US Equity", "FA_GROWTH(HEADLINE_NAV, YOY)", "FPT=A", "FPO=-3A", "ACT_EST_MAPPING=PRECISE", "FS=MRC", "CURRENCY=USD", "XLFILL=b")</f>
        <v>-17.670347989164409</v>
      </c>
      <c r="N265" s="9">
        <f>_xll.BQL("JBLU US Equity", "FA_GROWTH(HEADLINE_NAV, YOY)", "FPT=A", "FPO=-4A", "ACT_EST_MAPPING=PRECISE", "FS=MRC", "CURRENCY=USD", "XLFILL=b")</f>
        <v>2.433297758804696</v>
      </c>
    </row>
    <row r="266" spans="1:14" x14ac:dyDescent="0.2">
      <c r="A266" s="8" t="s">
        <v>282</v>
      </c>
      <c r="B266" s="4" t="s">
        <v>294</v>
      </c>
      <c r="C266" s="4"/>
      <c r="D266" s="4"/>
      <c r="E266" s="9" t="str">
        <f>_xll.BQL("JBLU US Equity", "BS_ADD_PAID_IN_CAP/1M", "FPT=A", "FPO=5A", "ACT_EST_MAPPING=PRECISE", "FS=MRC", "CURRENCY=USD", "XLFILL=b")</f>
        <v/>
      </c>
      <c r="F266" s="9" t="str">
        <f>_xll.BQL("JBLU US Equity", "BS_ADD_PAID_IN_CAP/1M", "FPT=A", "FPO=4A", "ACT_EST_MAPPING=PRECISE", "FS=MRC", "CURRENCY=USD", "XLFILL=b")</f>
        <v/>
      </c>
      <c r="G266" s="9">
        <f>_xll.BQL("JBLU US Equity", "BS_ADD_PAID_IN_CAP/1M", "FPT=A", "FPO=3A", "ACT_EST_MAPPING=PRECISE", "FS=MRC", "CURRENCY=USD", "XLFILL=b")</f>
        <v>2960.0061567704261</v>
      </c>
      <c r="H266" s="9">
        <f>_xll.BQL("JBLU US Equity", "BS_ADD_PAID_IN_CAP/1M", "FPT=A", "FPO=2A", "ACT_EST_MAPPING=PRECISE", "FS=MRC", "CURRENCY=USD", "XLFILL=b")</f>
        <v>2750.5310777498285</v>
      </c>
      <c r="I266" s="9">
        <f>_xll.BQL("JBLU US Equity", "BS_ADD_PAID_IN_CAP/1M", "FPT=A", "FPO=1A", "ACT_EST_MAPPING=PRECISE", "FS=MRC", "CURRENCY=USD", "XLFILL=b")</f>
        <v>2618.3994716835441</v>
      </c>
      <c r="J266" s="9">
        <f>_xll.BQL("JBLU US Equity", "BS_ADD_PAID_IN_CAP/1M", "FPT=A", "FPO=0A", "ACT_EST_MAPPING=PRECISE", "FS=MRC", "CURRENCY=USD", "XLFILL=b")</f>
        <v>3221</v>
      </c>
      <c r="K266" s="9">
        <f>_xll.BQL("JBLU US Equity", "BS_ADD_PAID_IN_CAP/1M", "FPT=A", "FPO=-1A", "ACT_EST_MAPPING=PRECISE", "FS=MRC", "CURRENCY=USD", "XLFILL=b")</f>
        <v>3129</v>
      </c>
      <c r="L266" s="9">
        <f>_xll.BQL("JBLU US Equity", "BS_ADD_PAID_IN_CAP/1M", "FPT=A", "FPO=-2A", "ACT_EST_MAPPING=PRECISE", "FS=MRC", "CURRENCY=USD", "XLFILL=b")</f>
        <v>3047</v>
      </c>
      <c r="M266" s="9">
        <f>_xll.BQL("JBLU US Equity", "BS_ADD_PAID_IN_CAP/1M", "FPT=A", "FPO=-3A", "ACT_EST_MAPPING=PRECISE", "FS=MRC", "CURRENCY=USD", "XLFILL=b")</f>
        <v>2959</v>
      </c>
      <c r="N266" s="9">
        <f>_xll.BQL("JBLU US Equity", "BS_ADD_PAID_IN_CAP/1M", "FPT=A", "FPO=-4A", "ACT_EST_MAPPING=PRECISE", "FS=MRC", "CURRENCY=USD", "XLFILL=b")</f>
        <v>2253</v>
      </c>
    </row>
    <row r="267" spans="1:14" x14ac:dyDescent="0.2">
      <c r="A267" s="8" t="s">
        <v>96</v>
      </c>
      <c r="B267" s="4" t="s">
        <v>294</v>
      </c>
      <c r="C267" s="4"/>
      <c r="D267" s="4"/>
      <c r="E267" s="9" t="str">
        <f>_xll.BQL("JBLU US Equity", "FA_GROWTH(BS_ADD_PAID_IN_CAP, YOY)", "FPT=A", "FPO=5A", "ACT_EST_MAPPING=PRECISE", "FS=MRC", "CURRENCY=USD", "XLFILL=b")</f>
        <v/>
      </c>
      <c r="F267" s="9" t="str">
        <f>_xll.BQL("JBLU US Equity", "FA_GROWTH(BS_ADD_PAID_IN_CAP, YOY)", "FPT=A", "FPO=4A", "ACT_EST_MAPPING=PRECISE", "FS=MRC", "CURRENCY=USD", "XLFILL=b")</f>
        <v/>
      </c>
      <c r="G267" s="9">
        <f>_xll.BQL("JBLU US Equity", "FA_GROWTH(BS_ADD_PAID_IN_CAP, YOY)", "FPT=A", "FPO=3A", "ACT_EST_MAPPING=PRECISE", "FS=MRC", "CURRENCY=USD", "XLFILL=b")</f>
        <v>7.6158048427493714</v>
      </c>
      <c r="H267" s="9">
        <f>_xll.BQL("JBLU US Equity", "FA_GROWTH(BS_ADD_PAID_IN_CAP, YOY)", "FPT=A", "FPO=2A", "ACT_EST_MAPPING=PRECISE", "FS=MRC", "CURRENCY=USD", "XLFILL=b")</f>
        <v>5.0462737827138318</v>
      </c>
      <c r="I267" s="9">
        <f>_xll.BQL("JBLU US Equity", "FA_GROWTH(BS_ADD_PAID_IN_CAP, YOY)", "FPT=A", "FPO=1A", "ACT_EST_MAPPING=PRECISE", "FS=MRC", "CURRENCY=USD", "XLFILL=b")</f>
        <v>-18.708492030936227</v>
      </c>
      <c r="J267" s="9">
        <f>_xll.BQL("JBLU US Equity", "FA_GROWTH(BS_ADD_PAID_IN_CAP, YOY)", "FPT=A", "FPO=0A", "ACT_EST_MAPPING=PRECISE", "FS=MRC", "CURRENCY=USD", "XLFILL=b")</f>
        <v>2.9402364972834771</v>
      </c>
      <c r="K267" s="9">
        <f>_xll.BQL("JBLU US Equity", "FA_GROWTH(BS_ADD_PAID_IN_CAP, YOY)", "FPT=A", "FPO=-1A", "ACT_EST_MAPPING=PRECISE", "FS=MRC", "CURRENCY=USD", "XLFILL=b")</f>
        <v>2.6911716442402365</v>
      </c>
      <c r="L267" s="9">
        <f>_xll.BQL("JBLU US Equity", "FA_GROWTH(BS_ADD_PAID_IN_CAP, YOY)", "FPT=A", "FPO=-2A", "ACT_EST_MAPPING=PRECISE", "FS=MRC", "CURRENCY=USD", "XLFILL=b")</f>
        <v>2.9739776951672861</v>
      </c>
      <c r="M267" s="9">
        <f>_xll.BQL("JBLU US Equity", "FA_GROWTH(BS_ADD_PAID_IN_CAP, YOY)", "FPT=A", "FPO=-3A", "ACT_EST_MAPPING=PRECISE", "FS=MRC", "CURRENCY=USD", "XLFILL=b")</f>
        <v>31.335996449178872</v>
      </c>
      <c r="N267" s="9">
        <f>_xll.BQL("JBLU US Equity", "FA_GROWTH(BS_ADD_PAID_IN_CAP, YOY)", "FPT=A", "FPO=-4A", "ACT_EST_MAPPING=PRECISE", "FS=MRC", "CURRENCY=USD", "XLFILL=b")</f>
        <v>2.2696323195642307</v>
      </c>
    </row>
    <row r="268" spans="1:14" x14ac:dyDescent="0.2">
      <c r="A268" s="8" t="s">
        <v>295</v>
      </c>
      <c r="B268" s="4" t="s">
        <v>296</v>
      </c>
      <c r="C268" s="4"/>
      <c r="D268" s="4"/>
      <c r="E268" s="9" t="str">
        <f>_xll.BQL("JBLU US Equity", "BS_PURE_RETAINED_EARNINGS/1M", "FPT=A", "FPO=5A", "ACT_EST_MAPPING=PRECISE", "FS=MRC", "CURRENCY=USD", "XLFILL=b")</f>
        <v/>
      </c>
      <c r="F268" s="9" t="str">
        <f>_xll.BQL("JBLU US Equity", "BS_PURE_RETAINED_EARNINGS/1M", "FPT=A", "FPO=4A", "ACT_EST_MAPPING=PRECISE", "FS=MRC", "CURRENCY=USD", "XLFILL=b")</f>
        <v/>
      </c>
      <c r="G268" s="9">
        <f>_xll.BQL("JBLU US Equity", "BS_PURE_RETAINED_EARNINGS/1M", "FPT=A", "FPO=3A", "ACT_EST_MAPPING=PRECISE", "FS=MRC", "CURRENCY=USD", "XLFILL=b")</f>
        <v>1032.9718772320969</v>
      </c>
      <c r="H268" s="9">
        <f>_xll.BQL("JBLU US Equity", "BS_PURE_RETAINED_EARNINGS/1M", "FPT=A", "FPO=2A", "ACT_EST_MAPPING=PRECISE", "FS=MRC", "CURRENCY=USD", "XLFILL=b")</f>
        <v>989.13155440147557</v>
      </c>
      <c r="I268" s="9">
        <f>_xll.BQL("JBLU US Equity", "BS_PURE_RETAINED_EARNINGS/1M", "FPT=A", "FPO=1A", "ACT_EST_MAPPING=PRECISE", "FS=MRC", "CURRENCY=USD", "XLFILL=b")</f>
        <v>1233.5778412025998</v>
      </c>
      <c r="J268" s="9">
        <f>_xll.BQL("JBLU US Equity", "BS_PURE_RETAINED_EARNINGS/1M", "FPT=A", "FPO=0A", "ACT_EST_MAPPING=PRECISE", "FS=MRC", "CURRENCY=USD", "XLFILL=b")</f>
        <v>2114</v>
      </c>
      <c r="K268" s="9">
        <f>_xll.BQL("JBLU US Equity", "BS_PURE_RETAINED_EARNINGS/1M", "FPT=A", "FPO=-1A", "ACT_EST_MAPPING=PRECISE", "FS=MRC", "CURRENCY=USD", "XLFILL=b")</f>
        <v>2424</v>
      </c>
      <c r="L268" s="9">
        <f>_xll.BQL("JBLU US Equity", "BS_PURE_RETAINED_EARNINGS/1M", "FPT=A", "FPO=-2A", "ACT_EST_MAPPING=PRECISE", "FS=MRC", "CURRENCY=USD", "XLFILL=b")</f>
        <v>2786</v>
      </c>
      <c r="M268" s="9">
        <f>_xll.BQL("JBLU US Equity", "BS_PURE_RETAINED_EARNINGS/1M", "FPT=A", "FPO=-3A", "ACT_EST_MAPPING=PRECISE", "FS=MRC", "CURRENCY=USD", "XLFILL=b")</f>
        <v>2968</v>
      </c>
      <c r="N268" s="9">
        <f>_xll.BQL("JBLU US Equity", "BS_PURE_RETAINED_EARNINGS/1M", "FPT=A", "FPO=-4A", "ACT_EST_MAPPING=PRECISE", "FS=MRC", "CURRENCY=USD", "XLFILL=b")</f>
        <v>4322</v>
      </c>
    </row>
    <row r="269" spans="1:14" x14ac:dyDescent="0.2">
      <c r="A269" s="8" t="s">
        <v>96</v>
      </c>
      <c r="B269" s="4" t="s">
        <v>296</v>
      </c>
      <c r="C269" s="4"/>
      <c r="D269" s="4"/>
      <c r="E269" s="9" t="str">
        <f>_xll.BQL("JBLU US Equity", "FA_GROWTH(BS_PURE_RETAINED_EARNINGS, YOY)", "FPT=A", "FPO=5A", "ACT_EST_MAPPING=PRECISE", "FS=MRC", "CURRENCY=USD", "XLFILL=b")</f>
        <v/>
      </c>
      <c r="F269" s="9" t="str">
        <f>_xll.BQL("JBLU US Equity", "FA_GROWTH(BS_PURE_RETAINED_EARNINGS, YOY)", "FPT=A", "FPO=4A", "ACT_EST_MAPPING=PRECISE", "FS=MRC", "CURRENCY=USD", "XLFILL=b")</f>
        <v/>
      </c>
      <c r="G269" s="9">
        <f>_xll.BQL("JBLU US Equity", "FA_GROWTH(BS_PURE_RETAINED_EARNINGS, YOY)", "FPT=A", "FPO=3A", "ACT_EST_MAPPING=PRECISE", "FS=MRC", "CURRENCY=USD", "XLFILL=b")</f>
        <v>4.4322034450866408</v>
      </c>
      <c r="H269" s="9">
        <f>_xll.BQL("JBLU US Equity", "FA_GROWTH(BS_PURE_RETAINED_EARNINGS, YOY)", "FPT=A", "FPO=2A", "ACT_EST_MAPPING=PRECISE", "FS=MRC", "CURRENCY=USD", "XLFILL=b")</f>
        <v>-19.816040677483034</v>
      </c>
      <c r="I269" s="9">
        <f>_xll.BQL("JBLU US Equity", "FA_GROWTH(BS_PURE_RETAINED_EARNINGS, YOY)", "FPT=A", "FPO=1A", "ACT_EST_MAPPING=PRECISE", "FS=MRC", "CURRENCY=USD", "XLFILL=b")</f>
        <v>-41.647216594011361</v>
      </c>
      <c r="J269" s="9">
        <f>_xll.BQL("JBLU US Equity", "FA_GROWTH(BS_PURE_RETAINED_EARNINGS, YOY)", "FPT=A", "FPO=0A", "ACT_EST_MAPPING=PRECISE", "FS=MRC", "CURRENCY=USD", "XLFILL=b")</f>
        <v>-12.788778877887788</v>
      </c>
      <c r="K269" s="9">
        <f>_xll.BQL("JBLU US Equity", "FA_GROWTH(BS_PURE_RETAINED_EARNINGS, YOY)", "FPT=A", "FPO=-1A", "ACT_EST_MAPPING=PRECISE", "FS=MRC", "CURRENCY=USD", "XLFILL=b")</f>
        <v>-12.99353912419239</v>
      </c>
      <c r="L269" s="9">
        <f>_xll.BQL("JBLU US Equity", "FA_GROWTH(BS_PURE_RETAINED_EARNINGS, YOY)", "FPT=A", "FPO=-2A", "ACT_EST_MAPPING=PRECISE", "FS=MRC", "CURRENCY=USD", "XLFILL=b")</f>
        <v>-6.132075471698113</v>
      </c>
      <c r="M269" s="9">
        <f>_xll.BQL("JBLU US Equity", "FA_GROWTH(BS_PURE_RETAINED_EARNINGS, YOY)", "FPT=A", "FPO=-3A", "ACT_EST_MAPPING=PRECISE", "FS=MRC", "CURRENCY=USD", "XLFILL=b")</f>
        <v>-31.328088847755669</v>
      </c>
      <c r="N269" s="9">
        <f>_xll.BQL("JBLU US Equity", "FA_GROWTH(BS_PURE_RETAINED_EARNINGS, YOY)", "FPT=A", "FPO=-4A", "ACT_EST_MAPPING=PRECISE", "FS=MRC", "CURRENCY=USD", "XLFILL=b")</f>
        <v>15.161204369837463</v>
      </c>
    </row>
    <row r="270" spans="1:14" x14ac:dyDescent="0.2">
      <c r="A270" s="8" t="s">
        <v>297</v>
      </c>
      <c r="B270" s="4" t="s">
        <v>298</v>
      </c>
      <c r="C270" s="4"/>
      <c r="D270" s="4"/>
      <c r="E270" s="9" t="str">
        <f>_xll.BQL("JBLU US Equity", "BS_ACCUMULATED_OTHER_COMP_INC/1M", "FPT=A", "FPO=5A", "ACT_EST_MAPPING=PRECISE", "FS=MRC", "CURRENCY=USD", "XLFILL=b")</f>
        <v/>
      </c>
      <c r="F270" s="9" t="str">
        <f>_xll.BQL("JBLU US Equity", "BS_ACCUMULATED_OTHER_COMP_INC/1M", "FPT=A", "FPO=4A", "ACT_EST_MAPPING=PRECISE", "FS=MRC", "CURRENCY=USD", "XLFILL=b")</f>
        <v/>
      </c>
      <c r="G270" s="9">
        <f>_xll.BQL("JBLU US Equity", "BS_ACCUMULATED_OTHER_COMP_INC/1M", "FPT=A", "FPO=3A", "ACT_EST_MAPPING=PRECISE", "FS=MRC", "CURRENCY=USD", "XLFILL=b")</f>
        <v>-1</v>
      </c>
      <c r="H270" s="9">
        <f>_xll.BQL("JBLU US Equity", "BS_ACCUMULATED_OTHER_COMP_INC/1M", "FPT=A", "FPO=2A", "ACT_EST_MAPPING=PRECISE", "FS=MRC", "CURRENCY=USD", "XLFILL=b")</f>
        <v>-1</v>
      </c>
      <c r="I270" s="9">
        <f>_xll.BQL("JBLU US Equity", "BS_ACCUMULATED_OTHER_COMP_INC/1M", "FPT=A", "FPO=1A", "ACT_EST_MAPPING=PRECISE", "FS=MRC", "CURRENCY=USD", "XLFILL=b")</f>
        <v>-1</v>
      </c>
      <c r="J270" s="9">
        <f>_xll.BQL("JBLU US Equity", "BS_ACCUMULATED_OTHER_COMP_INC/1M", "FPT=A", "FPO=0A", "ACT_EST_MAPPING=PRECISE", "FS=MRC", "CURRENCY=USD", "XLFILL=b")</f>
        <v>-4</v>
      </c>
      <c r="K270" s="9">
        <f>_xll.BQL("JBLU US Equity", "BS_ACCUMULATED_OTHER_COMP_INC/1M", "FPT=A", "FPO=-1A", "ACT_EST_MAPPING=PRECISE", "FS=MRC", "CURRENCY=USD", "XLFILL=b")</f>
        <v>0</v>
      </c>
      <c r="L270" s="9">
        <f>_xll.BQL("JBLU US Equity", "BS_ACCUMULATED_OTHER_COMP_INC/1M", "FPT=A", "FPO=-2A", "ACT_EST_MAPPING=PRECISE", "FS=MRC", "CURRENCY=USD", "XLFILL=b")</f>
        <v>0</v>
      </c>
      <c r="M270" s="9">
        <f>_xll.BQL("JBLU US Equity", "BS_ACCUMULATED_OTHER_COMP_INC/1M", "FPT=A", "FPO=-3A", "ACT_EST_MAPPING=PRECISE", "FS=MRC", "CURRENCY=USD", "XLFILL=b")</f>
        <v>0</v>
      </c>
      <c r="N270" s="9">
        <f>_xll.BQL("JBLU US Equity", "BS_ACCUMULATED_OTHER_COMP_INC/1M", "FPT=A", "FPO=-4A", "ACT_EST_MAPPING=PRECISE", "FS=MRC", "CURRENCY=USD", "XLFILL=b")</f>
        <v>2</v>
      </c>
    </row>
    <row r="271" spans="1:14" x14ac:dyDescent="0.2">
      <c r="A271" s="8" t="s">
        <v>96</v>
      </c>
      <c r="B271" s="4" t="s">
        <v>298</v>
      </c>
      <c r="C271" s="4"/>
      <c r="D271" s="4"/>
      <c r="E271" s="9" t="str">
        <f>_xll.BQL("JBLU US Equity", "FA_GROWTH(BS_ACCUMULATED_OTHER_COMP_INC, YOY)", "FPT=A", "FPO=5A", "ACT_EST_MAPPING=PRECISE", "FS=MRC", "CURRENCY=USD", "XLFILL=b")</f>
        <v/>
      </c>
      <c r="F271" s="9" t="str">
        <f>_xll.BQL("JBLU US Equity", "FA_GROWTH(BS_ACCUMULATED_OTHER_COMP_INC, YOY)", "FPT=A", "FPO=4A", "ACT_EST_MAPPING=PRECISE", "FS=MRC", "CURRENCY=USD", "XLFILL=b")</f>
        <v/>
      </c>
      <c r="G271" s="9">
        <f>_xll.BQL("JBLU US Equity", "FA_GROWTH(BS_ACCUMULATED_OTHER_COMP_INC, YOY)", "FPT=A", "FPO=3A", "ACT_EST_MAPPING=PRECISE", "FS=MRC", "CURRENCY=USD", "XLFILL=b")</f>
        <v>0</v>
      </c>
      <c r="H271" s="9">
        <f>_xll.BQL("JBLU US Equity", "FA_GROWTH(BS_ACCUMULATED_OTHER_COMP_INC, YOY)", "FPT=A", "FPO=2A", "ACT_EST_MAPPING=PRECISE", "FS=MRC", "CURRENCY=USD", "XLFILL=b")</f>
        <v>0</v>
      </c>
      <c r="I271" s="9">
        <f>_xll.BQL("JBLU US Equity", "FA_GROWTH(BS_ACCUMULATED_OTHER_COMP_INC, YOY)", "FPT=A", "FPO=1A", "ACT_EST_MAPPING=PRECISE", "FS=MRC", "CURRENCY=USD", "XLFILL=b")</f>
        <v>75</v>
      </c>
      <c r="J271" s="9" t="str">
        <f>_xll.BQL("JBLU US Equity", "FA_GROWTH(BS_ACCUMULATED_OTHER_COMP_INC, YOY)", "FPT=A", "FPO=0A", "ACT_EST_MAPPING=PRECISE", "FS=MRC", "CURRENCY=USD", "XLFILL=b")</f>
        <v/>
      </c>
      <c r="K271" s="9" t="str">
        <f>_xll.BQL("JBLU US Equity", "FA_GROWTH(BS_ACCUMULATED_OTHER_COMP_INC, YOY)", "FPT=A", "FPO=-1A", "ACT_EST_MAPPING=PRECISE", "FS=MRC", "CURRENCY=USD", "XLFILL=b")</f>
        <v/>
      </c>
      <c r="L271" s="9" t="str">
        <f>_xll.BQL("JBLU US Equity", "FA_GROWTH(BS_ACCUMULATED_OTHER_COMP_INC, YOY)", "FPT=A", "FPO=-2A", "ACT_EST_MAPPING=PRECISE", "FS=MRC", "CURRENCY=USD", "XLFILL=b")</f>
        <v/>
      </c>
      <c r="M271" s="9">
        <f>_xll.BQL("JBLU US Equity", "FA_GROWTH(BS_ACCUMULATED_OTHER_COMP_INC, YOY)", "FPT=A", "FPO=-3A", "ACT_EST_MAPPING=PRECISE", "FS=MRC", "CURRENCY=USD", "XLFILL=b")</f>
        <v>-100</v>
      </c>
      <c r="N271" s="9">
        <f>_xll.BQL("JBLU US Equity", "FA_GROWTH(BS_ACCUMULATED_OTHER_COMP_INC, YOY)", "FPT=A", "FPO=-4A", "ACT_EST_MAPPING=PRECISE", "FS=MRC", "CURRENCY=USD", "XLFILL=b")</f>
        <v>166.66666666666666</v>
      </c>
    </row>
    <row r="272" spans="1:14" x14ac:dyDescent="0.2">
      <c r="A272" s="8" t="s">
        <v>299</v>
      </c>
      <c r="B272" s="4" t="s">
        <v>246</v>
      </c>
      <c r="C272" s="4" t="s">
        <v>300</v>
      </c>
      <c r="D272" s="4"/>
      <c r="E272" s="9">
        <f>_xll.BQL("JBLU US Equity", "BS_TOT_ASSET/1M", "FPT=A", "FPO=5A", "ACT_EST_MAPPING=PRECISE", "FS=MRC", "CURRENCY=USD", "XLFILL=b")</f>
        <v>17988.124137006893</v>
      </c>
      <c r="F272" s="9">
        <f>_xll.BQL("JBLU US Equity", "BS_TOT_ASSET/1M", "FPT=A", "FPO=4A", "ACT_EST_MAPPING=PRECISE", "FS=MRC", "CURRENCY=USD", "XLFILL=b")</f>
        <v>17142.864086312973</v>
      </c>
      <c r="G272" s="9">
        <f>_xll.BQL("JBLU US Equity", "BS_TOT_ASSET/1M", "FPT=A", "FPO=3A", "ACT_EST_MAPPING=PRECISE", "FS=MRC", "CURRENCY=USD", "XLFILL=b")</f>
        <v>16814.716556843421</v>
      </c>
      <c r="H272" s="9">
        <f>_xll.BQL("JBLU US Equity", "BS_TOT_ASSET/1M", "FPT=A", "FPO=2A", "ACT_EST_MAPPING=PRECISE", "FS=MRC", "CURRENCY=USD", "XLFILL=b")</f>
        <v>16002.857120783796</v>
      </c>
      <c r="I272" s="9">
        <f>_xll.BQL("JBLU US Equity", "BS_TOT_ASSET/1M", "FPT=A", "FPO=1A", "ACT_EST_MAPPING=PRECISE", "FS=MRC", "CURRENCY=USD", "XLFILL=b")</f>
        <v>15956.560590031022</v>
      </c>
      <c r="J272" s="9">
        <f>_xll.BQL("JBLU US Equity", "BS_TOT_ASSET/1M", "FPT=A", "FPO=0A", "ACT_EST_MAPPING=PRECISE", "FS=MRC", "CURRENCY=USD", "XLFILL=b")</f>
        <v>13853</v>
      </c>
      <c r="K272" s="9">
        <f>_xll.BQL("JBLU US Equity", "BS_TOT_ASSET/1M", "FPT=A", "FPO=-1A", "ACT_EST_MAPPING=PRECISE", "FS=MRC", "CURRENCY=USD", "XLFILL=b")</f>
        <v>13045</v>
      </c>
      <c r="L272" s="9">
        <f>_xll.BQL("JBLU US Equity", "BS_TOT_ASSET/1M", "FPT=A", "FPO=-2A", "ACT_EST_MAPPING=PRECISE", "FS=MRC", "CURRENCY=USD", "XLFILL=b")</f>
        <v>13642</v>
      </c>
      <c r="M272" s="9">
        <f>_xll.BQL("JBLU US Equity", "BS_TOT_ASSET/1M", "FPT=A", "FPO=-3A", "ACT_EST_MAPPING=PRECISE", "FS=MRC", "CURRENCY=USD", "XLFILL=b")</f>
        <v>13406</v>
      </c>
      <c r="N272" s="9">
        <f>_xll.BQL("JBLU US Equity", "BS_TOT_ASSET/1M", "FPT=A", "FPO=-4A", "ACT_EST_MAPPING=PRECISE", "FS=MRC", "CURRENCY=USD", "XLFILL=b")</f>
        <v>11918</v>
      </c>
    </row>
    <row r="273" spans="1:14" x14ac:dyDescent="0.2">
      <c r="A273" s="8" t="s">
        <v>84</v>
      </c>
      <c r="B273" s="4" t="s">
        <v>246</v>
      </c>
      <c r="C273" s="4" t="s">
        <v>300</v>
      </c>
      <c r="D273" s="4"/>
      <c r="E273" s="9">
        <f>_xll.BQL("JBLU US Equity", "FA_GROWTH(BS_TOT_ASSET, YOY)", "FPT=A", "FPO=5A", "ACT_EST_MAPPING=PRECISE", "FS=MRC", "CURRENCY=USD", "XLFILL=b")</f>
        <v>4.9306816319496098</v>
      </c>
      <c r="F273" s="9">
        <f>_xll.BQL("JBLU US Equity", "FA_GROWTH(BS_TOT_ASSET, YOY)", "FPT=A", "FPO=4A", "ACT_EST_MAPPING=PRECISE", "FS=MRC", "CURRENCY=USD", "XLFILL=b")</f>
        <v>1.9515495748038543</v>
      </c>
      <c r="G273" s="9">
        <f>_xll.BQL("JBLU US Equity", "FA_GROWTH(BS_TOT_ASSET, YOY)", "FPT=A", "FPO=3A", "ACT_EST_MAPPING=PRECISE", "FS=MRC", "CURRENCY=USD", "XLFILL=b")</f>
        <v>5.0732155510231909</v>
      </c>
      <c r="H273" s="9">
        <f>_xll.BQL("JBLU US Equity", "FA_GROWTH(BS_TOT_ASSET, YOY)", "FPT=A", "FPO=2A", "ACT_EST_MAPPING=PRECISE", "FS=MRC", "CURRENCY=USD", "XLFILL=b")</f>
        <v>0.2901410394273769</v>
      </c>
      <c r="I273" s="9">
        <f>_xll.BQL("JBLU US Equity", "FA_GROWTH(BS_TOT_ASSET, YOY)", "FPT=A", "FPO=1A", "ACT_EST_MAPPING=PRECISE", "FS=MRC", "CURRENCY=USD", "XLFILL=b")</f>
        <v>15.184873962542563</v>
      </c>
      <c r="J273" s="9">
        <f>_xll.BQL("JBLU US Equity", "FA_GROWTH(BS_TOT_ASSET, YOY)", "FPT=A", "FPO=0A", "ACT_EST_MAPPING=PRECISE", "FS=MRC", "CURRENCY=USD", "XLFILL=b")</f>
        <v>6.193944039862016</v>
      </c>
      <c r="K273" s="9">
        <f>_xll.BQL("JBLU US Equity", "FA_GROWTH(BS_TOT_ASSET, YOY)", "FPT=A", "FPO=-1A", "ACT_EST_MAPPING=PRECISE", "FS=MRC", "CURRENCY=USD", "XLFILL=b")</f>
        <v>-4.3761911743146165</v>
      </c>
      <c r="L273" s="9">
        <f>_xll.BQL("JBLU US Equity", "FA_GROWTH(BS_TOT_ASSET, YOY)", "FPT=A", "FPO=-2A", "ACT_EST_MAPPING=PRECISE", "FS=MRC", "CURRENCY=USD", "XLFILL=b")</f>
        <v>1.7604057884529316</v>
      </c>
      <c r="M273" s="9">
        <f>_xll.BQL("JBLU US Equity", "FA_GROWTH(BS_TOT_ASSET, YOY)", "FPT=A", "FPO=-3A", "ACT_EST_MAPPING=PRECISE", "FS=MRC", "CURRENCY=USD", "XLFILL=b")</f>
        <v>12.485316328242995</v>
      </c>
      <c r="N273" s="9">
        <f>_xll.BQL("JBLU US Equity", "FA_GROWTH(BS_TOT_ASSET, YOY)", "FPT=A", "FPO=-4A", "ACT_EST_MAPPING=PRECISE", "FS=MRC", "CURRENCY=USD", "XLFILL=b")</f>
        <v>8.7507984305137327</v>
      </c>
    </row>
    <row r="274" spans="1:14" x14ac:dyDescent="0.2">
      <c r="A274" s="8" t="s">
        <v>16</v>
      </c>
      <c r="B274" s="4"/>
      <c r="C274" s="4"/>
      <c r="D274" s="4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x14ac:dyDescent="0.2">
      <c r="A275" s="8" t="s">
        <v>301</v>
      </c>
      <c r="B275" s="4"/>
      <c r="C275" s="4" t="s">
        <v>302</v>
      </c>
      <c r="D275" s="4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x14ac:dyDescent="0.2">
      <c r="A276" s="8" t="s">
        <v>303</v>
      </c>
      <c r="B276" s="4" t="s">
        <v>304</v>
      </c>
      <c r="C276" s="4"/>
      <c r="D276" s="4"/>
      <c r="E276" s="9">
        <f>_xll.BQL("JBLU US Equity", "NET_DEBT/1M", "FPT=A", "FPO=5A", "ACT_EST_MAPPING=PRECISE", "FS=MRC", "CURRENCY=USD", "XLFILL=b")</f>
        <v>8126.0758629931079</v>
      </c>
      <c r="F276" s="9">
        <f>_xll.BQL("JBLU US Equity", "NET_DEBT/1M", "FPT=A", "FPO=4A", "ACT_EST_MAPPING=PRECISE", "FS=MRC", "CURRENCY=USD", "XLFILL=b")</f>
        <v>7564.5359136870284</v>
      </c>
      <c r="G276" s="9">
        <f>_xll.BQL("JBLU US Equity", "NET_DEBT/1M", "FPT=A", "FPO=3A", "ACT_EST_MAPPING=PRECISE", "FS=MRC", "CURRENCY=USD", "XLFILL=b")</f>
        <v>5402.0007027518332</v>
      </c>
      <c r="H276" s="9">
        <f>_xll.BQL("JBLU US Equity", "NET_DEBT/1M", "FPT=A", "FPO=2A", "ACT_EST_MAPPING=PRECISE", "FS=MRC", "CURRENCY=USD", "XLFILL=b")</f>
        <v>5265.5152790551474</v>
      </c>
      <c r="I276" s="9">
        <f>_xll.BQL("JBLU US Equity", "NET_DEBT/1M", "FPT=A", "FPO=1A", "ACT_EST_MAPPING=PRECISE", "FS=MRC", "CURRENCY=USD", "XLFILL=b")</f>
        <v>4730.4993753084646</v>
      </c>
      <c r="J276" s="9">
        <f>_xll.BQL("JBLU US Equity", "NET_DEBT/1M", "FPT=A", "FPO=0A", "ACT_EST_MAPPING=PRECISE", "FS=MRC", "CURRENCY=USD", "XLFILL=b")</f>
        <v>3813</v>
      </c>
      <c r="K276" s="9">
        <f>_xll.BQL("JBLU US Equity", "NET_DEBT/1M", "FPT=A", "FPO=-1A", "ACT_EST_MAPPING=PRECISE", "FS=MRC", "CURRENCY=USD", "XLFILL=b")</f>
        <v>2991</v>
      </c>
      <c r="L276" s="9">
        <f>_xll.BQL("JBLU US Equity", "NET_DEBT/1M", "FPT=A", "FPO=-2A", "ACT_EST_MAPPING=PRECISE", "FS=MRC", "CURRENCY=USD", "XLFILL=b")</f>
        <v>1960</v>
      </c>
      <c r="M276" s="9">
        <f>_xll.BQL("JBLU US Equity", "NET_DEBT/1M", "FPT=A", "FPO=-3A", "ACT_EST_MAPPING=PRECISE", "FS=MRC", "CURRENCY=USD", "XLFILL=b")</f>
        <v>2675</v>
      </c>
      <c r="N276" s="9">
        <f>_xll.BQL("JBLU US Equity", "NET_DEBT/1M", "FPT=A", "FPO=-4A", "ACT_EST_MAPPING=PRECISE", "FS=MRC", "CURRENCY=USD", "XLFILL=b")</f>
        <v>1824</v>
      </c>
    </row>
    <row r="277" spans="1:14" x14ac:dyDescent="0.2">
      <c r="A277" s="8" t="s">
        <v>84</v>
      </c>
      <c r="B277" s="4" t="s">
        <v>304</v>
      </c>
      <c r="C277" s="4"/>
      <c r="D277" s="4"/>
      <c r="E277" s="9">
        <f>_xll.BQL("JBLU US Equity", "FA_GROWTH(NET_DEBT, YOY)", "FPT=A", "FPO=5A", "ACT_EST_MAPPING=PRECISE", "FS=MRC", "CURRENCY=USD", "XLFILL=b")</f>
        <v>7.4233231980569689</v>
      </c>
      <c r="F277" s="9">
        <f>_xll.BQL("JBLU US Equity", "FA_GROWTH(NET_DEBT, YOY)", "FPT=A", "FPO=4A", "ACT_EST_MAPPING=PRECISE", "FS=MRC", "CURRENCY=USD", "XLFILL=b")</f>
        <v>40.032116431113714</v>
      </c>
      <c r="G277" s="9">
        <f>_xll.BQL("JBLU US Equity", "FA_GROWTH(NET_DEBT, YOY)", "FPT=A", "FPO=3A", "ACT_EST_MAPPING=PRECISE", "FS=MRC", "CURRENCY=USD", "XLFILL=b")</f>
        <v>2.5920620578120697</v>
      </c>
      <c r="H277" s="9">
        <f>_xll.BQL("JBLU US Equity", "FA_GROWTH(NET_DEBT, YOY)", "FPT=A", "FPO=2A", "ACT_EST_MAPPING=PRECISE", "FS=MRC", "CURRENCY=USD", "XLFILL=b")</f>
        <v>11.309924413884843</v>
      </c>
      <c r="I277" s="9">
        <f>_xll.BQL("JBLU US Equity", "FA_GROWTH(NET_DEBT, YOY)", "FPT=A", "FPO=1A", "ACT_EST_MAPPING=PRECISE", "FS=MRC", "CURRENCY=USD", "XLFILL=b")</f>
        <v>24.062401660332153</v>
      </c>
      <c r="J277" s="9">
        <f>_xll.BQL("JBLU US Equity", "FA_GROWTH(NET_DEBT, YOY)", "FPT=A", "FPO=0A", "ACT_EST_MAPPING=PRECISE", "FS=MRC", "CURRENCY=USD", "XLFILL=b")</f>
        <v>27.482447342026077</v>
      </c>
      <c r="K277" s="9">
        <f>_xll.BQL("JBLU US Equity", "FA_GROWTH(NET_DEBT, YOY)", "FPT=A", "FPO=-1A", "ACT_EST_MAPPING=PRECISE", "FS=MRC", "CURRENCY=USD", "XLFILL=b")</f>
        <v>52.602040816326529</v>
      </c>
      <c r="L277" s="9">
        <f>_xll.BQL("JBLU US Equity", "FA_GROWTH(NET_DEBT, YOY)", "FPT=A", "FPO=-2A", "ACT_EST_MAPPING=PRECISE", "FS=MRC", "CURRENCY=USD", "XLFILL=b")</f>
        <v>-26.728971962616821</v>
      </c>
      <c r="M277" s="9">
        <f>_xll.BQL("JBLU US Equity", "FA_GROWTH(NET_DEBT, YOY)", "FPT=A", "FPO=-3A", "ACT_EST_MAPPING=PRECISE", "FS=MRC", "CURRENCY=USD", "XLFILL=b")</f>
        <v>46.655701754385966</v>
      </c>
      <c r="N277" s="9">
        <f>_xll.BQL("JBLU US Equity", "FA_GROWTH(NET_DEBT, YOY)", "FPT=A", "FPO=-4A", "ACT_EST_MAPPING=PRECISE", "FS=MRC", "CURRENCY=USD", "XLFILL=b")</f>
        <v>6.4177362893815637</v>
      </c>
    </row>
    <row r="278" spans="1:14" x14ac:dyDescent="0.2">
      <c r="A278" s="8" t="s">
        <v>305</v>
      </c>
      <c r="B278" s="4" t="s">
        <v>306</v>
      </c>
      <c r="C278" s="4"/>
      <c r="D278" s="4"/>
      <c r="E278" s="9">
        <f>_xll.BQL("JBLU US Equity", "EV_FUNDAMENTAL_COMPONENT/1M", "FPT=A", "FPO=5A", "ACT_EST_MAPPING=PRECISE", "FS=MRC", "CURRENCY=USD", "XLFILL=b")</f>
        <v>7491.0758629931079</v>
      </c>
      <c r="F278" s="9">
        <f>_xll.BQL("JBLU US Equity", "EV_FUNDAMENTAL_COMPONENT/1M", "FPT=A", "FPO=4A", "ACT_EST_MAPPING=PRECISE", "FS=MRC", "CURRENCY=USD", "XLFILL=b")</f>
        <v>6929.5359136870284</v>
      </c>
      <c r="G278" s="9">
        <f>_xll.BQL("JBLU US Equity", "EV_FUNDAMENTAL_COMPONENT/1M", "FPT=A", "FPO=3A", "ACT_EST_MAPPING=PRECISE", "FS=MRC", "CURRENCY=USD", "XLFILL=b")</f>
        <v>5033.0007027528936</v>
      </c>
      <c r="H278" s="9">
        <f>_xll.BQL("JBLU US Equity", "EV_FUNDAMENTAL_COMPONENT/1M", "FPT=A", "FPO=2A", "ACT_EST_MAPPING=PRECISE", "FS=MRC", "CURRENCY=USD", "XLFILL=b")</f>
        <v>4931.1064710148721</v>
      </c>
      <c r="I278" s="9">
        <f>_xll.BQL("JBLU US Equity", "EV_FUNDAMENTAL_COMPONENT/1M", "FPT=A", "FPO=1A", "ACT_EST_MAPPING=PRECISE", "FS=MRC", "CURRENCY=USD", "XLFILL=b")</f>
        <v>4432.8646812702373</v>
      </c>
      <c r="J278" s="9">
        <f>_xll.BQL("JBLU US Equity", "EV_FUNDAMENTAL_COMPONENT/1M", "FPT=A", "FPO=0A", "ACT_EST_MAPPING=PRECISE", "FS=MRC", "CURRENCY=USD", "XLFILL=b")</f>
        <v>3813</v>
      </c>
      <c r="K278" s="9">
        <f>_xll.BQL("JBLU US Equity", "EV_FUNDAMENTAL_COMPONENT/1M", "FPT=A", "FPO=-1A", "ACT_EST_MAPPING=PRECISE", "FS=MRC", "CURRENCY=USD", "XLFILL=b")</f>
        <v>2991</v>
      </c>
      <c r="L278" s="9">
        <f>_xll.BQL("JBLU US Equity", "EV_FUNDAMENTAL_COMPONENT/1M", "FPT=A", "FPO=-2A", "ACT_EST_MAPPING=PRECISE", "FS=MRC", "CURRENCY=USD", "XLFILL=b")</f>
        <v>1960</v>
      </c>
      <c r="M278" s="9">
        <f>_xll.BQL("JBLU US Equity", "EV_FUNDAMENTAL_COMPONENT/1M", "FPT=A", "FPO=-3A", "ACT_EST_MAPPING=PRECISE", "FS=MRC", "CURRENCY=USD", "XLFILL=b")</f>
        <v>2675</v>
      </c>
      <c r="N278" s="9">
        <f>_xll.BQL("JBLU US Equity", "EV_FUNDAMENTAL_COMPONENT/1M", "FPT=A", "FPO=-4A", "ACT_EST_MAPPING=PRECISE", "FS=MRC", "CURRENCY=USD", "XLFILL=b")</f>
        <v>1824</v>
      </c>
    </row>
    <row r="279" spans="1:14" x14ac:dyDescent="0.2">
      <c r="A279" s="8" t="s">
        <v>84</v>
      </c>
      <c r="B279" s="4" t="s">
        <v>306</v>
      </c>
      <c r="C279" s="4"/>
      <c r="D279" s="4"/>
      <c r="E279" s="9" t="str">
        <f>_xll.BQL("JBLU US Equity", "FA_GROWTH(EV_FUNDAMENTAL_COMPONENT, YOY)", "FPT=A", "FPO=5A", "ACT_EST_MAPPING=PRECISE", "FS=MRC", "CURRENCY=USD", "XLFILL=b")</f>
        <v/>
      </c>
      <c r="F279" s="9" t="str">
        <f>_xll.BQL("JBLU US Equity", "FA_GROWTH(EV_FUNDAMENTAL_COMPONENT, YOY)", "FPT=A", "FPO=4A", "ACT_EST_MAPPING=PRECISE", "FS=MRC", "CURRENCY=USD", "XLFILL=b")</f>
        <v/>
      </c>
      <c r="G279" s="9" t="str">
        <f>_xll.BQL("JBLU US Equity", "FA_GROWTH(EV_FUNDAMENTAL_COMPONENT, YOY)", "FPT=A", "FPO=3A", "ACT_EST_MAPPING=PRECISE", "FS=MRC", "CURRENCY=USD", "XLFILL=b")</f>
        <v/>
      </c>
      <c r="H279" s="9" t="str">
        <f>_xll.BQL("JBLU US Equity", "FA_GROWTH(EV_FUNDAMENTAL_COMPONENT, YOY)", "FPT=A", "FPO=2A", "ACT_EST_MAPPING=PRECISE", "FS=MRC", "CURRENCY=USD", "XLFILL=b")</f>
        <v/>
      </c>
      <c r="I279" s="9" t="str">
        <f>_xll.BQL("JBLU US Equity", "FA_GROWTH(EV_FUNDAMENTAL_COMPONENT, YOY)", "FPT=A", "FPO=1A", "ACT_EST_MAPPING=PRECISE", "FS=MRC", "CURRENCY=USD", "XLFILL=b")</f>
        <v/>
      </c>
      <c r="J279" s="9" t="str">
        <f>_xll.BQL("JBLU US Equity", "FA_GROWTH(EV_FUNDAMENTAL_COMPONENT, YOY)", "FPT=A", "FPO=0A", "ACT_EST_MAPPING=PRECISE", "FS=MRC", "CURRENCY=USD", "XLFILL=b")</f>
        <v/>
      </c>
      <c r="K279" s="9" t="str">
        <f>_xll.BQL("JBLU US Equity", "FA_GROWTH(EV_FUNDAMENTAL_COMPONENT, YOY)", "FPT=A", "FPO=-1A", "ACT_EST_MAPPING=PRECISE", "FS=MRC", "CURRENCY=USD", "XLFILL=b")</f>
        <v/>
      </c>
      <c r="L279" s="9" t="str">
        <f>_xll.BQL("JBLU US Equity", "FA_GROWTH(EV_FUNDAMENTAL_COMPONENT, YOY)", "FPT=A", "FPO=-2A", "ACT_EST_MAPPING=PRECISE", "FS=MRC", "CURRENCY=USD", "XLFILL=b")</f>
        <v/>
      </c>
      <c r="M279" s="9" t="str">
        <f>_xll.BQL("JBLU US Equity", "FA_GROWTH(EV_FUNDAMENTAL_COMPONENT, YOY)", "FPT=A", "FPO=-3A", "ACT_EST_MAPPING=PRECISE", "FS=MRC", "CURRENCY=USD", "XLFILL=b")</f>
        <v/>
      </c>
      <c r="N279" s="9" t="str">
        <f>_xll.BQL("JBLU US Equity", "FA_GROWTH(EV_FUNDAMENTAL_COMPONENT, YOY)", "FPT=A", "FPO=-4A", "ACT_EST_MAPPING=PRECISE", "FS=MRC", "CURRENCY=USD", "XLFILL=b")</f>
        <v/>
      </c>
    </row>
    <row r="280" spans="1:14" x14ac:dyDescent="0.2">
      <c r="A280" s="8" t="s">
        <v>307</v>
      </c>
      <c r="B280" s="4" t="s">
        <v>308</v>
      </c>
      <c r="C280" s="4"/>
      <c r="D280" s="4"/>
      <c r="E280" s="9">
        <f>_xll.BQL("JBLU US Equity", "SHORT_AND_LONG_TERM_DEBT/1M", "FPT=A", "FPO=5A", "ACT_EST_MAPPING=PRECISE", "FS=MRC", "CURRENCY=USD", "XLFILL=b")</f>
        <v>10185</v>
      </c>
      <c r="F280" s="9">
        <f>_xll.BQL("JBLU US Equity", "SHORT_AND_LONG_TERM_DEBT/1M", "FPT=A", "FPO=4A", "ACT_EST_MAPPING=PRECISE", "FS=MRC", "CURRENCY=USD", "XLFILL=b")</f>
        <v>9505</v>
      </c>
      <c r="G280" s="9">
        <f>_xll.BQL("JBLU US Equity", "SHORT_AND_LONG_TERM_DEBT/1M", "FPT=A", "FPO=3A", "ACT_EST_MAPPING=PRECISE", "FS=MRC", "CURRENCY=USD", "XLFILL=b")</f>
        <v>9068.5217119024455</v>
      </c>
      <c r="H280" s="9">
        <f>_xll.BQL("JBLU US Equity", "SHORT_AND_LONG_TERM_DEBT/1M", "FPT=A", "FPO=2A", "ACT_EST_MAPPING=PRECISE", "FS=MRC", "CURRENCY=USD", "XLFILL=b")</f>
        <v>8763.6931223987176</v>
      </c>
      <c r="I280" s="9">
        <f>_xll.BQL("JBLU US Equity", "SHORT_AND_LONG_TERM_DEBT/1M", "FPT=A", "FPO=1A", "ACT_EST_MAPPING=PRECISE", "FS=MRC", "CURRENCY=USD", "XLFILL=b")</f>
        <v>8922.389297176207</v>
      </c>
      <c r="J280" s="9">
        <f>_xll.BQL("JBLU US Equity", "SHORT_AND_LONG_TERM_DEBT/1M", "FPT=A", "FPO=0A", "ACT_EST_MAPPING=PRECISE", "FS=MRC", "CURRENCY=USD", "XLFILL=b")</f>
        <v>5380</v>
      </c>
      <c r="K280" s="9">
        <f>_xll.BQL("JBLU US Equity", "SHORT_AND_LONG_TERM_DEBT/1M", "FPT=A", "FPO=-1A", "ACT_EST_MAPPING=PRECISE", "FS=MRC", "CURRENCY=USD", "XLFILL=b")</f>
        <v>4383</v>
      </c>
      <c r="L280" s="9">
        <f>_xll.BQL("JBLU US Equity", "SHORT_AND_LONG_TERM_DEBT/1M", "FPT=A", "FPO=-2A", "ACT_EST_MAPPING=PRECISE", "FS=MRC", "CURRENCY=USD", "XLFILL=b")</f>
        <v>4802</v>
      </c>
      <c r="M280" s="9">
        <f>_xll.BQL("JBLU US Equity", "SHORT_AND_LONG_TERM_DEBT/1M", "FPT=A", "FPO=-3A", "ACT_EST_MAPPING=PRECISE", "FS=MRC", "CURRENCY=USD", "XLFILL=b")</f>
        <v>5728</v>
      </c>
      <c r="N280" s="9">
        <f>_xll.BQL("JBLU US Equity", "SHORT_AND_LONG_TERM_DEBT/1M", "FPT=A", "FPO=-4A", "ACT_EST_MAPPING=PRECISE", "FS=MRC", "CURRENCY=USD", "XLFILL=b")</f>
        <v>3152</v>
      </c>
    </row>
    <row r="281" spans="1:14" x14ac:dyDescent="0.2">
      <c r="A281" s="8" t="s">
        <v>84</v>
      </c>
      <c r="B281" s="4" t="s">
        <v>308</v>
      </c>
      <c r="C281" s="4"/>
      <c r="D281" s="4"/>
      <c r="E281" s="9">
        <f>_xll.BQL("JBLU US Equity", "FA_GROWTH(SHORT_AND_LONG_TERM_DEBT, YOY)", "FPT=A", "FPO=5A", "ACT_EST_MAPPING=PRECISE", "FS=MRC", "CURRENCY=USD", "XLFILL=b")</f>
        <v>7.154129405576013</v>
      </c>
      <c r="F281" s="9">
        <f>_xll.BQL("JBLU US Equity", "FA_GROWTH(SHORT_AND_LONG_TERM_DEBT, YOY)", "FPT=A", "FPO=4A", "ACT_EST_MAPPING=PRECISE", "FS=MRC", "CURRENCY=USD", "XLFILL=b")</f>
        <v>4.8131139998780279</v>
      </c>
      <c r="G281" s="9">
        <f>_xll.BQL("JBLU US Equity", "FA_GROWTH(SHORT_AND_LONG_TERM_DEBT, YOY)", "FPT=A", "FPO=3A", "ACT_EST_MAPPING=PRECISE", "FS=MRC", "CURRENCY=USD", "XLFILL=b")</f>
        <v>3.4783119998192276</v>
      </c>
      <c r="H281" s="9">
        <f>_xll.BQL("JBLU US Equity", "FA_GROWTH(SHORT_AND_LONG_TERM_DEBT, YOY)", "FPT=A", "FPO=2A", "ACT_EST_MAPPING=PRECISE", "FS=MRC", "CURRENCY=USD", "XLFILL=b")</f>
        <v>-1.7786286777210394</v>
      </c>
      <c r="I281" s="9">
        <f>_xll.BQL("JBLU US Equity", "FA_GROWTH(SHORT_AND_LONG_TERM_DEBT, YOY)", "FPT=A", "FPO=1A", "ACT_EST_MAPPING=PRECISE", "FS=MRC", "CURRENCY=USD", "XLFILL=b")</f>
        <v>65.843667233758495</v>
      </c>
      <c r="J281" s="9">
        <f>_xll.BQL("JBLU US Equity", "FA_GROWTH(SHORT_AND_LONG_TERM_DEBT, YOY)", "FPT=A", "FPO=0A", "ACT_EST_MAPPING=PRECISE", "FS=MRC", "CURRENCY=USD", "XLFILL=b")</f>
        <v>22.746976956422543</v>
      </c>
      <c r="K281" s="9">
        <f>_xll.BQL("JBLU US Equity", "FA_GROWTH(SHORT_AND_LONG_TERM_DEBT, YOY)", "FPT=A", "FPO=-1A", "ACT_EST_MAPPING=PRECISE", "FS=MRC", "CURRENCY=USD", "XLFILL=b")</f>
        <v>-8.7255310287380254</v>
      </c>
      <c r="L281" s="9">
        <f>_xll.BQL("JBLU US Equity", "FA_GROWTH(SHORT_AND_LONG_TERM_DEBT, YOY)", "FPT=A", "FPO=-2A", "ACT_EST_MAPPING=PRECISE", "FS=MRC", "CURRENCY=USD", "XLFILL=b")</f>
        <v>-16.166201117318437</v>
      </c>
      <c r="M281" s="9">
        <f>_xll.BQL("JBLU US Equity", "FA_GROWTH(SHORT_AND_LONG_TERM_DEBT, YOY)", "FPT=A", "FPO=-3A", "ACT_EST_MAPPING=PRECISE", "FS=MRC", "CURRENCY=USD", "XLFILL=b")</f>
        <v>81.725888324873097</v>
      </c>
      <c r="N281" s="9">
        <f>_xll.BQL("JBLU US Equity", "FA_GROWTH(SHORT_AND_LONG_TERM_DEBT, YOY)", "FPT=A", "FPO=-4A", "ACT_EST_MAPPING=PRECISE", "FS=MRC", "CURRENCY=USD", "XLFILL=b")</f>
        <v>21.184159938485198</v>
      </c>
    </row>
    <row r="282" spans="1:14" x14ac:dyDescent="0.2">
      <c r="A282" s="8" t="s">
        <v>309</v>
      </c>
      <c r="B282" s="4" t="s">
        <v>310</v>
      </c>
      <c r="C282" s="4"/>
      <c r="D282" s="4"/>
      <c r="E282" s="9">
        <f>_xll.BQL("JBLU US Equity", "TOT_DEBT_TO_TOT_CAP", "FPT=A", "FPO=5A", "ACT_EST_MAPPING=PRECISE", "FS=MRC", "CURRENCY=USD", "XLFILL=b")</f>
        <v>80.742823595017526</v>
      </c>
      <c r="F282" s="9">
        <f>_xll.BQL("JBLU US Equity", "TOT_DEBT_TO_TOT_CAP", "FPT=A", "FPO=4A", "ACT_EST_MAPPING=PRECISE", "FS=MRC", "CURRENCY=USD", "XLFILL=b")</f>
        <v>80.005292141325924</v>
      </c>
      <c r="G282" s="9">
        <f>_xll.BQL("JBLU US Equity", "TOT_DEBT_TO_TOT_CAP", "FPT=A", "FPO=3A", "ACT_EST_MAPPING=PRECISE", "FS=MRC", "CURRENCY=USD", "XLFILL=b")</f>
        <v>79.21497801474915</v>
      </c>
      <c r="H282" s="9">
        <f>_xll.BQL("JBLU US Equity", "TOT_DEBT_TO_TOT_CAP", "FPT=A", "FPO=2A", "ACT_EST_MAPPING=PRECISE", "FS=MRC", "CURRENCY=USD", "XLFILL=b")</f>
        <v>78.84221030999241</v>
      </c>
      <c r="I282" s="9">
        <f>_xll.BQL("JBLU US Equity", "TOT_DEBT_TO_TOT_CAP", "FPT=A", "FPO=1A", "ACT_EST_MAPPING=PRECISE", "FS=MRC", "CURRENCY=USD", "XLFILL=b")</f>
        <v>77.808287556672724</v>
      </c>
      <c r="J282" s="9">
        <f>_xll.BQL("JBLU US Equity", "TOT_DEBT_TO_TOT_CAP", "FPT=A", "FPO=0A", "ACT_EST_MAPPING=PRECISE", "FS=MRC", "CURRENCY=USD", "XLFILL=b")</f>
        <v>61.718481128828728</v>
      </c>
      <c r="K282" s="9">
        <f>_xll.BQL("JBLU US Equity", "TOT_DEBT_TO_TOT_CAP", "FPT=A", "FPO=-1A", "ACT_EST_MAPPING=PRECISE", "FS=MRC", "CURRENCY=USD", "XLFILL=b")</f>
        <v>55.159828844701742</v>
      </c>
      <c r="L282" s="9">
        <f>_xll.BQL("JBLU US Equity", "TOT_DEBT_TO_TOT_CAP", "FPT=A", "FPO=-2A", "ACT_EST_MAPPING=PRECISE", "FS=MRC", "CURRENCY=USD", "XLFILL=b")</f>
        <v>55.508033753323318</v>
      </c>
      <c r="M282" s="9">
        <f>_xll.BQL("JBLU US Equity", "TOT_DEBT_TO_TOT_CAP", "FPT=A", "FPO=-3A", "ACT_EST_MAPPING=PRECISE", "FS=MRC", "CURRENCY=USD", "XLFILL=b")</f>
        <v>59.179667321004239</v>
      </c>
      <c r="N282" s="9">
        <f>_xll.BQL("JBLU US Equity", "TOT_DEBT_TO_TOT_CAP", "FPT=A", "FPO=-4A", "ACT_EST_MAPPING=PRECISE", "FS=MRC", "CURRENCY=USD", "XLFILL=b")</f>
        <v>39.642812224877375</v>
      </c>
    </row>
    <row r="283" spans="1:14" x14ac:dyDescent="0.2">
      <c r="A283" s="8" t="s">
        <v>96</v>
      </c>
      <c r="B283" s="4" t="s">
        <v>310</v>
      </c>
      <c r="C283" s="4"/>
      <c r="D283" s="4"/>
      <c r="E283" s="9">
        <f>_xll.BQL("JBLU US Equity", "FA_GROWTH(TOT_DEBT_TO_TOT_CAP, YOY)", "FPT=A", "FPO=5A", "ACT_EST_MAPPING=PRECISE", "FS=MRC", "CURRENCY=USD", "XLFILL=b")</f>
        <v>0.9218533348878778</v>
      </c>
      <c r="F283" s="9">
        <f>_xll.BQL("JBLU US Equity", "FA_GROWTH(TOT_DEBT_TO_TOT_CAP, YOY)", "FPT=A", "FPO=4A", "ACT_EST_MAPPING=PRECISE", "FS=MRC", "CURRENCY=USD", "XLFILL=b")</f>
        <v>0.99768269383300801</v>
      </c>
      <c r="G283" s="9">
        <f>_xll.BQL("JBLU US Equity", "FA_GROWTH(TOT_DEBT_TO_TOT_CAP, YOY)", "FPT=A", "FPO=3A", "ACT_EST_MAPPING=PRECISE", "FS=MRC", "CURRENCY=USD", "XLFILL=b")</f>
        <v>0.47280219985092853</v>
      </c>
      <c r="H283" s="9">
        <f>_xll.BQL("JBLU US Equity", "FA_GROWTH(TOT_DEBT_TO_TOT_CAP, YOY)", "FPT=A", "FPO=2A", "ACT_EST_MAPPING=PRECISE", "FS=MRC", "CURRENCY=USD", "XLFILL=b")</f>
        <v>1.3288080046314019</v>
      </c>
      <c r="I283" s="9">
        <f>_xll.BQL("JBLU US Equity", "FA_GROWTH(TOT_DEBT_TO_TOT_CAP, YOY)", "FPT=A", "FPO=1A", "ACT_EST_MAPPING=PRECISE", "FS=MRC", "CURRENCY=USD", "XLFILL=b")</f>
        <v>26.069673351582921</v>
      </c>
      <c r="J283" s="9">
        <f>_xll.BQL("JBLU US Equity", "FA_GROWTH(TOT_DEBT_TO_TOT_CAP, YOY)", "FPT=A", "FPO=0A", "ACT_EST_MAPPING=PRECISE", "FS=MRC", "CURRENCY=USD", "XLFILL=b")</f>
        <v>11.890269461481411</v>
      </c>
      <c r="K283" s="9">
        <f>_xll.BQL("JBLU US Equity", "FA_GROWTH(TOT_DEBT_TO_TOT_CAP, YOY)", "FPT=A", "FPO=-1A", "ACT_EST_MAPPING=PRECISE", "FS=MRC", "CURRENCY=USD", "XLFILL=b")</f>
        <v>-0.6273054278394935</v>
      </c>
      <c r="L283" s="9">
        <f>_xll.BQL("JBLU US Equity", "FA_GROWTH(TOT_DEBT_TO_TOT_CAP, YOY)", "FPT=A", "FPO=-2A", "ACT_EST_MAPPING=PRECISE", "FS=MRC", "CURRENCY=USD", "XLFILL=b")</f>
        <v>-6.2042146127066387</v>
      </c>
      <c r="M283" s="9">
        <f>_xll.BQL("JBLU US Equity", "FA_GROWTH(TOT_DEBT_TO_TOT_CAP, YOY)", "FPT=A", "FPO=-3A", "ACT_EST_MAPPING=PRECISE", "FS=MRC", "CURRENCY=USD", "XLFILL=b")</f>
        <v>49.282212839246412</v>
      </c>
      <c r="N283" s="9">
        <f>_xll.BQL("JBLU US Equity", "FA_GROWTH(TOT_DEBT_TO_TOT_CAP, YOY)", "FPT=A", "FPO=-4A", "ACT_EST_MAPPING=PRECISE", "FS=MRC", "CURRENCY=USD", "XLFILL=b")</f>
        <v>11.048646624550774</v>
      </c>
    </row>
    <row r="284" spans="1:14" x14ac:dyDescent="0.2">
      <c r="A284" s="8" t="s">
        <v>311</v>
      </c>
      <c r="B284" s="4" t="s">
        <v>312</v>
      </c>
      <c r="C284" s="4"/>
      <c r="D284" s="4"/>
      <c r="E284" s="9">
        <f>_xll.BQL("JBLU US Equity", "CB_BS_TOTAL_DEBT_FROM_SCHEDULE/1M", "FPT=A", "FPO=5A", "ACT_EST_MAPPING=PRECISE", "FS=MRC", "CURRENCY=USD", "XLFILL=b")</f>
        <v>9550</v>
      </c>
      <c r="F284" s="9">
        <f>_xll.BQL("JBLU US Equity", "CB_BS_TOTAL_DEBT_FROM_SCHEDULE/1M", "FPT=A", "FPO=4A", "ACT_EST_MAPPING=PRECISE", "FS=MRC", "CURRENCY=USD", "XLFILL=b")</f>
        <v>8870</v>
      </c>
      <c r="G284" s="9">
        <f>_xll.BQL("JBLU US Equity", "CB_BS_TOTAL_DEBT_FROM_SCHEDULE/1M", "FPT=A", "FPO=3A", "ACT_EST_MAPPING=PRECISE", "FS=MRC", "CURRENCY=USD", "XLFILL=b")</f>
        <v>7795.7246902005863</v>
      </c>
      <c r="H284" s="9">
        <f>_xll.BQL("JBLU US Equity", "CB_BS_TOTAL_DEBT_FROM_SCHEDULE/1M", "FPT=A", "FPO=2A", "ACT_EST_MAPPING=PRECISE", "FS=MRC", "CURRENCY=USD", "XLFILL=b")</f>
        <v>7774.3352517643607</v>
      </c>
      <c r="I284" s="9">
        <f>_xll.BQL("JBLU US Equity", "CB_BS_TOTAL_DEBT_FROM_SCHEDULE/1M", "FPT=A", "FPO=1A", "ACT_EST_MAPPING=PRECISE", "FS=MRC", "CURRENCY=USD", "XLFILL=b")</f>
        <v>7797.2137708971077</v>
      </c>
      <c r="J284" s="9">
        <f>_xll.BQL("JBLU US Equity", "CB_BS_TOTAL_DEBT_FROM_SCHEDULE/1M", "FPT=A", "FPO=0A", "ACT_EST_MAPPING=PRECISE", "FS=MRC", "CURRENCY=USD", "XLFILL=b")</f>
        <v>4740</v>
      </c>
      <c r="K284" s="9">
        <f>_xll.BQL("JBLU US Equity", "CB_BS_TOTAL_DEBT_FROM_SCHEDULE/1M", "FPT=A", "FPO=-1A", "ACT_EST_MAPPING=PRECISE", "FS=MRC", "CURRENCY=USD", "XLFILL=b")</f>
        <v>3674</v>
      </c>
      <c r="L284" s="9">
        <f>_xll.BQL("JBLU US Equity", "CB_BS_TOTAL_DEBT_FROM_SCHEDULE/1M", "FPT=A", "FPO=-2A", "ACT_EST_MAPPING=PRECISE", "FS=MRC", "CURRENCY=USD", "XLFILL=b")</f>
        <v>4039</v>
      </c>
      <c r="M284" s="9">
        <f>_xll.BQL("JBLU US Equity", "CB_BS_TOTAL_DEBT_FROM_SCHEDULE/1M", "FPT=A", "FPO=-3A", "ACT_EST_MAPPING=PRECISE", "FS=MRC", "CURRENCY=USD", "XLFILL=b")</f>
        <v>4844</v>
      </c>
      <c r="N284" s="9">
        <f>_xll.BQL("JBLU US Equity", "CB_BS_TOTAL_DEBT_FROM_SCHEDULE/1M", "FPT=A", "FPO=-4A", "ACT_EST_MAPPING=PRECISE", "FS=MRC", "CURRENCY=USD", "XLFILL=b")</f>
        <v>2263</v>
      </c>
    </row>
    <row r="285" spans="1:14" x14ac:dyDescent="0.2">
      <c r="A285" s="8" t="s">
        <v>96</v>
      </c>
      <c r="B285" s="4" t="s">
        <v>312</v>
      </c>
      <c r="C285" s="4"/>
      <c r="D285" s="4"/>
      <c r="E285" s="9">
        <f>_xll.BQL("JBLU US Equity", "FA_GROWTH(CB_BS_TOTAL_DEBT_FROM_SCHEDULE, YOY)", "FPT=A", "FPO=5A", "ACT_EST_MAPPING=PRECISE", "FS=MRC", "CURRENCY=USD", "XLFILL=b")</f>
        <v>7.6662908680947011</v>
      </c>
      <c r="F285" s="9">
        <f>_xll.BQL("JBLU US Equity", "FA_GROWTH(CB_BS_TOTAL_DEBT_FROM_SCHEDULE, YOY)", "FPT=A", "FPO=4A", "ACT_EST_MAPPING=PRECISE", "FS=MRC", "CURRENCY=USD", "XLFILL=b")</f>
        <v>13.780313601246124</v>
      </c>
      <c r="G285" s="9">
        <f>_xll.BQL("JBLU US Equity", "FA_GROWTH(CB_BS_TOTAL_DEBT_FROM_SCHEDULE, YOY)", "FPT=A", "FPO=3A", "ACT_EST_MAPPING=PRECISE", "FS=MRC", "CURRENCY=USD", "XLFILL=b")</f>
        <v>0.27512884051882924</v>
      </c>
      <c r="H285" s="9">
        <f>_xll.BQL("JBLU US Equity", "FA_GROWTH(CB_BS_TOTAL_DEBT_FROM_SCHEDULE, YOY)", "FPT=A", "FPO=2A", "ACT_EST_MAPPING=PRECISE", "FS=MRC", "CURRENCY=USD", "XLFILL=b")</f>
        <v>-0.29341915977911381</v>
      </c>
      <c r="I285" s="9">
        <f>_xll.BQL("JBLU US Equity", "FA_GROWTH(CB_BS_TOTAL_DEBT_FROM_SCHEDULE, YOY)", "FPT=A", "FPO=1A", "ACT_EST_MAPPING=PRECISE", "FS=MRC", "CURRENCY=USD", "XLFILL=b")</f>
        <v>64.498180820614095</v>
      </c>
      <c r="J285" s="9">
        <f>_xll.BQL("JBLU US Equity", "FA_GROWTH(CB_BS_TOTAL_DEBT_FROM_SCHEDULE, YOY)", "FPT=A", "FPO=0A", "ACT_EST_MAPPING=PRECISE", "FS=MRC", "CURRENCY=USD", "XLFILL=b")</f>
        <v>29.014697876973326</v>
      </c>
      <c r="K285" s="9">
        <f>_xll.BQL("JBLU US Equity", "FA_GROWTH(CB_BS_TOTAL_DEBT_FROM_SCHEDULE, YOY)", "FPT=A", "FPO=-1A", "ACT_EST_MAPPING=PRECISE", "FS=MRC", "CURRENCY=USD", "XLFILL=b")</f>
        <v>-9.0368903193859857</v>
      </c>
      <c r="L285" s="9">
        <f>_xll.BQL("JBLU US Equity", "FA_GROWTH(CB_BS_TOTAL_DEBT_FROM_SCHEDULE, YOY)", "FPT=A", "FPO=-2A", "ACT_EST_MAPPING=PRECISE", "FS=MRC", "CURRENCY=USD", "XLFILL=b")</f>
        <v>-16.618497109826588</v>
      </c>
      <c r="M285" s="9">
        <f>_xll.BQL("JBLU US Equity", "FA_GROWTH(CB_BS_TOTAL_DEBT_FROM_SCHEDULE, YOY)", "FPT=A", "FPO=-3A", "ACT_EST_MAPPING=PRECISE", "FS=MRC", "CURRENCY=USD", "XLFILL=b")</f>
        <v>114.05214317277949</v>
      </c>
      <c r="N285" s="9">
        <f>_xll.BQL("JBLU US Equity", "FA_GROWTH(CB_BS_TOTAL_DEBT_FROM_SCHEDULE, YOY)", "FPT=A", "FPO=-4A", "ACT_EST_MAPPING=PRECISE", "FS=MRC", "CURRENCY=USD", "XLFILL=b")</f>
        <v>43.865225683407502</v>
      </c>
    </row>
    <row r="286" spans="1:14" x14ac:dyDescent="0.2">
      <c r="A286" s="8" t="s">
        <v>313</v>
      </c>
      <c r="B286" s="4" t="s">
        <v>314</v>
      </c>
      <c r="C286" s="4"/>
      <c r="D286" s="4"/>
      <c r="E286" s="9" t="str">
        <f>_xll.BQL("JBLU US Equity", "BS_PV_FUTURE_MIN_OP_LEASE_OBL/1M", "FPT=A", "FPO=5A", "ACT_EST_MAPPING=PRECISE", "FS=MRC", "CURRENCY=USD", "XLFILL=b")</f>
        <v/>
      </c>
      <c r="F286" s="9" t="str">
        <f>_xll.BQL("JBLU US Equity", "BS_PV_FUTURE_MIN_OP_LEASE_OBL/1M", "FPT=A", "FPO=4A", "ACT_EST_MAPPING=PRECISE", "FS=MRC", "CURRENCY=USD", "XLFILL=b")</f>
        <v/>
      </c>
      <c r="G286" s="9">
        <f>_xll.BQL("JBLU US Equity", "BS_PV_FUTURE_MIN_OP_LEASE_OBL/1M", "FPT=A", "FPO=3A", "ACT_EST_MAPPING=PRECISE", "FS=MRC", "CURRENCY=USD", "XLFILL=b")</f>
        <v>1017.3544655356172</v>
      </c>
      <c r="H286" s="9">
        <f>_xll.BQL("JBLU US Equity", "BS_PV_FUTURE_MIN_OP_LEASE_OBL/1M", "FPT=A", "FPO=2A", "ACT_EST_MAPPING=PRECISE", "FS=MRC", "CURRENCY=USD", "XLFILL=b")</f>
        <v>780.4823944083555</v>
      </c>
      <c r="I286" s="9">
        <f>_xll.BQL("JBLU US Equity", "BS_PV_FUTURE_MIN_OP_LEASE_OBL/1M", "FPT=A", "FPO=1A", "ACT_EST_MAPPING=PRECISE", "FS=MRC", "CURRENCY=USD", "XLFILL=b")</f>
        <v>706.88787735549704</v>
      </c>
      <c r="J286" s="9">
        <f>_xll.BQL("JBLU US Equity", "BS_PV_FUTURE_MIN_OP_LEASE_OBL/1M", "FPT=A", "FPO=0A", "ACT_EST_MAPPING=PRECISE", "FS=MRC", "CURRENCY=USD", "XLFILL=b")</f>
        <v>664</v>
      </c>
      <c r="K286" s="9">
        <f>_xll.BQL("JBLU US Equity", "BS_PV_FUTURE_MIN_OP_LEASE_OBL/1M", "FPT=A", "FPO=-1A", "ACT_EST_MAPPING=PRECISE", "FS=MRC", "CURRENCY=USD", "XLFILL=b")</f>
        <v>736</v>
      </c>
      <c r="L286" s="9">
        <f>_xll.BQL("JBLU US Equity", "BS_PV_FUTURE_MIN_OP_LEASE_OBL/1M", "FPT=A", "FPO=-2A", "ACT_EST_MAPPING=PRECISE", "FS=MRC", "CURRENCY=USD", "XLFILL=b")</f>
        <v>796</v>
      </c>
      <c r="M286" s="9">
        <f>_xll.BQL("JBLU US Equity", "BS_PV_FUTURE_MIN_OP_LEASE_OBL/1M", "FPT=A", "FPO=-3A", "ACT_EST_MAPPING=PRECISE", "FS=MRC", "CURRENCY=USD", "XLFILL=b")</f>
        <v>865</v>
      </c>
      <c r="N286" s="9">
        <f>_xll.BQL("JBLU US Equity", "BS_PV_FUTURE_MIN_OP_LEASE_OBL/1M", "FPT=A", "FPO=-4A", "ACT_EST_MAPPING=PRECISE", "FS=MRC", "CURRENCY=USD", "XLFILL=b")</f>
        <v>818</v>
      </c>
    </row>
    <row r="287" spans="1:14" x14ac:dyDescent="0.2">
      <c r="A287" s="8" t="s">
        <v>96</v>
      </c>
      <c r="B287" s="4" t="s">
        <v>314</v>
      </c>
      <c r="C287" s="4"/>
      <c r="D287" s="4"/>
      <c r="E287" s="9" t="str">
        <f>_xll.BQL("JBLU US Equity", "FA_GROWTH(BS_PV_FUTURE_MIN_OP_LEASE_OBL, YOY)", "FPT=A", "FPO=5A", "ACT_EST_MAPPING=PRECISE", "FS=MRC", "CURRENCY=USD", "XLFILL=b")</f>
        <v/>
      </c>
      <c r="F287" s="9" t="str">
        <f>_xll.BQL("JBLU US Equity", "FA_GROWTH(BS_PV_FUTURE_MIN_OP_LEASE_OBL, YOY)", "FPT=A", "FPO=4A", "ACT_EST_MAPPING=PRECISE", "FS=MRC", "CURRENCY=USD", "XLFILL=b")</f>
        <v/>
      </c>
      <c r="G287" s="9">
        <f>_xll.BQL("JBLU US Equity", "FA_GROWTH(BS_PV_FUTURE_MIN_OP_LEASE_OBL, YOY)", "FPT=A", "FPO=3A", "ACT_EST_MAPPING=PRECISE", "FS=MRC", "CURRENCY=USD", "XLFILL=b")</f>
        <v>30.34944450051594</v>
      </c>
      <c r="H287" s="9">
        <f>_xll.BQL("JBLU US Equity", "FA_GROWTH(BS_PV_FUTURE_MIN_OP_LEASE_OBL, YOY)", "FPT=A", "FPO=2A", "ACT_EST_MAPPING=PRECISE", "FS=MRC", "CURRENCY=USD", "XLFILL=b")</f>
        <v>10.411059435363249</v>
      </c>
      <c r="I287" s="9">
        <f>_xll.BQL("JBLU US Equity", "FA_GROWTH(BS_PV_FUTURE_MIN_OP_LEASE_OBL, YOY)", "FPT=A", "FPO=1A", "ACT_EST_MAPPING=PRECISE", "FS=MRC", "CURRENCY=USD", "XLFILL=b")</f>
        <v>6.4590176740206333</v>
      </c>
      <c r="J287" s="9">
        <f>_xll.BQL("JBLU US Equity", "FA_GROWTH(BS_PV_FUTURE_MIN_OP_LEASE_OBL, YOY)", "FPT=A", "FPO=0A", "ACT_EST_MAPPING=PRECISE", "FS=MRC", "CURRENCY=USD", "XLFILL=b")</f>
        <v>-9.7826086956521738</v>
      </c>
      <c r="K287" s="9">
        <f>_xll.BQL("JBLU US Equity", "FA_GROWTH(BS_PV_FUTURE_MIN_OP_LEASE_OBL, YOY)", "FPT=A", "FPO=-1A", "ACT_EST_MAPPING=PRECISE", "FS=MRC", "CURRENCY=USD", "XLFILL=b")</f>
        <v>-7.5376884422110555</v>
      </c>
      <c r="L287" s="9">
        <f>_xll.BQL("JBLU US Equity", "FA_GROWTH(BS_PV_FUTURE_MIN_OP_LEASE_OBL, YOY)", "FPT=A", "FPO=-2A", "ACT_EST_MAPPING=PRECISE", "FS=MRC", "CURRENCY=USD", "XLFILL=b")</f>
        <v>-7.9768786127167628</v>
      </c>
      <c r="M287" s="9">
        <f>_xll.BQL("JBLU US Equity", "FA_GROWTH(BS_PV_FUTURE_MIN_OP_LEASE_OBL, YOY)", "FPT=A", "FPO=-3A", "ACT_EST_MAPPING=PRECISE", "FS=MRC", "CURRENCY=USD", "XLFILL=b")</f>
        <v>5.7457212713936432</v>
      </c>
      <c r="N287" s="9" t="str">
        <f>_xll.BQL("JBLU US Equity", "FA_GROWTH(BS_PV_FUTURE_MIN_OP_LEASE_OBL, YOY)", "FPT=A", "FPO=-4A", "ACT_EST_MAPPING=PRECISE", "FS=MRC", "CURRENCY=USD", "XLFILL=b")</f>
        <v/>
      </c>
    </row>
    <row r="288" spans="1:14" x14ac:dyDescent="0.2">
      <c r="A288" s="8" t="s">
        <v>315</v>
      </c>
      <c r="B288" s="4"/>
      <c r="C288" s="4"/>
      <c r="D288" s="4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x14ac:dyDescent="0.2">
      <c r="A289" s="8" t="s">
        <v>316</v>
      </c>
      <c r="B289" s="4" t="s">
        <v>317</v>
      </c>
      <c r="C289" s="4"/>
      <c r="D289" s="4"/>
      <c r="E289" s="9" t="str">
        <f>_xll.BQL("JBLU US Equity", "RETURN_ON_ASSET", "FPT=A", "FPO=5A", "ACT_EST_MAPPING=PRECISE", "FS=MRC", "CURRENCY=USD", "XLFILL=b")</f>
        <v/>
      </c>
      <c r="F289" s="9" t="str">
        <f>_xll.BQL("JBLU US Equity", "RETURN_ON_ASSET", "FPT=A", "FPO=4A", "ACT_EST_MAPPING=PRECISE", "FS=MRC", "CURRENCY=USD", "XLFILL=b")</f>
        <v/>
      </c>
      <c r="G289" s="9" t="str">
        <f>_xll.BQL("JBLU US Equity", "RETURN_ON_ASSET", "FPT=A", "FPO=3A", "ACT_EST_MAPPING=PRECISE", "FS=MRC", "CURRENCY=USD", "XLFILL=b")</f>
        <v/>
      </c>
      <c r="H289" s="9" t="str">
        <f>_xll.BQL("JBLU US Equity", "RETURN_ON_ASSET", "FPT=A", "FPO=2A", "ACT_EST_MAPPING=PRECISE", "FS=MRC", "CURRENCY=USD", "XLFILL=b")</f>
        <v/>
      </c>
      <c r="I289" s="9" t="str">
        <f>_xll.BQL("JBLU US Equity", "RETURN_ON_ASSET", "FPT=A", "FPO=1A", "ACT_EST_MAPPING=PRECISE", "FS=MRC", "CURRENCY=USD", "XLFILL=b")</f>
        <v/>
      </c>
      <c r="J289" s="9">
        <f>_xll.BQL("JBLU US Equity", "RETURN_ON_ASSET", "FPT=A", "FPO=0A", "ACT_EST_MAPPING=PRECISE", "FS=MRC", "CURRENCY=USD", "XLFILL=b")</f>
        <v>-2.3050040895233845</v>
      </c>
      <c r="K289" s="9">
        <f>_xll.BQL("JBLU US Equity", "RETURN_ON_ASSET", "FPT=A", "FPO=-1A", "ACT_EST_MAPPING=PRECISE", "FS=MRC", "CURRENCY=USD", "XLFILL=b")</f>
        <v>-2.712931389815266</v>
      </c>
      <c r="L289" s="9">
        <f>_xll.BQL("JBLU US Equity", "RETURN_ON_ASSET", "FPT=A", "FPO=-2A", "ACT_EST_MAPPING=PRECISE", "FS=MRC", "CURRENCY=USD", "XLFILL=b")</f>
        <v>-1.3457556935817805</v>
      </c>
      <c r="M289" s="9">
        <f>_xll.BQL("JBLU US Equity", "RETURN_ON_ASSET", "FPT=A", "FPO=-3A", "ACT_EST_MAPPING=PRECISE", "FS=MRC", "CURRENCY=USD", "XLFILL=b")</f>
        <v>-10.69341336281788</v>
      </c>
      <c r="N289" s="9">
        <f>_xll.BQL("JBLU US Equity", "RETURN_ON_ASSET", "FPT=A", "FPO=-4A", "ACT_EST_MAPPING=PRECISE", "FS=MRC", "CURRENCY=USD", "XLFILL=b")</f>
        <v>4.9744284652707957</v>
      </c>
    </row>
    <row r="290" spans="1:14" x14ac:dyDescent="0.2">
      <c r="A290" s="8" t="s">
        <v>84</v>
      </c>
      <c r="B290" s="4" t="s">
        <v>317</v>
      </c>
      <c r="C290" s="4"/>
      <c r="D290" s="4"/>
      <c r="E290" s="9" t="str">
        <f>_xll.BQL("JBLU US Equity", "FA_GROWTH(RETURN_ON_ASSET, YOY)", "FPT=A", "FPO=5A", "ACT_EST_MAPPING=PRECISE", "FS=MRC", "CURRENCY=USD", "XLFILL=b")</f>
        <v/>
      </c>
      <c r="F290" s="9" t="str">
        <f>_xll.BQL("JBLU US Equity", "FA_GROWTH(RETURN_ON_ASSET, YOY)", "FPT=A", "FPO=4A", "ACT_EST_MAPPING=PRECISE", "FS=MRC", "CURRENCY=USD", "XLFILL=b")</f>
        <v/>
      </c>
      <c r="G290" s="9" t="str">
        <f>_xll.BQL("JBLU US Equity", "FA_GROWTH(RETURN_ON_ASSET, YOY)", "FPT=A", "FPO=3A", "ACT_EST_MAPPING=PRECISE", "FS=MRC", "CURRENCY=USD", "XLFILL=b")</f>
        <v/>
      </c>
      <c r="H290" s="9" t="str">
        <f>_xll.BQL("JBLU US Equity", "FA_GROWTH(RETURN_ON_ASSET, YOY)", "FPT=A", "FPO=2A", "ACT_EST_MAPPING=PRECISE", "FS=MRC", "CURRENCY=USD", "XLFILL=b")</f>
        <v/>
      </c>
      <c r="I290" s="9" t="str">
        <f>_xll.BQL("JBLU US Equity", "FA_GROWTH(RETURN_ON_ASSET, YOY)", "FPT=A", "FPO=1A", "ACT_EST_MAPPING=PRECISE", "FS=MRC", "CURRENCY=USD", "XLFILL=b")</f>
        <v/>
      </c>
      <c r="J290" s="9">
        <f>_xll.BQL("JBLU US Equity", "FA_GROWTH(RETURN_ON_ASSET, YOY)", "FPT=A", "FPO=0A", "ACT_EST_MAPPING=PRECISE", "FS=MRC", "CURRENCY=USD", "XLFILL=b")</f>
        <v>15.036403125537902</v>
      </c>
      <c r="K290" s="9">
        <f>_xll.BQL("JBLU US Equity", "FA_GROWTH(RETURN_ON_ASSET, YOY)", "FPT=A", "FPO=-1A", "ACT_EST_MAPPING=PRECISE", "FS=MRC", "CURRENCY=USD", "XLFILL=b")</f>
        <v>-101.59167096627286</v>
      </c>
      <c r="L290" s="9">
        <f>_xll.BQL("JBLU US Equity", "FA_GROWTH(RETURN_ON_ASSET, YOY)", "FPT=A", "FPO=-2A", "ACT_EST_MAPPING=PRECISE", "FS=MRC", "CURRENCY=USD", "XLFILL=b")</f>
        <v>87.41509705160081</v>
      </c>
      <c r="M290" s="9">
        <f>_xll.BQL("JBLU US Equity", "FA_GROWTH(RETURN_ON_ASSET, YOY)", "FPT=A", "FPO=-3A", "ACT_EST_MAPPING=PRECISE", "FS=MRC", "CURRENCY=USD", "XLFILL=b")</f>
        <v>-314.96767794480201</v>
      </c>
      <c r="N290" s="9">
        <f>_xll.BQL("JBLU US Equity", "FA_GROWTH(RETURN_ON_ASSET, YOY)", "FPT=A", "FPO=-4A", "ACT_EST_MAPPING=PRECISE", "FS=MRC", "CURRENCY=USD", "XLFILL=b")</f>
        <v>172.93557240665689</v>
      </c>
    </row>
    <row r="291" spans="1:14" x14ac:dyDescent="0.2">
      <c r="A291" s="8" t="s">
        <v>318</v>
      </c>
      <c r="B291" s="4" t="s">
        <v>319</v>
      </c>
      <c r="C291" s="4" t="s">
        <v>320</v>
      </c>
      <c r="D291" s="4"/>
      <c r="E291" s="9" t="str">
        <f>_xll.BQL("JBLU US Equity", "HEADLINE_ROE", "FPT=A", "FPO=5A", "ACT_EST_MAPPING=PRECISE", "FS=MRC", "CURRENCY=USD", "XLFILL=b")</f>
        <v/>
      </c>
      <c r="F291" s="9" t="str">
        <f>_xll.BQL("JBLU US Equity", "HEADLINE_ROE", "FPT=A", "FPO=4A", "ACT_EST_MAPPING=PRECISE", "FS=MRC", "CURRENCY=USD", "XLFILL=b")</f>
        <v/>
      </c>
      <c r="G291" s="9">
        <f>_xll.BQL("JBLU US Equity", "HEADLINE_ROE", "FPT=A", "FPO=3A", "ACT_EST_MAPPING=PRECISE", "FS=MRC", "CURRENCY=USD", "XLFILL=b")</f>
        <v>2.6333333333333333</v>
      </c>
      <c r="H291" s="9">
        <f>_xll.BQL("JBLU US Equity", "HEADLINE_ROE", "FPT=A", "FPO=2A", "ACT_EST_MAPPING=PRECISE", "FS=MRC", "CURRENCY=USD", "XLFILL=b")</f>
        <v>-3.1879999999999997</v>
      </c>
      <c r="I291" s="9">
        <f>_xll.BQL("JBLU US Equity", "HEADLINE_ROE", "FPT=A", "FPO=1A", "ACT_EST_MAPPING=PRECISE", "FS=MRC", "CURRENCY=USD", "XLFILL=b")</f>
        <v>-11.1</v>
      </c>
      <c r="J291" s="9">
        <f>_xll.BQL("JBLU US Equity", "HEADLINE_ROE", "FPT=A", "FPO=0A", "ACT_EST_MAPPING=PRECISE", "FS=MRC", "CURRENCY=USD", "XLFILL=b")</f>
        <v>-8.9855072463768124</v>
      </c>
      <c r="K291" s="9">
        <f>_xll.BQL("JBLU US Equity", "HEADLINE_ROE", "FPT=A", "FPO=-1A", "ACT_EST_MAPPING=PRECISE", "FS=MRC", "CURRENCY=USD", "XLFILL=b")</f>
        <v>-9.7679438747976253</v>
      </c>
      <c r="L291" s="9">
        <f>_xll.BQL("JBLU US Equity", "HEADLINE_ROE", "FPT=A", "FPO=-2A", "ACT_EST_MAPPING=PRECISE", "FS=MRC", "CURRENCY=USD", "XLFILL=b")</f>
        <v>-4.666666666666667</v>
      </c>
      <c r="M291" s="9">
        <f>_xll.BQL("JBLU US Equity", "HEADLINE_ROE", "FPT=A", "FPO=-3A", "ACT_EST_MAPPING=PRECISE", "FS=MRC", "CURRENCY=USD", "XLFILL=b")</f>
        <v>-30.94857142857143</v>
      </c>
      <c r="N291" s="9">
        <f>_xll.BQL("JBLU US Equity", "HEADLINE_ROE", "FPT=A", "FPO=-4A", "ACT_EST_MAPPING=PRECISE", "FS=MRC", "CURRENCY=USD", "XLFILL=b")</f>
        <v>11.999156474061577</v>
      </c>
    </row>
    <row r="292" spans="1:14" x14ac:dyDescent="0.2">
      <c r="A292" s="8" t="s">
        <v>84</v>
      </c>
      <c r="B292" s="4" t="s">
        <v>319</v>
      </c>
      <c r="C292" s="4" t="s">
        <v>320</v>
      </c>
      <c r="D292" s="4"/>
      <c r="E292" s="9" t="str">
        <f>_xll.BQL("JBLU US Equity", "FA_GROWTH(HEADLINE_ROE, YOY)", "FPT=A", "FPO=5A", "ACT_EST_MAPPING=PRECISE", "FS=MRC", "CURRENCY=USD", "XLFILL=b")</f>
        <v/>
      </c>
      <c r="F292" s="9" t="str">
        <f>_xll.BQL("JBLU US Equity", "FA_GROWTH(HEADLINE_ROE, YOY)", "FPT=A", "FPO=4A", "ACT_EST_MAPPING=PRECISE", "FS=MRC", "CURRENCY=USD", "XLFILL=b")</f>
        <v/>
      </c>
      <c r="G292" s="9">
        <f>_xll.BQL("JBLU US Equity", "FA_GROWTH(HEADLINE_ROE, YOY)", "FPT=A", "FPO=3A", "ACT_EST_MAPPING=PRECISE", "FS=MRC", "CURRENCY=USD", "XLFILL=b")</f>
        <v>182.60142199916353</v>
      </c>
      <c r="H292" s="9">
        <f>_xll.BQL("JBLU US Equity", "FA_GROWTH(HEADLINE_ROE, YOY)", "FPT=A", "FPO=2A", "ACT_EST_MAPPING=PRECISE", "FS=MRC", "CURRENCY=USD", "XLFILL=b")</f>
        <v>71.27927927927928</v>
      </c>
      <c r="I292" s="9" t="str">
        <f>_xll.BQL("JBLU US Equity", "FA_GROWTH(HEADLINE_ROE, YOY)", "FPT=A", "FPO=1A", "ACT_EST_MAPPING=PRECISE", "FS=MRC", "CURRENCY=USD", "XLFILL=b")</f>
        <v/>
      </c>
      <c r="J292" s="9">
        <f>_xll.BQL("JBLU US Equity", "FA_GROWTH(HEADLINE_ROE, YOY)", "FPT=A", "FPO=0A", "ACT_EST_MAPPING=PRECISE", "FS=MRC", "CURRENCY=USD", "XLFILL=b")</f>
        <v>8.010249019136829</v>
      </c>
      <c r="K292" s="9">
        <f>_xll.BQL("JBLU US Equity", "FA_GROWTH(HEADLINE_ROE, YOY)", "FPT=A", "FPO=-1A", "ACT_EST_MAPPING=PRECISE", "FS=MRC", "CURRENCY=USD", "XLFILL=b")</f>
        <v>-109.31308303137767</v>
      </c>
      <c r="L292" s="9">
        <f>_xll.BQL("JBLU US Equity", "FA_GROWTH(HEADLINE_ROE, YOY)", "FPT=A", "FPO=-2A", "ACT_EST_MAPPING=PRECISE", "FS=MRC", "CURRENCY=USD", "XLFILL=b")</f>
        <v>84.921221073362872</v>
      </c>
      <c r="M292" s="9">
        <f>_xll.BQL("JBLU US Equity", "FA_GROWTH(HEADLINE_ROE, YOY)", "FPT=A", "FPO=-3A", "ACT_EST_MAPPING=PRECISE", "FS=MRC", "CURRENCY=USD", "XLFILL=b")</f>
        <v>-357.92289229224207</v>
      </c>
      <c r="N292" s="9">
        <f>_xll.BQL("JBLU US Equity", "FA_GROWTH(HEADLINE_ROE, YOY)", "FPT=A", "FPO=-4A", "ACT_EST_MAPPING=PRECISE", "FS=MRC", "CURRENCY=USD", "XLFILL=b")</f>
        <v>198.93136644507373</v>
      </c>
    </row>
    <row r="293" spans="1:14" x14ac:dyDescent="0.2">
      <c r="A293" s="8" t="s">
        <v>321</v>
      </c>
      <c r="B293" s="4" t="s">
        <v>322</v>
      </c>
      <c r="C293" s="4"/>
      <c r="D293" s="4"/>
      <c r="E293" s="9" t="str">
        <f>_xll.BQL("JBLU US Equity", "BOOK_VAL_PER_SH", "FPT=A", "FPO=5A", "ACT_EST_MAPPING=PRECISE", "FS=MRC", "CURRENCY=USD", "XLFILL=b")</f>
        <v/>
      </c>
      <c r="F293" s="9" t="str">
        <f>_xll.BQL("JBLU US Equity", "BOOK_VAL_PER_SH", "FPT=A", "FPO=4A", "ACT_EST_MAPPING=PRECISE", "FS=MRC", "CURRENCY=USD", "XLFILL=b")</f>
        <v/>
      </c>
      <c r="G293" s="9">
        <f>_xll.BQL("JBLU US Equity", "BOOK_VAL_PER_SH", "FPT=A", "FPO=3A", "ACT_EST_MAPPING=PRECISE", "FS=MRC", "CURRENCY=USD", "XLFILL=b")</f>
        <v>13.518361104731554</v>
      </c>
      <c r="H293" s="9">
        <f>_xll.BQL("JBLU US Equity", "BOOK_VAL_PER_SH", "FPT=A", "FPO=2A", "ACT_EST_MAPPING=PRECISE", "FS=MRC", "CURRENCY=USD", "XLFILL=b")</f>
        <v>9.6011518595730276</v>
      </c>
      <c r="I293" s="9">
        <f>_xll.BQL("JBLU US Equity", "BOOK_VAL_PER_SH", "FPT=A", "FPO=1A", "ACT_EST_MAPPING=PRECISE", "FS=MRC", "CURRENCY=USD", "XLFILL=b")</f>
        <v>9.3657903353702405</v>
      </c>
      <c r="J293" s="9">
        <f>_xll.BQL("JBLU US Equity", "BOOK_VAL_PER_SH", "FPT=A", "FPO=0A", "ACT_EST_MAPPING=PRECISE", "FS=MRC", "CURRENCY=USD", "XLFILL=b")</f>
        <v>9.8147058823529409</v>
      </c>
      <c r="K293" s="9">
        <f>_xll.BQL("JBLU US Equity", "BOOK_VAL_PER_SH", "FPT=A", "FPO=-1A", "ACT_EST_MAPPING=PRECISE", "FS=MRC", "CURRENCY=USD", "XLFILL=b")</f>
        <v>10.896024464831804</v>
      </c>
      <c r="L293" s="9">
        <f>_xll.BQL("JBLU US Equity", "BOOK_VAL_PER_SH", "FPT=A", "FPO=-2A", "ACT_EST_MAPPING=PRECISE", "FS=MRC", "CURRENCY=USD", "XLFILL=b")</f>
        <v>12.028124999999999</v>
      </c>
      <c r="M293" s="9">
        <f>_xll.BQL("JBLU US Equity", "BOOK_VAL_PER_SH", "FPT=A", "FPO=-3A", "ACT_EST_MAPPING=PRECISE", "FS=MRC", "CURRENCY=USD", "XLFILL=b")</f>
        <v>12.503164556962025</v>
      </c>
      <c r="N293" s="9">
        <f>_xll.BQL("JBLU US Equity", "BOOK_VAL_PER_SH", "FPT=A", "FPO=-4A", "ACT_EST_MAPPING=PRECISE", "FS=MRC", "CURRENCY=USD", "XLFILL=b")</f>
        <v>17.0177304964539</v>
      </c>
    </row>
    <row r="294" spans="1:14" x14ac:dyDescent="0.2">
      <c r="A294" s="8" t="s">
        <v>84</v>
      </c>
      <c r="B294" s="4" t="s">
        <v>322</v>
      </c>
      <c r="C294" s="4"/>
      <c r="D294" s="4"/>
      <c r="E294" s="9" t="str">
        <f>_xll.BQL("JBLU US Equity", "FA_GROWTH(BOOK_VAL_PER_SH, YOY)", "FPT=A", "FPO=5A", "ACT_EST_MAPPING=PRECISE", "FS=MRC", "CURRENCY=USD", "XLFILL=b")</f>
        <v/>
      </c>
      <c r="F294" s="9" t="str">
        <f>_xll.BQL("JBLU US Equity", "FA_GROWTH(BOOK_VAL_PER_SH, YOY)", "FPT=A", "FPO=4A", "ACT_EST_MAPPING=PRECISE", "FS=MRC", "CURRENCY=USD", "XLFILL=b")</f>
        <v/>
      </c>
      <c r="G294" s="9">
        <f>_xll.BQL("JBLU US Equity", "FA_GROWTH(BOOK_VAL_PER_SH, YOY)", "FPT=A", "FPO=3A", "ACT_EST_MAPPING=PRECISE", "FS=MRC", "CURRENCY=USD", "XLFILL=b")</f>
        <v>40.799367643089525</v>
      </c>
      <c r="H294" s="9">
        <f>_xll.BQL("JBLU US Equity", "FA_GROWTH(BOOK_VAL_PER_SH, YOY)", "FPT=A", "FPO=2A", "ACT_EST_MAPPING=PRECISE", "FS=MRC", "CURRENCY=USD", "XLFILL=b")</f>
        <v>2.512991597878675</v>
      </c>
      <c r="I294" s="9">
        <f>_xll.BQL("JBLU US Equity", "FA_GROWTH(BOOK_VAL_PER_SH, YOY)", "FPT=A", "FPO=1A", "ACT_EST_MAPPING=PRECISE", "FS=MRC", "CURRENCY=USD", "XLFILL=b")</f>
        <v>-4.5739072812142085</v>
      </c>
      <c r="J294" s="9">
        <f>_xll.BQL("JBLU US Equity", "FA_GROWTH(BOOK_VAL_PER_SH, YOY)", "FPT=A", "FPO=0A", "ACT_EST_MAPPING=PRECISE", "FS=MRC", "CURRENCY=USD", "XLFILL=b")</f>
        <v>-9.9239735186805564</v>
      </c>
      <c r="K294" s="9">
        <f>_xll.BQL("JBLU US Equity", "FA_GROWTH(BOOK_VAL_PER_SH, YOY)", "FPT=A", "FPO=-1A", "ACT_EST_MAPPING=PRECISE", "FS=MRC", "CURRENCY=USD", "XLFILL=b")</f>
        <v>-9.4121114900967147</v>
      </c>
      <c r="L294" s="9">
        <f>_xll.BQL("JBLU US Equity", "FA_GROWTH(BOOK_VAL_PER_SH, YOY)", "FPT=A", "FPO=-2A", "ACT_EST_MAPPING=PRECISE", "FS=MRC", "CURRENCY=USD", "XLFILL=b")</f>
        <v>-3.7993545937737307</v>
      </c>
      <c r="M294" s="9">
        <f>_xll.BQL("JBLU US Equity", "FA_GROWTH(BOOK_VAL_PER_SH, YOY)", "FPT=A", "FPO=-3A", "ACT_EST_MAPPING=PRECISE", "FS=MRC", "CURRENCY=USD", "XLFILL=b")</f>
        <v>-26.528601686532795</v>
      </c>
      <c r="N294" s="9">
        <f>_xll.BQL("JBLU US Equity", "FA_GROWTH(BOOK_VAL_PER_SH, YOY)", "FPT=A", "FPO=-4A", "ACT_EST_MAPPING=PRECISE", "FS=MRC", "CURRENCY=USD", "XLFILL=b")</f>
        <v>11.151025227639131</v>
      </c>
    </row>
    <row r="295" spans="1:14" x14ac:dyDescent="0.2">
      <c r="A295" s="8" t="s">
        <v>16</v>
      </c>
      <c r="B295" s="4"/>
      <c r="C295" s="4"/>
      <c r="D295" s="4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x14ac:dyDescent="0.2">
      <c r="A296" s="8" t="s">
        <v>323</v>
      </c>
      <c r="B296" s="4"/>
      <c r="C296" s="4" t="s">
        <v>324</v>
      </c>
      <c r="D296" s="4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x14ac:dyDescent="0.2">
      <c r="A297" s="8" t="s">
        <v>325</v>
      </c>
      <c r="B297" s="4"/>
      <c r="C297" s="4" t="s">
        <v>326</v>
      </c>
      <c r="D297" s="4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x14ac:dyDescent="0.2">
      <c r="A298" s="8" t="s">
        <v>185</v>
      </c>
      <c r="B298" s="4" t="s">
        <v>50</v>
      </c>
      <c r="C298" s="4" t="s">
        <v>157</v>
      </c>
      <c r="D298" s="4"/>
      <c r="E298" s="9">
        <f>_xll.BQL("JBLU US Equity", "IS_COMP_NET_INCOME_ADJUST_OLD/1M", "FPT=A", "FPO=5A", "ACT_EST_MAPPING=PRECISE", "FS=MRC", "CURRENCY=USD", "XLFILL=b")</f>
        <v>53.699999999999996</v>
      </c>
      <c r="F298" s="9">
        <f>_xll.BQL("JBLU US Equity", "IS_COMP_NET_INCOME_ADJUST_OLD/1M", "FPT=A", "FPO=4A", "ACT_EST_MAPPING=PRECISE", "FS=MRC", "CURRENCY=USD", "XLFILL=b")</f>
        <v>71.7</v>
      </c>
      <c r="G298" s="9">
        <f>_xll.BQL("JBLU US Equity", "IS_COMP_NET_INCOME_ADJUST_OLD/1M", "FPT=A", "FPO=3A", "ACT_EST_MAPPING=PRECISE", "FS=MRC", "CURRENCY=USD", "XLFILL=b")</f>
        <v>37.46</v>
      </c>
      <c r="H298" s="9">
        <f>_xll.BQL("JBLU US Equity", "IS_COMP_NET_INCOME_ADJUST_OLD/1M", "FPT=A", "FPO=2A", "ACT_EST_MAPPING=PRECISE", "FS=MRC", "CURRENCY=USD", "XLFILL=b")</f>
        <v>-162.00071428571431</v>
      </c>
      <c r="I298" s="9">
        <f>_xll.BQL("JBLU US Equity", "IS_COMP_NET_INCOME_ADJUST_OLD/1M", "FPT=A", "FPO=1A", "ACT_EST_MAPPING=PRECISE", "FS=MRC", "CURRENCY=USD", "XLFILL=b")</f>
        <v>-330.71428571428572</v>
      </c>
      <c r="J298" s="9">
        <f>_xll.BQL("JBLU US Equity", "IS_COMP_NET_INCOME_ADJUST_OLD/1M", "FPT=A", "FPO=0A", "ACT_EST_MAPPING=PRECISE", "FS=MRC", "CURRENCY=USD", "XLFILL=b")</f>
        <v>-151</v>
      </c>
      <c r="K298" s="9">
        <f>_xll.BQL("JBLU US Equity", "IS_COMP_NET_INCOME_ADJUST_OLD/1M", "FPT=A", "FPO=-1A", "ACT_EST_MAPPING=PRECISE", "FS=MRC", "CURRENCY=USD", "XLFILL=b")</f>
        <v>-260</v>
      </c>
      <c r="L298" s="9">
        <f>_xll.BQL("JBLU US Equity", "IS_COMP_NET_INCOME_ADJUST_OLD/1M", "FPT=A", "FPO=-2A", "ACT_EST_MAPPING=PRECISE", "FS=MRC", "CURRENCY=USD", "XLFILL=b")</f>
        <v>-797</v>
      </c>
      <c r="M298" s="9">
        <f>_xll.BQL("JBLU US Equity", "IS_COMP_NET_INCOME_ADJUST_OLD/1M", "FPT=A", "FPO=-3A", "ACT_EST_MAPPING=PRECISE", "FS=MRC", "CURRENCY=USD", "XLFILL=b")</f>
        <v>-1576</v>
      </c>
      <c r="N298" s="9">
        <f>_xll.BQL("JBLU US Equity", "IS_COMP_NET_INCOME_ADJUST_OLD/1M", "FPT=A", "FPO=-4A", "ACT_EST_MAPPING=PRECISE", "FS=MRC", "CURRENCY=USD", "XLFILL=b")</f>
        <v>568</v>
      </c>
    </row>
    <row r="299" spans="1:14" x14ac:dyDescent="0.2">
      <c r="A299" s="8" t="s">
        <v>84</v>
      </c>
      <c r="B299" s="4" t="s">
        <v>50</v>
      </c>
      <c r="C299" s="4" t="s">
        <v>157</v>
      </c>
      <c r="D299" s="4"/>
      <c r="E299" s="9">
        <f>_xll.BQL("JBLU US Equity", "FA_GROWTH(IS_COMP_NET_INCOME_ADJUST_OLD, YOY)", "FPT=A", "FPO=5A", "ACT_EST_MAPPING=PRECISE", "FS=MRC", "CURRENCY=USD", "XLFILL=b")</f>
        <v>-25.104602510460261</v>
      </c>
      <c r="F299" s="9">
        <f>_xll.BQL("JBLU US Equity", "FA_GROWTH(IS_COMP_NET_INCOME_ADJUST_OLD, YOY)", "FPT=A", "FPO=4A", "ACT_EST_MAPPING=PRECISE", "FS=MRC", "CURRENCY=USD", "XLFILL=b")</f>
        <v>91.404164442071547</v>
      </c>
      <c r="G299" s="9">
        <f>_xll.BQL("JBLU US Equity", "FA_GROWTH(IS_COMP_NET_INCOME_ADJUST_OLD, YOY)", "FPT=A", "FPO=3A", "ACT_EST_MAPPING=PRECISE", "FS=MRC", "CURRENCY=USD", "XLFILL=b")</f>
        <v>123.12335483529614</v>
      </c>
      <c r="H299" s="9">
        <f>_xll.BQL("JBLU US Equity", "FA_GROWTH(IS_COMP_NET_INCOME_ADJUST_OLD, YOY)", "FPT=A", "FPO=2A", "ACT_EST_MAPPING=PRECISE", "FS=MRC", "CURRENCY=USD", "XLFILL=b")</f>
        <v>51.014902807775378</v>
      </c>
      <c r="I299" s="9">
        <f>_xll.BQL("JBLU US Equity", "FA_GROWTH(IS_COMP_NET_INCOME_ADJUST_OLD, YOY)", "FPT=A", "FPO=1A", "ACT_EST_MAPPING=PRECISE", "FS=MRC", "CURRENCY=USD", "XLFILL=b")</f>
        <v>-119.01608325449386</v>
      </c>
      <c r="J299" s="9">
        <f>_xll.BQL("JBLU US Equity", "FA_GROWTH(IS_COMP_NET_INCOME_ADJUST_OLD, YOY)", "FPT=A", "FPO=0A", "ACT_EST_MAPPING=PRECISE", "FS=MRC", "CURRENCY=USD", "XLFILL=b")</f>
        <v>41.92307692307692</v>
      </c>
      <c r="K299" s="9">
        <f>_xll.BQL("JBLU US Equity", "FA_GROWTH(IS_COMP_NET_INCOME_ADJUST_OLD, YOY)", "FPT=A", "FPO=-1A", "ACT_EST_MAPPING=PRECISE", "FS=MRC", "CURRENCY=USD", "XLFILL=b")</f>
        <v>67.377666248431623</v>
      </c>
      <c r="L299" s="9">
        <f>_xll.BQL("JBLU US Equity", "FA_GROWTH(IS_COMP_NET_INCOME_ADJUST_OLD, YOY)", "FPT=A", "FPO=-2A", "ACT_EST_MAPPING=PRECISE", "FS=MRC", "CURRENCY=USD", "XLFILL=b")</f>
        <v>49.428934010152282</v>
      </c>
      <c r="M299" s="9">
        <f>_xll.BQL("JBLU US Equity", "FA_GROWTH(IS_COMP_NET_INCOME_ADJUST_OLD, YOY)", "FPT=A", "FPO=-3A", "ACT_EST_MAPPING=PRECISE", "FS=MRC", "CURRENCY=USD", "XLFILL=b")</f>
        <v>-377.46478873239437</v>
      </c>
      <c r="N299" s="9">
        <f>_xll.BQL("JBLU US Equity", "FA_GROWTH(IS_COMP_NET_INCOME_ADJUST_OLD, YOY)", "FPT=A", "FPO=-4A", "ACT_EST_MAPPING=PRECISE", "FS=MRC", "CURRENCY=USD", "XLFILL=b")</f>
        <v>16.632443531827516</v>
      </c>
    </row>
    <row r="300" spans="1:14" x14ac:dyDescent="0.2">
      <c r="A300" s="8" t="s">
        <v>105</v>
      </c>
      <c r="B300" s="4" t="s">
        <v>106</v>
      </c>
      <c r="C300" s="4" t="s">
        <v>107</v>
      </c>
      <c r="D300" s="4"/>
      <c r="E300" s="9">
        <f>_xll.BQL("JBLU US Equity", "CF_DEPR_AMORT/1M", "FPT=A", "FPO=5A", "ACT_EST_MAPPING=PRECISE", "FS=MRC", "CURRENCY=USD", "XLFILL=b")</f>
        <v>836</v>
      </c>
      <c r="F300" s="9">
        <f>_xll.BQL("JBLU US Equity", "CF_DEPR_AMORT/1M", "FPT=A", "FPO=4A", "ACT_EST_MAPPING=PRECISE", "FS=MRC", "CURRENCY=USD", "XLFILL=b")</f>
        <v>792</v>
      </c>
      <c r="G300" s="9">
        <f>_xll.BQL("JBLU US Equity", "CF_DEPR_AMORT/1M", "FPT=A", "FPO=3A", "ACT_EST_MAPPING=PRECISE", "FS=MRC", "CURRENCY=USD", "XLFILL=b")</f>
        <v>725.41610582949261</v>
      </c>
      <c r="H300" s="9">
        <f>_xll.BQL("JBLU US Equity", "CF_DEPR_AMORT/1M", "FPT=A", "FPO=2A", "ACT_EST_MAPPING=PRECISE", "FS=MRC", "CURRENCY=USD", "XLFILL=b")</f>
        <v>679.19137518402863</v>
      </c>
      <c r="I300" s="9">
        <f>_xll.BQL("JBLU US Equity", "CF_DEPR_AMORT/1M", "FPT=A", "FPO=1A", "ACT_EST_MAPPING=PRECISE", "FS=MRC", "CURRENCY=USD", "XLFILL=b")</f>
        <v>648.97704876978116</v>
      </c>
      <c r="J300" s="9">
        <f>_xll.BQL("JBLU US Equity", "CF_DEPR_AMORT/1M", "FPT=A", "FPO=0A", "ACT_EST_MAPPING=PRECISE", "FS=MRC", "CURRENCY=USD", "XLFILL=b")</f>
        <v>621</v>
      </c>
      <c r="K300" s="9">
        <f>_xll.BQL("JBLU US Equity", "CF_DEPR_AMORT/1M", "FPT=A", "FPO=-1A", "ACT_EST_MAPPING=PRECISE", "FS=MRC", "CURRENCY=USD", "XLFILL=b")</f>
        <v>585</v>
      </c>
      <c r="L300" s="9">
        <f>_xll.BQL("JBLU US Equity", "CF_DEPR_AMORT/1M", "FPT=A", "FPO=-2A", "ACT_EST_MAPPING=PRECISE", "FS=MRC", "CURRENCY=USD", "XLFILL=b")</f>
        <v>540</v>
      </c>
      <c r="M300" s="9">
        <f>_xll.BQL("JBLU US Equity", "CF_DEPR_AMORT/1M", "FPT=A", "FPO=-3A", "ACT_EST_MAPPING=PRECISE", "FS=MRC", "CURRENCY=USD", "XLFILL=b")</f>
        <v>535</v>
      </c>
      <c r="N300" s="9">
        <f>_xll.BQL("JBLU US Equity", "CF_DEPR_AMORT/1M", "FPT=A", "FPO=-4A", "ACT_EST_MAPPING=PRECISE", "FS=MRC", "CURRENCY=USD", "XLFILL=b")</f>
        <v>525</v>
      </c>
    </row>
    <row r="301" spans="1:14" x14ac:dyDescent="0.2">
      <c r="A301" s="8" t="s">
        <v>84</v>
      </c>
      <c r="B301" s="4" t="s">
        <v>106</v>
      </c>
      <c r="C301" s="4" t="s">
        <v>107</v>
      </c>
      <c r="D301" s="4"/>
      <c r="E301" s="9">
        <f>_xll.BQL("JBLU US Equity", "FA_GROWTH(CF_DEPR_AMORT, YOY)", "FPT=A", "FPO=5A", "ACT_EST_MAPPING=PRECISE", "FS=MRC", "CURRENCY=USD", "XLFILL=b")</f>
        <v>5.5555555555555554</v>
      </c>
      <c r="F301" s="9">
        <f>_xll.BQL("JBLU US Equity", "FA_GROWTH(CF_DEPR_AMORT, YOY)", "FPT=A", "FPO=4A", "ACT_EST_MAPPING=PRECISE", "FS=MRC", "CURRENCY=USD", "XLFILL=b")</f>
        <v>9.1787173782653539</v>
      </c>
      <c r="G301" s="9">
        <f>_xll.BQL("JBLU US Equity", "FA_GROWTH(CF_DEPR_AMORT, YOY)", "FPT=A", "FPO=3A", "ACT_EST_MAPPING=PRECISE", "FS=MRC", "CURRENCY=USD", "XLFILL=b")</f>
        <v>6.8058477086725722</v>
      </c>
      <c r="H301" s="9">
        <f>_xll.BQL("JBLU US Equity", "FA_GROWTH(CF_DEPR_AMORT, YOY)", "FPT=A", "FPO=2A", "ACT_EST_MAPPING=PRECISE", "FS=MRC", "CURRENCY=USD", "XLFILL=b")</f>
        <v>4.6556848923274909</v>
      </c>
      <c r="I301" s="9">
        <f>_xll.BQL("JBLU US Equity", "FA_GROWTH(CF_DEPR_AMORT, YOY)", "FPT=A", "FPO=1A", "ACT_EST_MAPPING=PRECISE", "FS=MRC", "CURRENCY=USD", "XLFILL=b")</f>
        <v>4.5051608324929324</v>
      </c>
      <c r="J301" s="9">
        <f>_xll.BQL("JBLU US Equity", "FA_GROWTH(CF_DEPR_AMORT, YOY)", "FPT=A", "FPO=0A", "ACT_EST_MAPPING=PRECISE", "FS=MRC", "CURRENCY=USD", "XLFILL=b")</f>
        <v>6.1538461538461542</v>
      </c>
      <c r="K301" s="9">
        <f>_xll.BQL("JBLU US Equity", "FA_GROWTH(CF_DEPR_AMORT, YOY)", "FPT=A", "FPO=-1A", "ACT_EST_MAPPING=PRECISE", "FS=MRC", "CURRENCY=USD", "XLFILL=b")</f>
        <v>8.3333333333333339</v>
      </c>
      <c r="L301" s="9">
        <f>_xll.BQL("JBLU US Equity", "FA_GROWTH(CF_DEPR_AMORT, YOY)", "FPT=A", "FPO=-2A", "ACT_EST_MAPPING=PRECISE", "FS=MRC", "CURRENCY=USD", "XLFILL=b")</f>
        <v>0.93457943925233644</v>
      </c>
      <c r="M301" s="9">
        <f>_xll.BQL("JBLU US Equity", "FA_GROWTH(CF_DEPR_AMORT, YOY)", "FPT=A", "FPO=-3A", "ACT_EST_MAPPING=PRECISE", "FS=MRC", "CURRENCY=USD", "XLFILL=b")</f>
        <v>1.9047619047619047</v>
      </c>
      <c r="N301" s="9">
        <f>_xll.BQL("JBLU US Equity", "FA_GROWTH(CF_DEPR_AMORT, YOY)", "FPT=A", "FPO=-4A", "ACT_EST_MAPPING=PRECISE", "FS=MRC", "CURRENCY=USD", "XLFILL=b")</f>
        <v>11.940298507462687</v>
      </c>
    </row>
    <row r="302" spans="1:14" x14ac:dyDescent="0.2">
      <c r="A302" s="8" t="s">
        <v>190</v>
      </c>
      <c r="B302" s="4" t="s">
        <v>191</v>
      </c>
      <c r="C302" s="4"/>
      <c r="D302" s="4"/>
      <c r="E302" s="9" t="str">
        <f>_xll.BQL("JBLU US Equity", "CF_STOCK_BASED_COMPENSATION/1M", "FPT=A", "FPO=5A", "ACT_EST_MAPPING=PRECISE", "FS=MRC", "CURRENCY=USD", "XLFILL=b")</f>
        <v/>
      </c>
      <c r="F302" s="9" t="str">
        <f>_xll.BQL("JBLU US Equity", "CF_STOCK_BASED_COMPENSATION/1M", "FPT=A", "FPO=4A", "ACT_EST_MAPPING=PRECISE", "FS=MRC", "CURRENCY=USD", "XLFILL=b")</f>
        <v/>
      </c>
      <c r="G302" s="9">
        <f>_xll.BQL("JBLU US Equity", "CF_STOCK_BASED_COMPENSATION/1M", "FPT=A", "FPO=3A", "ACT_EST_MAPPING=PRECISE", "FS=MRC", "CURRENCY=USD", "XLFILL=b")</f>
        <v>38.829960030290216</v>
      </c>
      <c r="H302" s="9">
        <f>_xll.BQL("JBLU US Equity", "CF_STOCK_BASED_COMPENSATION/1M", "FPT=A", "FPO=2A", "ACT_EST_MAPPING=PRECISE", "FS=MRC", "CURRENCY=USD", "XLFILL=b")</f>
        <v>34.264401238738387</v>
      </c>
      <c r="I302" s="9">
        <f>_xll.BQL("JBLU US Equity", "CF_STOCK_BASED_COMPENSATION/1M", "FPT=A", "FPO=1A", "ACT_EST_MAPPING=PRECISE", "FS=MRC", "CURRENCY=USD", "XLFILL=b")</f>
        <v>36.22569013749407</v>
      </c>
      <c r="J302" s="9">
        <f>_xll.BQL("JBLU US Equity", "CF_STOCK_BASED_COMPENSATION/1M", "FPT=A", "FPO=0A", "ACT_EST_MAPPING=PRECISE", "FS=MRC", "CURRENCY=USD", "XLFILL=b")</f>
        <v>39</v>
      </c>
      <c r="K302" s="9">
        <f>_xll.BQL("JBLU US Equity", "CF_STOCK_BASED_COMPENSATION/1M", "FPT=A", "FPO=-1A", "ACT_EST_MAPPING=PRECISE", "FS=MRC", "CURRENCY=USD", "XLFILL=b")</f>
        <v>30</v>
      </c>
      <c r="L302" s="9">
        <f>_xll.BQL("JBLU US Equity", "CF_STOCK_BASED_COMPENSATION/1M", "FPT=A", "FPO=-2A", "ACT_EST_MAPPING=PRECISE", "FS=MRC", "CURRENCY=USD", "XLFILL=b")</f>
        <v>28</v>
      </c>
      <c r="M302" s="9">
        <f>_xll.BQL("JBLU US Equity", "CF_STOCK_BASED_COMPENSATION/1M", "FPT=A", "FPO=-3A", "ACT_EST_MAPPING=PRECISE", "FS=MRC", "CURRENCY=USD", "XLFILL=b")</f>
        <v>28</v>
      </c>
      <c r="N302" s="9">
        <f>_xll.BQL("JBLU US Equity", "CF_STOCK_BASED_COMPENSATION/1M", "FPT=A", "FPO=-4A", "ACT_EST_MAPPING=PRECISE", "FS=MRC", "CURRENCY=USD", "XLFILL=b")</f>
        <v>31</v>
      </c>
    </row>
    <row r="303" spans="1:14" x14ac:dyDescent="0.2">
      <c r="A303" s="8" t="s">
        <v>84</v>
      </c>
      <c r="B303" s="4" t="s">
        <v>191</v>
      </c>
      <c r="C303" s="4"/>
      <c r="D303" s="4"/>
      <c r="E303" s="9" t="str">
        <f>_xll.BQL("JBLU US Equity", "FA_GROWTH(CF_STOCK_BASED_COMPENSATION, YOY)", "FPT=A", "FPO=5A", "ACT_EST_MAPPING=PRECISE", "FS=MRC", "CURRENCY=USD", "XLFILL=b")</f>
        <v/>
      </c>
      <c r="F303" s="9" t="str">
        <f>_xll.BQL("JBLU US Equity", "FA_GROWTH(CF_STOCK_BASED_COMPENSATION, YOY)", "FPT=A", "FPO=4A", "ACT_EST_MAPPING=PRECISE", "FS=MRC", "CURRENCY=USD", "XLFILL=b")</f>
        <v/>
      </c>
      <c r="G303" s="9">
        <f>_xll.BQL("JBLU US Equity", "FA_GROWTH(CF_STOCK_BASED_COMPENSATION, YOY)", "FPT=A", "FPO=3A", "ACT_EST_MAPPING=PRECISE", "FS=MRC", "CURRENCY=USD", "XLFILL=b")</f>
        <v>13.324496055661797</v>
      </c>
      <c r="H303" s="9">
        <f>_xll.BQL("JBLU US Equity", "FA_GROWTH(CF_STOCK_BASED_COMPENSATION, YOY)", "FPT=A", "FPO=2A", "ACT_EST_MAPPING=PRECISE", "FS=MRC", "CURRENCY=USD", "XLFILL=b")</f>
        <v>-5.4140829099780889</v>
      </c>
      <c r="I303" s="9">
        <f>_xll.BQL("JBLU US Equity", "FA_GROWTH(CF_STOCK_BASED_COMPENSATION, YOY)", "FPT=A", "FPO=1A", "ACT_EST_MAPPING=PRECISE", "FS=MRC", "CURRENCY=USD", "XLFILL=b")</f>
        <v>-7.1136150320664813</v>
      </c>
      <c r="J303" s="9">
        <f>_xll.BQL("JBLU US Equity", "FA_GROWTH(CF_STOCK_BASED_COMPENSATION, YOY)", "FPT=A", "FPO=0A", "ACT_EST_MAPPING=PRECISE", "FS=MRC", "CURRENCY=USD", "XLFILL=b")</f>
        <v>30</v>
      </c>
      <c r="K303" s="9">
        <f>_xll.BQL("JBLU US Equity", "FA_GROWTH(CF_STOCK_BASED_COMPENSATION, YOY)", "FPT=A", "FPO=-1A", "ACT_EST_MAPPING=PRECISE", "FS=MRC", "CURRENCY=USD", "XLFILL=b")</f>
        <v>7.1428571428571432</v>
      </c>
      <c r="L303" s="9">
        <f>_xll.BQL("JBLU US Equity", "FA_GROWTH(CF_STOCK_BASED_COMPENSATION, YOY)", "FPT=A", "FPO=-2A", "ACT_EST_MAPPING=PRECISE", "FS=MRC", "CURRENCY=USD", "XLFILL=b")</f>
        <v>0</v>
      </c>
      <c r="M303" s="9">
        <f>_xll.BQL("JBLU US Equity", "FA_GROWTH(CF_STOCK_BASED_COMPENSATION, YOY)", "FPT=A", "FPO=-3A", "ACT_EST_MAPPING=PRECISE", "FS=MRC", "CURRENCY=USD", "XLFILL=b")</f>
        <v>-9.67741935483871</v>
      </c>
      <c r="N303" s="9">
        <f>_xll.BQL("JBLU US Equity", "FA_GROWTH(CF_STOCK_BASED_COMPENSATION, YOY)", "FPT=A", "FPO=-4A", "ACT_EST_MAPPING=PRECISE", "FS=MRC", "CURRENCY=USD", "XLFILL=b")</f>
        <v>10.714285714285714</v>
      </c>
    </row>
    <row r="304" spans="1:14" x14ac:dyDescent="0.2">
      <c r="A304" s="8" t="s">
        <v>327</v>
      </c>
      <c r="B304" s="4" t="s">
        <v>328</v>
      </c>
      <c r="C304" s="4" t="s">
        <v>281</v>
      </c>
      <c r="D304" s="4"/>
      <c r="E304" s="9" t="str">
        <f>_xll.BQL("JBLU US Equity", "CF_DEF_INC_TAX/1M", "FPT=A", "FPO=5A", "ACT_EST_MAPPING=PRECISE", "FS=MRC", "CURRENCY=USD", "XLFILL=b")</f>
        <v/>
      </c>
      <c r="F304" s="9" t="str">
        <f>_xll.BQL("JBLU US Equity", "CF_DEF_INC_TAX/1M", "FPT=A", "FPO=4A", "ACT_EST_MAPPING=PRECISE", "FS=MRC", "CURRENCY=USD", "XLFILL=b")</f>
        <v/>
      </c>
      <c r="G304" s="9">
        <f>_xll.BQL("JBLU US Equity", "CF_DEF_INC_TAX/1M", "FPT=A", "FPO=3A", "ACT_EST_MAPPING=PRECISE", "FS=MRC", "CURRENCY=USD", "XLFILL=b")</f>
        <v>-14.365236860369587</v>
      </c>
      <c r="H304" s="9">
        <f>_xll.BQL("JBLU US Equity", "CF_DEF_INC_TAX/1M", "FPT=A", "FPO=2A", "ACT_EST_MAPPING=PRECISE", "FS=MRC", "CURRENCY=USD", "XLFILL=b")</f>
        <v>-34.666381283050441</v>
      </c>
      <c r="I304" s="9">
        <f>_xll.BQL("JBLU US Equity", "CF_DEF_INC_TAX/1M", "FPT=A", "FPO=1A", "ACT_EST_MAPPING=PRECISE", "FS=MRC", "CURRENCY=USD", "XLFILL=b")</f>
        <v>-67.110272449249024</v>
      </c>
      <c r="J304" s="9">
        <f>_xll.BQL("JBLU US Equity", "CF_DEF_INC_TAX/1M", "FPT=A", "FPO=0A", "ACT_EST_MAPPING=PRECISE", "FS=MRC", "CURRENCY=USD", "XLFILL=b")</f>
        <v>-27</v>
      </c>
      <c r="K304" s="9">
        <f>_xll.BQL("JBLU US Equity", "CF_DEF_INC_TAX/1M", "FPT=A", "FPO=-1A", "ACT_EST_MAPPING=PRECISE", "FS=MRC", "CURRENCY=USD", "XLFILL=b")</f>
        <v>-73</v>
      </c>
      <c r="L304" s="9">
        <f>_xll.BQL("JBLU US Equity", "CF_DEF_INC_TAX/1M", "FPT=A", "FPO=-2A", "ACT_EST_MAPPING=PRECISE", "FS=MRC", "CURRENCY=USD", "XLFILL=b")</f>
        <v>-88</v>
      </c>
      <c r="M304" s="9">
        <f>_xll.BQL("JBLU US Equity", "CF_DEF_INC_TAX/1M", "FPT=A", "FPO=-3A", "ACT_EST_MAPPING=PRECISE", "FS=MRC", "CURRENCY=USD", "XLFILL=b")</f>
        <v>-329</v>
      </c>
      <c r="N304" s="9">
        <f>_xll.BQL("JBLU US Equity", "CF_DEF_INC_TAX/1M", "FPT=A", "FPO=-4A", "ACT_EST_MAPPING=PRECISE", "FS=MRC", "CURRENCY=USD", "XLFILL=b")</f>
        <v>139</v>
      </c>
    </row>
    <row r="305" spans="1:14" x14ac:dyDescent="0.2">
      <c r="A305" s="8" t="s">
        <v>84</v>
      </c>
      <c r="B305" s="4" t="s">
        <v>328</v>
      </c>
      <c r="C305" s="4" t="s">
        <v>281</v>
      </c>
      <c r="D305" s="4"/>
      <c r="E305" s="9" t="str">
        <f>_xll.BQL("JBLU US Equity", "FA_GROWTH(CF_DEF_INC_TAX, YOY)", "FPT=A", "FPO=5A", "ACT_EST_MAPPING=PRECISE", "FS=MRC", "CURRENCY=USD", "XLFILL=b")</f>
        <v/>
      </c>
      <c r="F305" s="9" t="str">
        <f>_xll.BQL("JBLU US Equity", "FA_GROWTH(CF_DEF_INC_TAX, YOY)", "FPT=A", "FPO=4A", "ACT_EST_MAPPING=PRECISE", "FS=MRC", "CURRENCY=USD", "XLFILL=b")</f>
        <v/>
      </c>
      <c r="G305" s="9">
        <f>_xll.BQL("JBLU US Equity", "FA_GROWTH(CF_DEF_INC_TAX, YOY)", "FPT=A", "FPO=3A", "ACT_EST_MAPPING=PRECISE", "FS=MRC", "CURRENCY=USD", "XLFILL=b")</f>
        <v>58.56147561789718</v>
      </c>
      <c r="H305" s="9">
        <f>_xll.BQL("JBLU US Equity", "FA_GROWTH(CF_DEF_INC_TAX, YOY)", "FPT=A", "FPO=2A", "ACT_EST_MAPPING=PRECISE", "FS=MRC", "CURRENCY=USD", "XLFILL=b")</f>
        <v>48.344150578041109</v>
      </c>
      <c r="I305" s="9">
        <f>_xll.BQL("JBLU US Equity", "FA_GROWTH(CF_DEF_INC_TAX, YOY)", "FPT=A", "FPO=1A", "ACT_EST_MAPPING=PRECISE", "FS=MRC", "CURRENCY=USD", "XLFILL=b")</f>
        <v>-148.55656462684826</v>
      </c>
      <c r="J305" s="9">
        <f>_xll.BQL("JBLU US Equity", "FA_GROWTH(CF_DEF_INC_TAX, YOY)", "FPT=A", "FPO=0A", "ACT_EST_MAPPING=PRECISE", "FS=MRC", "CURRENCY=USD", "XLFILL=b")</f>
        <v>63.013698630136986</v>
      </c>
      <c r="K305" s="9">
        <f>_xll.BQL("JBLU US Equity", "FA_GROWTH(CF_DEF_INC_TAX, YOY)", "FPT=A", "FPO=-1A", "ACT_EST_MAPPING=PRECISE", "FS=MRC", "CURRENCY=USD", "XLFILL=b")</f>
        <v>17.045454545454547</v>
      </c>
      <c r="L305" s="9">
        <f>_xll.BQL("JBLU US Equity", "FA_GROWTH(CF_DEF_INC_TAX, YOY)", "FPT=A", "FPO=-2A", "ACT_EST_MAPPING=PRECISE", "FS=MRC", "CURRENCY=USD", "XLFILL=b")</f>
        <v>73.252279635258361</v>
      </c>
      <c r="M305" s="9">
        <f>_xll.BQL("JBLU US Equity", "FA_GROWTH(CF_DEF_INC_TAX, YOY)", "FPT=A", "FPO=-3A", "ACT_EST_MAPPING=PRECISE", "FS=MRC", "CURRENCY=USD", "XLFILL=b")</f>
        <v>-336.69064748201441</v>
      </c>
      <c r="N305" s="9">
        <f>_xll.BQL("JBLU US Equity", "FA_GROWTH(CF_DEF_INC_TAX, YOY)", "FPT=A", "FPO=-4A", "ACT_EST_MAPPING=PRECISE", "FS=MRC", "CURRENCY=USD", "XLFILL=b")</f>
        <v>54.444444444444443</v>
      </c>
    </row>
    <row r="306" spans="1:14" x14ac:dyDescent="0.2">
      <c r="A306" s="8" t="s">
        <v>329</v>
      </c>
      <c r="B306" s="4" t="s">
        <v>330</v>
      </c>
      <c r="C306" s="4"/>
      <c r="D306" s="4"/>
      <c r="E306" s="9" t="str">
        <f>_xll.BQL("JBLU US Equity", "CF_CHNG_NON_CASH_WORK_CAP/1M", "FPT=A", "FPO=5A", "ACT_EST_MAPPING=PRECISE", "FS=MRC", "CURRENCY=USD", "XLFILL=b")</f>
        <v/>
      </c>
      <c r="F306" s="9" t="str">
        <f>_xll.BQL("JBLU US Equity", "CF_CHNG_NON_CASH_WORK_CAP/1M", "FPT=A", "FPO=4A", "ACT_EST_MAPPING=PRECISE", "FS=MRC", "CURRENCY=USD", "XLFILL=b")</f>
        <v/>
      </c>
      <c r="G306" s="9">
        <f>_xll.BQL("JBLU US Equity", "CF_CHNG_NON_CASH_WORK_CAP/1M", "FPT=A", "FPO=3A", "ACT_EST_MAPPING=PRECISE", "FS=MRC", "CURRENCY=USD", "XLFILL=b")</f>
        <v>61.164137193548186</v>
      </c>
      <c r="H306" s="9">
        <f>_xll.BQL("JBLU US Equity", "CF_CHNG_NON_CASH_WORK_CAP/1M", "FPT=A", "FPO=2A", "ACT_EST_MAPPING=PRECISE", "FS=MRC", "CURRENCY=USD", "XLFILL=b")</f>
        <v>-57.485680947842262</v>
      </c>
      <c r="I306" s="9">
        <f>_xll.BQL("JBLU US Equity", "CF_CHNG_NON_CASH_WORK_CAP/1M", "FPT=A", "FPO=1A", "ACT_EST_MAPPING=PRECISE", "FS=MRC", "CURRENCY=USD", "XLFILL=b")</f>
        <v>-115.88743136626029</v>
      </c>
      <c r="J306" s="9">
        <f>_xll.BQL("JBLU US Equity", "CF_CHNG_NON_CASH_WORK_CAP/1M", "FPT=A", "FPO=0A", "ACT_EST_MAPPING=PRECISE", "FS=MRC", "CURRENCY=USD", "XLFILL=b")</f>
        <v>60</v>
      </c>
      <c r="K306" s="9">
        <f>_xll.BQL("JBLU US Equity", "CF_CHNG_NON_CASH_WORK_CAP/1M", "FPT=A", "FPO=-1A", "ACT_EST_MAPPING=PRECISE", "FS=MRC", "CURRENCY=USD", "XLFILL=b")</f>
        <v>146</v>
      </c>
      <c r="L306" s="9">
        <f>_xll.BQL("JBLU US Equity", "CF_CHNG_NON_CASH_WORK_CAP/1M", "FPT=A", "FPO=-2A", "ACT_EST_MAPPING=PRECISE", "FS=MRC", "CURRENCY=USD", "XLFILL=b")</f>
        <v>1345</v>
      </c>
      <c r="M306" s="9">
        <f>_xll.BQL("JBLU US Equity", "CF_CHNG_NON_CASH_WORK_CAP/1M", "FPT=A", "FPO=-3A", "ACT_EST_MAPPING=PRECISE", "FS=MRC", "CURRENCY=USD", "XLFILL=b")</f>
        <v>7</v>
      </c>
      <c r="N306" s="9">
        <f>_xll.BQL("JBLU US Equity", "CF_CHNG_NON_CASH_WORK_CAP/1M", "FPT=A", "FPO=-4A", "ACT_EST_MAPPING=PRECISE", "FS=MRC", "CURRENCY=USD", "XLFILL=b")</f>
        <v>212</v>
      </c>
    </row>
    <row r="307" spans="1:14" x14ac:dyDescent="0.2">
      <c r="A307" s="8" t="s">
        <v>84</v>
      </c>
      <c r="B307" s="4" t="s">
        <v>330</v>
      </c>
      <c r="C307" s="4"/>
      <c r="D307" s="4"/>
      <c r="E307" s="9" t="str">
        <f>_xll.BQL("JBLU US Equity", "FA_GROWTH(CF_CHNG_NON_CASH_WORK_CAP, YOY)", "FPT=A", "FPO=5A", "ACT_EST_MAPPING=PRECISE", "FS=MRC", "CURRENCY=USD", "XLFILL=b")</f>
        <v/>
      </c>
      <c r="F307" s="9" t="str">
        <f>_xll.BQL("JBLU US Equity", "FA_GROWTH(CF_CHNG_NON_CASH_WORK_CAP, YOY)", "FPT=A", "FPO=4A", "ACT_EST_MAPPING=PRECISE", "FS=MRC", "CURRENCY=USD", "XLFILL=b")</f>
        <v/>
      </c>
      <c r="G307" s="9">
        <f>_xll.BQL("JBLU US Equity", "FA_GROWTH(CF_CHNG_NON_CASH_WORK_CAP, YOY)", "FPT=A", "FPO=3A", "ACT_EST_MAPPING=PRECISE", "FS=MRC", "CURRENCY=USD", "XLFILL=b")</f>
        <v>206.39890871092479</v>
      </c>
      <c r="H307" s="9">
        <f>_xll.BQL("JBLU US Equity", "FA_GROWTH(CF_CHNG_NON_CASH_WORK_CAP, YOY)", "FPT=A", "FPO=2A", "ACT_EST_MAPPING=PRECISE", "FS=MRC", "CURRENCY=USD", "XLFILL=b")</f>
        <v>50.395241079975506</v>
      </c>
      <c r="I307" s="9">
        <f>_xll.BQL("JBLU US Equity", "FA_GROWTH(CF_CHNG_NON_CASH_WORK_CAP, YOY)", "FPT=A", "FPO=1A", "ACT_EST_MAPPING=PRECISE", "FS=MRC", "CURRENCY=USD", "XLFILL=b")</f>
        <v>-293.14571894376718</v>
      </c>
      <c r="J307" s="9">
        <f>_xll.BQL("JBLU US Equity", "FA_GROWTH(CF_CHNG_NON_CASH_WORK_CAP, YOY)", "FPT=A", "FPO=0A", "ACT_EST_MAPPING=PRECISE", "FS=MRC", "CURRENCY=USD", "XLFILL=b")</f>
        <v>-58.904109589041099</v>
      </c>
      <c r="K307" s="9">
        <f>_xll.BQL("JBLU US Equity", "FA_GROWTH(CF_CHNG_NON_CASH_WORK_CAP, YOY)", "FPT=A", "FPO=-1A", "ACT_EST_MAPPING=PRECISE", "FS=MRC", "CURRENCY=USD", "XLFILL=b")</f>
        <v>-89.14498141263941</v>
      </c>
      <c r="L307" s="9">
        <f>_xll.BQL("JBLU US Equity", "FA_GROWTH(CF_CHNG_NON_CASH_WORK_CAP, YOY)", "FPT=A", "FPO=-2A", "ACT_EST_MAPPING=PRECISE", "FS=MRC", "CURRENCY=USD", "XLFILL=b")</f>
        <v>19114.285714285714</v>
      </c>
      <c r="M307" s="9">
        <f>_xll.BQL("JBLU US Equity", "FA_GROWTH(CF_CHNG_NON_CASH_WORK_CAP, YOY)", "FPT=A", "FPO=-3A", "ACT_EST_MAPPING=PRECISE", "FS=MRC", "CURRENCY=USD", "XLFILL=b")</f>
        <v>-96.698113207547166</v>
      </c>
      <c r="N307" s="9">
        <f>_xll.BQL("JBLU US Equity", "FA_GROWTH(CF_CHNG_NON_CASH_WORK_CAP, YOY)", "FPT=A", "FPO=-4A", "ACT_EST_MAPPING=PRECISE", "FS=MRC", "CURRENCY=USD", "XLFILL=b")</f>
        <v>107.84313725490196</v>
      </c>
    </row>
    <row r="308" spans="1:14" x14ac:dyDescent="0.2">
      <c r="A308" s="8" t="s">
        <v>331</v>
      </c>
      <c r="B308" s="4" t="s">
        <v>332</v>
      </c>
      <c r="C308" s="4"/>
      <c r="D308" s="4"/>
      <c r="E308" s="9" t="str">
        <f>_xll.BQL("JBLU US Equity", "CB_CF_CHG_IN_AIR_TRAFFIC_LIAB/1M", "FPT=A", "FPO=5A", "ACT_EST_MAPPING=PRECISE", "FS=MRC", "CURRENCY=USD", "XLFILL=b")</f>
        <v/>
      </c>
      <c r="F308" s="9" t="str">
        <f>_xll.BQL("JBLU US Equity", "CB_CF_CHG_IN_AIR_TRAFFIC_LIAB/1M", "FPT=A", "FPO=4A", "ACT_EST_MAPPING=PRECISE", "FS=MRC", "CURRENCY=USD", "XLFILL=b")</f>
        <v/>
      </c>
      <c r="G308" s="9">
        <f>_xll.BQL("JBLU US Equity", "CB_CF_CHG_IN_AIR_TRAFFIC_LIAB/1M", "FPT=A", "FPO=3A", "ACT_EST_MAPPING=PRECISE", "FS=MRC", "CURRENCY=USD", "XLFILL=b")</f>
        <v>103.3051619364403</v>
      </c>
      <c r="H308" s="9">
        <f>_xll.BQL("JBLU US Equity", "CB_CF_CHG_IN_AIR_TRAFFIC_LIAB/1M", "FPT=A", "FPO=2A", "ACT_EST_MAPPING=PRECISE", "FS=MRC", "CURRENCY=USD", "XLFILL=b")</f>
        <v>284.65192027865015</v>
      </c>
      <c r="I308" s="9">
        <f>_xll.BQL("JBLU US Equity", "CB_CF_CHG_IN_AIR_TRAFFIC_LIAB/1M", "FPT=A", "FPO=1A", "ACT_EST_MAPPING=PRECISE", "FS=MRC", "CURRENCY=USD", "XLFILL=b")</f>
        <v>220.8</v>
      </c>
      <c r="J308" s="9">
        <f>_xll.BQL("JBLU US Equity", "CB_CF_CHG_IN_AIR_TRAFFIC_LIAB/1M", "FPT=A", "FPO=0A", "ACT_EST_MAPPING=PRECISE", "FS=MRC", "CURRENCY=USD", "XLFILL=b")</f>
        <v>-145</v>
      </c>
      <c r="K308" s="9">
        <f>_xll.BQL("JBLU US Equity", "CB_CF_CHG_IN_AIR_TRAFFIC_LIAB/1M", "FPT=A", "FPO=-1A", "ACT_EST_MAPPING=PRECISE", "FS=MRC", "CURRENCY=USD", "XLFILL=b")</f>
        <v>30</v>
      </c>
      <c r="L308" s="9">
        <f>_xll.BQL("JBLU US Equity", "CB_CF_CHG_IN_AIR_TRAFFIC_LIAB/1M", "FPT=A", "FPO=-2A", "ACT_EST_MAPPING=PRECISE", "FS=MRC", "CURRENCY=USD", "XLFILL=b")</f>
        <v>447</v>
      </c>
      <c r="M308" s="9">
        <f>_xll.BQL("JBLU US Equity", "CB_CF_CHG_IN_AIR_TRAFFIC_LIAB/1M", "FPT=A", "FPO=-3A", "ACT_EST_MAPPING=PRECISE", "FS=MRC", "CURRENCY=USD", "XLFILL=b")</f>
        <v>66</v>
      </c>
      <c r="N308" s="9">
        <f>_xll.BQL("JBLU US Equity", "CB_CF_CHG_IN_AIR_TRAFFIC_LIAB/1M", "FPT=A", "FPO=-4A", "ACT_EST_MAPPING=PRECISE", "FS=MRC", "CURRENCY=USD", "XLFILL=b")</f>
        <v>118</v>
      </c>
    </row>
    <row r="309" spans="1:14" x14ac:dyDescent="0.2">
      <c r="A309" s="8" t="s">
        <v>96</v>
      </c>
      <c r="B309" s="4" t="s">
        <v>332</v>
      </c>
      <c r="C309" s="4"/>
      <c r="D309" s="4"/>
      <c r="E309" s="9" t="str">
        <f>_xll.BQL("JBLU US Equity", "FA_GROWTH(CB_CF_CHG_IN_AIR_TRAFFIC_LIAB, YOY)", "FPT=A", "FPO=5A", "ACT_EST_MAPPING=PRECISE", "FS=MRC", "CURRENCY=USD", "XLFILL=b")</f>
        <v/>
      </c>
      <c r="F309" s="9" t="str">
        <f>_xll.BQL("JBLU US Equity", "FA_GROWTH(CB_CF_CHG_IN_AIR_TRAFFIC_LIAB, YOY)", "FPT=A", "FPO=4A", "ACT_EST_MAPPING=PRECISE", "FS=MRC", "CURRENCY=USD", "XLFILL=b")</f>
        <v/>
      </c>
      <c r="G309" s="9">
        <f>_xll.BQL("JBLU US Equity", "FA_GROWTH(CB_CF_CHG_IN_AIR_TRAFFIC_LIAB, YOY)", "FPT=A", "FPO=3A", "ACT_EST_MAPPING=PRECISE", "FS=MRC", "CURRENCY=USD", "XLFILL=b")</f>
        <v>-63.708250471202426</v>
      </c>
      <c r="H309" s="9">
        <f>_xll.BQL("JBLU US Equity", "FA_GROWTH(CB_CF_CHG_IN_AIR_TRAFFIC_LIAB, YOY)", "FPT=A", "FPO=2A", "ACT_EST_MAPPING=PRECISE", "FS=MRC", "CURRENCY=USD", "XLFILL=b")</f>
        <v>28.918442155185765</v>
      </c>
      <c r="I309" s="9">
        <f>_xll.BQL("JBLU US Equity", "FA_GROWTH(CB_CF_CHG_IN_AIR_TRAFFIC_LIAB, YOY)", "FPT=A", "FPO=1A", "ACT_EST_MAPPING=PRECISE", "FS=MRC", "CURRENCY=USD", "XLFILL=b")</f>
        <v>252.27586206896552</v>
      </c>
      <c r="J309" s="9">
        <f>_xll.BQL("JBLU US Equity", "FA_GROWTH(CB_CF_CHG_IN_AIR_TRAFFIC_LIAB, YOY)", "FPT=A", "FPO=0A", "ACT_EST_MAPPING=PRECISE", "FS=MRC", "CURRENCY=USD", "XLFILL=b")</f>
        <v>-583.33333333333337</v>
      </c>
      <c r="K309" s="9">
        <f>_xll.BQL("JBLU US Equity", "FA_GROWTH(CB_CF_CHG_IN_AIR_TRAFFIC_LIAB, YOY)", "FPT=A", "FPO=-1A", "ACT_EST_MAPPING=PRECISE", "FS=MRC", "CURRENCY=USD", "XLFILL=b")</f>
        <v>-93.288590604026851</v>
      </c>
      <c r="L309" s="9">
        <f>_xll.BQL("JBLU US Equity", "FA_GROWTH(CB_CF_CHG_IN_AIR_TRAFFIC_LIAB, YOY)", "FPT=A", "FPO=-2A", "ACT_EST_MAPPING=PRECISE", "FS=MRC", "CURRENCY=USD", "XLFILL=b")</f>
        <v>577.27272727272725</v>
      </c>
      <c r="M309" s="9">
        <f>_xll.BQL("JBLU US Equity", "FA_GROWTH(CB_CF_CHG_IN_AIR_TRAFFIC_LIAB, YOY)", "FPT=A", "FPO=-3A", "ACT_EST_MAPPING=PRECISE", "FS=MRC", "CURRENCY=USD", "XLFILL=b")</f>
        <v>-44.067796610169495</v>
      </c>
      <c r="N309" s="9">
        <f>_xll.BQL("JBLU US Equity", "FA_GROWTH(CB_CF_CHG_IN_AIR_TRAFFIC_LIAB, YOY)", "FPT=A", "FPO=-4A", "ACT_EST_MAPPING=PRECISE", "FS=MRC", "CURRENCY=USD", "XLFILL=b")</f>
        <v>-9.9236641221374047</v>
      </c>
    </row>
    <row r="310" spans="1:14" x14ac:dyDescent="0.2">
      <c r="A310" s="8" t="s">
        <v>333</v>
      </c>
      <c r="B310" s="4" t="s">
        <v>334</v>
      </c>
      <c r="C310" s="4" t="s">
        <v>335</v>
      </c>
      <c r="D310" s="4"/>
      <c r="E310" s="9">
        <f>_xll.BQL("JBLU US Equity", "CF_CASH_FROM_OPER/1M", "FPT=A", "FPO=5A", "ACT_EST_MAPPING=PRECISE", "FS=MRC", "CURRENCY=USD", "XLFILL=b")</f>
        <v>958.46005069392083</v>
      </c>
      <c r="F310" s="9">
        <f>_xll.BQL("JBLU US Equity", "CF_CASH_FROM_OPER/1M", "FPT=A", "FPO=4A", "ACT_EST_MAPPING=PRECISE", "FS=MRC", "CURRENCY=USD", "XLFILL=b")</f>
        <v>932.50162113215788</v>
      </c>
      <c r="G310" s="9">
        <f>_xll.BQL("JBLU US Equity", "CF_CASH_FROM_OPER/1M", "FPT=A", "FPO=3A", "ACT_EST_MAPPING=PRECISE", "FS=MRC", "CURRENCY=USD", "XLFILL=b")</f>
        <v>1043.6380198568809</v>
      </c>
      <c r="H310" s="9">
        <f>_xll.BQL("JBLU US Equity", "CF_CASH_FROM_OPER/1M", "FPT=A", "FPO=2A", "ACT_EST_MAPPING=PRECISE", "FS=MRC", "CURRENCY=USD", "XLFILL=b")</f>
        <v>754.07366289995059</v>
      </c>
      <c r="I310" s="9">
        <f>_xll.BQL("JBLU US Equity", "CF_CASH_FROM_OPER/1M", "FPT=A", "FPO=1A", "ACT_EST_MAPPING=PRECISE", "FS=MRC", "CURRENCY=USD", "XLFILL=b")</f>
        <v>381.97511122828826</v>
      </c>
      <c r="J310" s="9">
        <f>_xll.BQL("JBLU US Equity", "CF_CASH_FROM_OPER/1M", "FPT=A", "FPO=0A", "ACT_EST_MAPPING=PRECISE", "FS=MRC", "CURRENCY=USD", "XLFILL=b")</f>
        <v>400</v>
      </c>
      <c r="K310" s="9">
        <f>_xll.BQL("JBLU US Equity", "CF_CASH_FROM_OPER/1M", "FPT=A", "FPO=-1A", "ACT_EST_MAPPING=PRECISE", "FS=MRC", "CURRENCY=USD", "XLFILL=b")</f>
        <v>379</v>
      </c>
      <c r="L310" s="9">
        <f>_xll.BQL("JBLU US Equity", "CF_CASH_FROM_OPER/1M", "FPT=A", "FPO=-2A", "ACT_EST_MAPPING=PRECISE", "FS=MRC", "CURRENCY=USD", "XLFILL=b")</f>
        <v>1642</v>
      </c>
      <c r="M310" s="9">
        <f>_xll.BQL("JBLU US Equity", "CF_CASH_FROM_OPER/1M", "FPT=A", "FPO=-3A", "ACT_EST_MAPPING=PRECISE", "FS=MRC", "CURRENCY=USD", "XLFILL=b")</f>
        <v>-683</v>
      </c>
      <c r="N310" s="9">
        <f>_xll.BQL("JBLU US Equity", "CF_CASH_FROM_OPER/1M", "FPT=A", "FPO=-4A", "ACT_EST_MAPPING=PRECISE", "FS=MRC", "CURRENCY=USD", "XLFILL=b")</f>
        <v>1449</v>
      </c>
    </row>
    <row r="311" spans="1:14" x14ac:dyDescent="0.2">
      <c r="A311" s="8" t="s">
        <v>12</v>
      </c>
      <c r="B311" s="4" t="s">
        <v>334</v>
      </c>
      <c r="C311" s="4" t="s">
        <v>335</v>
      </c>
      <c r="D311" s="4"/>
      <c r="E311" s="9">
        <f>_xll.BQL("JBLU US Equity", "FA_GROWTH(CF_CASH_FROM_OPER, YOY)", "FPT=A", "FPO=5A", "ACT_EST_MAPPING=PRECISE", "FS=MRC", "CURRENCY=USD", "XLFILL=b")</f>
        <v>2.7837409580314278</v>
      </c>
      <c r="F311" s="9">
        <f>_xll.BQL("JBLU US Equity", "FA_GROWTH(CF_CASH_FROM_OPER, YOY)", "FPT=A", "FPO=4A", "ACT_EST_MAPPING=PRECISE", "FS=MRC", "CURRENCY=USD", "XLFILL=b")</f>
        <v>-10.648941166398254</v>
      </c>
      <c r="G311" s="9">
        <f>_xll.BQL("JBLU US Equity", "FA_GROWTH(CF_CASH_FROM_OPER, YOY)", "FPT=A", "FPO=3A", "ACT_EST_MAPPING=PRECISE", "FS=MRC", "CURRENCY=USD", "XLFILL=b")</f>
        <v>38.400009336402093</v>
      </c>
      <c r="H311" s="9">
        <f>_xll.BQL("JBLU US Equity", "FA_GROWTH(CF_CASH_FROM_OPER, YOY)", "FPT=A", "FPO=2A", "ACT_EST_MAPPING=PRECISE", "FS=MRC", "CURRENCY=USD", "XLFILL=b")</f>
        <v>97.414344739669929</v>
      </c>
      <c r="I311" s="9">
        <f>_xll.BQL("JBLU US Equity", "FA_GROWTH(CF_CASH_FROM_OPER, YOY)", "FPT=A", "FPO=1A", "ACT_EST_MAPPING=PRECISE", "FS=MRC", "CURRENCY=USD", "XLFILL=b")</f>
        <v>-4.5062221929279414</v>
      </c>
      <c r="J311" s="9">
        <f>_xll.BQL("JBLU US Equity", "FA_GROWTH(CF_CASH_FROM_OPER, YOY)", "FPT=A", "FPO=0A", "ACT_EST_MAPPING=PRECISE", "FS=MRC", "CURRENCY=USD", "XLFILL=b")</f>
        <v>5.5408970976253302</v>
      </c>
      <c r="K311" s="9">
        <f>_xll.BQL("JBLU US Equity", "FA_GROWTH(CF_CASH_FROM_OPER, YOY)", "FPT=A", "FPO=-1A", "ACT_EST_MAPPING=PRECISE", "FS=MRC", "CURRENCY=USD", "XLFILL=b")</f>
        <v>-76.918392204628503</v>
      </c>
      <c r="L311" s="9">
        <f>_xll.BQL("JBLU US Equity", "FA_GROWTH(CF_CASH_FROM_OPER, YOY)", "FPT=A", "FPO=-2A", "ACT_EST_MAPPING=PRECISE", "FS=MRC", "CURRENCY=USD", "XLFILL=b")</f>
        <v>340.40995607613468</v>
      </c>
      <c r="M311" s="9">
        <f>_xll.BQL("JBLU US Equity", "FA_GROWTH(CF_CASH_FROM_OPER, YOY)", "FPT=A", "FPO=-3A", "ACT_EST_MAPPING=PRECISE", "FS=MRC", "CURRENCY=USD", "XLFILL=b")</f>
        <v>-147.13595583160802</v>
      </c>
      <c r="N311" s="9">
        <f>_xll.BQL("JBLU US Equity", "FA_GROWTH(CF_CASH_FROM_OPER, YOY)", "FPT=A", "FPO=-4A", "ACT_EST_MAPPING=PRECISE", "FS=MRC", "CURRENCY=USD", "XLFILL=b")</f>
        <v>20.75</v>
      </c>
    </row>
    <row r="312" spans="1:14" x14ac:dyDescent="0.2">
      <c r="A312" s="8" t="s">
        <v>16</v>
      </c>
      <c r="B312" s="4"/>
      <c r="C312" s="4"/>
      <c r="D312" s="4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x14ac:dyDescent="0.2">
      <c r="A313" s="8" t="s">
        <v>336</v>
      </c>
      <c r="B313" s="4"/>
      <c r="C313" s="4" t="s">
        <v>337</v>
      </c>
      <c r="D313" s="4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x14ac:dyDescent="0.2">
      <c r="A314" s="8" t="s">
        <v>338</v>
      </c>
      <c r="B314" s="4" t="s">
        <v>53</v>
      </c>
      <c r="C314" s="4" t="s">
        <v>339</v>
      </c>
      <c r="D314" s="4"/>
      <c r="E314" s="9">
        <f>_xll.BQL("JBLU US Equity", "HEADLINE_CAPEX/1M", "FPT=A", "FPO=5A", "ACT_EST_MAPPING=PRECISE", "FS=MRC", "CURRENCY=USD", "XLFILL=b")</f>
        <v>-1520</v>
      </c>
      <c r="F314" s="9">
        <f>_xll.BQL("JBLU US Equity", "HEADLINE_CAPEX/1M", "FPT=A", "FPO=4A", "ACT_EST_MAPPING=PRECISE", "FS=MRC", "CURRENCY=USD", "XLFILL=b")</f>
        <v>-1560</v>
      </c>
      <c r="G314" s="9">
        <f>_xll.BQL("JBLU US Equity", "HEADLINE_CAPEX/1M", "FPT=A", "FPO=3A", "ACT_EST_MAPPING=PRECISE", "FS=MRC", "CURRENCY=USD", "XLFILL=b")</f>
        <v>-1220.1666666666667</v>
      </c>
      <c r="H314" s="9">
        <f>_xll.BQL("JBLU US Equity", "HEADLINE_CAPEX/1M", "FPT=A", "FPO=2A", "ACT_EST_MAPPING=PRECISE", "FS=MRC", "CURRENCY=USD", "XLFILL=b")</f>
        <v>-1334.875</v>
      </c>
      <c r="I314" s="9">
        <f>_xll.BQL("JBLU US Equity", "HEADLINE_CAPEX/1M", "FPT=A", "FPO=1A", "ACT_EST_MAPPING=PRECISE", "FS=MRC", "CURRENCY=USD", "XLFILL=b")</f>
        <v>-1568.5</v>
      </c>
      <c r="J314" s="9">
        <f>_xll.BQL("JBLU US Equity", "HEADLINE_CAPEX/1M", "FPT=A", "FPO=0A", "ACT_EST_MAPPING=PRECISE", "FS=MRC", "CURRENCY=USD", "XLFILL=b")</f>
        <v>-1206</v>
      </c>
      <c r="K314" s="9">
        <f>_xll.BQL("JBLU US Equity", "HEADLINE_CAPEX/1M", "FPT=A", "FPO=-1A", "ACT_EST_MAPPING=PRECISE", "FS=MRC", "CURRENCY=USD", "XLFILL=b")</f>
        <v>-923</v>
      </c>
      <c r="L314" s="9">
        <f>_xll.BQL("JBLU US Equity", "HEADLINE_CAPEX/1M", "FPT=A", "FPO=-2A", "ACT_EST_MAPPING=PRECISE", "FS=MRC", "CURRENCY=USD", "XLFILL=b")</f>
        <v>-995</v>
      </c>
      <c r="M314" s="9">
        <f>_xll.BQL("JBLU US Equity", "HEADLINE_CAPEX/1M", "FPT=A", "FPO=-3A", "ACT_EST_MAPPING=PRECISE", "FS=MRC", "CURRENCY=USD", "XLFILL=b")</f>
        <v>-791</v>
      </c>
      <c r="N314" s="9">
        <f>_xll.BQL("JBLU US Equity", "HEADLINE_CAPEX/1M", "FPT=A", "FPO=-4A", "ACT_EST_MAPPING=PRECISE", "FS=MRC", "CURRENCY=USD", "XLFILL=b")</f>
        <v>-1156</v>
      </c>
    </row>
    <row r="315" spans="1:14" x14ac:dyDescent="0.2">
      <c r="A315" s="8" t="s">
        <v>84</v>
      </c>
      <c r="B315" s="4" t="s">
        <v>53</v>
      </c>
      <c r="C315" s="4" t="s">
        <v>339</v>
      </c>
      <c r="D315" s="4"/>
      <c r="E315" s="9">
        <f>_xll.BQL("JBLU US Equity", "FA_GROWTH(HEADLINE_CAPEX, YOY)", "FPT=A", "FPO=5A", "ACT_EST_MAPPING=PRECISE", "FS=MRC", "CURRENCY=USD", "XLFILL=b")</f>
        <v>2.5641025641025643</v>
      </c>
      <c r="F315" s="9">
        <f>_xll.BQL("JBLU US Equity", "FA_GROWTH(HEADLINE_CAPEX, YOY)", "FPT=A", "FPO=4A", "ACT_EST_MAPPING=PRECISE", "FS=MRC", "CURRENCY=USD", "XLFILL=b")</f>
        <v>-27.85138642261985</v>
      </c>
      <c r="G315" s="9">
        <f>_xll.BQL("JBLU US Equity", "FA_GROWTH(HEADLINE_CAPEX, YOY)", "FPT=A", "FPO=3A", "ACT_EST_MAPPING=PRECISE", "FS=MRC", "CURRENCY=USD", "XLFILL=b")</f>
        <v>8.5931891250741259</v>
      </c>
      <c r="H315" s="9">
        <f>_xll.BQL("JBLU US Equity", "FA_GROWTH(HEADLINE_CAPEX, YOY)", "FPT=A", "FPO=2A", "ACT_EST_MAPPING=PRECISE", "FS=MRC", "CURRENCY=USD", "XLFILL=b")</f>
        <v>14.894803952821167</v>
      </c>
      <c r="I315" s="9">
        <f>_xll.BQL("JBLU US Equity", "FA_GROWTH(HEADLINE_CAPEX, YOY)", "FPT=A", "FPO=1A", "ACT_EST_MAPPING=PRECISE", "FS=MRC", "CURRENCY=USD", "XLFILL=b")</f>
        <v>-30.05804311774461</v>
      </c>
      <c r="J315" s="9">
        <f>_xll.BQL("JBLU US Equity", "FA_GROWTH(HEADLINE_CAPEX, YOY)", "FPT=A", "FPO=0A", "ACT_EST_MAPPING=PRECISE", "FS=MRC", "CURRENCY=USD", "XLFILL=b")</f>
        <v>-30.660888407367281</v>
      </c>
      <c r="K315" s="9">
        <f>_xll.BQL("JBLU US Equity", "FA_GROWTH(HEADLINE_CAPEX, YOY)", "FPT=A", "FPO=-1A", "ACT_EST_MAPPING=PRECISE", "FS=MRC", "CURRENCY=USD", "XLFILL=b")</f>
        <v>7.2361809045226133</v>
      </c>
      <c r="L315" s="9">
        <f>_xll.BQL("JBLU US Equity", "FA_GROWTH(HEADLINE_CAPEX, YOY)", "FPT=A", "FPO=-2A", "ACT_EST_MAPPING=PRECISE", "FS=MRC", "CURRENCY=USD", "XLFILL=b")</f>
        <v>-25.790139064475348</v>
      </c>
      <c r="M315" s="9">
        <f>_xll.BQL("JBLU US Equity", "FA_GROWTH(HEADLINE_CAPEX, YOY)", "FPT=A", "FPO=-3A", "ACT_EST_MAPPING=PRECISE", "FS=MRC", "CURRENCY=USD", "XLFILL=b")</f>
        <v>31.574394463667819</v>
      </c>
      <c r="N315" s="9">
        <f>_xll.BQL("JBLU US Equity", "FA_GROWTH(HEADLINE_CAPEX, YOY)", "FPT=A", "FPO=-4A", "ACT_EST_MAPPING=PRECISE", "FS=MRC", "CURRENCY=USD", "XLFILL=b")</f>
        <v>-3.7701974865350092</v>
      </c>
    </row>
    <row r="316" spans="1:14" x14ac:dyDescent="0.2">
      <c r="A316" s="8" t="s">
        <v>340</v>
      </c>
      <c r="B316" s="4" t="s">
        <v>341</v>
      </c>
      <c r="C316" s="4"/>
      <c r="D316" s="4"/>
      <c r="E316" s="9" t="str">
        <f>_xll.BQL("JBLU US Equity", "CB_CF_PURCHASES_OF_ST_MARKTABLE_SECS/1M", "FPT=A", "FPO=5A", "ACT_EST_MAPPING=PRECISE", "FS=MRC", "CURRENCY=USD", "XLFILL=b")</f>
        <v/>
      </c>
      <c r="F316" s="9" t="str">
        <f>_xll.BQL("JBLU US Equity", "CB_CF_PURCHASES_OF_ST_MARKTABLE_SECS/1M", "FPT=A", "FPO=4A", "ACT_EST_MAPPING=PRECISE", "FS=MRC", "CURRENCY=USD", "XLFILL=b")</f>
        <v/>
      </c>
      <c r="G316" s="9" t="str">
        <f>_xll.BQL("JBLU US Equity", "CB_CF_PURCHASES_OF_ST_MARKTABLE_SECS/1M", "FPT=A", "FPO=3A", "ACT_EST_MAPPING=PRECISE", "FS=MRC", "CURRENCY=USD", "XLFILL=b")</f>
        <v/>
      </c>
      <c r="H316" s="9" t="str">
        <f>_xll.BQL("JBLU US Equity", "CB_CF_PURCHASES_OF_ST_MARKTABLE_SECS/1M", "FPT=A", "FPO=2A", "ACT_EST_MAPPING=PRECISE", "FS=MRC", "CURRENCY=USD", "XLFILL=b")</f>
        <v/>
      </c>
      <c r="I316" s="9">
        <f>_xll.BQL("JBLU US Equity", "CB_CF_PURCHASES_OF_ST_MARKTABLE_SECS/1M", "FPT=A", "FPO=1A", "ACT_EST_MAPPING=PRECISE", "FS=MRC", "CURRENCY=USD", "XLFILL=b")</f>
        <v>-1</v>
      </c>
      <c r="J316" s="9">
        <f>_xll.BQL("JBLU US Equity", "CB_CF_PURCHASES_OF_ST_MARKTABLE_SECS/1M", "FPT=A", "FPO=0A", "ACT_EST_MAPPING=PRECISE", "FS=MRC", "CURRENCY=USD", "XLFILL=b")</f>
        <v>-474</v>
      </c>
      <c r="K316" s="9">
        <f>_xll.BQL("JBLU US Equity", "CB_CF_PURCHASES_OF_ST_MARKTABLE_SECS/1M", "FPT=A", "FPO=-1A", "ACT_EST_MAPPING=PRECISE", "FS=MRC", "CURRENCY=USD", "XLFILL=b")</f>
        <v>-473</v>
      </c>
      <c r="L316" s="9">
        <f>_xll.BQL("JBLU US Equity", "CB_CF_PURCHASES_OF_ST_MARKTABLE_SECS/1M", "FPT=A", "FPO=-2A", "ACT_EST_MAPPING=PRECISE", "FS=MRC", "CURRENCY=USD", "XLFILL=b")</f>
        <v>-1577</v>
      </c>
      <c r="M316" s="9">
        <f>_xll.BQL("JBLU US Equity", "CB_CF_PURCHASES_OF_ST_MARKTABLE_SECS/1M", "FPT=A", "FPO=-3A", "ACT_EST_MAPPING=PRECISE", "FS=MRC", "CURRENCY=USD", "XLFILL=b")</f>
        <v>-1962</v>
      </c>
      <c r="N316" s="9">
        <f>_xll.BQL("JBLU US Equity", "CB_CF_PURCHASES_OF_ST_MARKTABLE_SECS/1M", "FPT=A", "FPO=-4A", "ACT_EST_MAPPING=PRECISE", "FS=MRC", "CURRENCY=USD", "XLFILL=b")</f>
        <v>-1000</v>
      </c>
    </row>
    <row r="317" spans="1:14" x14ac:dyDescent="0.2">
      <c r="A317" s="8" t="s">
        <v>84</v>
      </c>
      <c r="B317" s="4" t="s">
        <v>341</v>
      </c>
      <c r="C317" s="4"/>
      <c r="D317" s="4"/>
      <c r="E317" s="9" t="str">
        <f>_xll.BQL("JBLU US Equity", "FA_GROWTH(CB_CF_PURCHASES_OF_ST_MARKTABLE_SECS, YOY)", "FPT=A", "FPO=5A", "ACT_EST_MAPPING=PRECISE", "FS=MRC", "CURRENCY=USD", "XLFILL=b")</f>
        <v/>
      </c>
      <c r="F317" s="9" t="str">
        <f>_xll.BQL("JBLU US Equity", "FA_GROWTH(CB_CF_PURCHASES_OF_ST_MARKTABLE_SECS, YOY)", "FPT=A", "FPO=4A", "ACT_EST_MAPPING=PRECISE", "FS=MRC", "CURRENCY=USD", "XLFILL=b")</f>
        <v/>
      </c>
      <c r="G317" s="9" t="str">
        <f>_xll.BQL("JBLU US Equity", "FA_GROWTH(CB_CF_PURCHASES_OF_ST_MARKTABLE_SECS, YOY)", "FPT=A", "FPO=3A", "ACT_EST_MAPPING=PRECISE", "FS=MRC", "CURRENCY=USD", "XLFILL=b")</f>
        <v/>
      </c>
      <c r="H317" s="9" t="str">
        <f>_xll.BQL("JBLU US Equity", "FA_GROWTH(CB_CF_PURCHASES_OF_ST_MARKTABLE_SECS, YOY)", "FPT=A", "FPO=2A", "ACT_EST_MAPPING=PRECISE", "FS=MRC", "CURRENCY=USD", "XLFILL=b")</f>
        <v/>
      </c>
      <c r="I317" s="9">
        <f>_xll.BQL("JBLU US Equity", "FA_GROWTH(CB_CF_PURCHASES_OF_ST_MARKTABLE_SECS, YOY)", "FPT=A", "FPO=1A", "ACT_EST_MAPPING=PRECISE", "FS=MRC", "CURRENCY=USD", "XLFILL=b")</f>
        <v>99.789029535864984</v>
      </c>
      <c r="J317" s="9">
        <f>_xll.BQL("JBLU US Equity", "FA_GROWTH(CB_CF_PURCHASES_OF_ST_MARKTABLE_SECS, YOY)", "FPT=A", "FPO=0A", "ACT_EST_MAPPING=PRECISE", "FS=MRC", "CURRENCY=USD", "XLFILL=b")</f>
        <v>-0.21141649048625794</v>
      </c>
      <c r="K317" s="9">
        <f>_xll.BQL("JBLU US Equity", "FA_GROWTH(CB_CF_PURCHASES_OF_ST_MARKTABLE_SECS, YOY)", "FPT=A", "FPO=-1A", "ACT_EST_MAPPING=PRECISE", "FS=MRC", "CURRENCY=USD", "XLFILL=b")</f>
        <v>70.006341154090038</v>
      </c>
      <c r="L317" s="9">
        <f>_xll.BQL("JBLU US Equity", "FA_GROWTH(CB_CF_PURCHASES_OF_ST_MARKTABLE_SECS, YOY)", "FPT=A", "FPO=-2A", "ACT_EST_MAPPING=PRECISE", "FS=MRC", "CURRENCY=USD", "XLFILL=b")</f>
        <v>19.622833843017329</v>
      </c>
      <c r="M317" s="9">
        <f>_xll.BQL("JBLU US Equity", "FA_GROWTH(CB_CF_PURCHASES_OF_ST_MARKTABLE_SECS, YOY)", "FPT=A", "FPO=-3A", "ACT_EST_MAPPING=PRECISE", "FS=MRC", "CURRENCY=USD", "XLFILL=b")</f>
        <v>-96.2</v>
      </c>
      <c r="N317" s="9">
        <f>_xll.BQL("JBLU US Equity", "FA_GROWTH(CB_CF_PURCHASES_OF_ST_MARKTABLE_SECS, YOY)", "FPT=A", "FPO=-4A", "ACT_EST_MAPPING=PRECISE", "FS=MRC", "CURRENCY=USD", "XLFILL=b")</f>
        <v>-2.1450459652706844</v>
      </c>
    </row>
    <row r="318" spans="1:14" x14ac:dyDescent="0.2">
      <c r="A318" s="8" t="s">
        <v>342</v>
      </c>
      <c r="B318" s="4" t="s">
        <v>343</v>
      </c>
      <c r="C318" s="4"/>
      <c r="D318" s="4"/>
      <c r="E318" s="9" t="str">
        <f>_xll.BQL("JBLU US Equity", "CB_CF_OTHER_INVESTING_ACTIVITIES/1M", "FPT=A", "FPO=5A", "ACT_EST_MAPPING=PRECISE", "FS=MRC", "CURRENCY=USD", "XLFILL=b")</f>
        <v/>
      </c>
      <c r="F318" s="9" t="str">
        <f>_xll.BQL("JBLU US Equity", "CB_CF_OTHER_INVESTING_ACTIVITIES/1M", "FPT=A", "FPO=4A", "ACT_EST_MAPPING=PRECISE", "FS=MRC", "CURRENCY=USD", "XLFILL=b")</f>
        <v/>
      </c>
      <c r="G318" s="9" t="str">
        <f>_xll.BQL("JBLU US Equity", "CB_CF_OTHER_INVESTING_ACTIVITIES/1M", "FPT=A", "FPO=3A", "ACT_EST_MAPPING=PRECISE", "FS=MRC", "CURRENCY=USD", "XLFILL=b")</f>
        <v/>
      </c>
      <c r="H318" s="9" t="str">
        <f>_xll.BQL("JBLU US Equity", "CB_CF_OTHER_INVESTING_ACTIVITIES/1M", "FPT=A", "FPO=2A", "ACT_EST_MAPPING=PRECISE", "FS=MRC", "CURRENCY=USD", "XLFILL=b")</f>
        <v/>
      </c>
      <c r="I318" s="9">
        <f>_xll.BQL("JBLU US Equity", "CB_CF_OTHER_INVESTING_ACTIVITIES/1M", "FPT=A", "FPO=1A", "ACT_EST_MAPPING=PRECISE", "FS=MRC", "CURRENCY=USD", "XLFILL=b")</f>
        <v>-28</v>
      </c>
      <c r="J318" s="9">
        <f>_xll.BQL("JBLU US Equity", "CB_CF_OTHER_INVESTING_ACTIVITIES/1M", "FPT=A", "FPO=0A", "ACT_EST_MAPPING=PRECISE", "FS=MRC", "CURRENCY=USD", "XLFILL=b")</f>
        <v>-130</v>
      </c>
      <c r="K318" s="9">
        <f>_xll.BQL("JBLU US Equity", "CB_CF_OTHER_INVESTING_ACTIVITIES/1M", "FPT=A", "FPO=-1A", "ACT_EST_MAPPING=PRECISE", "FS=MRC", "CURRENCY=USD", "XLFILL=b")</f>
        <v>-306</v>
      </c>
      <c r="L318" s="9">
        <f>_xll.BQL("JBLU US Equity", "CB_CF_OTHER_INVESTING_ACTIVITIES/1M", "FPT=A", "FPO=-2A", "ACT_EST_MAPPING=PRECISE", "FS=MRC", "CURRENCY=USD", "XLFILL=b")</f>
        <v>-5</v>
      </c>
      <c r="M318" s="9">
        <f>_xll.BQL("JBLU US Equity", "CB_CF_OTHER_INVESTING_ACTIVITIES/1M", "FPT=A", "FPO=-3A", "ACT_EST_MAPPING=PRECISE", "FS=MRC", "CURRENCY=USD", "XLFILL=b")</f>
        <v>1383</v>
      </c>
      <c r="N318" s="9">
        <f>_xll.BQL("JBLU US Equity", "CB_CF_OTHER_INVESTING_ACTIVITIES/1M", "FPT=A", "FPO=-4A", "ACT_EST_MAPPING=PRECISE", "FS=MRC", "CURRENCY=USD", "XLFILL=b")</f>
        <v>867</v>
      </c>
    </row>
    <row r="319" spans="1:14" x14ac:dyDescent="0.2">
      <c r="A319" s="8" t="s">
        <v>84</v>
      </c>
      <c r="B319" s="4" t="s">
        <v>343</v>
      </c>
      <c r="C319" s="4"/>
      <c r="D319" s="4"/>
      <c r="E319" s="9" t="str">
        <f>_xll.BQL("JBLU US Equity", "FA_GROWTH(CB_CF_OTHER_INVESTING_ACTIVITIES, YOY)", "FPT=A", "FPO=5A", "ACT_EST_MAPPING=PRECISE", "FS=MRC", "CURRENCY=USD", "XLFILL=b")</f>
        <v/>
      </c>
      <c r="F319" s="9" t="str">
        <f>_xll.BQL("JBLU US Equity", "FA_GROWTH(CB_CF_OTHER_INVESTING_ACTIVITIES, YOY)", "FPT=A", "FPO=4A", "ACT_EST_MAPPING=PRECISE", "FS=MRC", "CURRENCY=USD", "XLFILL=b")</f>
        <v/>
      </c>
      <c r="G319" s="9" t="str">
        <f>_xll.BQL("JBLU US Equity", "FA_GROWTH(CB_CF_OTHER_INVESTING_ACTIVITIES, YOY)", "FPT=A", "FPO=3A", "ACT_EST_MAPPING=PRECISE", "FS=MRC", "CURRENCY=USD", "XLFILL=b")</f>
        <v/>
      </c>
      <c r="H319" s="9" t="str">
        <f>_xll.BQL("JBLU US Equity", "FA_GROWTH(CB_CF_OTHER_INVESTING_ACTIVITIES, YOY)", "FPT=A", "FPO=2A", "ACT_EST_MAPPING=PRECISE", "FS=MRC", "CURRENCY=USD", "XLFILL=b")</f>
        <v/>
      </c>
      <c r="I319" s="9">
        <f>_xll.BQL("JBLU US Equity", "FA_GROWTH(CB_CF_OTHER_INVESTING_ACTIVITIES, YOY)", "FPT=A", "FPO=1A", "ACT_EST_MAPPING=PRECISE", "FS=MRC", "CURRENCY=USD", "XLFILL=b")</f>
        <v>78.461538461538467</v>
      </c>
      <c r="J319" s="9">
        <f>_xll.BQL("JBLU US Equity", "FA_GROWTH(CB_CF_OTHER_INVESTING_ACTIVITIES, YOY)", "FPT=A", "FPO=0A", "ACT_EST_MAPPING=PRECISE", "FS=MRC", "CURRENCY=USD", "XLFILL=b")</f>
        <v>57.516339869281047</v>
      </c>
      <c r="K319" s="9">
        <f>_xll.BQL("JBLU US Equity", "FA_GROWTH(CB_CF_OTHER_INVESTING_ACTIVITIES, YOY)", "FPT=A", "FPO=-1A", "ACT_EST_MAPPING=PRECISE", "FS=MRC", "CURRENCY=USD", "XLFILL=b")</f>
        <v>-6020</v>
      </c>
      <c r="L319" s="9">
        <f>_xll.BQL("JBLU US Equity", "FA_GROWTH(CB_CF_OTHER_INVESTING_ACTIVITIES, YOY)", "FPT=A", "FPO=-2A", "ACT_EST_MAPPING=PRECISE", "FS=MRC", "CURRENCY=USD", "XLFILL=b")</f>
        <v>-100.36153289949385</v>
      </c>
      <c r="M319" s="9">
        <f>_xll.BQL("JBLU US Equity", "FA_GROWTH(CB_CF_OTHER_INVESTING_ACTIVITIES, YOY)", "FPT=A", "FPO=-3A", "ACT_EST_MAPPING=PRECISE", "FS=MRC", "CURRENCY=USD", "XLFILL=b")</f>
        <v>59.515570934256054</v>
      </c>
      <c r="N319" s="9">
        <f>_xll.BQL("JBLU US Equity", "FA_GROWTH(CB_CF_OTHER_INVESTING_ACTIVITIES, YOY)", "FPT=A", "FPO=-4A", "ACT_EST_MAPPING=PRECISE", "FS=MRC", "CURRENCY=USD", "XLFILL=b")</f>
        <v>0.81395348837209303</v>
      </c>
    </row>
    <row r="320" spans="1:14" x14ac:dyDescent="0.2">
      <c r="A320" s="8" t="s">
        <v>344</v>
      </c>
      <c r="B320" s="4" t="s">
        <v>345</v>
      </c>
      <c r="C320" s="4" t="s">
        <v>346</v>
      </c>
      <c r="D320" s="4"/>
      <c r="E320" s="9">
        <f>_xll.BQL("JBLU US Equity", "CB_CF_NET_CASH_INVESTING_ACT/1M", "FPT=A", "FPO=5A", "ACT_EST_MAPPING=PRECISE", "FS=MRC", "CURRENCY=USD", "XLFILL=b")</f>
        <v>-1520</v>
      </c>
      <c r="F320" s="9">
        <f>_xll.BQL("JBLU US Equity", "CB_CF_NET_CASH_INVESTING_ACT/1M", "FPT=A", "FPO=4A", "ACT_EST_MAPPING=PRECISE", "FS=MRC", "CURRENCY=USD", "XLFILL=b")</f>
        <v>-1560</v>
      </c>
      <c r="G320" s="9">
        <f>_xll.BQL("JBLU US Equity", "CB_CF_NET_CASH_INVESTING_ACT/1M", "FPT=A", "FPO=3A", "ACT_EST_MAPPING=PRECISE", "FS=MRC", "CURRENCY=USD", "XLFILL=b")</f>
        <v>-1235</v>
      </c>
      <c r="H320" s="9">
        <f>_xll.BQL("JBLU US Equity", "CB_CF_NET_CASH_INVESTING_ACT/1M", "FPT=A", "FPO=2A", "ACT_EST_MAPPING=PRECISE", "FS=MRC", "CURRENCY=USD", "XLFILL=b")</f>
        <v>-1335.2857142857144</v>
      </c>
      <c r="I320" s="9">
        <f>_xll.BQL("JBLU US Equity", "CB_CF_NET_CASH_INVESTING_ACT/1M", "FPT=A", "FPO=1A", "ACT_EST_MAPPING=PRECISE", "FS=MRC", "CURRENCY=USD", "XLFILL=b")</f>
        <v>-1409.0744385683256</v>
      </c>
      <c r="J320" s="9">
        <f>_xll.BQL("JBLU US Equity", "CB_CF_NET_CASH_INVESTING_ACT/1M", "FPT=A", "FPO=0A", "ACT_EST_MAPPING=PRECISE", "FS=MRC", "CURRENCY=USD", "XLFILL=b")</f>
        <v>-1378</v>
      </c>
      <c r="K320" s="9">
        <f>_xll.BQL("JBLU US Equity", "CB_CF_NET_CASH_INVESTING_ACT/1M", "FPT=A", "FPO=-1A", "ACT_EST_MAPPING=PRECISE", "FS=MRC", "CURRENCY=USD", "XLFILL=b")</f>
        <v>-908</v>
      </c>
      <c r="L320" s="9">
        <f>_xll.BQL("JBLU US Equity", "CB_CF_NET_CASH_INVESTING_ACT/1M", "FPT=A", "FPO=-2A", "ACT_EST_MAPPING=PRECISE", "FS=MRC", "CURRENCY=USD", "XLFILL=b")</f>
        <v>-704</v>
      </c>
      <c r="M320" s="9">
        <f>_xll.BQL("JBLU US Equity", "CB_CF_NET_CASH_INVESTING_ACT/1M", "FPT=A", "FPO=-3A", "ACT_EST_MAPPING=PRECISE", "FS=MRC", "CURRENCY=USD", "XLFILL=b")</f>
        <v>-1349</v>
      </c>
      <c r="N320" s="9">
        <f>_xll.BQL("JBLU US Equity", "CB_CF_NET_CASH_INVESTING_ACT/1M", "FPT=A", "FPO=-4A", "ACT_EST_MAPPING=PRECISE", "FS=MRC", "CURRENCY=USD", "XLFILL=b")</f>
        <v>-1129</v>
      </c>
    </row>
    <row r="321" spans="1:14" x14ac:dyDescent="0.2">
      <c r="A321" s="8" t="s">
        <v>12</v>
      </c>
      <c r="B321" s="4" t="s">
        <v>345</v>
      </c>
      <c r="C321" s="4" t="s">
        <v>346</v>
      </c>
      <c r="D321" s="4"/>
      <c r="E321" s="9">
        <f>_xll.BQL("JBLU US Equity", "FA_GROWTH(CB_CF_NET_CASH_INVESTING_ACT, YOY)", "FPT=A", "FPO=5A", "ACT_EST_MAPPING=PRECISE", "FS=MRC", "CURRENCY=USD", "XLFILL=b")</f>
        <v>2.5641025641025643</v>
      </c>
      <c r="F321" s="9">
        <f>_xll.BQL("JBLU US Equity", "FA_GROWTH(CB_CF_NET_CASH_INVESTING_ACT, YOY)", "FPT=A", "FPO=4A", "ACT_EST_MAPPING=PRECISE", "FS=MRC", "CURRENCY=USD", "XLFILL=b")</f>
        <v>-26.315789473684209</v>
      </c>
      <c r="G321" s="9">
        <f>_xll.BQL("JBLU US Equity", "FA_GROWTH(CB_CF_NET_CASH_INVESTING_ACT, YOY)", "FPT=A", "FPO=3A", "ACT_EST_MAPPING=PRECISE", "FS=MRC", "CURRENCY=USD", "XLFILL=b")</f>
        <v>7.5104311543810915</v>
      </c>
      <c r="H321" s="9">
        <f>_xll.BQL("JBLU US Equity", "FA_GROWTH(CB_CF_NET_CASH_INVESTING_ACT, YOY)", "FPT=A", "FPO=2A", "ACT_EST_MAPPING=PRECISE", "FS=MRC", "CURRENCY=USD", "XLFILL=b")</f>
        <v>5.2366803529260917</v>
      </c>
      <c r="I321" s="9">
        <f>_xll.BQL("JBLU US Equity", "FA_GROWTH(CB_CF_NET_CASH_INVESTING_ACT, YOY)", "FPT=A", "FPO=1A", "ACT_EST_MAPPING=PRECISE", "FS=MRC", "CURRENCY=USD", "XLFILL=b")</f>
        <v>-2.2550390833327665</v>
      </c>
      <c r="J321" s="9">
        <f>_xll.BQL("JBLU US Equity", "FA_GROWTH(CB_CF_NET_CASH_INVESTING_ACT, YOY)", "FPT=A", "FPO=0A", "ACT_EST_MAPPING=PRECISE", "FS=MRC", "CURRENCY=USD", "XLFILL=b")</f>
        <v>-51.762114537444937</v>
      </c>
      <c r="K321" s="9">
        <f>_xll.BQL("JBLU US Equity", "FA_GROWTH(CB_CF_NET_CASH_INVESTING_ACT, YOY)", "FPT=A", "FPO=-1A", "ACT_EST_MAPPING=PRECISE", "FS=MRC", "CURRENCY=USD", "XLFILL=b")</f>
        <v>-28.977272727272727</v>
      </c>
      <c r="L321" s="9">
        <f>_xll.BQL("JBLU US Equity", "FA_GROWTH(CB_CF_NET_CASH_INVESTING_ACT, YOY)", "FPT=A", "FPO=-2A", "ACT_EST_MAPPING=PRECISE", "FS=MRC", "CURRENCY=USD", "XLFILL=b")</f>
        <v>47.813194959229058</v>
      </c>
      <c r="M321" s="9">
        <f>_xll.BQL("JBLU US Equity", "FA_GROWTH(CB_CF_NET_CASH_INVESTING_ACT, YOY)", "FPT=A", "FPO=-3A", "ACT_EST_MAPPING=PRECISE", "FS=MRC", "CURRENCY=USD", "XLFILL=b")</f>
        <v>-19.486271036315323</v>
      </c>
      <c r="N321" s="9">
        <f>_xll.BQL("JBLU US Equity", "FA_GROWTH(CB_CF_NET_CASH_INVESTING_ACT, YOY)", "FPT=A", "FPO=-4A", "ACT_EST_MAPPING=PRECISE", "FS=MRC", "CURRENCY=USD", "XLFILL=b")</f>
        <v>2.4200518582541055</v>
      </c>
    </row>
    <row r="322" spans="1:14" x14ac:dyDescent="0.2">
      <c r="A322" s="8" t="s">
        <v>16</v>
      </c>
      <c r="B322" s="4"/>
      <c r="C322" s="4"/>
      <c r="D322" s="4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x14ac:dyDescent="0.2">
      <c r="A323" s="8" t="s">
        <v>347</v>
      </c>
      <c r="B323" s="4"/>
      <c r="C323" s="4" t="s">
        <v>348</v>
      </c>
      <c r="D323" s="4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x14ac:dyDescent="0.2">
      <c r="A324" s="8" t="s">
        <v>349</v>
      </c>
      <c r="B324" s="4" t="s">
        <v>350</v>
      </c>
      <c r="C324" s="4" t="s">
        <v>351</v>
      </c>
      <c r="D324" s="4"/>
      <c r="E324" s="9" t="str">
        <f>_xll.BQL("JBLU US Equity", "CF_INCR_LT_BORROW/1M", "FPT=A", "FPO=5A", "ACT_EST_MAPPING=PRECISE", "FS=MRC", "CURRENCY=USD", "XLFILL=b")</f>
        <v/>
      </c>
      <c r="F324" s="9" t="str">
        <f>_xll.BQL("JBLU US Equity", "CF_INCR_LT_BORROW/1M", "FPT=A", "FPO=4A", "ACT_EST_MAPPING=PRECISE", "FS=MRC", "CURRENCY=USD", "XLFILL=b")</f>
        <v/>
      </c>
      <c r="G324" s="9">
        <f>_xll.BQL("JBLU US Equity", "CF_INCR_LT_BORROW/1M", "FPT=A", "FPO=3A", "ACT_EST_MAPPING=PRECISE", "FS=MRC", "CURRENCY=USD", "XLFILL=b")</f>
        <v>1350</v>
      </c>
      <c r="H324" s="9">
        <f>_xll.BQL("JBLU US Equity", "CF_INCR_LT_BORROW/1M", "FPT=A", "FPO=2A", "ACT_EST_MAPPING=PRECISE", "FS=MRC", "CURRENCY=USD", "XLFILL=b")</f>
        <v>892.5</v>
      </c>
      <c r="I324" s="9">
        <f>_xll.BQL("JBLU US Equity", "CF_INCR_LT_BORROW/1M", "FPT=A", "FPO=1A", "ACT_EST_MAPPING=PRECISE", "FS=MRC", "CURRENCY=USD", "XLFILL=b")</f>
        <v>2940.6666666666665</v>
      </c>
      <c r="J324" s="9">
        <f>_xll.BQL("JBLU US Equity", "CF_INCR_LT_BORROW/1M", "FPT=A", "FPO=0A", "ACT_EST_MAPPING=PRECISE", "FS=MRC", "CURRENCY=USD", "XLFILL=b")</f>
        <v>78</v>
      </c>
      <c r="K324" s="9">
        <f>_xll.BQL("JBLU US Equity", "CF_INCR_LT_BORROW/1M", "FPT=A", "FPO=-1A", "ACT_EST_MAPPING=PRECISE", "FS=MRC", "CURRENCY=USD", "XLFILL=b")</f>
        <v>0</v>
      </c>
      <c r="L324" s="9">
        <f>_xll.BQL("JBLU US Equity", "CF_INCR_LT_BORROW/1M", "FPT=A", "FPO=-2A", "ACT_EST_MAPPING=PRECISE", "FS=MRC", "CURRENCY=USD", "XLFILL=b")</f>
        <v>1010</v>
      </c>
      <c r="M324" s="9">
        <f>_xll.BQL("JBLU US Equity", "CF_INCR_LT_BORROW/1M", "FPT=A", "FPO=-3A", "ACT_EST_MAPPING=PRECISE", "FS=MRC", "CURRENCY=USD", "XLFILL=b")</f>
        <v>2895</v>
      </c>
      <c r="N324" s="9">
        <f>_xll.BQL("JBLU US Equity", "CF_INCR_LT_BORROW/1M", "FPT=A", "FPO=-4A", "ACT_EST_MAPPING=PRECISE", "FS=MRC", "CURRENCY=USD", "XLFILL=b")</f>
        <v>981</v>
      </c>
    </row>
    <row r="325" spans="1:14" x14ac:dyDescent="0.2">
      <c r="A325" s="8" t="s">
        <v>84</v>
      </c>
      <c r="B325" s="4" t="s">
        <v>350</v>
      </c>
      <c r="C325" s="4" t="s">
        <v>351</v>
      </c>
      <c r="D325" s="4"/>
      <c r="E325" s="9" t="str">
        <f>_xll.BQL("JBLU US Equity", "FA_GROWTH(CF_INCR_LT_BORROW, YOY)", "FPT=A", "FPO=5A", "ACT_EST_MAPPING=PRECISE", "FS=MRC", "CURRENCY=USD", "XLFILL=b")</f>
        <v/>
      </c>
      <c r="F325" s="9" t="str">
        <f>_xll.BQL("JBLU US Equity", "FA_GROWTH(CF_INCR_LT_BORROW, YOY)", "FPT=A", "FPO=4A", "ACT_EST_MAPPING=PRECISE", "FS=MRC", "CURRENCY=USD", "XLFILL=b")</f>
        <v/>
      </c>
      <c r="G325" s="9">
        <f>_xll.BQL("JBLU US Equity", "FA_GROWTH(CF_INCR_LT_BORROW, YOY)", "FPT=A", "FPO=3A", "ACT_EST_MAPPING=PRECISE", "FS=MRC", "CURRENCY=USD", "XLFILL=b")</f>
        <v>51.260504201680675</v>
      </c>
      <c r="H325" s="9">
        <f>_xll.BQL("JBLU US Equity", "FA_GROWTH(CF_INCR_LT_BORROW, YOY)", "FPT=A", "FPO=2A", "ACT_EST_MAPPING=PRECISE", "FS=MRC", "CURRENCY=USD", "XLFILL=b")</f>
        <v>-69.64973928814328</v>
      </c>
      <c r="I325" s="9">
        <f>_xll.BQL("JBLU US Equity", "FA_GROWTH(CF_INCR_LT_BORROW, YOY)", "FPT=A", "FPO=1A", "ACT_EST_MAPPING=PRECISE", "FS=MRC", "CURRENCY=USD", "XLFILL=b")</f>
        <v>3670.0854700854698</v>
      </c>
      <c r="J325" s="9" t="str">
        <f>_xll.BQL("JBLU US Equity", "FA_GROWTH(CF_INCR_LT_BORROW, YOY)", "FPT=A", "FPO=0A", "ACT_EST_MAPPING=PRECISE", "FS=MRC", "CURRENCY=USD", "XLFILL=b")</f>
        <v/>
      </c>
      <c r="K325" s="9">
        <f>_xll.BQL("JBLU US Equity", "FA_GROWTH(CF_INCR_LT_BORROW, YOY)", "FPT=A", "FPO=-1A", "ACT_EST_MAPPING=PRECISE", "FS=MRC", "CURRENCY=USD", "XLFILL=b")</f>
        <v>-100</v>
      </c>
      <c r="L325" s="9">
        <f>_xll.BQL("JBLU US Equity", "FA_GROWTH(CF_INCR_LT_BORROW, YOY)", "FPT=A", "FPO=-2A", "ACT_EST_MAPPING=PRECISE", "FS=MRC", "CURRENCY=USD", "XLFILL=b")</f>
        <v>-65.112262521588946</v>
      </c>
      <c r="M325" s="9">
        <f>_xll.BQL("JBLU US Equity", "FA_GROWTH(CF_INCR_LT_BORROW, YOY)", "FPT=A", "FPO=-3A", "ACT_EST_MAPPING=PRECISE", "FS=MRC", "CURRENCY=USD", "XLFILL=b")</f>
        <v>195.10703363914374</v>
      </c>
      <c r="N325" s="9">
        <f>_xll.BQL("JBLU US Equity", "FA_GROWTH(CF_INCR_LT_BORROW, YOY)", "FPT=A", "FPO=-4A", "ACT_EST_MAPPING=PRECISE", "FS=MRC", "CURRENCY=USD", "XLFILL=b")</f>
        <v>42.79475982532751</v>
      </c>
    </row>
    <row r="326" spans="1:14" x14ac:dyDescent="0.2">
      <c r="A326" s="8" t="s">
        <v>352</v>
      </c>
      <c r="B326" s="4" t="s">
        <v>353</v>
      </c>
      <c r="C326" s="4" t="s">
        <v>354</v>
      </c>
      <c r="D326" s="4"/>
      <c r="E326" s="9">
        <f>_xll.BQL("JBLU US Equity", "CF_REIMB_LT_BORROW/1M", "FPT=A", "FPO=5A", "ACT_EST_MAPPING=PRECISE", "FS=MRC", "CURRENCY=USD", "XLFILL=b")</f>
        <v>-460</v>
      </c>
      <c r="F326" s="9">
        <f>_xll.BQL("JBLU US Equity", "CF_REIMB_LT_BORROW/1M", "FPT=A", "FPO=4A", "ACT_EST_MAPPING=PRECISE", "FS=MRC", "CURRENCY=USD", "XLFILL=b")</f>
        <v>-360</v>
      </c>
      <c r="G326" s="9">
        <f>_xll.BQL("JBLU US Equity", "CF_REIMB_LT_BORROW/1M", "FPT=A", "FPO=3A", "ACT_EST_MAPPING=PRECISE", "FS=MRC", "CURRENCY=USD", "XLFILL=b")</f>
        <v>-771.1875</v>
      </c>
      <c r="H326" s="9">
        <f>_xll.BQL("JBLU US Equity", "CF_REIMB_LT_BORROW/1M", "FPT=A", "FPO=2A", "ACT_EST_MAPPING=PRECISE", "FS=MRC", "CURRENCY=USD", "XLFILL=b")</f>
        <v>-365</v>
      </c>
      <c r="I326" s="9">
        <f>_xll.BQL("JBLU US Equity", "CF_REIMB_LT_BORROW/1M", "FPT=A", "FPO=1A", "ACT_EST_MAPPING=PRECISE", "FS=MRC", "CURRENCY=USD", "XLFILL=b")</f>
        <v>-628.42857142857144</v>
      </c>
      <c r="J326" s="9">
        <f>_xll.BQL("JBLU US Equity", "CF_REIMB_LT_BORROW/1M", "FPT=A", "FPO=0A", "ACT_EST_MAPPING=PRECISE", "FS=MRC", "CURRENCY=USD", "XLFILL=b")</f>
        <v>-347</v>
      </c>
      <c r="K326" s="9">
        <f>_xll.BQL("JBLU US Equity", "CF_REIMB_LT_BORROW/1M", "FPT=A", "FPO=-1A", "ACT_EST_MAPPING=PRECISE", "FS=MRC", "CURRENCY=USD", "XLFILL=b")</f>
        <v>-369</v>
      </c>
      <c r="L326" s="9">
        <f>_xll.BQL("JBLU US Equity", "CF_REIMB_LT_BORROW/1M", "FPT=A", "FPO=-2A", "ACT_EST_MAPPING=PRECISE", "FS=MRC", "CURRENCY=USD", "XLFILL=b")</f>
        <v>-1892</v>
      </c>
      <c r="M326" s="9">
        <f>_xll.BQL("JBLU US Equity", "CF_REIMB_LT_BORROW/1M", "FPT=A", "FPO=-3A", "ACT_EST_MAPPING=PRECISE", "FS=MRC", "CURRENCY=USD", "XLFILL=b")</f>
        <v>-372</v>
      </c>
      <c r="N326" s="9">
        <f>_xll.BQL("JBLU US Equity", "CF_REIMB_LT_BORROW/1M", "FPT=A", "FPO=-4A", "ACT_EST_MAPPING=PRECISE", "FS=MRC", "CURRENCY=USD", "XLFILL=b")</f>
        <v>-323</v>
      </c>
    </row>
    <row r="327" spans="1:14" x14ac:dyDescent="0.2">
      <c r="A327" s="8" t="s">
        <v>84</v>
      </c>
      <c r="B327" s="4" t="s">
        <v>353</v>
      </c>
      <c r="C327" s="4" t="s">
        <v>354</v>
      </c>
      <c r="D327" s="4"/>
      <c r="E327" s="9">
        <f>_xll.BQL("JBLU US Equity", "FA_GROWTH(CF_REIMB_LT_BORROW, YOY)", "FPT=A", "FPO=5A", "ACT_EST_MAPPING=PRECISE", "FS=MRC", "CURRENCY=USD", "XLFILL=b")</f>
        <v>-27.777777777777779</v>
      </c>
      <c r="F327" s="9">
        <f>_xll.BQL("JBLU US Equity", "FA_GROWTH(CF_REIMB_LT_BORROW, YOY)", "FPT=A", "FPO=4A", "ACT_EST_MAPPING=PRECISE", "FS=MRC", "CURRENCY=USD", "XLFILL=b")</f>
        <v>53.318745441283731</v>
      </c>
      <c r="G327" s="9">
        <f>_xll.BQL("JBLU US Equity", "FA_GROWTH(CF_REIMB_LT_BORROW, YOY)", "FPT=A", "FPO=3A", "ACT_EST_MAPPING=PRECISE", "FS=MRC", "CURRENCY=USD", "XLFILL=b")</f>
        <v>-111.28424657534246</v>
      </c>
      <c r="H327" s="9">
        <f>_xll.BQL("JBLU US Equity", "FA_GROWTH(CF_REIMB_LT_BORROW, YOY)", "FPT=A", "FPO=2A", "ACT_EST_MAPPING=PRECISE", "FS=MRC", "CURRENCY=USD", "XLFILL=b")</f>
        <v>41.918617867697208</v>
      </c>
      <c r="I327" s="9">
        <f>_xll.BQL("JBLU US Equity", "FA_GROWTH(CF_REIMB_LT_BORROW, YOY)", "FPT=A", "FPO=1A", "ACT_EST_MAPPING=PRECISE", "FS=MRC", "CURRENCY=USD", "XLFILL=b")</f>
        <v>-81.103334705640194</v>
      </c>
      <c r="J327" s="9">
        <f>_xll.BQL("JBLU US Equity", "FA_GROWTH(CF_REIMB_LT_BORROW, YOY)", "FPT=A", "FPO=0A", "ACT_EST_MAPPING=PRECISE", "FS=MRC", "CURRENCY=USD", "XLFILL=b")</f>
        <v>5.9620596205962055</v>
      </c>
      <c r="K327" s="9">
        <f>_xll.BQL("JBLU US Equity", "FA_GROWTH(CF_REIMB_LT_BORROW, YOY)", "FPT=A", "FPO=-1A", "ACT_EST_MAPPING=PRECISE", "FS=MRC", "CURRENCY=USD", "XLFILL=b")</f>
        <v>80.496828752642699</v>
      </c>
      <c r="L327" s="9">
        <f>_xll.BQL("JBLU US Equity", "FA_GROWTH(CF_REIMB_LT_BORROW, YOY)", "FPT=A", "FPO=-2A", "ACT_EST_MAPPING=PRECISE", "FS=MRC", "CURRENCY=USD", "XLFILL=b")</f>
        <v>-408.60215053763443</v>
      </c>
      <c r="M327" s="9">
        <f>_xll.BQL("JBLU US Equity", "FA_GROWTH(CF_REIMB_LT_BORROW, YOY)", "FPT=A", "FPO=-3A", "ACT_EST_MAPPING=PRECISE", "FS=MRC", "CURRENCY=USD", "XLFILL=b")</f>
        <v>-15.170278637770897</v>
      </c>
      <c r="N327" s="9">
        <f>_xll.BQL("JBLU US Equity", "FA_GROWTH(CF_REIMB_LT_BORROW, YOY)", "FPT=A", "FPO=-4A", "ACT_EST_MAPPING=PRECISE", "FS=MRC", "CURRENCY=USD", "XLFILL=b")</f>
        <v>-45.495495495495497</v>
      </c>
    </row>
    <row r="328" spans="1:14" x14ac:dyDescent="0.2">
      <c r="A328" s="8" t="s">
        <v>355</v>
      </c>
      <c r="B328" s="4" t="s">
        <v>356</v>
      </c>
      <c r="C328" s="4"/>
      <c r="D328" s="4"/>
      <c r="E328" s="9" t="str">
        <f>_xll.BQL("JBLU US Equity", "CF_PROCEEDS_REPAYMNTS_BORROWINGS/1M", "FPT=A", "FPO=5A", "ACT_EST_MAPPING=PRECISE", "FS=MRC", "CURRENCY=USD", "XLFILL=b")</f>
        <v/>
      </c>
      <c r="F328" s="9" t="str">
        <f>_xll.BQL("JBLU US Equity", "CF_PROCEEDS_REPAYMNTS_BORROWINGS/1M", "FPT=A", "FPO=4A", "ACT_EST_MAPPING=PRECISE", "FS=MRC", "CURRENCY=USD", "XLFILL=b")</f>
        <v/>
      </c>
      <c r="G328" s="9">
        <f>_xll.BQL("JBLU US Equity", "CF_PROCEEDS_REPAYMNTS_BORROWINGS/1M", "FPT=A", "FPO=3A", "ACT_EST_MAPPING=PRECISE", "FS=MRC", "CURRENCY=USD", "XLFILL=b")</f>
        <v>-67</v>
      </c>
      <c r="H328" s="9">
        <f>_xll.BQL("JBLU US Equity", "CF_PROCEEDS_REPAYMNTS_BORROWINGS/1M", "FPT=A", "FPO=2A", "ACT_EST_MAPPING=PRECISE", "FS=MRC", "CURRENCY=USD", "XLFILL=b")</f>
        <v>527</v>
      </c>
      <c r="I328" s="9">
        <f>_xll.BQL("JBLU US Equity", "CF_PROCEEDS_REPAYMNTS_BORROWINGS/1M", "FPT=A", "FPO=1A", "ACT_EST_MAPPING=PRECISE", "FS=MRC", "CURRENCY=USD", "XLFILL=b")</f>
        <v>1499</v>
      </c>
      <c r="J328" s="9">
        <f>_xll.BQL("JBLU US Equity", "CF_PROCEEDS_REPAYMNTS_BORROWINGS/1M", "FPT=A", "FPO=0A", "ACT_EST_MAPPING=PRECISE", "FS=MRC", "CURRENCY=USD", "XLFILL=b")</f>
        <v>1062</v>
      </c>
      <c r="K328" s="9">
        <f>_xll.BQL("JBLU US Equity", "CF_PROCEEDS_REPAYMNTS_BORROWINGS/1M", "FPT=A", "FPO=-1A", "ACT_EST_MAPPING=PRECISE", "FS=MRC", "CURRENCY=USD", "XLFILL=b")</f>
        <v>-369</v>
      </c>
      <c r="L328" s="9">
        <f>_xll.BQL("JBLU US Equity", "CF_PROCEEDS_REPAYMNTS_BORROWINGS/1M", "FPT=A", "FPO=-2A", "ACT_EST_MAPPING=PRECISE", "FS=MRC", "CURRENCY=USD", "XLFILL=b")</f>
        <v>-882</v>
      </c>
      <c r="M328" s="9">
        <f>_xll.BQL("JBLU US Equity", "CF_PROCEEDS_REPAYMNTS_BORROWINGS/1M", "FPT=A", "FPO=-3A", "ACT_EST_MAPPING=PRECISE", "FS=MRC", "CURRENCY=USD", "XLFILL=b")</f>
        <v>2504</v>
      </c>
      <c r="N328" s="9">
        <f>_xll.BQL("JBLU US Equity", "CF_PROCEEDS_REPAYMNTS_BORROWINGS/1M", "FPT=A", "FPO=-4A", "ACT_EST_MAPPING=PRECISE", "FS=MRC", "CURRENCY=USD", "XLFILL=b")</f>
        <v>658</v>
      </c>
    </row>
    <row r="329" spans="1:14" x14ac:dyDescent="0.2">
      <c r="A329" s="8" t="s">
        <v>84</v>
      </c>
      <c r="B329" s="4" t="s">
        <v>356</v>
      </c>
      <c r="C329" s="4"/>
      <c r="D329" s="4"/>
      <c r="E329" s="9" t="str">
        <f>_xll.BQL("JBLU US Equity", "FA_GROWTH(CF_PROCEEDS_REPAYMNTS_BORROWINGS, YOY)", "FPT=A", "FPO=5A", "ACT_EST_MAPPING=PRECISE", "FS=MRC", "CURRENCY=USD", "XLFILL=b")</f>
        <v/>
      </c>
      <c r="F329" s="9" t="str">
        <f>_xll.BQL("JBLU US Equity", "FA_GROWTH(CF_PROCEEDS_REPAYMNTS_BORROWINGS, YOY)", "FPT=A", "FPO=4A", "ACT_EST_MAPPING=PRECISE", "FS=MRC", "CURRENCY=USD", "XLFILL=b")</f>
        <v/>
      </c>
      <c r="G329" s="9">
        <f>_xll.BQL("JBLU US Equity", "FA_GROWTH(CF_PROCEEDS_REPAYMNTS_BORROWINGS, YOY)", "FPT=A", "FPO=3A", "ACT_EST_MAPPING=PRECISE", "FS=MRC", "CURRENCY=USD", "XLFILL=b")</f>
        <v>-112.71347248576851</v>
      </c>
      <c r="H329" s="9">
        <f>_xll.BQL("JBLU US Equity", "FA_GROWTH(CF_PROCEEDS_REPAYMNTS_BORROWINGS, YOY)", "FPT=A", "FPO=2A", "ACT_EST_MAPPING=PRECISE", "FS=MRC", "CURRENCY=USD", "XLFILL=b")</f>
        <v>-64.843228819212811</v>
      </c>
      <c r="I329" s="9">
        <f>_xll.BQL("JBLU US Equity", "FA_GROWTH(CF_PROCEEDS_REPAYMNTS_BORROWINGS, YOY)", "FPT=A", "FPO=1A", "ACT_EST_MAPPING=PRECISE", "FS=MRC", "CURRENCY=USD", "XLFILL=b")</f>
        <v>41.148775894538609</v>
      </c>
      <c r="J329" s="9">
        <f>_xll.BQL("JBLU US Equity", "FA_GROWTH(CF_PROCEEDS_REPAYMNTS_BORROWINGS, YOY)", "FPT=A", "FPO=0A", "ACT_EST_MAPPING=PRECISE", "FS=MRC", "CURRENCY=USD", "XLFILL=b")</f>
        <v>387.80487804878049</v>
      </c>
      <c r="K329" s="9">
        <f>_xll.BQL("JBLU US Equity", "FA_GROWTH(CF_PROCEEDS_REPAYMNTS_BORROWINGS, YOY)", "FPT=A", "FPO=-1A", "ACT_EST_MAPPING=PRECISE", "FS=MRC", "CURRENCY=USD", "XLFILL=b")</f>
        <v>58.163265306122447</v>
      </c>
      <c r="L329" s="9">
        <f>_xll.BQL("JBLU US Equity", "FA_GROWTH(CF_PROCEEDS_REPAYMNTS_BORROWINGS, YOY)", "FPT=A", "FPO=-2A", "ACT_EST_MAPPING=PRECISE", "FS=MRC", "CURRENCY=USD", "XLFILL=b")</f>
        <v>-135.22364217252397</v>
      </c>
      <c r="M329" s="9">
        <f>_xll.BQL("JBLU US Equity", "FA_GROWTH(CF_PROCEEDS_REPAYMNTS_BORROWINGS, YOY)", "FPT=A", "FPO=-3A", "ACT_EST_MAPPING=PRECISE", "FS=MRC", "CURRENCY=USD", "XLFILL=b")</f>
        <v>280.54711246200606</v>
      </c>
      <c r="N329" s="9">
        <f>_xll.BQL("JBLU US Equity", "FA_GROWTH(CF_PROCEEDS_REPAYMNTS_BORROWINGS, YOY)", "FPT=A", "FPO=-4A", "ACT_EST_MAPPING=PRECISE", "FS=MRC", "CURRENCY=USD", "XLFILL=b")</f>
        <v>41.505376344086024</v>
      </c>
    </row>
    <row r="330" spans="1:14" x14ac:dyDescent="0.2">
      <c r="A330" s="8" t="s">
        <v>357</v>
      </c>
      <c r="B330" s="4"/>
      <c r="C330" s="4"/>
      <c r="D330" s="4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1:14" x14ac:dyDescent="0.2">
      <c r="A331" s="8" t="s">
        <v>358</v>
      </c>
      <c r="B331" s="4" t="s">
        <v>359</v>
      </c>
      <c r="C331" s="4"/>
      <c r="D331" s="4"/>
      <c r="E331" s="9" t="str">
        <f>_xll.BQL("JBLU US Equity", "CF_INCR_CAP_STOCK/1M", "FPT=A", "FPO=5A", "ACT_EST_MAPPING=PRECISE", "FS=MRC", "CURRENCY=USD", "XLFILL=b")</f>
        <v/>
      </c>
      <c r="F331" s="9" t="str">
        <f>_xll.BQL("JBLU US Equity", "CF_INCR_CAP_STOCK/1M", "FPT=A", "FPO=4A", "ACT_EST_MAPPING=PRECISE", "FS=MRC", "CURRENCY=USD", "XLFILL=b")</f>
        <v/>
      </c>
      <c r="G331" s="9" t="str">
        <f>_xll.BQL("JBLU US Equity", "CF_INCR_CAP_STOCK/1M", "FPT=A", "FPO=3A", "ACT_EST_MAPPING=PRECISE", "FS=MRC", "CURRENCY=USD", "XLFILL=b")</f>
        <v/>
      </c>
      <c r="H331" s="9" t="str">
        <f>_xll.BQL("JBLU US Equity", "CF_INCR_CAP_STOCK/1M", "FPT=A", "FPO=2A", "ACT_EST_MAPPING=PRECISE", "FS=MRC", "CURRENCY=USD", "XLFILL=b")</f>
        <v/>
      </c>
      <c r="I331" s="9">
        <f>_xll.BQL("JBLU US Equity", "CF_INCR_CAP_STOCK/1M", "FPT=A", "FPO=1A", "ACT_EST_MAPPING=PRECISE", "FS=MRC", "CURRENCY=USD", "XLFILL=b")</f>
        <v>29.6</v>
      </c>
      <c r="J331" s="9">
        <f>_xll.BQL("JBLU US Equity", "CF_INCR_CAP_STOCK/1M", "FPT=A", "FPO=0A", "ACT_EST_MAPPING=PRECISE", "FS=MRC", "CURRENCY=USD", "XLFILL=b")</f>
        <v>53</v>
      </c>
      <c r="K331" s="9">
        <f>_xll.BQL("JBLU US Equity", "CF_INCR_CAP_STOCK/1M", "FPT=A", "FPO=-1A", "ACT_EST_MAPPING=PRECISE", "FS=MRC", "CURRENCY=USD", "XLFILL=b")</f>
        <v>52</v>
      </c>
      <c r="L331" s="9">
        <f>_xll.BQL("JBLU US Equity", "CF_INCR_CAP_STOCK/1M", "FPT=A", "FPO=-2A", "ACT_EST_MAPPING=PRECISE", "FS=MRC", "CURRENCY=USD", "XLFILL=b")</f>
        <v>60</v>
      </c>
      <c r="M331" s="9">
        <f>_xll.BQL("JBLU US Equity", "CF_INCR_CAP_STOCK/1M", "FPT=A", "FPO=-3A", "ACT_EST_MAPPING=PRECISE", "FS=MRC", "CURRENCY=USD", "XLFILL=b")</f>
        <v>648</v>
      </c>
      <c r="N331" s="9">
        <f>_xll.BQL("JBLU US Equity", "CF_INCR_CAP_STOCK/1M", "FPT=A", "FPO=-4A", "ACT_EST_MAPPING=PRECISE", "FS=MRC", "CURRENCY=USD", "XLFILL=b")</f>
        <v>51</v>
      </c>
    </row>
    <row r="332" spans="1:14" x14ac:dyDescent="0.2">
      <c r="A332" s="8" t="s">
        <v>96</v>
      </c>
      <c r="B332" s="4" t="s">
        <v>359</v>
      </c>
      <c r="C332" s="4"/>
      <c r="D332" s="4"/>
      <c r="E332" s="9" t="str">
        <f>_xll.BQL("JBLU US Equity", "FA_GROWTH(CF_INCR_CAP_STOCK, YOY)", "FPT=A", "FPO=5A", "ACT_EST_MAPPING=PRECISE", "FS=MRC", "CURRENCY=USD", "XLFILL=b")</f>
        <v/>
      </c>
      <c r="F332" s="9" t="str">
        <f>_xll.BQL("JBLU US Equity", "FA_GROWTH(CF_INCR_CAP_STOCK, YOY)", "FPT=A", "FPO=4A", "ACT_EST_MAPPING=PRECISE", "FS=MRC", "CURRENCY=USD", "XLFILL=b")</f>
        <v/>
      </c>
      <c r="G332" s="9" t="str">
        <f>_xll.BQL("JBLU US Equity", "FA_GROWTH(CF_INCR_CAP_STOCK, YOY)", "FPT=A", "FPO=3A", "ACT_EST_MAPPING=PRECISE", "FS=MRC", "CURRENCY=USD", "XLFILL=b")</f>
        <v/>
      </c>
      <c r="H332" s="9" t="str">
        <f>_xll.BQL("JBLU US Equity", "FA_GROWTH(CF_INCR_CAP_STOCK, YOY)", "FPT=A", "FPO=2A", "ACT_EST_MAPPING=PRECISE", "FS=MRC", "CURRENCY=USD", "XLFILL=b")</f>
        <v/>
      </c>
      <c r="I332" s="9">
        <f>_xll.BQL("JBLU US Equity", "FA_GROWTH(CF_INCR_CAP_STOCK, YOY)", "FPT=A", "FPO=1A", "ACT_EST_MAPPING=PRECISE", "FS=MRC", "CURRENCY=USD", "XLFILL=b")</f>
        <v>-44.150943396226417</v>
      </c>
      <c r="J332" s="9">
        <f>_xll.BQL("JBLU US Equity", "FA_GROWTH(CF_INCR_CAP_STOCK, YOY)", "FPT=A", "FPO=0A", "ACT_EST_MAPPING=PRECISE", "FS=MRC", "CURRENCY=USD", "XLFILL=b")</f>
        <v>1.9230769230769231</v>
      </c>
      <c r="K332" s="9">
        <f>_xll.BQL("JBLU US Equity", "FA_GROWTH(CF_INCR_CAP_STOCK, YOY)", "FPT=A", "FPO=-1A", "ACT_EST_MAPPING=PRECISE", "FS=MRC", "CURRENCY=USD", "XLFILL=b")</f>
        <v>-13.333333333333334</v>
      </c>
      <c r="L332" s="9">
        <f>_xll.BQL("JBLU US Equity", "FA_GROWTH(CF_INCR_CAP_STOCK, YOY)", "FPT=A", "FPO=-2A", "ACT_EST_MAPPING=PRECISE", "FS=MRC", "CURRENCY=USD", "XLFILL=b")</f>
        <v>-90.740740740740748</v>
      </c>
      <c r="M332" s="9">
        <f>_xll.BQL("JBLU US Equity", "FA_GROWTH(CF_INCR_CAP_STOCK, YOY)", "FPT=A", "FPO=-3A", "ACT_EST_MAPPING=PRECISE", "FS=MRC", "CURRENCY=USD", "XLFILL=b")</f>
        <v>1170.5882352941176</v>
      </c>
      <c r="N332" s="9">
        <f>_xll.BQL("JBLU US Equity", "FA_GROWTH(CF_INCR_CAP_STOCK, YOY)", "FPT=A", "FPO=-4A", "ACT_EST_MAPPING=PRECISE", "FS=MRC", "CURRENCY=USD", "XLFILL=b")</f>
        <v>6.25</v>
      </c>
    </row>
    <row r="333" spans="1:14" x14ac:dyDescent="0.2">
      <c r="A333" s="8" t="s">
        <v>360</v>
      </c>
      <c r="B333" s="4" t="s">
        <v>361</v>
      </c>
      <c r="C333" s="4"/>
      <c r="D333" s="4"/>
      <c r="E333" s="9" t="str">
        <f>_xll.BQL("JBLU US Equity", "CF_DECR_CAP_STOCK/1M", "FPT=A", "FPO=5A", "ACT_EST_MAPPING=PRECISE", "FS=MRC", "CURRENCY=USD", "XLFILL=b")</f>
        <v/>
      </c>
      <c r="F333" s="9" t="str">
        <f>_xll.BQL("JBLU US Equity", "CF_DECR_CAP_STOCK/1M", "FPT=A", "FPO=4A", "ACT_EST_MAPPING=PRECISE", "FS=MRC", "CURRENCY=USD", "XLFILL=b")</f>
        <v/>
      </c>
      <c r="G333" s="9" t="str">
        <f>_xll.BQL("JBLU US Equity", "CF_DECR_CAP_STOCK/1M", "FPT=A", "FPO=3A", "ACT_EST_MAPPING=PRECISE", "FS=MRC", "CURRENCY=USD", "XLFILL=b")</f>
        <v/>
      </c>
      <c r="H333" s="9" t="str">
        <f>_xll.BQL("JBLU US Equity", "CF_DECR_CAP_STOCK/1M", "FPT=A", "FPO=2A", "ACT_EST_MAPPING=PRECISE", "FS=MRC", "CURRENCY=USD", "XLFILL=b")</f>
        <v/>
      </c>
      <c r="I333" s="9">
        <f>_xll.BQL("JBLU US Equity", "CF_DECR_CAP_STOCK/1M", "FPT=A", "FPO=1A", "ACT_EST_MAPPING=PRECISE", "FS=MRC", "CURRENCY=USD", "XLFILL=b")</f>
        <v>-5</v>
      </c>
      <c r="J333" s="9">
        <f>_xll.BQL("JBLU US Equity", "CF_DECR_CAP_STOCK/1M", "FPT=A", "FPO=0A", "ACT_EST_MAPPING=PRECISE", "FS=MRC", "CURRENCY=USD", "XLFILL=b")</f>
        <v>-4</v>
      </c>
      <c r="K333" s="9">
        <f>_xll.BQL("JBLU US Equity", "CF_DECR_CAP_STOCK/1M", "FPT=A", "FPO=-1A", "ACT_EST_MAPPING=PRECISE", "FS=MRC", "CURRENCY=USD", "XLFILL=b")</f>
        <v>-6</v>
      </c>
      <c r="L333" s="9">
        <f>_xll.BQL("JBLU US Equity", "CF_DECR_CAP_STOCK/1M", "FPT=A", "FPO=-2A", "ACT_EST_MAPPING=PRECISE", "FS=MRC", "CURRENCY=USD", "XLFILL=b")</f>
        <v>-8</v>
      </c>
      <c r="M333" s="9">
        <f>_xll.BQL("JBLU US Equity", "CF_DECR_CAP_STOCK/1M", "FPT=A", "FPO=-3A", "ACT_EST_MAPPING=PRECISE", "FS=MRC", "CURRENCY=USD", "XLFILL=b")</f>
        <v>-167</v>
      </c>
      <c r="N333" s="9">
        <f>_xll.BQL("JBLU US Equity", "CF_DECR_CAP_STOCK/1M", "FPT=A", "FPO=-4A", "ACT_EST_MAPPING=PRECISE", "FS=MRC", "CURRENCY=USD", "XLFILL=b")</f>
        <v>-542</v>
      </c>
    </row>
    <row r="334" spans="1:14" x14ac:dyDescent="0.2">
      <c r="A334" s="8" t="s">
        <v>96</v>
      </c>
      <c r="B334" s="4" t="s">
        <v>361</v>
      </c>
      <c r="C334" s="4"/>
      <c r="D334" s="4"/>
      <c r="E334" s="9" t="str">
        <f>_xll.BQL("JBLU US Equity", "FA_GROWTH(CF_DECR_CAP_STOCK, YOY)", "FPT=A", "FPO=5A", "ACT_EST_MAPPING=PRECISE", "FS=MRC", "CURRENCY=USD", "XLFILL=b")</f>
        <v/>
      </c>
      <c r="F334" s="9" t="str">
        <f>_xll.BQL("JBLU US Equity", "FA_GROWTH(CF_DECR_CAP_STOCK, YOY)", "FPT=A", "FPO=4A", "ACT_EST_MAPPING=PRECISE", "FS=MRC", "CURRENCY=USD", "XLFILL=b")</f>
        <v/>
      </c>
      <c r="G334" s="9" t="str">
        <f>_xll.BQL("JBLU US Equity", "FA_GROWTH(CF_DECR_CAP_STOCK, YOY)", "FPT=A", "FPO=3A", "ACT_EST_MAPPING=PRECISE", "FS=MRC", "CURRENCY=USD", "XLFILL=b")</f>
        <v/>
      </c>
      <c r="H334" s="9" t="str">
        <f>_xll.BQL("JBLU US Equity", "FA_GROWTH(CF_DECR_CAP_STOCK, YOY)", "FPT=A", "FPO=2A", "ACT_EST_MAPPING=PRECISE", "FS=MRC", "CURRENCY=USD", "XLFILL=b")</f>
        <v/>
      </c>
      <c r="I334" s="9">
        <f>_xll.BQL("JBLU US Equity", "FA_GROWTH(CF_DECR_CAP_STOCK, YOY)", "FPT=A", "FPO=1A", "ACT_EST_MAPPING=PRECISE", "FS=MRC", "CURRENCY=USD", "XLFILL=b")</f>
        <v>-25</v>
      </c>
      <c r="J334" s="9">
        <f>_xll.BQL("JBLU US Equity", "FA_GROWTH(CF_DECR_CAP_STOCK, YOY)", "FPT=A", "FPO=0A", "ACT_EST_MAPPING=PRECISE", "FS=MRC", "CURRENCY=USD", "XLFILL=b")</f>
        <v>33.333333333333336</v>
      </c>
      <c r="K334" s="9">
        <f>_xll.BQL("JBLU US Equity", "FA_GROWTH(CF_DECR_CAP_STOCK, YOY)", "FPT=A", "FPO=-1A", "ACT_EST_MAPPING=PRECISE", "FS=MRC", "CURRENCY=USD", "XLFILL=b")</f>
        <v>25</v>
      </c>
      <c r="L334" s="9">
        <f>_xll.BQL("JBLU US Equity", "FA_GROWTH(CF_DECR_CAP_STOCK, YOY)", "FPT=A", "FPO=-2A", "ACT_EST_MAPPING=PRECISE", "FS=MRC", "CURRENCY=USD", "XLFILL=b")</f>
        <v>95.209580838323348</v>
      </c>
      <c r="M334" s="9">
        <f>_xll.BQL("JBLU US Equity", "FA_GROWTH(CF_DECR_CAP_STOCK, YOY)", "FPT=A", "FPO=-3A", "ACT_EST_MAPPING=PRECISE", "FS=MRC", "CURRENCY=USD", "XLFILL=b")</f>
        <v>69.188191881918826</v>
      </c>
      <c r="N334" s="9">
        <f>_xll.BQL("JBLU US Equity", "FA_GROWTH(CF_DECR_CAP_STOCK, YOY)", "FPT=A", "FPO=-4A", "ACT_EST_MAPPING=PRECISE", "FS=MRC", "CURRENCY=USD", "XLFILL=b")</f>
        <v>-41.8848167539267</v>
      </c>
    </row>
    <row r="335" spans="1:14" x14ac:dyDescent="0.2">
      <c r="A335" s="8" t="s">
        <v>362</v>
      </c>
      <c r="B335" s="4" t="s">
        <v>363</v>
      </c>
      <c r="C335" s="4" t="s">
        <v>364</v>
      </c>
      <c r="D335" s="4"/>
      <c r="E335" s="9" t="str">
        <f>_xll.BQL("JBLU US Equity", "CF_PROCEEDS_REPURCHASE_EQUITY/1M", "FPT=A", "FPO=5A", "ACT_EST_MAPPING=PRECISE", "FS=MRC", "CURRENCY=USD", "XLFILL=b")</f>
        <v/>
      </c>
      <c r="F335" s="9" t="str">
        <f>_xll.BQL("JBLU US Equity", "CF_PROCEEDS_REPURCHASE_EQUITY/1M", "FPT=A", "FPO=4A", "ACT_EST_MAPPING=PRECISE", "FS=MRC", "CURRENCY=USD", "XLFILL=b")</f>
        <v/>
      </c>
      <c r="G335" s="9" t="str">
        <f>_xll.BQL("JBLU US Equity", "CF_PROCEEDS_REPURCHASE_EQUITY/1M", "FPT=A", "FPO=3A", "ACT_EST_MAPPING=PRECISE", "FS=MRC", "CURRENCY=USD", "XLFILL=b")</f>
        <v/>
      </c>
      <c r="H335" s="9" t="str">
        <f>_xll.BQL("JBLU US Equity", "CF_PROCEEDS_REPURCHASE_EQUITY/1M", "FPT=A", "FPO=2A", "ACT_EST_MAPPING=PRECISE", "FS=MRC", "CURRENCY=USD", "XLFILL=b")</f>
        <v/>
      </c>
      <c r="I335" s="9">
        <f>_xll.BQL("JBLU US Equity", "CF_PROCEEDS_REPURCHASE_EQUITY/1M", "FPT=A", "FPO=1A", "ACT_EST_MAPPING=PRECISE", "FS=MRC", "CURRENCY=USD", "XLFILL=b")</f>
        <v>46</v>
      </c>
      <c r="J335" s="9">
        <f>_xll.BQL("JBLU US Equity", "CF_PROCEEDS_REPURCHASE_EQUITY/1M", "FPT=A", "FPO=0A", "ACT_EST_MAPPING=PRECISE", "FS=MRC", "CURRENCY=USD", "XLFILL=b")</f>
        <v>49</v>
      </c>
      <c r="K335" s="9">
        <f>_xll.BQL("JBLU US Equity", "CF_PROCEEDS_REPURCHASE_EQUITY/1M", "FPT=A", "FPO=-1A", "ACT_EST_MAPPING=PRECISE", "FS=MRC", "CURRENCY=USD", "XLFILL=b")</f>
        <v>46</v>
      </c>
      <c r="L335" s="9">
        <f>_xll.BQL("JBLU US Equity", "CF_PROCEEDS_REPURCHASE_EQUITY/1M", "FPT=A", "FPO=-2A", "ACT_EST_MAPPING=PRECISE", "FS=MRC", "CURRENCY=USD", "XLFILL=b")</f>
        <v>52</v>
      </c>
      <c r="M335" s="9">
        <f>_xll.BQL("JBLU US Equity", "CF_PROCEEDS_REPURCHASE_EQUITY/1M", "FPT=A", "FPO=-3A", "ACT_EST_MAPPING=PRECISE", "FS=MRC", "CURRENCY=USD", "XLFILL=b")</f>
        <v>481</v>
      </c>
      <c r="N335" s="9">
        <f>_xll.BQL("JBLU US Equity", "CF_PROCEEDS_REPURCHASE_EQUITY/1M", "FPT=A", "FPO=-4A", "ACT_EST_MAPPING=PRECISE", "FS=MRC", "CURRENCY=USD", "XLFILL=b")</f>
        <v>-491</v>
      </c>
    </row>
    <row r="336" spans="1:14" x14ac:dyDescent="0.2">
      <c r="A336" s="8" t="s">
        <v>84</v>
      </c>
      <c r="B336" s="4" t="s">
        <v>363</v>
      </c>
      <c r="C336" s="4" t="s">
        <v>364</v>
      </c>
      <c r="D336" s="4"/>
      <c r="E336" s="9" t="str">
        <f>_xll.BQL("JBLU US Equity", "FA_GROWTH(CF_PROCEEDS_REPURCHASE_EQUITY, YOY)", "FPT=A", "FPO=5A", "ACT_EST_MAPPING=PRECISE", "FS=MRC", "CURRENCY=USD", "XLFILL=b")</f>
        <v/>
      </c>
      <c r="F336" s="9" t="str">
        <f>_xll.BQL("JBLU US Equity", "FA_GROWTH(CF_PROCEEDS_REPURCHASE_EQUITY, YOY)", "FPT=A", "FPO=4A", "ACT_EST_MAPPING=PRECISE", "FS=MRC", "CURRENCY=USD", "XLFILL=b")</f>
        <v/>
      </c>
      <c r="G336" s="9" t="str">
        <f>_xll.BQL("JBLU US Equity", "FA_GROWTH(CF_PROCEEDS_REPURCHASE_EQUITY, YOY)", "FPT=A", "FPO=3A", "ACT_EST_MAPPING=PRECISE", "FS=MRC", "CURRENCY=USD", "XLFILL=b")</f>
        <v/>
      </c>
      <c r="H336" s="9" t="str">
        <f>_xll.BQL("JBLU US Equity", "FA_GROWTH(CF_PROCEEDS_REPURCHASE_EQUITY, YOY)", "FPT=A", "FPO=2A", "ACT_EST_MAPPING=PRECISE", "FS=MRC", "CURRENCY=USD", "XLFILL=b")</f>
        <v/>
      </c>
      <c r="I336" s="9">
        <f>_xll.BQL("JBLU US Equity", "FA_GROWTH(CF_PROCEEDS_REPURCHASE_EQUITY, YOY)", "FPT=A", "FPO=1A", "ACT_EST_MAPPING=PRECISE", "FS=MRC", "CURRENCY=USD", "XLFILL=b")</f>
        <v>-6.1224489795918364</v>
      </c>
      <c r="J336" s="9">
        <f>_xll.BQL("JBLU US Equity", "FA_GROWTH(CF_PROCEEDS_REPURCHASE_EQUITY, YOY)", "FPT=A", "FPO=0A", "ACT_EST_MAPPING=PRECISE", "FS=MRC", "CURRENCY=USD", "XLFILL=b")</f>
        <v>6.5217391304347823</v>
      </c>
      <c r="K336" s="9">
        <f>_xll.BQL("JBLU US Equity", "FA_GROWTH(CF_PROCEEDS_REPURCHASE_EQUITY, YOY)", "FPT=A", "FPO=-1A", "ACT_EST_MAPPING=PRECISE", "FS=MRC", "CURRENCY=USD", "XLFILL=b")</f>
        <v>-11.538461538461538</v>
      </c>
      <c r="L336" s="9">
        <f>_xll.BQL("JBLU US Equity", "FA_GROWTH(CF_PROCEEDS_REPURCHASE_EQUITY, YOY)", "FPT=A", "FPO=-2A", "ACT_EST_MAPPING=PRECISE", "FS=MRC", "CURRENCY=USD", "XLFILL=b")</f>
        <v>-89.189189189189193</v>
      </c>
      <c r="M336" s="9">
        <f>_xll.BQL("JBLU US Equity", "FA_GROWTH(CF_PROCEEDS_REPURCHASE_EQUITY, YOY)", "FPT=A", "FPO=-3A", "ACT_EST_MAPPING=PRECISE", "FS=MRC", "CURRENCY=USD", "XLFILL=b")</f>
        <v>197.96334012219958</v>
      </c>
      <c r="N336" s="9">
        <f>_xll.BQL("JBLU US Equity", "FA_GROWTH(CF_PROCEEDS_REPURCHASE_EQUITY, YOY)", "FPT=A", "FPO=-4A", "ACT_EST_MAPPING=PRECISE", "FS=MRC", "CURRENCY=USD", "XLFILL=b")</f>
        <v>-47.005988023952099</v>
      </c>
    </row>
    <row r="337" spans="1:14" x14ac:dyDescent="0.2">
      <c r="A337" s="8" t="s">
        <v>365</v>
      </c>
      <c r="B337" s="4" t="s">
        <v>366</v>
      </c>
      <c r="C337" s="4" t="s">
        <v>367</v>
      </c>
      <c r="D337" s="4"/>
      <c r="E337" s="9">
        <f>_xll.BQL("JBLU US Equity", "CF_CASH_FROM_FNC_ACT/1M", "FPT=A", "FPO=5A", "ACT_EST_MAPPING=PRECISE", "FS=MRC", "CURRENCY=USD", "XLFILL=b")</f>
        <v>680</v>
      </c>
      <c r="F337" s="9">
        <f>_xll.BQL("JBLU US Equity", "CF_CASH_FROM_FNC_ACT/1M", "FPT=A", "FPO=4A", "ACT_EST_MAPPING=PRECISE", "FS=MRC", "CURRENCY=USD", "XLFILL=b")</f>
        <v>725</v>
      </c>
      <c r="G337" s="9">
        <f>_xll.BQL("JBLU US Equity", "CF_CASH_FROM_FNC_ACT/1M", "FPT=A", "FPO=3A", "ACT_EST_MAPPING=PRECISE", "FS=MRC", "CURRENCY=USD", "XLFILL=b")</f>
        <v>298.8125</v>
      </c>
      <c r="H337" s="9">
        <f>_xll.BQL("JBLU US Equity", "CF_CASH_FROM_FNC_ACT/1M", "FPT=A", "FPO=2A", "ACT_EST_MAPPING=PRECISE", "FS=MRC", "CURRENCY=USD", "XLFILL=b")</f>
        <v>162.37695609351991</v>
      </c>
      <c r="I337" s="9">
        <f>_xll.BQL("JBLU US Equity", "CF_CASH_FROM_FNC_ACT/1M", "FPT=A", "FPO=1A", "ACT_EST_MAPPING=PRECISE", "FS=MRC", "CURRENCY=USD", "XLFILL=b")</f>
        <v>3001.1904039866063</v>
      </c>
      <c r="J337" s="9">
        <f>_xll.BQL("JBLU US Equity", "CF_CASH_FROM_FNC_ACT/1M", "FPT=A", "FPO=0A", "ACT_EST_MAPPING=PRECISE", "FS=MRC", "CURRENCY=USD", "XLFILL=b")</f>
        <v>1107</v>
      </c>
      <c r="K337" s="9">
        <f>_xll.BQL("JBLU US Equity", "CF_CASH_FROM_FNC_ACT/1M", "FPT=A", "FPO=-1A", "ACT_EST_MAPPING=PRECISE", "FS=MRC", "CURRENCY=USD", "XLFILL=b")</f>
        <v>-360</v>
      </c>
      <c r="L337" s="9">
        <f>_xll.BQL("JBLU US Equity", "CF_CASH_FROM_FNC_ACT/1M", "FPT=A", "FPO=-2A", "ACT_EST_MAPPING=PRECISE", "FS=MRC", "CURRENCY=USD", "XLFILL=b")</f>
        <v>-830</v>
      </c>
      <c r="M337" s="9">
        <f>_xll.BQL("JBLU US Equity", "CF_CASH_FROM_FNC_ACT/1M", "FPT=A", "FPO=-3A", "ACT_EST_MAPPING=PRECISE", "FS=MRC", "CURRENCY=USD", "XLFILL=b")</f>
        <v>2983</v>
      </c>
      <c r="N337" s="9">
        <f>_xll.BQL("JBLU US Equity", "CF_CASH_FROM_FNC_ACT/1M", "FPT=A", "FPO=-4A", "ACT_EST_MAPPING=PRECISE", "FS=MRC", "CURRENCY=USD", "XLFILL=b")</f>
        <v>165</v>
      </c>
    </row>
    <row r="338" spans="1:14" x14ac:dyDescent="0.2">
      <c r="A338" s="8" t="s">
        <v>12</v>
      </c>
      <c r="B338" s="4" t="s">
        <v>366</v>
      </c>
      <c r="C338" s="4" t="s">
        <v>367</v>
      </c>
      <c r="D338" s="4"/>
      <c r="E338" s="9">
        <f>_xll.BQL("JBLU US Equity", "FA_GROWTH(CF_CASH_FROM_FNC_ACT, YOY)", "FPT=A", "FPO=5A", "ACT_EST_MAPPING=PRECISE", "FS=MRC", "CURRENCY=USD", "XLFILL=b")</f>
        <v>-6.2068965517241379</v>
      </c>
      <c r="F338" s="9">
        <f>_xll.BQL("JBLU US Equity", "FA_GROWTH(CF_CASH_FROM_FNC_ACT, YOY)", "FPT=A", "FPO=4A", "ACT_EST_MAPPING=PRECISE", "FS=MRC", "CURRENCY=USD", "XLFILL=b")</f>
        <v>142.62706546747543</v>
      </c>
      <c r="G338" s="9">
        <f>_xll.BQL("JBLU US Equity", "FA_GROWTH(CF_CASH_FROM_FNC_ACT, YOY)", "FPT=A", "FPO=3A", "ACT_EST_MAPPING=PRECISE", "FS=MRC", "CURRENCY=USD", "XLFILL=b")</f>
        <v>84.023957086559122</v>
      </c>
      <c r="H338" s="9">
        <f>_xll.BQL("JBLU US Equity", "FA_GROWTH(CF_CASH_FROM_FNC_ACT, YOY)", "FPT=A", "FPO=2A", "ACT_EST_MAPPING=PRECISE", "FS=MRC", "CURRENCY=USD", "XLFILL=b")</f>
        <v>-94.5895816580705</v>
      </c>
      <c r="I338" s="9">
        <f>_xll.BQL("JBLU US Equity", "FA_GROWTH(CF_CASH_FROM_FNC_ACT, YOY)", "FPT=A", "FPO=1A", "ACT_EST_MAPPING=PRECISE", "FS=MRC", "CURRENCY=USD", "XLFILL=b")</f>
        <v>171.11024426256606</v>
      </c>
      <c r="J338" s="9">
        <f>_xll.BQL("JBLU US Equity", "FA_GROWTH(CF_CASH_FROM_FNC_ACT, YOY)", "FPT=A", "FPO=0A", "ACT_EST_MAPPING=PRECISE", "FS=MRC", "CURRENCY=USD", "XLFILL=b")</f>
        <v>407.5</v>
      </c>
      <c r="K338" s="9">
        <f>_xll.BQL("JBLU US Equity", "FA_GROWTH(CF_CASH_FROM_FNC_ACT, YOY)", "FPT=A", "FPO=-1A", "ACT_EST_MAPPING=PRECISE", "FS=MRC", "CURRENCY=USD", "XLFILL=b")</f>
        <v>56.626506024096386</v>
      </c>
      <c r="L338" s="9">
        <f>_xll.BQL("JBLU US Equity", "FA_GROWTH(CF_CASH_FROM_FNC_ACT, YOY)", "FPT=A", "FPO=-2A", "ACT_EST_MAPPING=PRECISE", "FS=MRC", "CURRENCY=USD", "XLFILL=b")</f>
        <v>-127.82433791485082</v>
      </c>
      <c r="M338" s="9">
        <f>_xll.BQL("JBLU US Equity", "FA_GROWTH(CF_CASH_FROM_FNC_ACT, YOY)", "FPT=A", "FPO=-3A", "ACT_EST_MAPPING=PRECISE", "FS=MRC", "CURRENCY=USD", "XLFILL=b")</f>
        <v>1707.878787878788</v>
      </c>
      <c r="N338" s="9">
        <f>_xll.BQL("JBLU US Equity", "FA_GROWTH(CF_CASH_FROM_FNC_ACT, YOY)", "FPT=A", "FPO=-4A", "ACT_EST_MAPPING=PRECISE", "FS=MRC", "CURRENCY=USD", "XLFILL=b")</f>
        <v>25.954198473282442</v>
      </c>
    </row>
    <row r="339" spans="1:14" x14ac:dyDescent="0.2">
      <c r="A339" s="8" t="s">
        <v>16</v>
      </c>
      <c r="B339" s="4"/>
      <c r="C339" s="4"/>
      <c r="D339" s="4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x14ac:dyDescent="0.2">
      <c r="A340" s="8" t="s">
        <v>301</v>
      </c>
      <c r="B340" s="4"/>
      <c r="C340" s="4" t="s">
        <v>302</v>
      </c>
      <c r="D340" s="4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2">
      <c r="A341" s="8" t="s">
        <v>368</v>
      </c>
      <c r="B341" s="4" t="s">
        <v>369</v>
      </c>
      <c r="C341" s="4" t="s">
        <v>370</v>
      </c>
      <c r="D341" s="4"/>
      <c r="E341" s="9" t="str">
        <f>_xll.BQL("JBLU US Equity", "CF_NET_CHNG_CASH/1M", "FPT=A", "FPO=5A", "ACT_EST_MAPPING=PRECISE", "FS=MRC", "CURRENCY=USD", "XLFILL=b")</f>
        <v/>
      </c>
      <c r="F341" s="9" t="str">
        <f>_xll.BQL("JBLU US Equity", "CF_NET_CHNG_CASH/1M", "FPT=A", "FPO=4A", "ACT_EST_MAPPING=PRECISE", "FS=MRC", "CURRENCY=USD", "XLFILL=b")</f>
        <v/>
      </c>
      <c r="G341" s="9">
        <f>_xll.BQL("JBLU US Equity", "CF_NET_CHNG_CASH/1M", "FPT=A", "FPO=3A", "ACT_EST_MAPPING=PRECISE", "FS=MRC", "CURRENCY=USD", "XLFILL=b")</f>
        <v>-91.652848445348198</v>
      </c>
      <c r="H341" s="9">
        <f>_xll.BQL("JBLU US Equity", "CF_NET_CHNG_CASH/1M", "FPT=A", "FPO=2A", "ACT_EST_MAPPING=PRECISE", "FS=MRC", "CURRENCY=USD", "XLFILL=b")</f>
        <v>-485.82508615831421</v>
      </c>
      <c r="I341" s="9">
        <f>_xll.BQL("JBLU US Equity", "CF_NET_CHNG_CASH/1M", "FPT=A", "FPO=1A", "ACT_EST_MAPPING=PRECISE", "FS=MRC", "CURRENCY=USD", "XLFILL=b")</f>
        <v>1820.9111079606869</v>
      </c>
      <c r="J341" s="9">
        <f>_xll.BQL("JBLU US Equity", "CF_NET_CHNG_CASH/1M", "FPT=A", "FPO=0A", "ACT_EST_MAPPING=PRECISE", "FS=MRC", "CURRENCY=USD", "XLFILL=b")</f>
        <v>129</v>
      </c>
      <c r="K341" s="9">
        <f>_xll.BQL("JBLU US Equity", "CF_NET_CHNG_CASH/1M", "FPT=A", "FPO=-1A", "ACT_EST_MAPPING=PRECISE", "FS=MRC", "CURRENCY=USD", "XLFILL=b")</f>
        <v>-889</v>
      </c>
      <c r="L341" s="9">
        <f>_xll.BQL("JBLU US Equity", "CF_NET_CHNG_CASH/1M", "FPT=A", "FPO=-2A", "ACT_EST_MAPPING=PRECISE", "FS=MRC", "CURRENCY=USD", "XLFILL=b")</f>
        <v>108</v>
      </c>
      <c r="M341" s="9">
        <f>_xll.BQL("JBLU US Equity", "CF_NET_CHNG_CASH/1M", "FPT=A", "FPO=-3A", "ACT_EST_MAPPING=PRECISE", "FS=MRC", "CURRENCY=USD", "XLFILL=b")</f>
        <v>951</v>
      </c>
      <c r="N341" s="9">
        <f>_xll.BQL("JBLU US Equity", "CF_NET_CHNG_CASH/1M", "FPT=A", "FPO=-4A", "ACT_EST_MAPPING=PRECISE", "FS=MRC", "CURRENCY=USD", "XLFILL=b")</f>
        <v>485</v>
      </c>
    </row>
    <row r="342" spans="1:14" x14ac:dyDescent="0.2">
      <c r="A342" s="8" t="s">
        <v>84</v>
      </c>
      <c r="B342" s="4" t="s">
        <v>369</v>
      </c>
      <c r="C342" s="4" t="s">
        <v>370</v>
      </c>
      <c r="D342" s="4"/>
      <c r="E342" s="9" t="str">
        <f>_xll.BQL("JBLU US Equity", "FA_GROWTH(CF_NET_CHNG_CASH, YOY)", "FPT=A", "FPO=5A", "ACT_EST_MAPPING=PRECISE", "FS=MRC", "CURRENCY=USD", "XLFILL=b")</f>
        <v/>
      </c>
      <c r="F342" s="9" t="str">
        <f>_xll.BQL("JBLU US Equity", "FA_GROWTH(CF_NET_CHNG_CASH, YOY)", "FPT=A", "FPO=4A", "ACT_EST_MAPPING=PRECISE", "FS=MRC", "CURRENCY=USD", "XLFILL=b")</f>
        <v/>
      </c>
      <c r="G342" s="9">
        <f>_xll.BQL("JBLU US Equity", "FA_GROWTH(CF_NET_CHNG_CASH, YOY)", "FPT=A", "FPO=3A", "ACT_EST_MAPPING=PRECISE", "FS=MRC", "CURRENCY=USD", "XLFILL=b")</f>
        <v>81.134599456339799</v>
      </c>
      <c r="H342" s="9">
        <f>_xll.BQL("JBLU US Equity", "FA_GROWTH(CF_NET_CHNG_CASH, YOY)", "FPT=A", "FPO=2A", "ACT_EST_MAPPING=PRECISE", "FS=MRC", "CURRENCY=USD", "XLFILL=b")</f>
        <v>-126.68032964565799</v>
      </c>
      <c r="I342" s="9">
        <f>_xll.BQL("JBLU US Equity", "FA_GROWTH(CF_NET_CHNG_CASH, YOY)", "FPT=A", "FPO=1A", "ACT_EST_MAPPING=PRECISE", "FS=MRC", "CURRENCY=USD", "XLFILL=b")</f>
        <v>1311.5589984191372</v>
      </c>
      <c r="J342" s="9">
        <f>_xll.BQL("JBLU US Equity", "FA_GROWTH(CF_NET_CHNG_CASH, YOY)", "FPT=A", "FPO=0A", "ACT_EST_MAPPING=PRECISE", "FS=MRC", "CURRENCY=USD", "XLFILL=b")</f>
        <v>114.51068616422947</v>
      </c>
      <c r="K342" s="9">
        <f>_xll.BQL("JBLU US Equity", "FA_GROWTH(CF_NET_CHNG_CASH, YOY)", "FPT=A", "FPO=-1A", "ACT_EST_MAPPING=PRECISE", "FS=MRC", "CURRENCY=USD", "XLFILL=b")</f>
        <v>-923.14814814814815</v>
      </c>
      <c r="L342" s="9">
        <f>_xll.BQL("JBLU US Equity", "FA_GROWTH(CF_NET_CHNG_CASH, YOY)", "FPT=A", "FPO=-2A", "ACT_EST_MAPPING=PRECISE", "FS=MRC", "CURRENCY=USD", "XLFILL=b")</f>
        <v>-88.643533123028391</v>
      </c>
      <c r="M342" s="9">
        <f>_xll.BQL("JBLU US Equity", "FA_GROWTH(CF_NET_CHNG_CASH, YOY)", "FPT=A", "FPO=-3A", "ACT_EST_MAPPING=PRECISE", "FS=MRC", "CURRENCY=USD", "XLFILL=b")</f>
        <v>96.082474226804123</v>
      </c>
      <c r="N342" s="9">
        <f>_xll.BQL("JBLU US Equity", "FA_GROWTH(CF_NET_CHNG_CASH, YOY)", "FPT=A", "FPO=-4A", "ACT_EST_MAPPING=PRECISE", "FS=MRC", "CURRENCY=USD", "XLFILL=b")</f>
        <v>178.73563218390805</v>
      </c>
    </row>
    <row r="343" spans="1:14" x14ac:dyDescent="0.2">
      <c r="A343" s="8" t="s">
        <v>371</v>
      </c>
      <c r="B343" s="4" t="s">
        <v>372</v>
      </c>
      <c r="C343" s="4"/>
      <c r="D343" s="4"/>
      <c r="E343" s="9" t="str">
        <f>_xll.BQL("JBLU US Equity", "CF_CASH_AND_CASH_EQUIV_BEG_BAL/1M", "FPT=A", "FPO=5A", "ACT_EST_MAPPING=PRECISE", "FS=MRC", "CURRENCY=USD", "XLFILL=b")</f>
        <v/>
      </c>
      <c r="F343" s="9" t="str">
        <f>_xll.BQL("JBLU US Equity", "CF_CASH_AND_CASH_EQUIV_BEG_BAL/1M", "FPT=A", "FPO=4A", "ACT_EST_MAPPING=PRECISE", "FS=MRC", "CURRENCY=USD", "XLFILL=b")</f>
        <v/>
      </c>
      <c r="G343" s="9">
        <f>_xll.BQL("JBLU US Equity", "CF_CASH_AND_CASH_EQUIV_BEG_BAL/1M", "FPT=A", "FPO=3A", "ACT_EST_MAPPING=PRECISE", "FS=MRC", "CURRENCY=USD", "XLFILL=b")</f>
        <v>3004.8670979550488</v>
      </c>
      <c r="H343" s="9">
        <f>_xll.BQL("JBLU US Equity", "CF_CASH_AND_CASH_EQUIV_BEG_BAL/1M", "FPT=A", "FPO=2A", "ACT_EST_MAPPING=PRECISE", "FS=MRC", "CURRENCY=USD", "XLFILL=b")</f>
        <v>3388.5093726715763</v>
      </c>
      <c r="I343" s="9">
        <f>_xll.BQL("JBLU US Equity", "CF_CASH_AND_CASH_EQUIV_BEG_BAL/1M", "FPT=A", "FPO=1A", "ACT_EST_MAPPING=PRECISE", "FS=MRC", "CURRENCY=USD", "XLFILL=b")</f>
        <v>1286.76</v>
      </c>
      <c r="J343" s="9">
        <f>_xll.BQL("JBLU US Equity", "CF_CASH_AND_CASH_EQUIV_BEG_BAL/1M", "FPT=A", "FPO=0A", "ACT_EST_MAPPING=PRECISE", "FS=MRC", "CURRENCY=USD", "XLFILL=b")</f>
        <v>1188</v>
      </c>
      <c r="K343" s="9">
        <f>_xll.BQL("JBLU US Equity", "CF_CASH_AND_CASH_EQUIV_BEG_BAL/1M", "FPT=A", "FPO=-1A", "ACT_EST_MAPPING=PRECISE", "FS=MRC", "CURRENCY=USD", "XLFILL=b")</f>
        <v>2077</v>
      </c>
      <c r="L343" s="9">
        <f>_xll.BQL("JBLU US Equity", "CF_CASH_AND_CASH_EQUIV_BEG_BAL/1M", "FPT=A", "FPO=-2A", "ACT_EST_MAPPING=PRECISE", "FS=MRC", "CURRENCY=USD", "XLFILL=b")</f>
        <v>1969</v>
      </c>
      <c r="M343" s="9">
        <f>_xll.BQL("JBLU US Equity", "CF_CASH_AND_CASH_EQUIV_BEG_BAL/1M", "FPT=A", "FPO=-3A", "ACT_EST_MAPPING=PRECISE", "FS=MRC", "CURRENCY=USD", "XLFILL=b")</f>
        <v>1018</v>
      </c>
      <c r="N343" s="9">
        <f>_xll.BQL("JBLU US Equity", "CF_CASH_AND_CASH_EQUIV_BEG_BAL/1M", "FPT=A", "FPO=-4A", "ACT_EST_MAPPING=PRECISE", "FS=MRC", "CURRENCY=USD", "XLFILL=b")</f>
        <v>533</v>
      </c>
    </row>
    <row r="344" spans="1:14" x14ac:dyDescent="0.2">
      <c r="A344" s="8" t="s">
        <v>96</v>
      </c>
      <c r="B344" s="4" t="s">
        <v>372</v>
      </c>
      <c r="C344" s="4"/>
      <c r="D344" s="4"/>
      <c r="E344" s="9" t="str">
        <f>_xll.BQL("JBLU US Equity", "FA_GROWTH(CF_CASH_AND_CASH_EQUIV_BEG_BAL, YOY)", "FPT=A", "FPO=5A", "ACT_EST_MAPPING=PRECISE", "FS=MRC", "CURRENCY=USD", "XLFILL=b")</f>
        <v/>
      </c>
      <c r="F344" s="9" t="str">
        <f>_xll.BQL("JBLU US Equity", "FA_GROWTH(CF_CASH_AND_CASH_EQUIV_BEG_BAL, YOY)", "FPT=A", "FPO=4A", "ACT_EST_MAPPING=PRECISE", "FS=MRC", "CURRENCY=USD", "XLFILL=b")</f>
        <v/>
      </c>
      <c r="G344" s="9">
        <f>_xll.BQL("JBLU US Equity", "FA_GROWTH(CF_CASH_AND_CASH_EQUIV_BEG_BAL, YOY)", "FPT=A", "FPO=3A", "ACT_EST_MAPPING=PRECISE", "FS=MRC", "CURRENCY=USD", "XLFILL=b")</f>
        <v>-11.321859629801034</v>
      </c>
      <c r="H344" s="9">
        <f>_xll.BQL("JBLU US Equity", "FA_GROWTH(CF_CASH_AND_CASH_EQUIV_BEG_BAL, YOY)", "FPT=A", "FPO=2A", "ACT_EST_MAPPING=PRECISE", "FS=MRC", "CURRENCY=USD", "XLFILL=b")</f>
        <v>163.33654859271167</v>
      </c>
      <c r="I344" s="9">
        <f>_xll.BQL("JBLU US Equity", "FA_GROWTH(CF_CASH_AND_CASH_EQUIV_BEG_BAL, YOY)", "FPT=A", "FPO=1A", "ACT_EST_MAPPING=PRECISE", "FS=MRC", "CURRENCY=USD", "XLFILL=b")</f>
        <v>8.3131313131313131</v>
      </c>
      <c r="J344" s="9">
        <f>_xll.BQL("JBLU US Equity", "FA_GROWTH(CF_CASH_AND_CASH_EQUIV_BEG_BAL, YOY)", "FPT=A", "FPO=0A", "ACT_EST_MAPPING=PRECISE", "FS=MRC", "CURRENCY=USD", "XLFILL=b")</f>
        <v>-42.802118440057775</v>
      </c>
      <c r="K344" s="9">
        <f>_xll.BQL("JBLU US Equity", "FA_GROWTH(CF_CASH_AND_CASH_EQUIV_BEG_BAL, YOY)", "FPT=A", "FPO=-1A", "ACT_EST_MAPPING=PRECISE", "FS=MRC", "CURRENCY=USD", "XLFILL=b")</f>
        <v>5.4850177755205687</v>
      </c>
      <c r="L344" s="9">
        <f>_xll.BQL("JBLU US Equity", "FA_GROWTH(CF_CASH_AND_CASH_EQUIV_BEG_BAL, YOY)", "FPT=A", "FPO=-2A", "ACT_EST_MAPPING=PRECISE", "FS=MRC", "CURRENCY=USD", "XLFILL=b")</f>
        <v>93.418467583497048</v>
      </c>
      <c r="M344" s="9">
        <f>_xll.BQL("JBLU US Equity", "FA_GROWTH(CF_CASH_AND_CASH_EQUIV_BEG_BAL, YOY)", "FPT=A", "FPO=-3A", "ACT_EST_MAPPING=PRECISE", "FS=MRC", "CURRENCY=USD", "XLFILL=b")</f>
        <v>90.994371482176362</v>
      </c>
      <c r="N344" s="9">
        <f>_xll.BQL("JBLU US Equity", "FA_GROWTH(CF_CASH_AND_CASH_EQUIV_BEG_BAL, YOY)", "FPT=A", "FPO=-4A", "ACT_EST_MAPPING=PRECISE", "FS=MRC", "CURRENCY=USD", "XLFILL=b")</f>
        <v>48.467966573816156</v>
      </c>
    </row>
    <row r="345" spans="1:14" x14ac:dyDescent="0.2">
      <c r="A345" s="8" t="s">
        <v>373</v>
      </c>
      <c r="B345" s="4" t="s">
        <v>374</v>
      </c>
      <c r="C345" s="4"/>
      <c r="D345" s="4"/>
      <c r="E345" s="9" t="str">
        <f>_xll.BQL("JBLU US Equity", "CF_CASH_AND_CASH_EQUIV_END_BAL/1M", "FPT=A", "FPO=5A", "ACT_EST_MAPPING=PRECISE", "FS=MRC", "CURRENCY=USD", "XLFILL=b")</f>
        <v/>
      </c>
      <c r="F345" s="9" t="str">
        <f>_xll.BQL("JBLU US Equity", "CF_CASH_AND_CASH_EQUIV_END_BAL/1M", "FPT=A", "FPO=4A", "ACT_EST_MAPPING=PRECISE", "FS=MRC", "CURRENCY=USD", "XLFILL=b")</f>
        <v/>
      </c>
      <c r="G345" s="9">
        <f>_xll.BQL("JBLU US Equity", "CF_CASH_AND_CASH_EQUIV_END_BAL/1M", "FPT=A", "FPO=3A", "ACT_EST_MAPPING=PRECISE", "FS=MRC", "CURRENCY=USD", "XLFILL=b")</f>
        <v>2913.2142495097009</v>
      </c>
      <c r="H345" s="9">
        <f>_xll.BQL("JBLU US Equity", "CF_CASH_AND_CASH_EQUIV_END_BAL/1M", "FPT=A", "FPO=2A", "ACT_EST_MAPPING=PRECISE", "FS=MRC", "CURRENCY=USD", "XLFILL=b")</f>
        <v>2926.2301099772449</v>
      </c>
      <c r="I345" s="9">
        <f>_xll.BQL("JBLU US Equity", "CF_CASH_AND_CASH_EQUIV_END_BAL/1M", "FPT=A", "FPO=1A", "ACT_EST_MAPPING=PRECISE", "FS=MRC", "CURRENCY=USD", "XLFILL=b")</f>
        <v>3390.6928421847765</v>
      </c>
      <c r="J345" s="9">
        <f>_xll.BQL("JBLU US Equity", "CF_CASH_AND_CASH_EQUIV_END_BAL/1M", "FPT=A", "FPO=0A", "ACT_EST_MAPPING=PRECISE", "FS=MRC", "CURRENCY=USD", "XLFILL=b")</f>
        <v>1317</v>
      </c>
      <c r="K345" s="9">
        <f>_xll.BQL("JBLU US Equity", "CF_CASH_AND_CASH_EQUIV_END_BAL/1M", "FPT=A", "FPO=-1A", "ACT_EST_MAPPING=PRECISE", "FS=MRC", "CURRENCY=USD", "XLFILL=b")</f>
        <v>1188</v>
      </c>
      <c r="L345" s="9">
        <f>_xll.BQL("JBLU US Equity", "CF_CASH_AND_CASH_EQUIV_END_BAL/1M", "FPT=A", "FPO=-2A", "ACT_EST_MAPPING=PRECISE", "FS=MRC", "CURRENCY=USD", "XLFILL=b")</f>
        <v>2077</v>
      </c>
      <c r="M345" s="9">
        <f>_xll.BQL("JBLU US Equity", "CF_CASH_AND_CASH_EQUIV_END_BAL/1M", "FPT=A", "FPO=-3A", "ACT_EST_MAPPING=PRECISE", "FS=MRC", "CURRENCY=USD", "XLFILL=b")</f>
        <v>1969</v>
      </c>
      <c r="N345" s="9">
        <f>_xll.BQL("JBLU US Equity", "CF_CASH_AND_CASH_EQUIV_END_BAL/1M", "FPT=A", "FPO=-4A", "ACT_EST_MAPPING=PRECISE", "FS=MRC", "CURRENCY=USD", "XLFILL=b")</f>
        <v>1018</v>
      </c>
    </row>
    <row r="346" spans="1:14" x14ac:dyDescent="0.2">
      <c r="A346" s="8" t="s">
        <v>96</v>
      </c>
      <c r="B346" s="4" t="s">
        <v>374</v>
      </c>
      <c r="C346" s="4"/>
      <c r="D346" s="4"/>
      <c r="E346" s="9" t="str">
        <f>_xll.BQL("JBLU US Equity", "FA_GROWTH(CF_CASH_AND_CASH_EQUIV_END_BAL, YOY)", "FPT=A", "FPO=5A", "ACT_EST_MAPPING=PRECISE", "FS=MRC", "CURRENCY=USD", "XLFILL=b")</f>
        <v/>
      </c>
      <c r="F346" s="9" t="str">
        <f>_xll.BQL("JBLU US Equity", "FA_GROWTH(CF_CASH_AND_CASH_EQUIV_END_BAL, YOY)", "FPT=A", "FPO=4A", "ACT_EST_MAPPING=PRECISE", "FS=MRC", "CURRENCY=USD", "XLFILL=b")</f>
        <v/>
      </c>
      <c r="G346" s="9">
        <f>_xll.BQL("JBLU US Equity", "FA_GROWTH(CF_CASH_AND_CASH_EQUIV_END_BAL, YOY)", "FPT=A", "FPO=3A", "ACT_EST_MAPPING=PRECISE", "FS=MRC", "CURRENCY=USD", "XLFILL=b")</f>
        <v>-0.44479962198342954</v>
      </c>
      <c r="H346" s="9">
        <f>_xll.BQL("JBLU US Equity", "FA_GROWTH(CF_CASH_AND_CASH_EQUIV_END_BAL, YOY)", "FPT=A", "FPO=2A", "ACT_EST_MAPPING=PRECISE", "FS=MRC", "CURRENCY=USD", "XLFILL=b")</f>
        <v>-13.698165944994804</v>
      </c>
      <c r="I346" s="9">
        <f>_xll.BQL("JBLU US Equity", "FA_GROWTH(CF_CASH_AND_CASH_EQUIV_END_BAL, YOY)", "FPT=A", "FPO=1A", "ACT_EST_MAPPING=PRECISE", "FS=MRC", "CURRENCY=USD", "XLFILL=b")</f>
        <v>157.45579667310375</v>
      </c>
      <c r="J346" s="9">
        <f>_xll.BQL("JBLU US Equity", "FA_GROWTH(CF_CASH_AND_CASH_EQUIV_END_BAL, YOY)", "FPT=A", "FPO=0A", "ACT_EST_MAPPING=PRECISE", "FS=MRC", "CURRENCY=USD", "XLFILL=b")</f>
        <v>10.858585858585858</v>
      </c>
      <c r="K346" s="9">
        <f>_xll.BQL("JBLU US Equity", "FA_GROWTH(CF_CASH_AND_CASH_EQUIV_END_BAL, YOY)", "FPT=A", "FPO=-1A", "ACT_EST_MAPPING=PRECISE", "FS=MRC", "CURRENCY=USD", "XLFILL=b")</f>
        <v>-42.802118440057775</v>
      </c>
      <c r="L346" s="9">
        <f>_xll.BQL("JBLU US Equity", "FA_GROWTH(CF_CASH_AND_CASH_EQUIV_END_BAL, YOY)", "FPT=A", "FPO=-2A", "ACT_EST_MAPPING=PRECISE", "FS=MRC", "CURRENCY=USD", "XLFILL=b")</f>
        <v>5.4850177755205687</v>
      </c>
      <c r="M346" s="9">
        <f>_xll.BQL("JBLU US Equity", "FA_GROWTH(CF_CASH_AND_CASH_EQUIV_END_BAL, YOY)", "FPT=A", "FPO=-3A", "ACT_EST_MAPPING=PRECISE", "FS=MRC", "CURRENCY=USD", "XLFILL=b")</f>
        <v>93.418467583497048</v>
      </c>
      <c r="N346" s="9">
        <f>_xll.BQL("JBLU US Equity", "FA_GROWTH(CF_CASH_AND_CASH_EQUIV_END_BAL, YOY)", "FPT=A", "FPO=-4A", "ACT_EST_MAPPING=PRECISE", "FS=MRC", "CURRENCY=USD", "XLFILL=b")</f>
        <v>90.994371482176362</v>
      </c>
    </row>
    <row r="347" spans="1:14" x14ac:dyDescent="0.2">
      <c r="A347" s="8" t="s">
        <v>315</v>
      </c>
      <c r="B347" s="4"/>
      <c r="C347" s="4"/>
      <c r="D347" s="4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2">
      <c r="A348" s="8" t="s">
        <v>375</v>
      </c>
      <c r="B348" s="4" t="s">
        <v>376</v>
      </c>
      <c r="C348" s="4" t="s">
        <v>377</v>
      </c>
      <c r="D348" s="4"/>
      <c r="E348" s="9" t="str">
        <f>_xll.BQL("JBLU US Equity", "HEADLINE_FCF/1M", "FPT=A", "FPO=5A", "ACT_EST_MAPPING=PRECISE", "FS=MRC", "CURRENCY=USD", "XLFILL=b")</f>
        <v/>
      </c>
      <c r="F348" s="9" t="str">
        <f>_xll.BQL("JBLU US Equity", "HEADLINE_FCF/1M", "FPT=A", "FPO=4A", "ACT_EST_MAPPING=PRECISE", "FS=MRC", "CURRENCY=USD", "XLFILL=b")</f>
        <v/>
      </c>
      <c r="G348" s="9">
        <f>_xll.BQL("JBLU US Equity", "HEADLINE_FCF/1M", "FPT=A", "FPO=3A", "ACT_EST_MAPPING=PRECISE", "FS=MRC", "CURRENCY=USD", "XLFILL=b")</f>
        <v>-86.244481390729533</v>
      </c>
      <c r="H348" s="9">
        <f>_xll.BQL("JBLU US Equity", "HEADLINE_FCF/1M", "FPT=A", "FPO=2A", "ACT_EST_MAPPING=PRECISE", "FS=MRC", "CURRENCY=USD", "XLFILL=b")</f>
        <v>-528.74757454524593</v>
      </c>
      <c r="I348" s="9">
        <f>_xll.BQL("JBLU US Equity", "HEADLINE_FCF/1M", "FPT=A", "FPO=1A", "ACT_EST_MAPPING=PRECISE", "FS=MRC", "CURRENCY=USD", "XLFILL=b")</f>
        <v>-1508.110535016652</v>
      </c>
      <c r="J348" s="9">
        <f>_xll.BQL("JBLU US Equity", "HEADLINE_FCF/1M", "FPT=A", "FPO=0A", "ACT_EST_MAPPING=PRECISE", "FS=MRC", "CURRENCY=USD", "XLFILL=b")</f>
        <v>-806</v>
      </c>
      <c r="K348" s="9">
        <f>_xll.BQL("JBLU US Equity", "HEADLINE_FCF/1M", "FPT=A", "FPO=-1A", "ACT_EST_MAPPING=PRECISE", "FS=MRC", "CURRENCY=USD", "XLFILL=b")</f>
        <v>-544</v>
      </c>
      <c r="L348" s="9">
        <f>_xll.BQL("JBLU US Equity", "HEADLINE_FCF/1M", "FPT=A", "FPO=-2A", "ACT_EST_MAPPING=PRECISE", "FS=MRC", "CURRENCY=USD", "XLFILL=b")</f>
        <v>647</v>
      </c>
      <c r="M348" s="9">
        <f>_xll.BQL("JBLU US Equity", "HEADLINE_FCF/1M", "FPT=A", "FPO=-3A", "ACT_EST_MAPPING=PRECISE", "FS=MRC", "CURRENCY=USD", "XLFILL=b")</f>
        <v>1474</v>
      </c>
      <c r="N348" s="9">
        <f>_xll.BQL("JBLU US Equity", "HEADLINE_FCF/1M", "FPT=A", "FPO=-4A", "ACT_EST_MAPPING=PRECISE", "FS=MRC", "CURRENCY=USD", "XLFILL=b")</f>
        <v>293</v>
      </c>
    </row>
    <row r="349" spans="1:14" x14ac:dyDescent="0.2">
      <c r="A349" s="8" t="s">
        <v>84</v>
      </c>
      <c r="B349" s="4" t="s">
        <v>376</v>
      </c>
      <c r="C349" s="4" t="s">
        <v>377</v>
      </c>
      <c r="D349" s="4"/>
      <c r="E349" s="9" t="str">
        <f>_xll.BQL("JBLU US Equity", "FA_GROWTH(HEADLINE_FCF, YOY)", "FPT=A", "FPO=5A", "ACT_EST_MAPPING=PRECISE", "FS=MRC", "CURRENCY=USD", "XLFILL=b")</f>
        <v/>
      </c>
      <c r="F349" s="9" t="str">
        <f>_xll.BQL("JBLU US Equity", "FA_GROWTH(HEADLINE_FCF, YOY)", "FPT=A", "FPO=4A", "ACT_EST_MAPPING=PRECISE", "FS=MRC", "CURRENCY=USD", "XLFILL=b")</f>
        <v/>
      </c>
      <c r="G349" s="9">
        <f>_xll.BQL("JBLU US Equity", "FA_GROWTH(HEADLINE_FCF, YOY)", "FPT=A", "FPO=3A", "ACT_EST_MAPPING=PRECISE", "FS=MRC", "CURRENCY=USD", "XLFILL=b")</f>
        <v>83.688912149638725</v>
      </c>
      <c r="H349" s="9">
        <f>_xll.BQL("JBLU US Equity", "FA_GROWTH(HEADLINE_FCF, YOY)", "FPT=A", "FPO=2A", "ACT_EST_MAPPING=PRECISE", "FS=MRC", "CURRENCY=USD", "XLFILL=b")</f>
        <v>64.939733377075854</v>
      </c>
      <c r="I349" s="9">
        <f>_xll.BQL("JBLU US Equity", "FA_GROWTH(HEADLINE_FCF, YOY)", "FPT=A", "FPO=1A", "ACT_EST_MAPPING=PRECISE", "FS=MRC", "CURRENCY=USD", "XLFILL=b")</f>
        <v>-87.110488215465494</v>
      </c>
      <c r="J349" s="9">
        <f>_xll.BQL("JBLU US Equity", "FA_GROWTH(HEADLINE_FCF, YOY)", "FPT=A", "FPO=0A", "ACT_EST_MAPPING=PRECISE", "FS=MRC", "CURRENCY=USD", "XLFILL=b")</f>
        <v>-48.161764705882355</v>
      </c>
      <c r="K349" s="9">
        <f>_xll.BQL("JBLU US Equity", "FA_GROWTH(HEADLINE_FCF, YOY)", "FPT=A", "FPO=-1A", "ACT_EST_MAPPING=PRECISE", "FS=MRC", "CURRENCY=USD", "XLFILL=b")</f>
        <v>-184.08037094281298</v>
      </c>
      <c r="L349" s="9">
        <f>_xll.BQL("JBLU US Equity", "FA_GROWTH(HEADLINE_FCF, YOY)", "FPT=A", "FPO=-2A", "ACT_EST_MAPPING=PRECISE", "FS=MRC", "CURRENCY=USD", "XLFILL=b")</f>
        <v>-56.105834464043419</v>
      </c>
      <c r="M349" s="9">
        <f>_xll.BQL("JBLU US Equity", "FA_GROWTH(HEADLINE_FCF, YOY)", "FPT=A", "FPO=-3A", "ACT_EST_MAPPING=PRECISE", "FS=MRC", "CURRENCY=USD", "XLFILL=b")</f>
        <v>403.07167235494882</v>
      </c>
      <c r="N349" s="9">
        <f>_xll.BQL("JBLU US Equity", "FA_GROWTH(HEADLINE_FCF, YOY)", "FPT=A", "FPO=-4A", "ACT_EST_MAPPING=PRECISE", "FS=MRC", "CURRENCY=USD", "XLFILL=b")</f>
        <v>240.69767441860466</v>
      </c>
    </row>
    <row r="350" spans="1:14" x14ac:dyDescent="0.2">
      <c r="A350" s="8" t="s">
        <v>378</v>
      </c>
      <c r="B350" s="4" t="s">
        <v>379</v>
      </c>
      <c r="C350" s="4"/>
      <c r="D350" s="4"/>
      <c r="E350" s="9" t="str">
        <f>_xll.BQL("JBLU US Equity", "CAP_EXPEND_TO_SALES", "FPT=A", "FPO=5A", "ACT_EST_MAPPING=PRECISE", "FS=MRC", "CURRENCY=USD", "XLFILL=b")</f>
        <v/>
      </c>
      <c r="F350" s="9" t="str">
        <f>_xll.BQL("JBLU US Equity", "CAP_EXPEND_TO_SALES", "FPT=A", "FPO=4A", "ACT_EST_MAPPING=PRECISE", "FS=MRC", "CURRENCY=USD", "XLFILL=b")</f>
        <v/>
      </c>
      <c r="G350" s="9">
        <f>_xll.BQL("JBLU US Equity", "CAP_EXPEND_TO_SALES", "FPT=A", "FPO=3A", "ACT_EST_MAPPING=PRECISE", "FS=MRC", "CURRENCY=USD", "XLFILL=b")</f>
        <v>10.211493049434859</v>
      </c>
      <c r="H350" s="9">
        <f>_xll.BQL("JBLU US Equity", "CAP_EXPEND_TO_SALES", "FPT=A", "FPO=2A", "ACT_EST_MAPPING=PRECISE", "FS=MRC", "CURRENCY=USD", "XLFILL=b")</f>
        <v>12.920383789835361</v>
      </c>
      <c r="I350" s="9">
        <f>_xll.BQL("JBLU US Equity", "CAP_EXPEND_TO_SALES", "FPT=A", "FPO=1A", "ACT_EST_MAPPING=PRECISE", "FS=MRC", "CURRENCY=USD", "XLFILL=b")</f>
        <v>16.345716651480668</v>
      </c>
      <c r="J350" s="9">
        <f>_xll.BQL("JBLU US Equity", "CAP_EXPEND_TO_SALES", "FPT=A", "FPO=0A", "ACT_EST_MAPPING=PRECISE", "FS=MRC", "CURRENCY=USD", "XLFILL=b")</f>
        <v>12.542901716068645</v>
      </c>
      <c r="K350" s="9">
        <f>_xll.BQL("JBLU US Equity", "CAP_EXPEND_TO_SALES", "FPT=A", "FPO=-1A", "ACT_EST_MAPPING=PRECISE", "FS=MRC", "CURRENCY=USD", "XLFILL=b")</f>
        <v>10.078619785979472</v>
      </c>
      <c r="L350" s="9">
        <f>_xll.BQL("JBLU US Equity", "CAP_EXPEND_TO_SALES", "FPT=A", "FPO=-2A", "ACT_EST_MAPPING=PRECISE", "FS=MRC", "CURRENCY=USD", "XLFILL=b")</f>
        <v>16.481696206725193</v>
      </c>
      <c r="M350" s="9">
        <f>_xll.BQL("JBLU US Equity", "CAP_EXPEND_TO_SALES", "FPT=A", "FPO=-3A", "ACT_EST_MAPPING=PRECISE", "FS=MRC", "CURRENCY=USD", "XLFILL=b")</f>
        <v>26.750084545147107</v>
      </c>
      <c r="N350" s="9">
        <f>_xll.BQL("JBLU US Equity", "CAP_EXPEND_TO_SALES", "FPT=A", "FPO=-4A", "ACT_EST_MAPPING=PRECISE", "FS=MRC", "CURRENCY=USD", "XLFILL=b")</f>
        <v>14.282184334074625</v>
      </c>
    </row>
    <row r="351" spans="1:14" x14ac:dyDescent="0.2">
      <c r="A351" s="8" t="s">
        <v>84</v>
      </c>
      <c r="B351" s="4" t="s">
        <v>379</v>
      </c>
      <c r="C351" s="4"/>
      <c r="D351" s="4"/>
      <c r="E351" s="9" t="str">
        <f>_xll.BQL("JBLU US Equity", "FA_GROWTH(CAP_EXPEND_TO_SALES, YOY)", "FPT=A", "FPO=5A", "ACT_EST_MAPPING=PRECISE", "FS=MRC", "CURRENCY=USD", "XLFILL=b")</f>
        <v/>
      </c>
      <c r="F351" s="9" t="str">
        <f>_xll.BQL("JBLU US Equity", "FA_GROWTH(CAP_EXPEND_TO_SALES, YOY)", "FPT=A", "FPO=4A", "ACT_EST_MAPPING=PRECISE", "FS=MRC", "CURRENCY=USD", "XLFILL=b")</f>
        <v/>
      </c>
      <c r="G351" s="9">
        <f>_xll.BQL("JBLU US Equity", "FA_GROWTH(CAP_EXPEND_TO_SALES, YOY)", "FPT=A", "FPO=3A", "ACT_EST_MAPPING=PRECISE", "FS=MRC", "CURRENCY=USD", "XLFILL=b")</f>
        <v>-20.966023799785443</v>
      </c>
      <c r="H351" s="9">
        <f>_xll.BQL("JBLU US Equity", "FA_GROWTH(CAP_EXPEND_TO_SALES, YOY)", "FPT=A", "FPO=2A", "ACT_EST_MAPPING=PRECISE", "FS=MRC", "CURRENCY=USD", "XLFILL=b")</f>
        <v>-20.955537983922074</v>
      </c>
      <c r="I351" s="9">
        <f>_xll.BQL("JBLU US Equity", "FA_GROWTH(CAP_EXPEND_TO_SALES, YOY)", "FPT=A", "FPO=1A", "ACT_EST_MAPPING=PRECISE", "FS=MRC", "CURRENCY=USD", "XLFILL=b")</f>
        <v>30.318462358197838</v>
      </c>
      <c r="J351" s="9">
        <f>_xll.BQL("JBLU US Equity", "FA_GROWTH(CAP_EXPEND_TO_SALES, YOY)", "FPT=A", "FPO=0A", "ACT_EST_MAPPING=PRECISE", "FS=MRC", "CURRENCY=USD", "XLFILL=b")</f>
        <v>24.450589291177302</v>
      </c>
      <c r="K351" s="9">
        <f>_xll.BQL("JBLU US Equity", "FA_GROWTH(CAP_EXPEND_TO_SALES, YOY)", "FPT=A", "FPO=-1A", "ACT_EST_MAPPING=PRECISE", "FS=MRC", "CURRENCY=USD", "XLFILL=b")</f>
        <v>-38.849620454313495</v>
      </c>
      <c r="L351" s="9">
        <f>_xll.BQL("JBLU US Equity", "FA_GROWTH(CAP_EXPEND_TO_SALES, YOY)", "FPT=A", "FPO=-2A", "ACT_EST_MAPPING=PRECISE", "FS=MRC", "CURRENCY=USD", "XLFILL=b")</f>
        <v>-38.386377138702407</v>
      </c>
      <c r="M351" s="9">
        <f>_xll.BQL("JBLU US Equity", "FA_GROWTH(CAP_EXPEND_TO_SALES, YOY)", "FPT=A", "FPO=-3A", "ACT_EST_MAPPING=PRECISE", "FS=MRC", "CURRENCY=USD", "XLFILL=b")</f>
        <v>87.29687223911823</v>
      </c>
      <c r="N351" s="9">
        <f>_xll.BQL("JBLU US Equity", "FA_GROWTH(CAP_EXPEND_TO_SALES, YOY)", "FPT=A", "FPO=-4A", "ACT_EST_MAPPING=PRECISE", "FS=MRC", "CURRENCY=USD", "XLFILL=b")</f>
        <v>-1.819598177429544</v>
      </c>
    </row>
    <row r="352" spans="1:14" x14ac:dyDescent="0.2">
      <c r="A352" s="5" t="s">
        <v>380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b5b7-7f01-49f9-bb97-0098589272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6" ma:contentTypeDescription="Create a new document." ma:contentTypeScope="" ma:versionID="44e1c9a8f18c8400ac2913167fe8d885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c749bd41d9ee63dddd32e6e1d85d6323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A94BCB-7FD8-4399-8486-984BEAAA8F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5DECAE-A6D0-4D89-8D37-CD7FFB553FD9}">
  <ds:schemaRefs>
    <ds:schemaRef ds:uri="http://schemas.microsoft.com/office/2006/metadata/properties"/>
    <ds:schemaRef ds:uri="http://schemas.microsoft.com/office/infopath/2007/PartnerControls"/>
    <ds:schemaRef ds:uri="e1ffb5b7-7f01-49f9-bb97-00985892725c"/>
  </ds:schemaRefs>
</ds:datastoreItem>
</file>

<file path=customXml/itemProps3.xml><?xml version="1.0" encoding="utf-8"?>
<ds:datastoreItem xmlns:ds="http://schemas.openxmlformats.org/officeDocument/2006/customXml" ds:itemID="{9A8C862D-4788-4CE9-8894-D5F75A1AF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2024-09-29T01:20:03Z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