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hisalian/Desktop/CDC-datathon/AirlineFinancials/"/>
    </mc:Choice>
  </mc:AlternateContent>
  <xr:revisionPtr revIDLastSave="0" documentId="13_ncr:1_{58A84BA6-E0B8-A14B-83A9-FD0FC0F2472D}" xr6:coauthVersionLast="47" xr6:coauthVersionMax="47" xr10:uidLastSave="{00000000-0000-0000-0000-000000000000}"/>
  <bookViews>
    <workbookView xWindow="0" yWindow="780" windowWidth="29040" windowHeight="15720" xr2:uid="{00000000-000D-0000-FFFF-FFFF00000000}"/>
  </bookViews>
  <sheets>
    <sheet name="Multiple Period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2" l="1"/>
  <c r="E314" i="2"/>
  <c r="E80" i="2"/>
  <c r="E38" i="2"/>
  <c r="E222" i="2"/>
  <c r="E145" i="2"/>
  <c r="E282" i="2"/>
  <c r="E359" i="2"/>
  <c r="E14" i="2"/>
  <c r="E124" i="2"/>
  <c r="E395" i="2"/>
  <c r="E329" i="2"/>
  <c r="E170" i="2"/>
  <c r="E321" i="2"/>
  <c r="E294" i="2"/>
  <c r="E350" i="2"/>
  <c r="E96" i="2"/>
  <c r="E60" i="2"/>
  <c r="E19" i="2"/>
  <c r="E74" i="2"/>
  <c r="E31" i="2"/>
  <c r="E263" i="2"/>
  <c r="E105" i="2"/>
  <c r="E163" i="2"/>
  <c r="E382" i="2"/>
  <c r="E101" i="2"/>
  <c r="E306" i="2"/>
  <c r="E234" i="2"/>
  <c r="E403" i="2"/>
  <c r="E183" i="2"/>
  <c r="E202" i="2"/>
  <c r="E345" i="2"/>
  <c r="E155" i="2"/>
  <c r="E397" i="2"/>
  <c r="E236" i="2"/>
  <c r="E153" i="2"/>
  <c r="E394" i="2"/>
  <c r="E304" i="2"/>
  <c r="E62" i="2"/>
  <c r="E41" i="2"/>
  <c r="E399" i="2"/>
  <c r="E56" i="2"/>
  <c r="E23" i="2"/>
  <c r="E154" i="2"/>
  <c r="E135" i="2"/>
  <c r="E274" i="2"/>
  <c r="E308" i="2"/>
  <c r="E103" i="2"/>
  <c r="E150" i="2"/>
  <c r="E267" i="2"/>
  <c r="E273" i="2"/>
  <c r="E292" i="2"/>
  <c r="E162" i="2"/>
  <c r="E358" i="2"/>
  <c r="E299" i="2"/>
  <c r="E134" i="2"/>
  <c r="E149" i="2"/>
  <c r="E279" i="2"/>
  <c r="E70" i="2"/>
  <c r="E28" i="2"/>
  <c r="E313" i="2"/>
  <c r="E331" i="2"/>
  <c r="E190" i="2"/>
  <c r="E239" i="2"/>
  <c r="E104" i="2"/>
  <c r="E325" i="2"/>
  <c r="E68" i="2"/>
  <c r="E58" i="2"/>
  <c r="E36" i="2"/>
  <c r="E255" i="2"/>
  <c r="E372" i="2"/>
  <c r="E195" i="2"/>
  <c r="E275" i="2"/>
  <c r="E79" i="2"/>
  <c r="E305" i="2"/>
  <c r="E266" i="2"/>
  <c r="E233" i="2"/>
  <c r="E245" i="2"/>
  <c r="E136" i="2"/>
  <c r="E311" i="2"/>
  <c r="E339" i="2"/>
  <c r="E205" i="2"/>
  <c r="E338" i="2"/>
  <c r="E6" i="2"/>
  <c r="E226" i="2"/>
  <c r="E347" i="2"/>
  <c r="E108" i="2"/>
  <c r="E291" i="2"/>
  <c r="E303" i="2"/>
  <c r="E176" i="2"/>
  <c r="E330" i="2"/>
  <c r="E166" i="2"/>
  <c r="E237" i="2"/>
  <c r="E4" i="2"/>
  <c r="E365" i="2"/>
  <c r="E302" i="2"/>
  <c r="E223" i="2"/>
  <c r="E281" i="2"/>
  <c r="E361" i="2"/>
  <c r="E3" i="2"/>
  <c r="E254" i="2"/>
  <c r="E251" i="2"/>
  <c r="E385" i="2"/>
  <c r="E76" i="2"/>
  <c r="E33" i="2"/>
  <c r="E185" i="2"/>
  <c r="E194" i="2"/>
  <c r="E289" i="2"/>
  <c r="E276" i="2"/>
  <c r="E72" i="2"/>
  <c r="E265" i="2"/>
  <c r="E297" i="2"/>
  <c r="E107" i="2"/>
  <c r="E187" i="2"/>
  <c r="E337" i="2"/>
  <c r="E179" i="2"/>
  <c r="E356" i="2"/>
  <c r="E364" i="2"/>
  <c r="E148" i="2"/>
  <c r="E159" i="2"/>
  <c r="E243" i="2"/>
  <c r="E97" i="2"/>
  <c r="E137" i="2"/>
  <c r="E380" i="2"/>
  <c r="E208" i="2"/>
  <c r="E102" i="2"/>
  <c r="E169" i="2"/>
  <c r="E264" i="2"/>
  <c r="E352" i="2"/>
  <c r="E83" i="2"/>
  <c r="E301" i="2"/>
  <c r="E210" i="2"/>
  <c r="E261" i="2"/>
  <c r="E257" i="2"/>
  <c r="E351" i="2"/>
  <c r="E324" i="2"/>
  <c r="E91" i="2"/>
  <c r="E240" i="2"/>
  <c r="E82" i="2"/>
  <c r="E298" i="2"/>
  <c r="E138" i="2"/>
  <c r="E143" i="2"/>
  <c r="E133" i="2"/>
  <c r="E123" i="2"/>
  <c r="E384" i="2"/>
  <c r="E142" i="2"/>
  <c r="E218" i="2"/>
  <c r="E48" i="2"/>
  <c r="E216" i="2"/>
  <c r="E89" i="2"/>
  <c r="E66" i="2"/>
  <c r="E26" i="2"/>
  <c r="E377" i="2"/>
  <c r="E285" i="2"/>
  <c r="E12" i="2"/>
  <c r="E116" i="2"/>
  <c r="E54" i="2"/>
  <c r="E21" i="2"/>
  <c r="E86" i="2"/>
  <c r="E278" i="2"/>
  <c r="E182" i="2"/>
  <c r="E110" i="2"/>
  <c r="E376" i="2"/>
  <c r="E158" i="2"/>
  <c r="E100" i="2"/>
  <c r="E140" i="2"/>
  <c r="E335" i="2"/>
  <c r="E287" i="2"/>
  <c r="E7" i="2"/>
  <c r="E227" i="2"/>
  <c r="E211" i="2"/>
  <c r="E312" i="2"/>
  <c r="E73" i="2"/>
  <c r="E118" i="2"/>
  <c r="E98" i="2"/>
  <c r="E386" i="2"/>
  <c r="E383" i="2"/>
  <c r="E371" i="2"/>
  <c r="E177" i="2"/>
  <c r="E160" i="2"/>
  <c r="E144" i="2"/>
  <c r="E221" i="2"/>
  <c r="E231" i="2"/>
  <c r="E295" i="2"/>
  <c r="E46" i="2"/>
  <c r="E214" i="2"/>
  <c r="E165" i="2"/>
  <c r="E93" i="2"/>
  <c r="E336" i="2"/>
  <c r="E178" i="2"/>
  <c r="E316" i="2"/>
  <c r="E43" i="2"/>
  <c r="E224" i="2"/>
  <c r="E219" i="2"/>
  <c r="E157" i="2"/>
  <c r="E288" i="2"/>
  <c r="E193" i="2"/>
  <c r="E220" i="2"/>
  <c r="E256" i="2"/>
  <c r="E16" i="2"/>
  <c r="E126" i="2"/>
  <c r="E283" i="2"/>
  <c r="E94" i="2"/>
  <c r="E206" i="2"/>
  <c r="E387" i="2"/>
  <c r="E241" i="2"/>
  <c r="E252" i="2"/>
  <c r="E368" i="2"/>
  <c r="E121" i="2"/>
  <c r="E174" i="2"/>
  <c r="E328" i="2"/>
  <c r="E300" i="2"/>
  <c r="E259" i="2"/>
  <c r="E247" i="2"/>
  <c r="E344" i="2"/>
  <c r="E198" i="2"/>
  <c r="E353" i="2"/>
  <c r="E379" i="2"/>
  <c r="E400" i="2"/>
  <c r="E333" i="2"/>
  <c r="E253" i="2"/>
  <c r="E262" i="2"/>
  <c r="E258" i="2"/>
  <c r="E242" i="2"/>
  <c r="E357" i="2"/>
  <c r="E286" i="2"/>
  <c r="E260" i="2"/>
  <c r="E248" i="2"/>
  <c r="E171" i="2"/>
  <c r="E355" i="2"/>
  <c r="E167" i="2"/>
  <c r="E207" i="2"/>
  <c r="E332" i="2"/>
  <c r="E367" i="2"/>
  <c r="E402" i="2"/>
  <c r="E201" i="2"/>
  <c r="E310" i="2"/>
  <c r="E81" i="2"/>
  <c r="E39" i="2"/>
  <c r="E59" i="2"/>
  <c r="E37" i="2"/>
  <c r="E307" i="2"/>
  <c r="E268" i="2"/>
  <c r="E63" i="2"/>
  <c r="E42" i="2"/>
  <c r="E290" i="2"/>
  <c r="E67" i="2"/>
  <c r="E27" i="2"/>
  <c r="E146" i="2"/>
  <c r="E369" i="2"/>
  <c r="E13" i="2"/>
  <c r="E117" i="2"/>
  <c r="E57" i="2"/>
  <c r="E24" i="2"/>
  <c r="E44" i="2"/>
  <c r="E225" i="2"/>
  <c r="E55" i="2"/>
  <c r="E22" i="2"/>
  <c r="E277" i="2"/>
  <c r="E322" i="2"/>
  <c r="E323" i="2"/>
  <c r="E326" i="2"/>
  <c r="E47" i="2"/>
  <c r="E215" i="2"/>
  <c r="E65" i="2"/>
  <c r="E71" i="2"/>
  <c r="E29" i="2"/>
  <c r="E389" i="2"/>
  <c r="E69" i="2"/>
  <c r="E49" i="2"/>
  <c r="E217" i="2"/>
  <c r="E280" i="2"/>
  <c r="E75" i="2"/>
  <c r="E32" i="2"/>
  <c r="E348" i="2"/>
  <c r="E346" i="2"/>
  <c r="E156" i="2"/>
  <c r="E111" i="2"/>
  <c r="E61" i="2"/>
  <c r="E20" i="2"/>
  <c r="E404" i="2"/>
  <c r="E77" i="2"/>
  <c r="E34" i="2"/>
  <c r="E151" i="2"/>
  <c r="E381" i="2"/>
  <c r="E17" i="2"/>
  <c r="E127" i="2"/>
  <c r="E15" i="2"/>
  <c r="E125" i="2"/>
  <c r="E238" i="2"/>
  <c r="E393" i="2"/>
  <c r="E119" i="2"/>
  <c r="E296" i="2"/>
  <c r="E87" i="2"/>
  <c r="E95" i="2"/>
  <c r="E192" i="2"/>
  <c r="E78" i="2"/>
  <c r="E203" i="2"/>
  <c r="E9" i="2"/>
  <c r="E131" i="2"/>
  <c r="E115" i="2"/>
  <c r="E293" i="2"/>
  <c r="E373" i="2"/>
  <c r="E246" i="2"/>
  <c r="E244" i="2"/>
  <c r="E249" i="2"/>
  <c r="E200" i="2"/>
  <c r="E378" i="2"/>
  <c r="E175" i="2"/>
  <c r="E180" i="2"/>
  <c r="E360" i="2"/>
  <c r="E232" i="2"/>
  <c r="E8" i="2"/>
  <c r="E130" i="2"/>
  <c r="E114" i="2"/>
  <c r="E309" i="2"/>
  <c r="E392" i="2"/>
  <c r="E396" i="2"/>
  <c r="E235" i="2"/>
  <c r="E184" i="2"/>
  <c r="E366" i="2"/>
  <c r="E84" i="2"/>
  <c r="E250" i="2"/>
  <c r="E354" i="2"/>
  <c r="E99" i="2"/>
  <c r="E147" i="2"/>
  <c r="E181" i="2"/>
  <c r="E109" i="2"/>
  <c r="E317" i="2"/>
  <c r="E269" i="2"/>
  <c r="E164" i="2"/>
  <c r="E141" i="2"/>
  <c r="E388" i="2"/>
  <c r="E284" i="2"/>
  <c r="E106" i="2"/>
  <c r="E318" i="2"/>
  <c r="E270" i="2"/>
  <c r="E152" i="2"/>
  <c r="E139" i="2"/>
  <c r="E370" i="2"/>
  <c r="E189" i="2"/>
  <c r="E188" i="2"/>
  <c r="E334" i="2"/>
  <c r="E172" i="2"/>
  <c r="E343" i="2"/>
  <c r="E197" i="2"/>
  <c r="E315" i="2"/>
  <c r="E401" i="2"/>
  <c r="E88" i="2"/>
  <c r="E85" i="2"/>
  <c r="E92" i="2"/>
  <c r="E120" i="2"/>
  <c r="E90" i="2"/>
  <c r="E122" i="2"/>
  <c r="N404" i="2"/>
  <c r="N402" i="2"/>
  <c r="N400" i="2"/>
  <c r="N397" i="2"/>
  <c r="N395" i="2"/>
  <c r="N393" i="2"/>
  <c r="N389" i="2"/>
  <c r="N387" i="2"/>
  <c r="N385" i="2"/>
  <c r="N383" i="2"/>
  <c r="N381" i="2"/>
  <c r="N379" i="2"/>
  <c r="N377" i="2"/>
  <c r="N373" i="2"/>
  <c r="N371" i="2"/>
  <c r="N369" i="2"/>
  <c r="N367" i="2"/>
  <c r="N365" i="2"/>
  <c r="N361" i="2"/>
  <c r="N359" i="2"/>
  <c r="N357" i="2"/>
  <c r="N355" i="2"/>
  <c r="N353" i="2"/>
  <c r="N351" i="2"/>
  <c r="N348" i="2"/>
  <c r="N346" i="2"/>
  <c r="N344" i="2"/>
  <c r="N339" i="2"/>
  <c r="N337" i="2"/>
  <c r="N335" i="2"/>
  <c r="N333" i="2"/>
  <c r="N331" i="2"/>
  <c r="N329" i="2"/>
  <c r="N326" i="2"/>
  <c r="N324" i="2"/>
  <c r="N322" i="2"/>
  <c r="N318" i="2"/>
  <c r="N316" i="2"/>
  <c r="N314" i="2"/>
  <c r="N312" i="2"/>
  <c r="N310" i="2"/>
  <c r="N308" i="2"/>
  <c r="N306" i="2"/>
  <c r="N304" i="2"/>
  <c r="N302" i="2"/>
  <c r="N300" i="2"/>
  <c r="N298" i="2"/>
  <c r="N296" i="2"/>
  <c r="N294" i="2"/>
  <c r="N292" i="2"/>
  <c r="N290" i="2"/>
  <c r="N288" i="2"/>
  <c r="N286" i="2"/>
  <c r="N284" i="2"/>
  <c r="N282" i="2"/>
  <c r="N280" i="2"/>
  <c r="N278" i="2"/>
  <c r="N276" i="2"/>
  <c r="N274" i="2"/>
  <c r="N270" i="2"/>
  <c r="N268" i="2"/>
  <c r="N266" i="2"/>
  <c r="N264" i="2"/>
  <c r="N262" i="2"/>
  <c r="N260" i="2"/>
  <c r="N258" i="2"/>
  <c r="N256" i="2"/>
  <c r="N254" i="2"/>
  <c r="N252" i="2"/>
  <c r="N250" i="2"/>
  <c r="N248" i="2"/>
  <c r="N246" i="2"/>
  <c r="N244" i="2"/>
  <c r="N242" i="2"/>
  <c r="N240" i="2"/>
  <c r="N238" i="2"/>
  <c r="N236" i="2"/>
  <c r="N234" i="2"/>
  <c r="N232" i="2"/>
  <c r="N227" i="2"/>
  <c r="N225" i="2"/>
  <c r="N223" i="2"/>
  <c r="N221" i="2"/>
  <c r="N219" i="2"/>
  <c r="N217" i="2"/>
  <c r="N215" i="2"/>
  <c r="N211" i="2"/>
  <c r="N208" i="2"/>
  <c r="N206" i="2"/>
  <c r="N203" i="2"/>
  <c r="N201" i="2"/>
  <c r="N198" i="2"/>
  <c r="N195" i="2"/>
  <c r="N193" i="2"/>
  <c r="N190" i="2"/>
  <c r="N188" i="2"/>
  <c r="N185" i="2"/>
  <c r="N183" i="2"/>
  <c r="N181" i="2"/>
  <c r="N179" i="2"/>
  <c r="N177" i="2"/>
  <c r="N175" i="2"/>
  <c r="N172" i="2"/>
  <c r="N170" i="2"/>
  <c r="N167" i="2"/>
  <c r="N165" i="2"/>
  <c r="N163" i="2"/>
  <c r="N160" i="2"/>
  <c r="N158" i="2"/>
  <c r="N156" i="2"/>
  <c r="N154" i="2"/>
  <c r="N152" i="2"/>
  <c r="N150" i="2"/>
  <c r="N148" i="2"/>
  <c r="N146" i="2"/>
  <c r="N144" i="2"/>
  <c r="N142" i="2"/>
  <c r="N140" i="2"/>
  <c r="N138" i="2"/>
  <c r="N136" i="2"/>
  <c r="N134" i="2"/>
  <c r="N131" i="2"/>
  <c r="N127" i="2"/>
  <c r="N125" i="2"/>
  <c r="N123" i="2"/>
  <c r="N121" i="2"/>
  <c r="N119" i="2"/>
  <c r="M404" i="2"/>
  <c r="M402" i="2"/>
  <c r="M400" i="2"/>
  <c r="M397" i="2"/>
  <c r="M395" i="2"/>
  <c r="M393" i="2"/>
  <c r="M389" i="2"/>
  <c r="M387" i="2"/>
  <c r="M385" i="2"/>
  <c r="M383" i="2"/>
  <c r="M381" i="2"/>
  <c r="M379" i="2"/>
  <c r="M377" i="2"/>
  <c r="M373" i="2"/>
  <c r="M371" i="2"/>
  <c r="M369" i="2"/>
  <c r="M367" i="2"/>
  <c r="M365" i="2"/>
  <c r="M361" i="2"/>
  <c r="M359" i="2"/>
  <c r="M357" i="2"/>
  <c r="M355" i="2"/>
  <c r="M353" i="2"/>
  <c r="M351" i="2"/>
  <c r="M348" i="2"/>
  <c r="M346" i="2"/>
  <c r="M344" i="2"/>
  <c r="M339" i="2"/>
  <c r="M337" i="2"/>
  <c r="M335" i="2"/>
  <c r="M333" i="2"/>
  <c r="M331" i="2"/>
  <c r="M329" i="2"/>
  <c r="M326" i="2"/>
  <c r="M324" i="2"/>
  <c r="M322" i="2"/>
  <c r="M318" i="2"/>
  <c r="M316" i="2"/>
  <c r="M314" i="2"/>
  <c r="M312" i="2"/>
  <c r="M310" i="2"/>
  <c r="M308" i="2"/>
  <c r="M306" i="2"/>
  <c r="M304" i="2"/>
  <c r="M302" i="2"/>
  <c r="M300" i="2"/>
  <c r="M298" i="2"/>
  <c r="M296" i="2"/>
  <c r="M294" i="2"/>
  <c r="M292" i="2"/>
  <c r="M290" i="2"/>
  <c r="M288" i="2"/>
  <c r="M286" i="2"/>
  <c r="M284" i="2"/>
  <c r="M282" i="2"/>
  <c r="M280" i="2"/>
  <c r="M278" i="2"/>
  <c r="M276" i="2"/>
  <c r="M274" i="2"/>
  <c r="M270" i="2"/>
  <c r="M268" i="2"/>
  <c r="M266" i="2"/>
  <c r="M264" i="2"/>
  <c r="M262" i="2"/>
  <c r="M260" i="2"/>
  <c r="M258" i="2"/>
  <c r="M256" i="2"/>
  <c r="M254" i="2"/>
  <c r="M252" i="2"/>
  <c r="M250" i="2"/>
  <c r="M248" i="2"/>
  <c r="M246" i="2"/>
  <c r="M244" i="2"/>
  <c r="M242" i="2"/>
  <c r="M240" i="2"/>
  <c r="M238" i="2"/>
  <c r="M236" i="2"/>
  <c r="M234" i="2"/>
  <c r="M232" i="2"/>
  <c r="M227" i="2"/>
  <c r="M225" i="2"/>
  <c r="M223" i="2"/>
  <c r="M221" i="2"/>
  <c r="M219" i="2"/>
  <c r="M217" i="2"/>
  <c r="M215" i="2"/>
  <c r="M211" i="2"/>
  <c r="M208" i="2"/>
  <c r="M206" i="2"/>
  <c r="M203" i="2"/>
  <c r="M201" i="2"/>
  <c r="M198" i="2"/>
  <c r="M195" i="2"/>
  <c r="M193" i="2"/>
  <c r="M190" i="2"/>
  <c r="M188" i="2"/>
  <c r="M185" i="2"/>
  <c r="M183" i="2"/>
  <c r="M181" i="2"/>
  <c r="M179" i="2"/>
  <c r="M177" i="2"/>
  <c r="M175" i="2"/>
  <c r="M172" i="2"/>
  <c r="M170" i="2"/>
  <c r="M167" i="2"/>
  <c r="M165" i="2"/>
  <c r="M163" i="2"/>
  <c r="M160" i="2"/>
  <c r="M158" i="2"/>
  <c r="M156" i="2"/>
  <c r="M154" i="2"/>
  <c r="M152" i="2"/>
  <c r="M150" i="2"/>
  <c r="M148" i="2"/>
  <c r="M146" i="2"/>
  <c r="M144" i="2"/>
  <c r="M142" i="2"/>
  <c r="M140" i="2"/>
  <c r="M138" i="2"/>
  <c r="M136" i="2"/>
  <c r="M134" i="2"/>
  <c r="M131" i="2"/>
  <c r="M127" i="2"/>
  <c r="M125" i="2"/>
  <c r="M123" i="2"/>
  <c r="M121" i="2"/>
  <c r="M119" i="2"/>
  <c r="L404" i="2"/>
  <c r="L402" i="2"/>
  <c r="L400" i="2"/>
  <c r="L397" i="2"/>
  <c r="L395" i="2"/>
  <c r="L393" i="2"/>
  <c r="L389" i="2"/>
  <c r="L387" i="2"/>
  <c r="L385" i="2"/>
  <c r="L383" i="2"/>
  <c r="L381" i="2"/>
  <c r="L379" i="2"/>
  <c r="L377" i="2"/>
  <c r="L373" i="2"/>
  <c r="L371" i="2"/>
  <c r="L369" i="2"/>
  <c r="L367" i="2"/>
  <c r="L365" i="2"/>
  <c r="L361" i="2"/>
  <c r="L359" i="2"/>
  <c r="L357" i="2"/>
  <c r="L355" i="2"/>
  <c r="L353" i="2"/>
  <c r="L351" i="2"/>
  <c r="L348" i="2"/>
  <c r="L346" i="2"/>
  <c r="L344" i="2"/>
  <c r="L339" i="2"/>
  <c r="L337" i="2"/>
  <c r="L335" i="2"/>
  <c r="L333" i="2"/>
  <c r="L331" i="2"/>
  <c r="L329" i="2"/>
  <c r="L326" i="2"/>
  <c r="L324" i="2"/>
  <c r="L322" i="2"/>
  <c r="L318" i="2"/>
  <c r="L316" i="2"/>
  <c r="L314" i="2"/>
  <c r="L312" i="2"/>
  <c r="L310" i="2"/>
  <c r="L308" i="2"/>
  <c r="L306" i="2"/>
  <c r="L304" i="2"/>
  <c r="L302" i="2"/>
  <c r="L300" i="2"/>
  <c r="L298" i="2"/>
  <c r="L296" i="2"/>
  <c r="L294" i="2"/>
  <c r="L292" i="2"/>
  <c r="L290" i="2"/>
  <c r="L288" i="2"/>
  <c r="L286" i="2"/>
  <c r="L284" i="2"/>
  <c r="L282" i="2"/>
  <c r="L280" i="2"/>
  <c r="L278" i="2"/>
  <c r="L276" i="2"/>
  <c r="L274" i="2"/>
  <c r="L270" i="2"/>
  <c r="L268" i="2"/>
  <c r="L266" i="2"/>
  <c r="L264" i="2"/>
  <c r="L262" i="2"/>
  <c r="L260" i="2"/>
  <c r="L258" i="2"/>
  <c r="L256" i="2"/>
  <c r="L254" i="2"/>
  <c r="L252" i="2"/>
  <c r="L250" i="2"/>
  <c r="L248" i="2"/>
  <c r="L246" i="2"/>
  <c r="L244" i="2"/>
  <c r="L242" i="2"/>
  <c r="L240" i="2"/>
  <c r="L238" i="2"/>
  <c r="L236" i="2"/>
  <c r="L234" i="2"/>
  <c r="L232" i="2"/>
  <c r="L227" i="2"/>
  <c r="L225" i="2"/>
  <c r="L223" i="2"/>
  <c r="L221" i="2"/>
  <c r="L219" i="2"/>
  <c r="L217" i="2"/>
  <c r="L215" i="2"/>
  <c r="L211" i="2"/>
  <c r="L208" i="2"/>
  <c r="L206" i="2"/>
  <c r="L203" i="2"/>
  <c r="L201" i="2"/>
  <c r="L198" i="2"/>
  <c r="L195" i="2"/>
  <c r="L193" i="2"/>
  <c r="L190" i="2"/>
  <c r="K404" i="2"/>
  <c r="K402" i="2"/>
  <c r="K400" i="2"/>
  <c r="K397" i="2"/>
  <c r="K395" i="2"/>
  <c r="K393" i="2"/>
  <c r="K389" i="2"/>
  <c r="K387" i="2"/>
  <c r="K385" i="2"/>
  <c r="K383" i="2"/>
  <c r="K381" i="2"/>
  <c r="K379" i="2"/>
  <c r="K377" i="2"/>
  <c r="K373" i="2"/>
  <c r="K371" i="2"/>
  <c r="K369" i="2"/>
  <c r="K367" i="2"/>
  <c r="K365" i="2"/>
  <c r="K361" i="2"/>
  <c r="K359" i="2"/>
  <c r="K357" i="2"/>
  <c r="K355" i="2"/>
  <c r="K353" i="2"/>
  <c r="K351" i="2"/>
  <c r="K348" i="2"/>
  <c r="K346" i="2"/>
  <c r="K344" i="2"/>
  <c r="K339" i="2"/>
  <c r="K337" i="2"/>
  <c r="K335" i="2"/>
  <c r="K333" i="2"/>
  <c r="K331" i="2"/>
  <c r="K329" i="2"/>
  <c r="K326" i="2"/>
  <c r="K324" i="2"/>
  <c r="K322" i="2"/>
  <c r="K318" i="2"/>
  <c r="K316" i="2"/>
  <c r="K314" i="2"/>
  <c r="K312" i="2"/>
  <c r="K310" i="2"/>
  <c r="K308" i="2"/>
  <c r="K306" i="2"/>
  <c r="K304" i="2"/>
  <c r="K302" i="2"/>
  <c r="K300" i="2"/>
  <c r="K298" i="2"/>
  <c r="K296" i="2"/>
  <c r="K294" i="2"/>
  <c r="K292" i="2"/>
  <c r="K290" i="2"/>
  <c r="K288" i="2"/>
  <c r="K286" i="2"/>
  <c r="K284" i="2"/>
  <c r="K282" i="2"/>
  <c r="K280" i="2"/>
  <c r="K278" i="2"/>
  <c r="K276" i="2"/>
  <c r="K274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42" i="2"/>
  <c r="K240" i="2"/>
  <c r="K238" i="2"/>
  <c r="K236" i="2"/>
  <c r="K234" i="2"/>
  <c r="K232" i="2"/>
  <c r="K227" i="2"/>
  <c r="K225" i="2"/>
  <c r="K223" i="2"/>
  <c r="K221" i="2"/>
  <c r="K219" i="2"/>
  <c r="K217" i="2"/>
  <c r="K215" i="2"/>
  <c r="K211" i="2"/>
  <c r="K208" i="2"/>
  <c r="K206" i="2"/>
  <c r="K203" i="2"/>
  <c r="K201" i="2"/>
  <c r="K198" i="2"/>
  <c r="K195" i="2"/>
  <c r="K193" i="2"/>
  <c r="K190" i="2"/>
  <c r="K188" i="2"/>
  <c r="K185" i="2"/>
  <c r="K183" i="2"/>
  <c r="K181" i="2"/>
  <c r="K179" i="2"/>
  <c r="K177" i="2"/>
  <c r="K175" i="2"/>
  <c r="K172" i="2"/>
  <c r="K170" i="2"/>
  <c r="K167" i="2"/>
  <c r="K165" i="2"/>
  <c r="K163" i="2"/>
  <c r="K160" i="2"/>
  <c r="K158" i="2"/>
  <c r="K156" i="2"/>
  <c r="J404" i="2"/>
  <c r="F402" i="2"/>
  <c r="L399" i="2"/>
  <c r="H396" i="2"/>
  <c r="J393" i="2"/>
  <c r="F389" i="2"/>
  <c r="L386" i="2"/>
  <c r="H384" i="2"/>
  <c r="J381" i="2"/>
  <c r="F379" i="2"/>
  <c r="L376" i="2"/>
  <c r="H372" i="2"/>
  <c r="J369" i="2"/>
  <c r="F367" i="2"/>
  <c r="L364" i="2"/>
  <c r="H360" i="2"/>
  <c r="J357" i="2"/>
  <c r="F355" i="2"/>
  <c r="L352" i="2"/>
  <c r="H350" i="2"/>
  <c r="J346" i="2"/>
  <c r="F344" i="2"/>
  <c r="L338" i="2"/>
  <c r="H336" i="2"/>
  <c r="J333" i="2"/>
  <c r="F331" i="2"/>
  <c r="L328" i="2"/>
  <c r="H325" i="2"/>
  <c r="J322" i="2"/>
  <c r="F318" i="2"/>
  <c r="L315" i="2"/>
  <c r="H313" i="2"/>
  <c r="J310" i="2"/>
  <c r="F308" i="2"/>
  <c r="L305" i="2"/>
  <c r="H303" i="2"/>
  <c r="J300" i="2"/>
  <c r="F298" i="2"/>
  <c r="L295" i="2"/>
  <c r="H293" i="2"/>
  <c r="J290" i="2"/>
  <c r="F288" i="2"/>
  <c r="L285" i="2"/>
  <c r="H283" i="2"/>
  <c r="I404" i="2"/>
  <c r="K399" i="2"/>
  <c r="G396" i="2"/>
  <c r="I393" i="2"/>
  <c r="K386" i="2"/>
  <c r="G384" i="2"/>
  <c r="I381" i="2"/>
  <c r="K376" i="2"/>
  <c r="G372" i="2"/>
  <c r="I369" i="2"/>
  <c r="K364" i="2"/>
  <c r="G360" i="2"/>
  <c r="I357" i="2"/>
  <c r="K352" i="2"/>
  <c r="G350" i="2"/>
  <c r="I346" i="2"/>
  <c r="K338" i="2"/>
  <c r="K401" i="2"/>
  <c r="G399" i="2"/>
  <c r="I395" i="2"/>
  <c r="K388" i="2"/>
  <c r="G386" i="2"/>
  <c r="I383" i="2"/>
  <c r="K378" i="2"/>
  <c r="G376" i="2"/>
  <c r="I371" i="2"/>
  <c r="K366" i="2"/>
  <c r="G364" i="2"/>
  <c r="I359" i="2"/>
  <c r="K354" i="2"/>
  <c r="G352" i="2"/>
  <c r="I348" i="2"/>
  <c r="K343" i="2"/>
  <c r="G338" i="2"/>
  <c r="I335" i="2"/>
  <c r="K330" i="2"/>
  <c r="G328" i="2"/>
  <c r="I324" i="2"/>
  <c r="K317" i="2"/>
  <c r="G315" i="2"/>
  <c r="I312" i="2"/>
  <c r="K307" i="2"/>
  <c r="G305" i="2"/>
  <c r="I302" i="2"/>
  <c r="K297" i="2"/>
  <c r="G295" i="2"/>
  <c r="I292" i="2"/>
  <c r="K287" i="2"/>
  <c r="G285" i="2"/>
  <c r="I282" i="2"/>
  <c r="K277" i="2"/>
  <c r="G275" i="2"/>
  <c r="I270" i="2"/>
  <c r="K265" i="2"/>
  <c r="G263" i="2"/>
  <c r="I260" i="2"/>
  <c r="K255" i="2"/>
  <c r="G253" i="2"/>
  <c r="I250" i="2"/>
  <c r="K245" i="2"/>
  <c r="G243" i="2"/>
  <c r="I240" i="2"/>
  <c r="K235" i="2"/>
  <c r="G233" i="2"/>
  <c r="I227" i="2"/>
  <c r="K222" i="2"/>
  <c r="G220" i="2"/>
  <c r="I217" i="2"/>
  <c r="K210" i="2"/>
  <c r="G207" i="2"/>
  <c r="I203" i="2"/>
  <c r="K197" i="2"/>
  <c r="G194" i="2"/>
  <c r="I190" i="2"/>
  <c r="F188" i="2"/>
  <c r="M184" i="2"/>
  <c r="J182" i="2"/>
  <c r="G180" i="2"/>
  <c r="L177" i="2"/>
  <c r="H175" i="2"/>
  <c r="L169" i="2"/>
  <c r="I166" i="2"/>
  <c r="F164" i="2"/>
  <c r="J160" i="2"/>
  <c r="G158" i="2"/>
  <c r="N155" i="2"/>
  <c r="L153" i="2"/>
  <c r="J151" i="2"/>
  <c r="H149" i="2"/>
  <c r="F147" i="2"/>
  <c r="L144" i="2"/>
  <c r="J142" i="2"/>
  <c r="H140" i="2"/>
  <c r="F138" i="2"/>
  <c r="N135" i="2"/>
  <c r="L133" i="2"/>
  <c r="J130" i="2"/>
  <c r="H126" i="2"/>
  <c r="F124" i="2"/>
  <c r="L121" i="2"/>
  <c r="J119" i="2"/>
  <c r="J117" i="2"/>
  <c r="J115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N403" i="2"/>
  <c r="J401" i="2"/>
  <c r="F399" i="2"/>
  <c r="H395" i="2"/>
  <c r="N392" i="2"/>
  <c r="J388" i="2"/>
  <c r="F386" i="2"/>
  <c r="H383" i="2"/>
  <c r="N380" i="2"/>
  <c r="J378" i="2"/>
  <c r="F376" i="2"/>
  <c r="H371" i="2"/>
  <c r="N368" i="2"/>
  <c r="J366" i="2"/>
  <c r="F364" i="2"/>
  <c r="H359" i="2"/>
  <c r="N356" i="2"/>
  <c r="J354" i="2"/>
  <c r="F352" i="2"/>
  <c r="H348" i="2"/>
  <c r="N345" i="2"/>
  <c r="J343" i="2"/>
  <c r="F338" i="2"/>
  <c r="H335" i="2"/>
  <c r="N332" i="2"/>
  <c r="J330" i="2"/>
  <c r="F328" i="2"/>
  <c r="H324" i="2"/>
  <c r="N321" i="2"/>
  <c r="J317" i="2"/>
  <c r="F315" i="2"/>
  <c r="H312" i="2"/>
  <c r="N309" i="2"/>
  <c r="J307" i="2"/>
  <c r="F305" i="2"/>
  <c r="H302" i="2"/>
  <c r="N299" i="2"/>
  <c r="J297" i="2"/>
  <c r="F295" i="2"/>
  <c r="H292" i="2"/>
  <c r="N289" i="2"/>
  <c r="J287" i="2"/>
  <c r="F285" i="2"/>
  <c r="H282" i="2"/>
  <c r="N279" i="2"/>
  <c r="J277" i="2"/>
  <c r="F275" i="2"/>
  <c r="H270" i="2"/>
  <c r="N267" i="2"/>
  <c r="J265" i="2"/>
  <c r="F263" i="2"/>
  <c r="H260" i="2"/>
  <c r="N257" i="2"/>
  <c r="J255" i="2"/>
  <c r="F253" i="2"/>
  <c r="H250" i="2"/>
  <c r="N247" i="2"/>
  <c r="J245" i="2"/>
  <c r="F243" i="2"/>
  <c r="H240" i="2"/>
  <c r="N237" i="2"/>
  <c r="J235" i="2"/>
  <c r="F233" i="2"/>
  <c r="H227" i="2"/>
  <c r="N224" i="2"/>
  <c r="J222" i="2"/>
  <c r="F220" i="2"/>
  <c r="H217" i="2"/>
  <c r="N214" i="2"/>
  <c r="J210" i="2"/>
  <c r="F207" i="2"/>
  <c r="H203" i="2"/>
  <c r="N200" i="2"/>
  <c r="J197" i="2"/>
  <c r="F194" i="2"/>
  <c r="H190" i="2"/>
  <c r="L184" i="2"/>
  <c r="I182" i="2"/>
  <c r="F180" i="2"/>
  <c r="J177" i="2"/>
  <c r="G175" i="2"/>
  <c r="N171" i="2"/>
  <c r="K169" i="2"/>
  <c r="H166" i="2"/>
  <c r="I160" i="2"/>
  <c r="F158" i="2"/>
  <c r="M155" i="2"/>
  <c r="K153" i="2"/>
  <c r="I151" i="2"/>
  <c r="G149" i="2"/>
  <c r="K144" i="2"/>
  <c r="I142" i="2"/>
  <c r="J403" i="2"/>
  <c r="F401" i="2"/>
  <c r="H397" i="2"/>
  <c r="N394" i="2"/>
  <c r="J392" i="2"/>
  <c r="F388" i="2"/>
  <c r="H385" i="2"/>
  <c r="N382" i="2"/>
  <c r="J380" i="2"/>
  <c r="F378" i="2"/>
  <c r="H373" i="2"/>
  <c r="N370" i="2"/>
  <c r="J368" i="2"/>
  <c r="F366" i="2"/>
  <c r="H361" i="2"/>
  <c r="N358" i="2"/>
  <c r="J356" i="2"/>
  <c r="F354" i="2"/>
  <c r="H351" i="2"/>
  <c r="N347" i="2"/>
  <c r="J345" i="2"/>
  <c r="F343" i="2"/>
  <c r="H337" i="2"/>
  <c r="N334" i="2"/>
  <c r="J332" i="2"/>
  <c r="F330" i="2"/>
  <c r="H326" i="2"/>
  <c r="N323" i="2"/>
  <c r="J321" i="2"/>
  <c r="F317" i="2"/>
  <c r="H314" i="2"/>
  <c r="N311" i="2"/>
  <c r="J309" i="2"/>
  <c r="F307" i="2"/>
  <c r="H304" i="2"/>
  <c r="N301" i="2"/>
  <c r="J299" i="2"/>
  <c r="F297" i="2"/>
  <c r="H294" i="2"/>
  <c r="N291" i="2"/>
  <c r="H404" i="2"/>
  <c r="G401" i="2"/>
  <c r="M396" i="2"/>
  <c r="H393" i="2"/>
  <c r="G388" i="2"/>
  <c r="M384" i="2"/>
  <c r="H381" i="2"/>
  <c r="G378" i="2"/>
  <c r="M372" i="2"/>
  <c r="H369" i="2"/>
  <c r="G366" i="2"/>
  <c r="M360" i="2"/>
  <c r="H357" i="2"/>
  <c r="G354" i="2"/>
  <c r="M350" i="2"/>
  <c r="H346" i="2"/>
  <c r="G343" i="2"/>
  <c r="M336" i="2"/>
  <c r="L330" i="2"/>
  <c r="G326" i="2"/>
  <c r="I323" i="2"/>
  <c r="G318" i="2"/>
  <c r="H315" i="2"/>
  <c r="M311" i="2"/>
  <c r="M305" i="2"/>
  <c r="J302" i="2"/>
  <c r="I299" i="2"/>
  <c r="G296" i="2"/>
  <c r="I293" i="2"/>
  <c r="F290" i="2"/>
  <c r="G287" i="2"/>
  <c r="F284" i="2"/>
  <c r="I281" i="2"/>
  <c r="I278" i="2"/>
  <c r="M275" i="2"/>
  <c r="G273" i="2"/>
  <c r="G268" i="2"/>
  <c r="I265" i="2"/>
  <c r="I262" i="2"/>
  <c r="M259" i="2"/>
  <c r="G257" i="2"/>
  <c r="G254" i="2"/>
  <c r="K251" i="2"/>
  <c r="I243" i="2"/>
  <c r="G240" i="2"/>
  <c r="K237" i="2"/>
  <c r="I226" i="2"/>
  <c r="I223" i="2"/>
  <c r="M220" i="2"/>
  <c r="G218" i="2"/>
  <c r="G215" i="2"/>
  <c r="I210" i="2"/>
  <c r="I206" i="2"/>
  <c r="M202" i="2"/>
  <c r="G200" i="2"/>
  <c r="G195" i="2"/>
  <c r="K192" i="2"/>
  <c r="G185" i="2"/>
  <c r="L182" i="2"/>
  <c r="G177" i="2"/>
  <c r="L174" i="2"/>
  <c r="G171" i="2"/>
  <c r="I167" i="2"/>
  <c r="N164" i="2"/>
  <c r="I162" i="2"/>
  <c r="L158" i="2"/>
  <c r="F156" i="2"/>
  <c r="J153" i="2"/>
  <c r="F151" i="2"/>
  <c r="J148" i="2"/>
  <c r="F146" i="2"/>
  <c r="L143" i="2"/>
  <c r="H141" i="2"/>
  <c r="J136" i="2"/>
  <c r="G134" i="2"/>
  <c r="N130" i="2"/>
  <c r="K126" i="2"/>
  <c r="H124" i="2"/>
  <c r="I119" i="2"/>
  <c r="H117" i="2"/>
  <c r="G115" i="2"/>
  <c r="F111" i="2"/>
  <c r="N106" i="2"/>
  <c r="M104" i="2"/>
  <c r="L102" i="2"/>
  <c r="K100" i="2"/>
  <c r="J98" i="2"/>
  <c r="I96" i="2"/>
  <c r="H94" i="2"/>
  <c r="G92" i="2"/>
  <c r="F90" i="2"/>
  <c r="N85" i="2"/>
  <c r="M83" i="2"/>
  <c r="L81" i="2"/>
  <c r="K79" i="2"/>
  <c r="I77" i="2"/>
  <c r="H75" i="2"/>
  <c r="G73" i="2"/>
  <c r="F71" i="2"/>
  <c r="F69" i="2"/>
  <c r="F67" i="2"/>
  <c r="F65" i="2"/>
  <c r="F63" i="2"/>
  <c r="F61" i="2"/>
  <c r="F59" i="2"/>
  <c r="F57" i="2"/>
  <c r="F55" i="2"/>
  <c r="F49" i="2"/>
  <c r="F47" i="2"/>
  <c r="F44" i="2"/>
  <c r="F42" i="2"/>
  <c r="F39" i="2"/>
  <c r="F37" i="2"/>
  <c r="F34" i="2"/>
  <c r="F32" i="2"/>
  <c r="F29" i="2"/>
  <c r="F27" i="2"/>
  <c r="F24" i="2"/>
  <c r="F22" i="2"/>
  <c r="F20" i="2"/>
  <c r="F17" i="2"/>
  <c r="F15" i="2"/>
  <c r="F13" i="2"/>
  <c r="F9" i="2"/>
  <c r="F7" i="2"/>
  <c r="F4" i="2"/>
  <c r="G404" i="2"/>
  <c r="L396" i="2"/>
  <c r="G393" i="2"/>
  <c r="L384" i="2"/>
  <c r="G381" i="2"/>
  <c r="L372" i="2"/>
  <c r="G369" i="2"/>
  <c r="L360" i="2"/>
  <c r="G357" i="2"/>
  <c r="L350" i="2"/>
  <c r="G346" i="2"/>
  <c r="L336" i="2"/>
  <c r="I333" i="2"/>
  <c r="I330" i="2"/>
  <c r="F326" i="2"/>
  <c r="H323" i="2"/>
  <c r="L311" i="2"/>
  <c r="J308" i="2"/>
  <c r="K305" i="2"/>
  <c r="G302" i="2"/>
  <c r="H299" i="2"/>
  <c r="F296" i="2"/>
  <c r="G293" i="2"/>
  <c r="M289" i="2"/>
  <c r="F287" i="2"/>
  <c r="H281" i="2"/>
  <c r="H278" i="2"/>
  <c r="L275" i="2"/>
  <c r="F273" i="2"/>
  <c r="F268" i="2"/>
  <c r="H265" i="2"/>
  <c r="H262" i="2"/>
  <c r="L259" i="2"/>
  <c r="F257" i="2"/>
  <c r="F254" i="2"/>
  <c r="J251" i="2"/>
  <c r="J248" i="2"/>
  <c r="N245" i="2"/>
  <c r="H243" i="2"/>
  <c r="F240" i="2"/>
  <c r="J237" i="2"/>
  <c r="J234" i="2"/>
  <c r="N231" i="2"/>
  <c r="H226" i="2"/>
  <c r="H223" i="2"/>
  <c r="L220" i="2"/>
  <c r="F218" i="2"/>
  <c r="F215" i="2"/>
  <c r="H210" i="2"/>
  <c r="H206" i="2"/>
  <c r="L202" i="2"/>
  <c r="F200" i="2"/>
  <c r="F195" i="2"/>
  <c r="J192" i="2"/>
  <c r="L188" i="2"/>
  <c r="F185" i="2"/>
  <c r="K182" i="2"/>
  <c r="L179" i="2"/>
  <c r="F177" i="2"/>
  <c r="K174" i="2"/>
  <c r="F171" i="2"/>
  <c r="H167" i="2"/>
  <c r="M164" i="2"/>
  <c r="H162" i="2"/>
  <c r="J158" i="2"/>
  <c r="I153" i="2"/>
  <c r="I148" i="2"/>
  <c r="G141" i="2"/>
  <c r="L138" i="2"/>
  <c r="I136" i="2"/>
  <c r="F134" i="2"/>
  <c r="M130" i="2"/>
  <c r="J126" i="2"/>
  <c r="G124" i="2"/>
  <c r="K121" i="2"/>
  <c r="H119" i="2"/>
  <c r="G117" i="2"/>
  <c r="F115" i="2"/>
  <c r="N108" i="2"/>
  <c r="M106" i="2"/>
  <c r="L104" i="2"/>
  <c r="K102" i="2"/>
  <c r="J100" i="2"/>
  <c r="I98" i="2"/>
  <c r="H96" i="2"/>
  <c r="G94" i="2"/>
  <c r="N87" i="2"/>
  <c r="M85" i="2"/>
  <c r="K81" i="2"/>
  <c r="I79" i="2"/>
  <c r="G75" i="2"/>
  <c r="K143" i="2"/>
  <c r="F92" i="2"/>
  <c r="L83" i="2"/>
  <c r="H77" i="2"/>
  <c r="F73" i="2"/>
  <c r="F404" i="2"/>
  <c r="H400" i="2"/>
  <c r="G392" i="2"/>
  <c r="J386" i="2"/>
  <c r="L382" i="2"/>
  <c r="G379" i="2"/>
  <c r="G373" i="2"/>
  <c r="F370" i="2"/>
  <c r="J365" i="2"/>
  <c r="I360" i="2"/>
  <c r="I356" i="2"/>
  <c r="N352" i="2"/>
  <c r="I344" i="2"/>
  <c r="J337" i="2"/>
  <c r="I334" i="2"/>
  <c r="N330" i="2"/>
  <c r="H317" i="2"/>
  <c r="M313" i="2"/>
  <c r="H310" i="2"/>
  <c r="K303" i="2"/>
  <c r="F300" i="2"/>
  <c r="I296" i="2"/>
  <c r="F293" i="2"/>
  <c r="J289" i="2"/>
  <c r="G286" i="2"/>
  <c r="G283" i="2"/>
  <c r="M279" i="2"/>
  <c r="M273" i="2"/>
  <c r="M265" i="2"/>
  <c r="G262" i="2"/>
  <c r="I259" i="2"/>
  <c r="G256" i="2"/>
  <c r="I253" i="2"/>
  <c r="G247" i="2"/>
  <c r="G241" i="2"/>
  <c r="M237" i="2"/>
  <c r="I234" i="2"/>
  <c r="K231" i="2"/>
  <c r="I225" i="2"/>
  <c r="I222" i="2"/>
  <c r="G219" i="2"/>
  <c r="I216" i="2"/>
  <c r="G211" i="2"/>
  <c r="I207" i="2"/>
  <c r="M194" i="2"/>
  <c r="L187" i="2"/>
  <c r="H178" i="2"/>
  <c r="F175" i="2"/>
  <c r="I171" i="2"/>
  <c r="G167" i="2"/>
  <c r="J164" i="2"/>
  <c r="H160" i="2"/>
  <c r="K157" i="2"/>
  <c r="L154" i="2"/>
  <c r="F152" i="2"/>
  <c r="J149" i="2"/>
  <c r="J146" i="2"/>
  <c r="N143" i="2"/>
  <c r="F141" i="2"/>
  <c r="I138" i="2"/>
  <c r="M135" i="2"/>
  <c r="H133" i="2"/>
  <c r="K127" i="2"/>
  <c r="F125" i="2"/>
  <c r="K122" i="2"/>
  <c r="F120" i="2"/>
  <c r="K117" i="2"/>
  <c r="L110" i="2"/>
  <c r="I108" i="2"/>
  <c r="F106" i="2"/>
  <c r="M103" i="2"/>
  <c r="I101" i="2"/>
  <c r="F99" i="2"/>
  <c r="M96" i="2"/>
  <c r="J94" i="2"/>
  <c r="L89" i="2"/>
  <c r="H87" i="2"/>
  <c r="L82" i="2"/>
  <c r="I80" i="2"/>
  <c r="F78" i="2"/>
  <c r="M75" i="2"/>
  <c r="I73" i="2"/>
  <c r="N70" i="2"/>
  <c r="L68" i="2"/>
  <c r="J66" i="2"/>
  <c r="H64" i="2"/>
  <c r="F62" i="2"/>
  <c r="N59" i="2"/>
  <c r="L57" i="2"/>
  <c r="J55" i="2"/>
  <c r="H49" i="2"/>
  <c r="N46" i="2"/>
  <c r="L43" i="2"/>
  <c r="J41" i="2"/>
  <c r="H38" i="2"/>
  <c r="F36" i="2"/>
  <c r="N32" i="2"/>
  <c r="L29" i="2"/>
  <c r="J27" i="2"/>
  <c r="H24" i="2"/>
  <c r="N21" i="2"/>
  <c r="L19" i="2"/>
  <c r="J16" i="2"/>
  <c r="H14" i="2"/>
  <c r="F12" i="2"/>
  <c r="N4" i="2"/>
  <c r="K154" i="2"/>
  <c r="I146" i="2"/>
  <c r="L135" i="2"/>
  <c r="J127" i="2"/>
  <c r="J122" i="2"/>
  <c r="I117" i="2"/>
  <c r="K110" i="2"/>
  <c r="H101" i="2"/>
  <c r="L96" i="2"/>
  <c r="N91" i="2"/>
  <c r="G87" i="2"/>
  <c r="K82" i="2"/>
  <c r="H73" i="2"/>
  <c r="M403" i="2"/>
  <c r="G400" i="2"/>
  <c r="J395" i="2"/>
  <c r="F392" i="2"/>
  <c r="I386" i="2"/>
  <c r="K382" i="2"/>
  <c r="N378" i="2"/>
  <c r="F373" i="2"/>
  <c r="I365" i="2"/>
  <c r="F360" i="2"/>
  <c r="H356" i="2"/>
  <c r="M352" i="2"/>
  <c r="M347" i="2"/>
  <c r="H344" i="2"/>
  <c r="I337" i="2"/>
  <c r="H334" i="2"/>
  <c r="M330" i="2"/>
  <c r="N325" i="2"/>
  <c r="I322" i="2"/>
  <c r="G317" i="2"/>
  <c r="L313" i="2"/>
  <c r="G310" i="2"/>
  <c r="J306" i="2"/>
  <c r="J303" i="2"/>
  <c r="M299" i="2"/>
  <c r="H296" i="2"/>
  <c r="I289" i="2"/>
  <c r="F286" i="2"/>
  <c r="F283" i="2"/>
  <c r="L279" i="2"/>
  <c r="J276" i="2"/>
  <c r="L273" i="2"/>
  <c r="J268" i="2"/>
  <c r="L265" i="2"/>
  <c r="F262" i="2"/>
  <c r="H259" i="2"/>
  <c r="F256" i="2"/>
  <c r="H253" i="2"/>
  <c r="N249" i="2"/>
  <c r="F247" i="2"/>
  <c r="N243" i="2"/>
  <c r="F241" i="2"/>
  <c r="L237" i="2"/>
  <c r="H234" i="2"/>
  <c r="J231" i="2"/>
  <c r="H225" i="2"/>
  <c r="H222" i="2"/>
  <c r="F219" i="2"/>
  <c r="H216" i="2"/>
  <c r="F211" i="2"/>
  <c r="H207" i="2"/>
  <c r="N202" i="2"/>
  <c r="J198" i="2"/>
  <c r="L194" i="2"/>
  <c r="J190" i="2"/>
  <c r="K187" i="2"/>
  <c r="L183" i="2"/>
  <c r="N180" i="2"/>
  <c r="G178" i="2"/>
  <c r="H171" i="2"/>
  <c r="F167" i="2"/>
  <c r="I164" i="2"/>
  <c r="G160" i="2"/>
  <c r="J157" i="2"/>
  <c r="I149" i="2"/>
  <c r="M143" i="2"/>
  <c r="H138" i="2"/>
  <c r="G133" i="2"/>
  <c r="N114" i="2"/>
  <c r="H108" i="2"/>
  <c r="L103" i="2"/>
  <c r="I94" i="2"/>
  <c r="K89" i="2"/>
  <c r="N84" i="2"/>
  <c r="H80" i="2"/>
  <c r="L75" i="2"/>
  <c r="L403" i="2"/>
  <c r="F400" i="2"/>
  <c r="G395" i="2"/>
  <c r="H386" i="2"/>
  <c r="J382" i="2"/>
  <c r="M378" i="2"/>
  <c r="F369" i="2"/>
  <c r="H365" i="2"/>
  <c r="G356" i="2"/>
  <c r="J352" i="2"/>
  <c r="L347" i="2"/>
  <c r="G344" i="2"/>
  <c r="G337" i="2"/>
  <c r="G334" i="2"/>
  <c r="H330" i="2"/>
  <c r="M325" i="2"/>
  <c r="H322" i="2"/>
  <c r="K313" i="2"/>
  <c r="F310" i="2"/>
  <c r="I306" i="2"/>
  <c r="I303" i="2"/>
  <c r="L299" i="2"/>
  <c r="J292" i="2"/>
  <c r="H289" i="2"/>
  <c r="K279" i="2"/>
  <c r="I276" i="2"/>
  <c r="K273" i="2"/>
  <c r="I268" i="2"/>
  <c r="G265" i="2"/>
  <c r="G259" i="2"/>
  <c r="M249" i="2"/>
  <c r="M243" i="2"/>
  <c r="I237" i="2"/>
  <c r="G234" i="2"/>
  <c r="I231" i="2"/>
  <c r="G225" i="2"/>
  <c r="G222" i="2"/>
  <c r="G216" i="2"/>
  <c r="K202" i="2"/>
  <c r="I198" i="2"/>
  <c r="K194" i="2"/>
  <c r="G190" i="2"/>
  <c r="J187" i="2"/>
  <c r="J183" i="2"/>
  <c r="M180" i="2"/>
  <c r="F178" i="2"/>
  <c r="N174" i="2"/>
  <c r="H164" i="2"/>
  <c r="F160" i="2"/>
  <c r="I157" i="2"/>
  <c r="J154" i="2"/>
  <c r="N151" i="2"/>
  <c r="F149" i="2"/>
  <c r="H146" i="2"/>
  <c r="J143" i="2"/>
  <c r="L140" i="2"/>
  <c r="G138" i="2"/>
  <c r="K135" i="2"/>
  <c r="F133" i="2"/>
  <c r="I127" i="2"/>
  <c r="N124" i="2"/>
  <c r="I122" i="2"/>
  <c r="L119" i="2"/>
  <c r="F117" i="2"/>
  <c r="M114" i="2"/>
  <c r="J110" i="2"/>
  <c r="G108" i="2"/>
  <c r="N105" i="2"/>
  <c r="K103" i="2"/>
  <c r="G101" i="2"/>
  <c r="N98" i="2"/>
  <c r="K96" i="2"/>
  <c r="F94" i="2"/>
  <c r="M91" i="2"/>
  <c r="I89" i="2"/>
  <c r="F87" i="2"/>
  <c r="M84" i="2"/>
  <c r="J82" i="2"/>
  <c r="G80" i="2"/>
  <c r="N77" i="2"/>
  <c r="K75" i="2"/>
  <c r="L70" i="2"/>
  <c r="J68" i="2"/>
  <c r="H66" i="2"/>
  <c r="F64" i="2"/>
  <c r="N61" i="2"/>
  <c r="L59" i="2"/>
  <c r="J57" i="2"/>
  <c r="H55" i="2"/>
  <c r="N48" i="2"/>
  <c r="L46" i="2"/>
  <c r="J43" i="2"/>
  <c r="H41" i="2"/>
  <c r="F38" i="2"/>
  <c r="N34" i="2"/>
  <c r="L32" i="2"/>
  <c r="J29" i="2"/>
  <c r="H27" i="2"/>
  <c r="N23" i="2"/>
  <c r="L21" i="2"/>
  <c r="J19" i="2"/>
  <c r="H16" i="2"/>
  <c r="F14" i="2"/>
  <c r="N9" i="2"/>
  <c r="M7" i="2"/>
  <c r="L4" i="2"/>
  <c r="K403" i="2"/>
  <c r="F395" i="2"/>
  <c r="I403" i="2"/>
  <c r="H399" i="2"/>
  <c r="F394" i="2"/>
  <c r="G387" i="2"/>
  <c r="I378" i="2"/>
  <c r="F372" i="2"/>
  <c r="I361" i="2"/>
  <c r="F357" i="2"/>
  <c r="I347" i="2"/>
  <c r="J339" i="2"/>
  <c r="G322" i="2"/>
  <c r="G316" i="2"/>
  <c r="G312" i="2"/>
  <c r="G308" i="2"/>
  <c r="F304" i="2"/>
  <c r="H300" i="2"/>
  <c r="M295" i="2"/>
  <c r="L291" i="2"/>
  <c r="G284" i="2"/>
  <c r="I280" i="2"/>
  <c r="F277" i="2"/>
  <c r="H273" i="2"/>
  <c r="I267" i="2"/>
  <c r="N263" i="2"/>
  <c r="G260" i="2"/>
  <c r="J256" i="2"/>
  <c r="J252" i="2"/>
  <c r="I249" i="2"/>
  <c r="L245" i="2"/>
  <c r="J238" i="2"/>
  <c r="G235" i="2"/>
  <c r="G231" i="2"/>
  <c r="J224" i="2"/>
  <c r="F217" i="2"/>
  <c r="J207" i="2"/>
  <c r="H202" i="2"/>
  <c r="M197" i="2"/>
  <c r="F193" i="2"/>
  <c r="J188" i="2"/>
  <c r="H184" i="2"/>
  <c r="L180" i="2"/>
  <c r="J169" i="2"/>
  <c r="G165" i="2"/>
  <c r="G157" i="2"/>
  <c r="J150" i="2"/>
  <c r="K147" i="2"/>
  <c r="H144" i="2"/>
  <c r="I141" i="2"/>
  <c r="M137" i="2"/>
  <c r="L125" i="2"/>
  <c r="N122" i="2"/>
  <c r="K119" i="2"/>
  <c r="L116" i="2"/>
  <c r="F114" i="2"/>
  <c r="I109" i="2"/>
  <c r="K106" i="2"/>
  <c r="G98" i="2"/>
  <c r="K95" i="2"/>
  <c r="N92" i="2"/>
  <c r="H90" i="2"/>
  <c r="I87" i="2"/>
  <c r="J84" i="2"/>
  <c r="N81" i="2"/>
  <c r="I76" i="2"/>
  <c r="M73" i="2"/>
  <c r="M70" i="2"/>
  <c r="H68" i="2"/>
  <c r="N65" i="2"/>
  <c r="J63" i="2"/>
  <c r="N60" i="2"/>
  <c r="J58" i="2"/>
  <c r="F56" i="2"/>
  <c r="L49" i="2"/>
  <c r="H47" i="2"/>
  <c r="K43" i="2"/>
  <c r="F41" i="2"/>
  <c r="L37" i="2"/>
  <c r="H34" i="2"/>
  <c r="L31" i="2"/>
  <c r="H28" i="2"/>
  <c r="N24" i="2"/>
  <c r="J22" i="2"/>
  <c r="N19" i="2"/>
  <c r="I16" i="2"/>
  <c r="N13" i="2"/>
  <c r="J9" i="2"/>
  <c r="G7" i="2"/>
  <c r="M3" i="2"/>
  <c r="I188" i="2"/>
  <c r="L160" i="2"/>
  <c r="N153" i="2"/>
  <c r="J147" i="2"/>
  <c r="K140" i="2"/>
  <c r="L134" i="2"/>
  <c r="K125" i="2"/>
  <c r="G119" i="2"/>
  <c r="K116" i="2"/>
  <c r="H109" i="2"/>
  <c r="N103" i="2"/>
  <c r="F98" i="2"/>
  <c r="I95" i="2"/>
  <c r="G90" i="2"/>
  <c r="I84" i="2"/>
  <c r="M81" i="2"/>
  <c r="H76" i="2"/>
  <c r="K70" i="2"/>
  <c r="M65" i="2"/>
  <c r="M60" i="2"/>
  <c r="G47" i="2"/>
  <c r="G34" i="2"/>
  <c r="G28" i="2"/>
  <c r="I22" i="2"/>
  <c r="M19" i="2"/>
  <c r="I9" i="2"/>
  <c r="L3" i="2"/>
  <c r="H367" i="2"/>
  <c r="G299" i="2"/>
  <c r="F276" i="2"/>
  <c r="K263" i="2"/>
  <c r="G252" i="2"/>
  <c r="M216" i="2"/>
  <c r="G188" i="2"/>
  <c r="L176" i="2"/>
  <c r="L156" i="2"/>
  <c r="H147" i="2"/>
  <c r="J137" i="2"/>
  <c r="I125" i="2"/>
  <c r="I116" i="2"/>
  <c r="H106" i="2"/>
  <c r="N97" i="2"/>
  <c r="K92" i="2"/>
  <c r="M86" i="2"/>
  <c r="L78" i="2"/>
  <c r="N72" i="2"/>
  <c r="K65" i="2"/>
  <c r="G58" i="2"/>
  <c r="K46" i="2"/>
  <c r="I37" i="2"/>
  <c r="I19" i="2"/>
  <c r="G9" i="2"/>
  <c r="M386" i="2"/>
  <c r="F371" i="2"/>
  <c r="F356" i="2"/>
  <c r="F339" i="2"/>
  <c r="K325" i="2"/>
  <c r="L307" i="2"/>
  <c r="H295" i="2"/>
  <c r="K283" i="2"/>
  <c r="F270" i="2"/>
  <c r="K259" i="2"/>
  <c r="I248" i="2"/>
  <c r="F238" i="2"/>
  <c r="F224" i="2"/>
  <c r="N210" i="2"/>
  <c r="G197" i="2"/>
  <c r="N187" i="2"/>
  <c r="K176" i="2"/>
  <c r="M159" i="2"/>
  <c r="F150" i="2"/>
  <c r="G140" i="2"/>
  <c r="H130" i="2"/>
  <c r="N118" i="2"/>
  <c r="G106" i="2"/>
  <c r="M97" i="2"/>
  <c r="H89" i="2"/>
  <c r="K78" i="2"/>
  <c r="H70" i="2"/>
  <c r="N62" i="2"/>
  <c r="L55" i="2"/>
  <c r="J46" i="2"/>
  <c r="L39" i="2"/>
  <c r="L33" i="2"/>
  <c r="J24" i="2"/>
  <c r="N15" i="2"/>
  <c r="I3" i="2"/>
  <c r="F397" i="2"/>
  <c r="F382" i="2"/>
  <c r="K360" i="2"/>
  <c r="F346" i="2"/>
  <c r="K315" i="2"/>
  <c r="G303" i="2"/>
  <c r="G291" i="2"/>
  <c r="I279" i="2"/>
  <c r="J259" i="2"/>
  <c r="H248" i="2"/>
  <c r="M233" i="2"/>
  <c r="K216" i="2"/>
  <c r="I201" i="2"/>
  <c r="M187" i="2"/>
  <c r="J176" i="2"/>
  <c r="G164" i="2"/>
  <c r="I156" i="2"/>
  <c r="F140" i="2"/>
  <c r="G130" i="2"/>
  <c r="M118" i="2"/>
  <c r="L108" i="2"/>
  <c r="H100" i="2"/>
  <c r="I92" i="2"/>
  <c r="K86" i="2"/>
  <c r="J78" i="2"/>
  <c r="G70" i="2"/>
  <c r="M62" i="2"/>
  <c r="I46" i="2"/>
  <c r="G37" i="2"/>
  <c r="G31" i="2"/>
  <c r="M15" i="2"/>
  <c r="K6" i="2"/>
  <c r="M366" i="2"/>
  <c r="G351" i="2"/>
  <c r="L334" i="2"/>
  <c r="J315" i="2"/>
  <c r="F303" i="2"/>
  <c r="F291" i="2"/>
  <c r="H279" i="2"/>
  <c r="H263" i="2"/>
  <c r="N251" i="2"/>
  <c r="I241" i="2"/>
  <c r="L233" i="2"/>
  <c r="J223" i="2"/>
  <c r="L210" i="2"/>
  <c r="F183" i="2"/>
  <c r="F172" i="2"/>
  <c r="L163" i="2"/>
  <c r="G143" i="2"/>
  <c r="J121" i="2"/>
  <c r="I111" i="2"/>
  <c r="L105" i="2"/>
  <c r="K97" i="2"/>
  <c r="J86" i="2"/>
  <c r="I78" i="2"/>
  <c r="H403" i="2"/>
  <c r="F387" i="2"/>
  <c r="M382" i="2"/>
  <c r="H378" i="2"/>
  <c r="J367" i="2"/>
  <c r="G361" i="2"/>
  <c r="M356" i="2"/>
  <c r="I352" i="2"/>
  <c r="H347" i="2"/>
  <c r="I339" i="2"/>
  <c r="J335" i="2"/>
  <c r="J331" i="2"/>
  <c r="J326" i="2"/>
  <c r="F322" i="2"/>
  <c r="F316" i="2"/>
  <c r="F312" i="2"/>
  <c r="G300" i="2"/>
  <c r="K295" i="2"/>
  <c r="K291" i="2"/>
  <c r="N287" i="2"/>
  <c r="N283" i="2"/>
  <c r="H280" i="2"/>
  <c r="H276" i="2"/>
  <c r="H267" i="2"/>
  <c r="M263" i="2"/>
  <c r="F260" i="2"/>
  <c r="I256" i="2"/>
  <c r="I252" i="2"/>
  <c r="H249" i="2"/>
  <c r="I245" i="2"/>
  <c r="N241" i="2"/>
  <c r="I238" i="2"/>
  <c r="F235" i="2"/>
  <c r="F231" i="2"/>
  <c r="I224" i="2"/>
  <c r="N220" i="2"/>
  <c r="J211" i="2"/>
  <c r="J206" i="2"/>
  <c r="G202" i="2"/>
  <c r="L197" i="2"/>
  <c r="G184" i="2"/>
  <c r="K180" i="2"/>
  <c r="N176" i="2"/>
  <c r="L172" i="2"/>
  <c r="I169" i="2"/>
  <c r="F165" i="2"/>
  <c r="F157" i="2"/>
  <c r="I150" i="2"/>
  <c r="G144" i="2"/>
  <c r="L137" i="2"/>
  <c r="L130" i="2"/>
  <c r="M122" i="2"/>
  <c r="J106" i="2"/>
  <c r="N100" i="2"/>
  <c r="M92" i="2"/>
  <c r="N78" i="2"/>
  <c r="L73" i="2"/>
  <c r="G68" i="2"/>
  <c r="I63" i="2"/>
  <c r="I58" i="2"/>
  <c r="K49" i="2"/>
  <c r="I43" i="2"/>
  <c r="K37" i="2"/>
  <c r="K31" i="2"/>
  <c r="M24" i="2"/>
  <c r="G16" i="2"/>
  <c r="M13" i="2"/>
  <c r="G371" i="2"/>
  <c r="I295" i="2"/>
  <c r="L283" i="2"/>
  <c r="G270" i="2"/>
  <c r="N259" i="2"/>
  <c r="F249" i="2"/>
  <c r="G238" i="2"/>
  <c r="G224" i="2"/>
  <c r="H211" i="2"/>
  <c r="H197" i="2"/>
  <c r="I183" i="2"/>
  <c r="I172" i="2"/>
  <c r="L164" i="2"/>
  <c r="H153" i="2"/>
  <c r="J134" i="2"/>
  <c r="H122" i="2"/>
  <c r="M111" i="2"/>
  <c r="H103" i="2"/>
  <c r="H81" i="2"/>
  <c r="I70" i="2"/>
  <c r="G63" i="2"/>
  <c r="M55" i="2"/>
  <c r="G43" i="2"/>
  <c r="M33" i="2"/>
  <c r="K24" i="2"/>
  <c r="M6" i="2"/>
  <c r="G397" i="2"/>
  <c r="G382" i="2"/>
  <c r="G367" i="2"/>
  <c r="J351" i="2"/>
  <c r="K321" i="2"/>
  <c r="L303" i="2"/>
  <c r="H291" i="2"/>
  <c r="J279" i="2"/>
  <c r="J263" i="2"/>
  <c r="F252" i="2"/>
  <c r="K241" i="2"/>
  <c r="G227" i="2"/>
  <c r="L216" i="2"/>
  <c r="L192" i="2"/>
  <c r="H180" i="2"/>
  <c r="H172" i="2"/>
  <c r="K164" i="2"/>
  <c r="G153" i="2"/>
  <c r="I143" i="2"/>
  <c r="I134" i="2"/>
  <c r="G122" i="2"/>
  <c r="L111" i="2"/>
  <c r="G103" i="2"/>
  <c r="F95" i="2"/>
  <c r="L86" i="2"/>
  <c r="G81" i="2"/>
  <c r="M72" i="2"/>
  <c r="N67" i="2"/>
  <c r="J60" i="2"/>
  <c r="G49" i="2"/>
  <c r="H37" i="2"/>
  <c r="H31" i="2"/>
  <c r="M21" i="2"/>
  <c r="J13" i="2"/>
  <c r="J402" i="2"/>
  <c r="I351" i="2"/>
  <c r="M334" i="2"/>
  <c r="I321" i="2"/>
  <c r="I307" i="2"/>
  <c r="J283" i="2"/>
  <c r="N275" i="2"/>
  <c r="I263" i="2"/>
  <c r="H237" i="2"/>
  <c r="M210" i="2"/>
  <c r="F197" i="2"/>
  <c r="G183" i="2"/>
  <c r="G172" i="2"/>
  <c r="L159" i="2"/>
  <c r="H143" i="2"/>
  <c r="H134" i="2"/>
  <c r="F122" i="2"/>
  <c r="K111" i="2"/>
  <c r="F103" i="2"/>
  <c r="N75" i="2"/>
  <c r="M67" i="2"/>
  <c r="K55" i="2"/>
  <c r="K33" i="2"/>
  <c r="M27" i="2"/>
  <c r="K21" i="2"/>
  <c r="I13" i="2"/>
  <c r="H3" i="2"/>
  <c r="I392" i="2"/>
  <c r="F377" i="2"/>
  <c r="J355" i="2"/>
  <c r="N338" i="2"/>
  <c r="I325" i="2"/>
  <c r="H311" i="2"/>
  <c r="J298" i="2"/>
  <c r="N269" i="2"/>
  <c r="F259" i="2"/>
  <c r="G248" i="2"/>
  <c r="G237" i="2"/>
  <c r="M205" i="2"/>
  <c r="H192" i="2"/>
  <c r="I179" i="2"/>
  <c r="L167" i="2"/>
  <c r="K159" i="2"/>
  <c r="N149" i="2"/>
  <c r="F130" i="2"/>
  <c r="L118" i="2"/>
  <c r="K108" i="2"/>
  <c r="G100" i="2"/>
  <c r="H92" i="2"/>
  <c r="N83" i="2"/>
  <c r="G403" i="2"/>
  <c r="J397" i="2"/>
  <c r="F393" i="2"/>
  <c r="I382" i="2"/>
  <c r="J377" i="2"/>
  <c r="J371" i="2"/>
  <c r="I367" i="2"/>
  <c r="F361" i="2"/>
  <c r="L356" i="2"/>
  <c r="H352" i="2"/>
  <c r="G347" i="2"/>
  <c r="H339" i="2"/>
  <c r="G335" i="2"/>
  <c r="I331" i="2"/>
  <c r="I326" i="2"/>
  <c r="M321" i="2"/>
  <c r="N307" i="2"/>
  <c r="N303" i="2"/>
  <c r="K299" i="2"/>
  <c r="J295" i="2"/>
  <c r="J291" i="2"/>
  <c r="M287" i="2"/>
  <c r="M283" i="2"/>
  <c r="G280" i="2"/>
  <c r="G276" i="2"/>
  <c r="J270" i="2"/>
  <c r="G267" i="2"/>
  <c r="L263" i="2"/>
  <c r="H256" i="2"/>
  <c r="H252" i="2"/>
  <c r="G249" i="2"/>
  <c r="H245" i="2"/>
  <c r="M241" i="2"/>
  <c r="H238" i="2"/>
  <c r="F234" i="2"/>
  <c r="H224" i="2"/>
  <c r="K220" i="2"/>
  <c r="N216" i="2"/>
  <c r="I211" i="2"/>
  <c r="G206" i="2"/>
  <c r="F202" i="2"/>
  <c r="I197" i="2"/>
  <c r="N192" i="2"/>
  <c r="H188" i="2"/>
  <c r="F184" i="2"/>
  <c r="J180" i="2"/>
  <c r="M176" i="2"/>
  <c r="J172" i="2"/>
  <c r="H169" i="2"/>
  <c r="M153" i="2"/>
  <c r="H150" i="2"/>
  <c r="I147" i="2"/>
  <c r="F144" i="2"/>
  <c r="J140" i="2"/>
  <c r="K137" i="2"/>
  <c r="K134" i="2"/>
  <c r="K130" i="2"/>
  <c r="J125" i="2"/>
  <c r="L122" i="2"/>
  <c r="F119" i="2"/>
  <c r="J116" i="2"/>
  <c r="N111" i="2"/>
  <c r="G109" i="2"/>
  <c r="I106" i="2"/>
  <c r="I103" i="2"/>
  <c r="M100" i="2"/>
  <c r="H95" i="2"/>
  <c r="L92" i="2"/>
  <c r="N89" i="2"/>
  <c r="N86" i="2"/>
  <c r="H84" i="2"/>
  <c r="I81" i="2"/>
  <c r="M78" i="2"/>
  <c r="G76" i="2"/>
  <c r="K73" i="2"/>
  <c r="J70" i="2"/>
  <c r="F68" i="2"/>
  <c r="L65" i="2"/>
  <c r="H63" i="2"/>
  <c r="L60" i="2"/>
  <c r="H58" i="2"/>
  <c r="N55" i="2"/>
  <c r="J49" i="2"/>
  <c r="M46" i="2"/>
  <c r="H43" i="2"/>
  <c r="N39" i="2"/>
  <c r="J37" i="2"/>
  <c r="N33" i="2"/>
  <c r="J31" i="2"/>
  <c r="F28" i="2"/>
  <c r="L24" i="2"/>
  <c r="H22" i="2"/>
  <c r="K19" i="2"/>
  <c r="F16" i="2"/>
  <c r="L13" i="2"/>
  <c r="H9" i="2"/>
  <c r="N6" i="2"/>
  <c r="K3" i="2"/>
  <c r="F403" i="2"/>
  <c r="I397" i="2"/>
  <c r="M392" i="2"/>
  <c r="N386" i="2"/>
  <c r="H382" i="2"/>
  <c r="I377" i="2"/>
  <c r="K356" i="2"/>
  <c r="F347" i="2"/>
  <c r="G339" i="2"/>
  <c r="F335" i="2"/>
  <c r="H331" i="2"/>
  <c r="L325" i="2"/>
  <c r="L321" i="2"/>
  <c r="N315" i="2"/>
  <c r="K311" i="2"/>
  <c r="M307" i="2"/>
  <c r="M303" i="2"/>
  <c r="I291" i="2"/>
  <c r="L287" i="2"/>
  <c r="F280" i="2"/>
  <c r="F267" i="2"/>
  <c r="N255" i="2"/>
  <c r="G245" i="2"/>
  <c r="L241" i="2"/>
  <c r="J227" i="2"/>
  <c r="J220" i="2"/>
  <c r="F206" i="2"/>
  <c r="M192" i="2"/>
  <c r="I180" i="2"/>
  <c r="G169" i="2"/>
  <c r="N159" i="2"/>
  <c r="G150" i="2"/>
  <c r="I140" i="2"/>
  <c r="I130" i="2"/>
  <c r="F109" i="2"/>
  <c r="L100" i="2"/>
  <c r="G95" i="2"/>
  <c r="M89" i="2"/>
  <c r="G84" i="2"/>
  <c r="F76" i="2"/>
  <c r="K60" i="2"/>
  <c r="I49" i="2"/>
  <c r="M39" i="2"/>
  <c r="I31" i="2"/>
  <c r="G22" i="2"/>
  <c r="K13" i="2"/>
  <c r="J3" i="2"/>
  <c r="L392" i="2"/>
  <c r="H377" i="2"/>
  <c r="N360" i="2"/>
  <c r="G331" i="2"/>
  <c r="M315" i="2"/>
  <c r="J311" i="2"/>
  <c r="F299" i="2"/>
  <c r="I287" i="2"/>
  <c r="M255" i="2"/>
  <c r="F245" i="2"/>
  <c r="N233" i="2"/>
  <c r="I220" i="2"/>
  <c r="J201" i="2"/>
  <c r="H183" i="2"/>
  <c r="F169" i="2"/>
  <c r="J156" i="2"/>
  <c r="G147" i="2"/>
  <c r="I137" i="2"/>
  <c r="H125" i="2"/>
  <c r="H116" i="2"/>
  <c r="M108" i="2"/>
  <c r="I100" i="2"/>
  <c r="J92" i="2"/>
  <c r="F84" i="2"/>
  <c r="J65" i="2"/>
  <c r="F58" i="2"/>
  <c r="F43" i="2"/>
  <c r="N27" i="2"/>
  <c r="H19" i="2"/>
  <c r="L6" i="2"/>
  <c r="K392" i="2"/>
  <c r="G377" i="2"/>
  <c r="N366" i="2"/>
  <c r="J325" i="2"/>
  <c r="I311" i="2"/>
  <c r="H287" i="2"/>
  <c r="J266" i="2"/>
  <c r="L255" i="2"/>
  <c r="J241" i="2"/>
  <c r="F227" i="2"/>
  <c r="H220" i="2"/>
  <c r="N205" i="2"/>
  <c r="I192" i="2"/>
  <c r="J179" i="2"/>
  <c r="F153" i="2"/>
  <c r="L146" i="2"/>
  <c r="H137" i="2"/>
  <c r="G125" i="2"/>
  <c r="G116" i="2"/>
  <c r="M105" i="2"/>
  <c r="L97" i="2"/>
  <c r="G89" i="2"/>
  <c r="F81" i="2"/>
  <c r="L72" i="2"/>
  <c r="I65" i="2"/>
  <c r="I60" i="2"/>
  <c r="M48" i="2"/>
  <c r="K39" i="2"/>
  <c r="I24" i="2"/>
  <c r="G19" i="2"/>
  <c r="N8" i="2"/>
  <c r="I402" i="2"/>
  <c r="J385" i="2"/>
  <c r="M370" i="2"/>
  <c r="J360" i="2"/>
  <c r="M345" i="2"/>
  <c r="G330" i="2"/>
  <c r="H321" i="2"/>
  <c r="H307" i="2"/>
  <c r="J294" i="2"/>
  <c r="I283" i="2"/>
  <c r="K275" i="2"/>
  <c r="I266" i="2"/>
  <c r="I255" i="2"/>
  <c r="J244" i="2"/>
  <c r="J216" i="2"/>
  <c r="H201" i="2"/>
  <c r="I187" i="2"/>
  <c r="I176" i="2"/>
  <c r="H156" i="2"/>
  <c r="K146" i="2"/>
  <c r="G137" i="2"/>
  <c r="M124" i="2"/>
  <c r="F116" i="2"/>
  <c r="N94" i="2"/>
  <c r="F89" i="2"/>
  <c r="H402" i="2"/>
  <c r="L394" i="2"/>
  <c r="G385" i="2"/>
  <c r="J370" i="2"/>
  <c r="I364" i="2"/>
  <c r="N354" i="2"/>
  <c r="F348" i="2"/>
  <c r="G332" i="2"/>
  <c r="F324" i="2"/>
  <c r="H316" i="2"/>
  <c r="K309" i="2"/>
  <c r="I297" i="2"/>
  <c r="I290" i="2"/>
  <c r="H285" i="2"/>
  <c r="F261" i="2"/>
  <c r="J254" i="2"/>
  <c r="K249" i="2"/>
  <c r="K243" i="2"/>
  <c r="I232" i="2"/>
  <c r="G223" i="2"/>
  <c r="J218" i="2"/>
  <c r="F210" i="2"/>
  <c r="J203" i="2"/>
  <c r="H195" i="2"/>
  <c r="I189" i="2"/>
  <c r="H182" i="2"/>
  <c r="L170" i="2"/>
  <c r="I165" i="2"/>
  <c r="F154" i="2"/>
  <c r="H148" i="2"/>
  <c r="F143" i="2"/>
  <c r="G139" i="2"/>
  <c r="M133" i="2"/>
  <c r="L126" i="2"/>
  <c r="G121" i="2"/>
  <c r="L117" i="2"/>
  <c r="M110" i="2"/>
  <c r="F107" i="2"/>
  <c r="H102" i="2"/>
  <c r="K98" i="2"/>
  <c r="M93" i="2"/>
  <c r="I90" i="2"/>
  <c r="K85" i="2"/>
  <c r="N80" i="2"/>
  <c r="K72" i="2"/>
  <c r="J69" i="2"/>
  <c r="F66" i="2"/>
  <c r="H62" i="2"/>
  <c r="N58" i="2"/>
  <c r="N54" i="2"/>
  <c r="N47" i="2"/>
  <c r="N42" i="2"/>
  <c r="L38" i="2"/>
  <c r="J34" i="2"/>
  <c r="K29" i="2"/>
  <c r="H26" i="2"/>
  <c r="H21" i="2"/>
  <c r="H17" i="2"/>
  <c r="H13" i="2"/>
  <c r="G8" i="2"/>
  <c r="J243" i="2"/>
  <c r="I177" i="2"/>
  <c r="H165" i="2"/>
  <c r="I158" i="2"/>
  <c r="G148" i="2"/>
  <c r="F139" i="2"/>
  <c r="I126" i="2"/>
  <c r="H98" i="2"/>
  <c r="I85" i="2"/>
  <c r="N76" i="2"/>
  <c r="I69" i="2"/>
  <c r="G62" i="2"/>
  <c r="M54" i="2"/>
  <c r="M42" i="2"/>
  <c r="I34" i="2"/>
  <c r="G26" i="2"/>
  <c r="G17" i="2"/>
  <c r="F8" i="2"/>
  <c r="M301" i="2"/>
  <c r="J242" i="2"/>
  <c r="N222" i="2"/>
  <c r="I208" i="2"/>
  <c r="J194" i="2"/>
  <c r="H176" i="2"/>
  <c r="I163" i="2"/>
  <c r="J152" i="2"/>
  <c r="J138" i="2"/>
  <c r="N120" i="2"/>
  <c r="K105" i="2"/>
  <c r="I93" i="2"/>
  <c r="K80" i="2"/>
  <c r="G69" i="2"/>
  <c r="K58" i="2"/>
  <c r="K42" i="2"/>
  <c r="M12" i="2"/>
  <c r="L401" i="2"/>
  <c r="L378" i="2"/>
  <c r="J359" i="2"/>
  <c r="K336" i="2"/>
  <c r="G314" i="2"/>
  <c r="J296" i="2"/>
  <c r="J258" i="2"/>
  <c r="I242" i="2"/>
  <c r="M222" i="2"/>
  <c r="I202" i="2"/>
  <c r="L181" i="2"/>
  <c r="G170" i="2"/>
  <c r="N157" i="2"/>
  <c r="H142" i="2"/>
  <c r="F110" i="2"/>
  <c r="G97" i="2"/>
  <c r="F85" i="2"/>
  <c r="G72" i="2"/>
  <c r="L61" i="2"/>
  <c r="J47" i="2"/>
  <c r="H33" i="2"/>
  <c r="N20" i="2"/>
  <c r="K7" i="2"/>
  <c r="G394" i="2"/>
  <c r="L368" i="2"/>
  <c r="I345" i="2"/>
  <c r="J323" i="2"/>
  <c r="K301" i="2"/>
  <c r="J282" i="2"/>
  <c r="I264" i="2"/>
  <c r="K247" i="2"/>
  <c r="L231" i="2"/>
  <c r="G217" i="2"/>
  <c r="H194" i="2"/>
  <c r="F176" i="2"/>
  <c r="M157" i="2"/>
  <c r="G142" i="2"/>
  <c r="L124" i="2"/>
  <c r="F97" i="2"/>
  <c r="L84" i="2"/>
  <c r="F72" i="2"/>
  <c r="K61" i="2"/>
  <c r="I47" i="2"/>
  <c r="M28" i="2"/>
  <c r="K16" i="2"/>
  <c r="J7" i="2"/>
  <c r="H392" i="2"/>
  <c r="I353" i="2"/>
  <c r="G329" i="2"/>
  <c r="H308" i="2"/>
  <c r="F289" i="2"/>
  <c r="K269" i="2"/>
  <c r="L253" i="2"/>
  <c r="G236" i="2"/>
  <c r="F216" i="2"/>
  <c r="F201" i="2"/>
  <c r="I181" i="2"/>
  <c r="F163" i="2"/>
  <c r="L147" i="2"/>
  <c r="K131" i="2"/>
  <c r="M115" i="2"/>
  <c r="L101" i="2"/>
  <c r="J88" i="2"/>
  <c r="I75" i="2"/>
  <c r="L64" i="2"/>
  <c r="K57" i="2"/>
  <c r="H46" i="2"/>
  <c r="L28" i="2"/>
  <c r="L15" i="2"/>
  <c r="J400" i="2"/>
  <c r="M376" i="2"/>
  <c r="H353" i="2"/>
  <c r="F329" i="2"/>
  <c r="G307" i="2"/>
  <c r="G294" i="2"/>
  <c r="G258" i="2"/>
  <c r="F236" i="2"/>
  <c r="J193" i="2"/>
  <c r="L175" i="2"/>
  <c r="H157" i="2"/>
  <c r="J124" i="2"/>
  <c r="M109" i="2"/>
  <c r="K101" i="2"/>
  <c r="I88" i="2"/>
  <c r="N79" i="2"/>
  <c r="I68" i="2"/>
  <c r="I61" i="2"/>
  <c r="G46" i="2"/>
  <c r="K20" i="2"/>
  <c r="H7" i="2"/>
  <c r="M358" i="2"/>
  <c r="F336" i="2"/>
  <c r="J313" i="2"/>
  <c r="J288" i="2"/>
  <c r="I269" i="2"/>
  <c r="J253" i="2"/>
  <c r="J215" i="2"/>
  <c r="I193" i="2"/>
  <c r="J175" i="2"/>
  <c r="G156" i="2"/>
  <c r="N141" i="2"/>
  <c r="I124" i="2"/>
  <c r="L109" i="2"/>
  <c r="J96" i="2"/>
  <c r="I83" i="2"/>
  <c r="M71" i="2"/>
  <c r="H61" i="2"/>
  <c r="F46" i="2"/>
  <c r="N36" i="2"/>
  <c r="J28" i="2"/>
  <c r="J15" i="2"/>
  <c r="N399" i="2"/>
  <c r="I376" i="2"/>
  <c r="F353" i="2"/>
  <c r="N328" i="2"/>
  <c r="G306" i="2"/>
  <c r="I288" i="2"/>
  <c r="H269" i="2"/>
  <c r="M257" i="2"/>
  <c r="J240" i="2"/>
  <c r="I221" i="2"/>
  <c r="K200" i="2"/>
  <c r="F181" i="2"/>
  <c r="M162" i="2"/>
  <c r="M145" i="2"/>
  <c r="H131" i="2"/>
  <c r="K109" i="2"/>
  <c r="G96" i="2"/>
  <c r="G88" i="2"/>
  <c r="N74" i="2"/>
  <c r="I64" i="2"/>
  <c r="M36" i="2"/>
  <c r="I23" i="2"/>
  <c r="G12" i="2"/>
  <c r="G389" i="2"/>
  <c r="F351" i="2"/>
  <c r="G313" i="2"/>
  <c r="N293" i="2"/>
  <c r="G277" i="2"/>
  <c r="L257" i="2"/>
  <c r="H221" i="2"/>
  <c r="J200" i="2"/>
  <c r="H179" i="2"/>
  <c r="N166" i="2"/>
  <c r="H151" i="2"/>
  <c r="L141" i="2"/>
  <c r="L123" i="2"/>
  <c r="J108" i="2"/>
  <c r="F88" i="2"/>
  <c r="H79" i="2"/>
  <c r="J67" i="2"/>
  <c r="N56" i="2"/>
  <c r="L41" i="2"/>
  <c r="L27" i="2"/>
  <c r="H15" i="2"/>
  <c r="J399" i="2"/>
  <c r="K328" i="2"/>
  <c r="F313" i="2"/>
  <c r="L281" i="2"/>
  <c r="J262" i="2"/>
  <c r="H246" i="2"/>
  <c r="J226" i="2"/>
  <c r="K207" i="2"/>
  <c r="H185" i="2"/>
  <c r="M166" i="2"/>
  <c r="G151" i="2"/>
  <c r="G136" i="2"/>
  <c r="K118" i="2"/>
  <c r="J104" i="2"/>
  <c r="H91" i="2"/>
  <c r="G79" i="2"/>
  <c r="I67" i="2"/>
  <c r="M56" i="2"/>
  <c r="K41" i="2"/>
  <c r="I32" i="2"/>
  <c r="G20" i="2"/>
  <c r="G6" i="2"/>
  <c r="F381" i="2"/>
  <c r="I358" i="2"/>
  <c r="H333" i="2"/>
  <c r="G402" i="2"/>
  <c r="K394" i="2"/>
  <c r="F385" i="2"/>
  <c r="J379" i="2"/>
  <c r="I370" i="2"/>
  <c r="H364" i="2"/>
  <c r="M354" i="2"/>
  <c r="K347" i="2"/>
  <c r="F337" i="2"/>
  <c r="F332" i="2"/>
  <c r="I315" i="2"/>
  <c r="I309" i="2"/>
  <c r="F302" i="2"/>
  <c r="H297" i="2"/>
  <c r="H290" i="2"/>
  <c r="J278" i="2"/>
  <c r="N273" i="2"/>
  <c r="N265" i="2"/>
  <c r="I254" i="2"/>
  <c r="J249" i="2"/>
  <c r="F237" i="2"/>
  <c r="H232" i="2"/>
  <c r="F223" i="2"/>
  <c r="I218" i="2"/>
  <c r="G203" i="2"/>
  <c r="H189" i="2"/>
  <c r="G182" i="2"/>
  <c r="J170" i="2"/>
  <c r="L152" i="2"/>
  <c r="K133" i="2"/>
  <c r="F121" i="2"/>
  <c r="I110" i="2"/>
  <c r="G102" i="2"/>
  <c r="L93" i="2"/>
  <c r="M80" i="2"/>
  <c r="J72" i="2"/>
  <c r="M58" i="2"/>
  <c r="M47" i="2"/>
  <c r="K38" i="2"/>
  <c r="I29" i="2"/>
  <c r="G21" i="2"/>
  <c r="G13" i="2"/>
  <c r="N3" i="2"/>
  <c r="G309" i="2"/>
  <c r="M247" i="2"/>
  <c r="J202" i="2"/>
  <c r="K142" i="2"/>
  <c r="F126" i="2"/>
  <c r="G110" i="2"/>
  <c r="H97" i="2"/>
  <c r="G85" i="2"/>
  <c r="H72" i="2"/>
  <c r="G65" i="2"/>
  <c r="K54" i="2"/>
  <c r="I38" i="2"/>
  <c r="G29" i="2"/>
  <c r="M16" i="2"/>
  <c r="F3" i="2"/>
  <c r="H394" i="2"/>
  <c r="M368" i="2"/>
  <c r="K345" i="2"/>
  <c r="K323" i="2"/>
  <c r="L301" i="2"/>
  <c r="H284" i="2"/>
  <c r="J264" i="2"/>
  <c r="L247" i="2"/>
  <c r="M231" i="2"/>
  <c r="H208" i="2"/>
  <c r="H187" i="2"/>
  <c r="G176" i="2"/>
  <c r="H163" i="2"/>
  <c r="I152" i="2"/>
  <c r="N101" i="2"/>
  <c r="L88" i="2"/>
  <c r="K76" i="2"/>
  <c r="N64" i="2"/>
  <c r="J54" i="2"/>
  <c r="G38" i="2"/>
  <c r="G24" i="2"/>
  <c r="L12" i="2"/>
  <c r="I401" i="2"/>
  <c r="J353" i="2"/>
  <c r="H329" i="2"/>
  <c r="I308" i="2"/>
  <c r="G289" i="2"/>
  <c r="N277" i="2"/>
  <c r="I258" i="2"/>
  <c r="H242" i="2"/>
  <c r="G208" i="2"/>
  <c r="G187" i="2"/>
  <c r="F170" i="2"/>
  <c r="M147" i="2"/>
  <c r="L131" i="2"/>
  <c r="N115" i="2"/>
  <c r="M101" i="2"/>
  <c r="K88" i="2"/>
  <c r="F80" i="2"/>
  <c r="M68" i="2"/>
  <c r="M57" i="2"/>
  <c r="I42" i="2"/>
  <c r="G33" i="2"/>
  <c r="M20" i="2"/>
  <c r="I384" i="2"/>
  <c r="K368" i="2"/>
  <c r="H345" i="2"/>
  <c r="G323" i="2"/>
  <c r="I294" i="2"/>
  <c r="M277" i="2"/>
  <c r="H258" i="2"/>
  <c r="G242" i="2"/>
  <c r="F222" i="2"/>
  <c r="L157" i="2"/>
  <c r="F142" i="2"/>
  <c r="K124" i="2"/>
  <c r="N109" i="2"/>
  <c r="K84" i="2"/>
  <c r="J61" i="2"/>
  <c r="N37" i="2"/>
  <c r="J12" i="2"/>
  <c r="F384" i="2"/>
  <c r="I368" i="2"/>
  <c r="G345" i="2"/>
  <c r="F323" i="2"/>
  <c r="L277" i="2"/>
  <c r="G264" i="2"/>
  <c r="I247" i="2"/>
  <c r="N226" i="2"/>
  <c r="N169" i="2"/>
  <c r="M151" i="2"/>
  <c r="J120" i="2"/>
  <c r="F105" i="2"/>
  <c r="K83" i="2"/>
  <c r="F75" i="2"/>
  <c r="K64" i="2"/>
  <c r="G54" i="2"/>
  <c r="M37" i="2"/>
  <c r="K23" i="2"/>
  <c r="I12" i="2"/>
  <c r="I389" i="2"/>
  <c r="H368" i="2"/>
  <c r="F345" i="2"/>
  <c r="G321" i="2"/>
  <c r="H301" i="2"/>
  <c r="F294" i="2"/>
  <c r="I277" i="2"/>
  <c r="F258" i="2"/>
  <c r="H241" i="2"/>
  <c r="J221" i="2"/>
  <c r="L200" i="2"/>
  <c r="G181" i="2"/>
  <c r="N162" i="2"/>
  <c r="N145" i="2"/>
  <c r="I131" i="2"/>
  <c r="K115" i="2"/>
  <c r="F101" i="2"/>
  <c r="H88" i="2"/>
  <c r="J64" i="2"/>
  <c r="F54" i="2"/>
  <c r="M32" i="2"/>
  <c r="J20" i="2"/>
  <c r="J6" i="2"/>
  <c r="J383" i="2"/>
  <c r="L358" i="2"/>
  <c r="K334" i="2"/>
  <c r="F321" i="2"/>
  <c r="G301" i="2"/>
  <c r="N281" i="2"/>
  <c r="J246" i="2"/>
  <c r="L226" i="2"/>
  <c r="M207" i="2"/>
  <c r="J185" i="2"/>
  <c r="J167" i="2"/>
  <c r="K151" i="2"/>
  <c r="K136" i="2"/>
  <c r="H120" i="2"/>
  <c r="N104" i="2"/>
  <c r="L79" i="2"/>
  <c r="K67" i="2"/>
  <c r="G57" i="2"/>
  <c r="M41" i="2"/>
  <c r="I28" i="2"/>
  <c r="I20" i="2"/>
  <c r="I6" i="2"/>
  <c r="G383" i="2"/>
  <c r="F368" i="2"/>
  <c r="J344" i="2"/>
  <c r="M328" i="2"/>
  <c r="F306" i="2"/>
  <c r="H288" i="2"/>
  <c r="G269" i="2"/>
  <c r="L251" i="2"/>
  <c r="M235" i="2"/>
  <c r="H215" i="2"/>
  <c r="G193" i="2"/>
  <c r="M174" i="2"/>
  <c r="K155" i="2"/>
  <c r="H136" i="2"/>
  <c r="G120" i="2"/>
  <c r="K104" i="2"/>
  <c r="I91" i="2"/>
  <c r="M74" i="2"/>
  <c r="H60" i="2"/>
  <c r="N44" i="2"/>
  <c r="J32" i="2"/>
  <c r="H20" i="2"/>
  <c r="H6" i="2"/>
  <c r="F383" i="2"/>
  <c r="J358" i="2"/>
  <c r="F334" i="2"/>
  <c r="J318" i="2"/>
  <c r="M293" i="2"/>
  <c r="J275" i="2"/>
  <c r="K257" i="2"/>
  <c r="N239" i="2"/>
  <c r="G221" i="2"/>
  <c r="I200" i="2"/>
  <c r="G179" i="2"/>
  <c r="K162" i="2"/>
  <c r="K145" i="2"/>
  <c r="F131" i="2"/>
  <c r="L114" i="2"/>
  <c r="N99" i="2"/>
  <c r="M87" i="2"/>
  <c r="I71" i="2"/>
  <c r="G60" i="2"/>
  <c r="M44" i="2"/>
  <c r="K27" i="2"/>
  <c r="G15" i="2"/>
  <c r="I399" i="2"/>
  <c r="J373" i="2"/>
  <c r="N350" i="2"/>
  <c r="N401" i="2"/>
  <c r="J394" i="2"/>
  <c r="I379" i="2"/>
  <c r="H370" i="2"/>
  <c r="L354" i="2"/>
  <c r="J347" i="2"/>
  <c r="M323" i="2"/>
  <c r="J314" i="2"/>
  <c r="H309" i="2"/>
  <c r="G297" i="2"/>
  <c r="G290" i="2"/>
  <c r="J284" i="2"/>
  <c r="G278" i="2"/>
  <c r="J273" i="2"/>
  <c r="F265" i="2"/>
  <c r="J260" i="2"/>
  <c r="H254" i="2"/>
  <c r="F248" i="2"/>
  <c r="G232" i="2"/>
  <c r="H218" i="2"/>
  <c r="J208" i="2"/>
  <c r="F203" i="2"/>
  <c r="N194" i="2"/>
  <c r="G189" i="2"/>
  <c r="F182" i="2"/>
  <c r="H177" i="2"/>
  <c r="I170" i="2"/>
  <c r="J163" i="2"/>
  <c r="H158" i="2"/>
  <c r="K152" i="2"/>
  <c r="F148" i="2"/>
  <c r="L142" i="2"/>
  <c r="K138" i="2"/>
  <c r="J133" i="2"/>
  <c r="G126" i="2"/>
  <c r="N116" i="2"/>
  <c r="H110" i="2"/>
  <c r="L106" i="2"/>
  <c r="F102" i="2"/>
  <c r="I97" i="2"/>
  <c r="K93" i="2"/>
  <c r="N88" i="2"/>
  <c r="H85" i="2"/>
  <c r="L80" i="2"/>
  <c r="M76" i="2"/>
  <c r="I72" i="2"/>
  <c r="H69" i="2"/>
  <c r="H65" i="2"/>
  <c r="L58" i="2"/>
  <c r="L54" i="2"/>
  <c r="L47" i="2"/>
  <c r="L42" i="2"/>
  <c r="J38" i="2"/>
  <c r="J33" i="2"/>
  <c r="H29" i="2"/>
  <c r="F26" i="2"/>
  <c r="F21" i="2"/>
  <c r="N16" i="2"/>
  <c r="N12" i="2"/>
  <c r="N7" i="2"/>
  <c r="G3" i="2"/>
  <c r="M401" i="2"/>
  <c r="I394" i="2"/>
  <c r="N384" i="2"/>
  <c r="H379" i="2"/>
  <c r="G370" i="2"/>
  <c r="J361" i="2"/>
  <c r="I354" i="2"/>
  <c r="L345" i="2"/>
  <c r="N336" i="2"/>
  <c r="J329" i="2"/>
  <c r="L323" i="2"/>
  <c r="I314" i="2"/>
  <c r="L289" i="2"/>
  <c r="I284" i="2"/>
  <c r="F278" i="2"/>
  <c r="I273" i="2"/>
  <c r="J236" i="2"/>
  <c r="F232" i="2"/>
  <c r="F189" i="2"/>
  <c r="H170" i="2"/>
  <c r="I133" i="2"/>
  <c r="M116" i="2"/>
  <c r="M88" i="2"/>
  <c r="L76" i="2"/>
  <c r="M61" i="2"/>
  <c r="K47" i="2"/>
  <c r="I33" i="2"/>
  <c r="L7" i="2"/>
  <c r="K384" i="2"/>
  <c r="H354" i="2"/>
  <c r="I329" i="2"/>
  <c r="F309" i="2"/>
  <c r="K289" i="2"/>
  <c r="M269" i="2"/>
  <c r="N253" i="2"/>
  <c r="I236" i="2"/>
  <c r="J217" i="2"/>
  <c r="I194" i="2"/>
  <c r="N147" i="2"/>
  <c r="M120" i="2"/>
  <c r="I105" i="2"/>
  <c r="H93" i="2"/>
  <c r="J80" i="2"/>
  <c r="N68" i="2"/>
  <c r="N57" i="2"/>
  <c r="J42" i="2"/>
  <c r="N28" i="2"/>
  <c r="L16" i="2"/>
  <c r="J384" i="2"/>
  <c r="G359" i="2"/>
  <c r="J336" i="2"/>
  <c r="F314" i="2"/>
  <c r="N295" i="2"/>
  <c r="L269" i="2"/>
  <c r="M253" i="2"/>
  <c r="H236" i="2"/>
  <c r="L222" i="2"/>
  <c r="G201" i="2"/>
  <c r="J181" i="2"/>
  <c r="G163" i="2"/>
  <c r="H152" i="2"/>
  <c r="N137" i="2"/>
  <c r="L120" i="2"/>
  <c r="H105" i="2"/>
  <c r="G93" i="2"/>
  <c r="J76" i="2"/>
  <c r="M64" i="2"/>
  <c r="I54" i="2"/>
  <c r="M23" i="2"/>
  <c r="K12" i="2"/>
  <c r="H401" i="2"/>
  <c r="N376" i="2"/>
  <c r="F359" i="2"/>
  <c r="I336" i="2"/>
  <c r="J301" i="2"/>
  <c r="G282" i="2"/>
  <c r="H264" i="2"/>
  <c r="J247" i="2"/>
  <c r="H231" i="2"/>
  <c r="F208" i="2"/>
  <c r="F187" i="2"/>
  <c r="G152" i="2"/>
  <c r="F137" i="2"/>
  <c r="K120" i="2"/>
  <c r="G105" i="2"/>
  <c r="F93" i="2"/>
  <c r="K68" i="2"/>
  <c r="H54" i="2"/>
  <c r="H42" i="2"/>
  <c r="F33" i="2"/>
  <c r="L23" i="2"/>
  <c r="L20" i="2"/>
  <c r="I7" i="2"/>
  <c r="J389" i="2"/>
  <c r="G336" i="2"/>
  <c r="N313" i="2"/>
  <c r="I301" i="2"/>
  <c r="F282" i="2"/>
  <c r="J269" i="2"/>
  <c r="K253" i="2"/>
  <c r="F242" i="2"/>
  <c r="M200" i="2"/>
  <c r="H181" i="2"/>
  <c r="G146" i="2"/>
  <c r="J131" i="2"/>
  <c r="L115" i="2"/>
  <c r="N96" i="2"/>
  <c r="N71" i="2"/>
  <c r="I57" i="2"/>
  <c r="G42" i="2"/>
  <c r="K28" i="2"/>
  <c r="K15" i="2"/>
  <c r="I400" i="2"/>
  <c r="J376" i="2"/>
  <c r="G353" i="2"/>
  <c r="H306" i="2"/>
  <c r="F264" i="2"/>
  <c r="H247" i="2"/>
  <c r="M226" i="2"/>
  <c r="N207" i="2"/>
  <c r="L185" i="2"/>
  <c r="M169" i="2"/>
  <c r="L151" i="2"/>
  <c r="L136" i="2"/>
  <c r="I120" i="2"/>
  <c r="L91" i="2"/>
  <c r="M79" i="2"/>
  <c r="L67" i="2"/>
  <c r="H57" i="2"/>
  <c r="N41" i="2"/>
  <c r="J23" i="2"/>
  <c r="H12" i="2"/>
  <c r="H389" i="2"/>
  <c r="G368" i="2"/>
  <c r="I313" i="2"/>
  <c r="H277" i="2"/>
  <c r="M251" i="2"/>
  <c r="N235" i="2"/>
  <c r="I215" i="2"/>
  <c r="H193" i="2"/>
  <c r="I175" i="2"/>
  <c r="L155" i="2"/>
  <c r="M141" i="2"/>
  <c r="I115" i="2"/>
  <c r="F100" i="2"/>
  <c r="K91" i="2"/>
  <c r="H83" i="2"/>
  <c r="L71" i="2"/>
  <c r="G61" i="2"/>
  <c r="K32" i="2"/>
  <c r="I15" i="2"/>
  <c r="M399" i="2"/>
  <c r="H376" i="2"/>
  <c r="K358" i="2"/>
  <c r="J334" i="2"/>
  <c r="F301" i="2"/>
  <c r="M281" i="2"/>
  <c r="I246" i="2"/>
  <c r="K226" i="2"/>
  <c r="L207" i="2"/>
  <c r="I185" i="2"/>
  <c r="L162" i="2"/>
  <c r="L145" i="2"/>
  <c r="G131" i="2"/>
  <c r="H115" i="2"/>
  <c r="F96" i="2"/>
  <c r="G83" i="2"/>
  <c r="K71" i="2"/>
  <c r="G64" i="2"/>
  <c r="N49" i="2"/>
  <c r="L36" i="2"/>
  <c r="H23" i="2"/>
  <c r="N388" i="2"/>
  <c r="L366" i="2"/>
  <c r="N343" i="2"/>
  <c r="G288" i="2"/>
  <c r="F269" i="2"/>
  <c r="I251" i="2"/>
  <c r="L235" i="2"/>
  <c r="M214" i="2"/>
  <c r="G192" i="2"/>
  <c r="J174" i="2"/>
  <c r="J155" i="2"/>
  <c r="K141" i="2"/>
  <c r="K123" i="2"/>
  <c r="F108" i="2"/>
  <c r="F83" i="2"/>
  <c r="L74" i="2"/>
  <c r="M49" i="2"/>
  <c r="K36" i="2"/>
  <c r="G23" i="2"/>
  <c r="M9" i="2"/>
  <c r="M388" i="2"/>
  <c r="I366" i="2"/>
  <c r="M343" i="2"/>
  <c r="N396" i="2"/>
  <c r="F380" i="2"/>
  <c r="H355" i="2"/>
  <c r="K332" i="2"/>
  <c r="J312" i="2"/>
  <c r="N297" i="2"/>
  <c r="J281" i="2"/>
  <c r="H266" i="2"/>
  <c r="G251" i="2"/>
  <c r="H239" i="2"/>
  <c r="J219" i="2"/>
  <c r="G205" i="2"/>
  <c r="N184" i="2"/>
  <c r="L171" i="2"/>
  <c r="H155" i="2"/>
  <c r="L127" i="2"/>
  <c r="H104" i="2"/>
  <c r="K94" i="2"/>
  <c r="N82" i="2"/>
  <c r="F74" i="2"/>
  <c r="M63" i="2"/>
  <c r="G56" i="2"/>
  <c r="G41" i="2"/>
  <c r="J8" i="2"/>
  <c r="K396" i="2"/>
  <c r="I373" i="2"/>
  <c r="G355" i="2"/>
  <c r="I332" i="2"/>
  <c r="G311" i="2"/>
  <c r="M297" i="2"/>
  <c r="G281" i="2"/>
  <c r="G266" i="2"/>
  <c r="F251" i="2"/>
  <c r="G239" i="2"/>
  <c r="I219" i="2"/>
  <c r="F205" i="2"/>
  <c r="K184" i="2"/>
  <c r="K171" i="2"/>
  <c r="G155" i="2"/>
  <c r="J144" i="2"/>
  <c r="H127" i="2"/>
  <c r="N117" i="2"/>
  <c r="G104" i="2"/>
  <c r="M82" i="2"/>
  <c r="L63" i="2"/>
  <c r="I55" i="2"/>
  <c r="J39" i="2"/>
  <c r="N29" i="2"/>
  <c r="N17" i="2"/>
  <c r="I8" i="2"/>
  <c r="H82" i="2"/>
  <c r="H39" i="2"/>
  <c r="L17" i="2"/>
  <c r="F396" i="2"/>
  <c r="I328" i="2"/>
  <c r="J280" i="2"/>
  <c r="G250" i="2"/>
  <c r="M218" i="2"/>
  <c r="I154" i="2"/>
  <c r="F91" i="2"/>
  <c r="K62" i="2"/>
  <c r="G27" i="2"/>
  <c r="H328" i="2"/>
  <c r="G279" i="2"/>
  <c r="K233" i="2"/>
  <c r="N182" i="2"/>
  <c r="M139" i="2"/>
  <c r="J102" i="2"/>
  <c r="F70" i="2"/>
  <c r="N38" i="2"/>
  <c r="M4" i="2"/>
  <c r="G292" i="2"/>
  <c r="L249" i="2"/>
  <c r="F198" i="2"/>
  <c r="L139" i="2"/>
  <c r="I102" i="2"/>
  <c r="M26" i="2"/>
  <c r="L388" i="2"/>
  <c r="F325" i="2"/>
  <c r="I275" i="2"/>
  <c r="I233" i="2"/>
  <c r="L150" i="2"/>
  <c r="G114" i="2"/>
  <c r="F79" i="2"/>
  <c r="H48" i="2"/>
  <c r="N14" i="2"/>
  <c r="H366" i="2"/>
  <c r="J305" i="2"/>
  <c r="H233" i="2"/>
  <c r="I123" i="2"/>
  <c r="M69" i="2"/>
  <c r="I36" i="2"/>
  <c r="I4" i="2"/>
  <c r="G365" i="2"/>
  <c r="M291" i="2"/>
  <c r="L165" i="2"/>
  <c r="H123" i="2"/>
  <c r="K90" i="2"/>
  <c r="M59" i="2"/>
  <c r="J26" i="2"/>
  <c r="J387" i="2"/>
  <c r="G324" i="2"/>
  <c r="J274" i="2"/>
  <c r="J232" i="2"/>
  <c r="J165" i="2"/>
  <c r="G123" i="2"/>
  <c r="M77" i="2"/>
  <c r="I26" i="2"/>
  <c r="H343" i="2"/>
  <c r="J257" i="2"/>
  <c r="H214" i="2"/>
  <c r="J162" i="2"/>
  <c r="F136" i="2"/>
  <c r="H99" i="2"/>
  <c r="L77" i="2"/>
  <c r="J59" i="2"/>
  <c r="F23" i="2"/>
  <c r="N364" i="2"/>
  <c r="J304" i="2"/>
  <c r="I257" i="2"/>
  <c r="G214" i="2"/>
  <c r="N107" i="2"/>
  <c r="K87" i="2"/>
  <c r="G67" i="2"/>
  <c r="K44" i="2"/>
  <c r="I14" i="2"/>
  <c r="J338" i="2"/>
  <c r="H286" i="2"/>
  <c r="F244" i="2"/>
  <c r="L148" i="2"/>
  <c r="M107" i="2"/>
  <c r="G77" i="2"/>
  <c r="J44" i="2"/>
  <c r="G14" i="2"/>
  <c r="I338" i="2"/>
  <c r="N285" i="2"/>
  <c r="I135" i="2"/>
  <c r="H338" i="2"/>
  <c r="H255" i="2"/>
  <c r="I174" i="2"/>
  <c r="J118" i="2"/>
  <c r="G86" i="2"/>
  <c r="L66" i="2"/>
  <c r="H32" i="2"/>
  <c r="L9" i="2"/>
  <c r="G333" i="2"/>
  <c r="K285" i="2"/>
  <c r="L239" i="2"/>
  <c r="L189" i="2"/>
  <c r="I145" i="2"/>
  <c r="I107" i="2"/>
  <c r="J74" i="2"/>
  <c r="G44" i="2"/>
  <c r="K9" i="2"/>
  <c r="F333" i="2"/>
  <c r="J285" i="2"/>
  <c r="K239" i="2"/>
  <c r="K189" i="2"/>
  <c r="H145" i="2"/>
  <c r="H107" i="2"/>
  <c r="I74" i="2"/>
  <c r="N43" i="2"/>
  <c r="M8" i="2"/>
  <c r="M332" i="2"/>
  <c r="G298" i="2"/>
  <c r="K267" i="2"/>
  <c r="K224" i="2"/>
  <c r="F174" i="2"/>
  <c r="N133" i="2"/>
  <c r="M94" i="2"/>
  <c r="G66" i="2"/>
  <c r="M31" i="2"/>
  <c r="G380" i="2"/>
  <c r="J267" i="2"/>
  <c r="F221" i="2"/>
  <c r="M171" i="2"/>
  <c r="L94" i="2"/>
  <c r="N63" i="2"/>
  <c r="F31" i="2"/>
  <c r="J372" i="2"/>
  <c r="K293" i="2"/>
  <c r="H235" i="2"/>
  <c r="K166" i="2"/>
  <c r="M102" i="2"/>
  <c r="G71" i="2"/>
  <c r="G39" i="2"/>
  <c r="F350" i="2"/>
  <c r="J293" i="2"/>
  <c r="F250" i="2"/>
  <c r="G198" i="2"/>
  <c r="H154" i="2"/>
  <c r="I114" i="2"/>
  <c r="F82" i="2"/>
  <c r="J48" i="2"/>
  <c r="J17" i="2"/>
  <c r="L370" i="2"/>
  <c r="L309" i="2"/>
  <c r="K261" i="2"/>
  <c r="K218" i="2"/>
  <c r="G166" i="2"/>
  <c r="M126" i="2"/>
  <c r="N90" i="2"/>
  <c r="I62" i="2"/>
  <c r="M38" i="2"/>
  <c r="K4" i="2"/>
  <c r="J348" i="2"/>
  <c r="F292" i="2"/>
  <c r="J261" i="2"/>
  <c r="L214" i="2"/>
  <c r="F179" i="2"/>
  <c r="K139" i="2"/>
  <c r="M99" i="2"/>
  <c r="N69" i="2"/>
  <c r="J36" i="2"/>
  <c r="J4" i="2"/>
  <c r="G348" i="2"/>
  <c r="I261" i="2"/>
  <c r="K214" i="2"/>
  <c r="J139" i="2"/>
  <c r="L99" i="2"/>
  <c r="H78" i="2"/>
  <c r="G48" i="2"/>
  <c r="M14" i="2"/>
  <c r="H388" i="2"/>
  <c r="J324" i="2"/>
  <c r="H261" i="2"/>
  <c r="J195" i="2"/>
  <c r="M149" i="2"/>
  <c r="G111" i="2"/>
  <c r="G78" i="2"/>
  <c r="F48" i="2"/>
  <c r="L14" i="2"/>
  <c r="F365" i="2"/>
  <c r="H305" i="2"/>
  <c r="G261" i="2"/>
  <c r="I214" i="2"/>
  <c r="M178" i="2"/>
  <c r="H139" i="2"/>
  <c r="I99" i="2"/>
  <c r="K69" i="2"/>
  <c r="K14" i="2"/>
  <c r="I387" i="2"/>
  <c r="I318" i="2"/>
  <c r="J286" i="2"/>
  <c r="H244" i="2"/>
  <c r="F192" i="2"/>
  <c r="L44" i="2"/>
  <c r="J14" i="2"/>
  <c r="M338" i="2"/>
  <c r="I286" i="2"/>
  <c r="G244" i="2"/>
  <c r="F190" i="2"/>
  <c r="G162" i="2"/>
  <c r="K77" i="2"/>
  <c r="M364" i="2"/>
  <c r="I304" i="2"/>
  <c r="H257" i="2"/>
  <c r="F214" i="2"/>
  <c r="F162" i="2"/>
  <c r="I121" i="2"/>
  <c r="I86" i="2"/>
  <c r="H59" i="2"/>
  <c r="N22" i="2"/>
  <c r="J364" i="2"/>
  <c r="G304" i="2"/>
  <c r="J225" i="2"/>
  <c r="N189" i="2"/>
  <c r="J159" i="2"/>
  <c r="H121" i="2"/>
  <c r="L98" i="2"/>
  <c r="F77" i="2"/>
  <c r="G59" i="2"/>
  <c r="K34" i="2"/>
  <c r="H358" i="2"/>
  <c r="I300" i="2"/>
  <c r="H268" i="2"/>
  <c r="F225" i="2"/>
  <c r="M189" i="2"/>
  <c r="J145" i="2"/>
  <c r="K107" i="2"/>
  <c r="K74" i="2"/>
  <c r="H44" i="2"/>
  <c r="K380" i="2"/>
  <c r="I317" i="2"/>
  <c r="M267" i="2"/>
  <c r="M224" i="2"/>
  <c r="H174" i="2"/>
  <c r="G135" i="2"/>
  <c r="M95" i="2"/>
  <c r="K66" i="2"/>
  <c r="G32" i="2"/>
  <c r="I380" i="2"/>
  <c r="J316" i="2"/>
  <c r="L267" i="2"/>
  <c r="L224" i="2"/>
  <c r="G174" i="2"/>
  <c r="F135" i="2"/>
  <c r="L95" i="2"/>
  <c r="I66" i="2"/>
  <c r="J21" i="2"/>
  <c r="I205" i="2"/>
  <c r="F159" i="2"/>
  <c r="G118" i="2"/>
  <c r="L85" i="2"/>
  <c r="M43" i="2"/>
  <c r="L8" i="2"/>
  <c r="L332" i="2"/>
  <c r="K281" i="2"/>
  <c r="I239" i="2"/>
  <c r="F145" i="2"/>
  <c r="I104" i="2"/>
  <c r="G74" i="2"/>
  <c r="I41" i="2"/>
  <c r="K8" i="2"/>
  <c r="J396" i="2"/>
  <c r="N372" i="2"/>
  <c r="K350" i="2"/>
  <c r="H332" i="2"/>
  <c r="F311" i="2"/>
  <c r="L297" i="2"/>
  <c r="F281" i="2"/>
  <c r="F266" i="2"/>
  <c r="F239" i="2"/>
  <c r="H219" i="2"/>
  <c r="J184" i="2"/>
  <c r="J171" i="2"/>
  <c r="F155" i="2"/>
  <c r="I144" i="2"/>
  <c r="G127" i="2"/>
  <c r="M117" i="2"/>
  <c r="F104" i="2"/>
  <c r="N93" i="2"/>
  <c r="I82" i="2"/>
  <c r="N73" i="2"/>
  <c r="K63" i="2"/>
  <c r="G55" i="2"/>
  <c r="I39" i="2"/>
  <c r="M29" i="2"/>
  <c r="M17" i="2"/>
  <c r="H8" i="2"/>
  <c r="I396" i="2"/>
  <c r="K372" i="2"/>
  <c r="J350" i="2"/>
  <c r="J328" i="2"/>
  <c r="L293" i="2"/>
  <c r="N261" i="2"/>
  <c r="J250" i="2"/>
  <c r="I235" i="2"/>
  <c r="N218" i="2"/>
  <c r="H200" i="2"/>
  <c r="I184" i="2"/>
  <c r="L166" i="2"/>
  <c r="J141" i="2"/>
  <c r="F127" i="2"/>
  <c r="K114" i="2"/>
  <c r="N102" i="2"/>
  <c r="G91" i="2"/>
  <c r="H71" i="2"/>
  <c r="L62" i="2"/>
  <c r="L48" i="2"/>
  <c r="I27" i="2"/>
  <c r="F6" i="2"/>
  <c r="I350" i="2"/>
  <c r="I310" i="2"/>
  <c r="M261" i="2"/>
  <c r="H198" i="2"/>
  <c r="N139" i="2"/>
  <c r="J114" i="2"/>
  <c r="G82" i="2"/>
  <c r="K48" i="2"/>
  <c r="K17" i="2"/>
  <c r="I372" i="2"/>
  <c r="M309" i="2"/>
  <c r="L261" i="2"/>
  <c r="L218" i="2"/>
  <c r="J166" i="2"/>
  <c r="N126" i="2"/>
  <c r="J62" i="2"/>
  <c r="N26" i="2"/>
  <c r="M394" i="2"/>
  <c r="G325" i="2"/>
  <c r="F279" i="2"/>
  <c r="J233" i="2"/>
  <c r="M182" i="2"/>
  <c r="G154" i="2"/>
  <c r="H114" i="2"/>
  <c r="I48" i="2"/>
  <c r="I17" i="2"/>
  <c r="K370" i="2"/>
  <c r="N305" i="2"/>
  <c r="G246" i="2"/>
  <c r="F166" i="2"/>
  <c r="J123" i="2"/>
  <c r="M90" i="2"/>
  <c r="F60" i="2"/>
  <c r="L26" i="2"/>
  <c r="I388" i="2"/>
  <c r="H275" i="2"/>
  <c r="F246" i="2"/>
  <c r="N197" i="2"/>
  <c r="K150" i="2"/>
  <c r="H111" i="2"/>
  <c r="L90" i="2"/>
  <c r="K26" i="2"/>
  <c r="L343" i="2"/>
  <c r="I305" i="2"/>
  <c r="M245" i="2"/>
  <c r="J214" i="2"/>
  <c r="N178" i="2"/>
  <c r="I139" i="2"/>
  <c r="K99" i="2"/>
  <c r="L69" i="2"/>
  <c r="H36" i="2"/>
  <c r="H4" i="2"/>
  <c r="I343" i="2"/>
  <c r="I244" i="2"/>
  <c r="I195" i="2"/>
  <c r="L149" i="2"/>
  <c r="N110" i="2"/>
  <c r="J90" i="2"/>
  <c r="K59" i="2"/>
  <c r="G36" i="2"/>
  <c r="G4" i="2"/>
  <c r="I274" i="2"/>
  <c r="G226" i="2"/>
  <c r="L178" i="2"/>
  <c r="K149" i="2"/>
  <c r="F123" i="2"/>
  <c r="L87" i="2"/>
  <c r="H67" i="2"/>
  <c r="H387" i="2"/>
  <c r="H318" i="2"/>
  <c r="H274" i="2"/>
  <c r="F226" i="2"/>
  <c r="K178" i="2"/>
  <c r="G99" i="2"/>
  <c r="I59" i="2"/>
  <c r="M34" i="2"/>
  <c r="I385" i="2"/>
  <c r="N317" i="2"/>
  <c r="G274" i="2"/>
  <c r="J178" i="2"/>
  <c r="J135" i="2"/>
  <c r="M98" i="2"/>
  <c r="N66" i="2"/>
  <c r="L34" i="2"/>
  <c r="M380" i="2"/>
  <c r="M317" i="2"/>
  <c r="F274" i="2"/>
  <c r="L243" i="2"/>
  <c r="G210" i="2"/>
  <c r="I178" i="2"/>
  <c r="K148" i="2"/>
  <c r="L107" i="2"/>
  <c r="H86" i="2"/>
  <c r="M66" i="2"/>
  <c r="I44" i="2"/>
  <c r="M22" i="2"/>
  <c r="L380" i="2"/>
  <c r="L317" i="2"/>
  <c r="M285" i="2"/>
  <c r="M239" i="2"/>
  <c r="L205" i="2"/>
  <c r="I159" i="2"/>
  <c r="H135" i="2"/>
  <c r="N95" i="2"/>
  <c r="L56" i="2"/>
  <c r="L22" i="2"/>
  <c r="G358" i="2"/>
  <c r="I298" i="2"/>
  <c r="G255" i="2"/>
  <c r="K205" i="2"/>
  <c r="H159" i="2"/>
  <c r="I118" i="2"/>
  <c r="F86" i="2"/>
  <c r="K56" i="2"/>
  <c r="K22" i="2"/>
  <c r="F358" i="2"/>
  <c r="H298" i="2"/>
  <c r="F255" i="2"/>
  <c r="J205" i="2"/>
  <c r="G159" i="2"/>
  <c r="H118" i="2"/>
  <c r="J56" i="2"/>
  <c r="N31" i="2"/>
  <c r="H380" i="2"/>
  <c r="I316" i="2"/>
  <c r="I285" i="2"/>
  <c r="J239" i="2"/>
  <c r="J189" i="2"/>
  <c r="G145" i="2"/>
  <c r="G107" i="2"/>
  <c r="H74" i="2"/>
  <c r="I56" i="2"/>
  <c r="I21" i="2"/>
  <c r="I355" i="2"/>
  <c r="H251" i="2"/>
  <c r="H205" i="2"/>
  <c r="I155" i="2"/>
  <c r="F118" i="2"/>
  <c r="H56" i="2"/>
  <c r="F19" i="2"/>
</calcChain>
</file>

<file path=xl/sharedStrings.xml><?xml version="1.0" encoding="utf-8"?>
<sst xmlns="http://schemas.openxmlformats.org/spreadsheetml/2006/main" count="985" uniqueCount="433">
  <si>
    <t>Southwest Airlines Co- Company Financial (Multiple Periods)</t>
  </si>
  <si>
    <t>LUV US Equity    Periodicity:A    Currency:USD    Estimate Source:BST    Actual Source:Bloomberg</t>
  </si>
  <si>
    <t>In Millions of USD</t>
  </si>
  <si>
    <t>12 Months Ending</t>
  </si>
  <si>
    <t>Field Expression</t>
  </si>
  <si>
    <t>Calcrt Field</t>
  </si>
  <si>
    <t>Segment Id</t>
  </si>
  <si>
    <t xml:space="preserve">  Highlights</t>
  </si>
  <si>
    <t>Highlights</t>
  </si>
  <si>
    <t xml:space="preserve">  Adjusted Diluted EPS</t>
  </si>
  <si>
    <t>IS_COMP_EPS_ADJUSTED_OLD</t>
  </si>
  <si>
    <t>Non-GAAP Diluted EPS</t>
  </si>
  <si>
    <t xml:space="preserve">    YOY Growth</t>
  </si>
  <si>
    <t xml:space="preserve">  Revenue</t>
  </si>
  <si>
    <t>IS_COMP_SALES</t>
  </si>
  <si>
    <t>Revenue</t>
  </si>
  <si>
    <t xml:space="preserve">  </t>
  </si>
  <si>
    <t xml:space="preserve">  Segment Revenue</t>
  </si>
  <si>
    <t xml:space="preserve">    Passenger Revenue</t>
  </si>
  <si>
    <t>TOTAL_PASSENGER_REVENUE</t>
  </si>
  <si>
    <t>Passenger</t>
  </si>
  <si>
    <t xml:space="preserve">      YOY Growth</t>
  </si>
  <si>
    <t xml:space="preserve">    Cargo</t>
  </si>
  <si>
    <t>CARGO_FREIGHT_REV</t>
  </si>
  <si>
    <t xml:space="preserve">    Other</t>
  </si>
  <si>
    <t>IS_OTHER_REVENUE_GAAP</t>
  </si>
  <si>
    <t>REV_PASS_MILES_KM</t>
  </si>
  <si>
    <t>Revenue Passenger Miles (RPM)</t>
  </si>
  <si>
    <t xml:space="preserve">  Available Seat Miles (Km)</t>
  </si>
  <si>
    <t>AVAIL_SEAT_MILES_KM</t>
  </si>
  <si>
    <t>Available Seat Miles (ASM)</t>
  </si>
  <si>
    <t xml:space="preserve">  Load Factor (%)</t>
  </si>
  <si>
    <t>LOAD_FACTOR</t>
  </si>
  <si>
    <t>Load Factor (%)</t>
  </si>
  <si>
    <t xml:space="preserve">  Passenger Revenue per ASM (ASK)</t>
  </si>
  <si>
    <t>PASSENGER_REVENUE_PER_ASM</t>
  </si>
  <si>
    <t xml:space="preserve">  Yield</t>
  </si>
  <si>
    <t>YIELD_PER_PASS_MILES_KM</t>
  </si>
  <si>
    <t xml:space="preserve">  Cost per ASM (ASK)</t>
  </si>
  <si>
    <t>OP_EXP_PER_ASM_ASK</t>
  </si>
  <si>
    <t xml:space="preserve">  Cost per ASM (ASK) - Ex-Fuel</t>
  </si>
  <si>
    <t>CONS_COST_PER_ASM_EX_FUEL</t>
  </si>
  <si>
    <t xml:space="preserve">  Passengers Carried</t>
  </si>
  <si>
    <t>REV_PASS_CARRIED</t>
  </si>
  <si>
    <t xml:space="preserve">  Size of Fleet</t>
  </si>
  <si>
    <t>SIZE_OF_FLEET</t>
  </si>
  <si>
    <t xml:space="preserve">  Average Passenger Fare</t>
  </si>
  <si>
    <t>AVERAGE_PASSENGER_FARE</t>
  </si>
  <si>
    <t xml:space="preserve">  Adjusted Net Income</t>
  </si>
  <si>
    <t>IS_COMP_NET_INCOME_ADJUST_OLD</t>
  </si>
  <si>
    <t xml:space="preserve">  Adjusted Operating Income</t>
  </si>
  <si>
    <t>IS_COMPARABLE_EBIT</t>
  </si>
  <si>
    <t>Non-GAAP Operating Income</t>
  </si>
  <si>
    <t xml:space="preserve">    Operating Margin (%)</t>
  </si>
  <si>
    <t>ADJ_OPERATING_MARGIN</t>
  </si>
  <si>
    <t>Operating Margin (%)</t>
  </si>
  <si>
    <t xml:space="preserve">  Company Operating Metrics</t>
  </si>
  <si>
    <t>Company Operating Metrics</t>
  </si>
  <si>
    <t xml:space="preserve">  Company-Level Industry Statistics</t>
  </si>
  <si>
    <t>Company-Level Industry Statistics</t>
  </si>
  <si>
    <t xml:space="preserve">  Available Seat Miles</t>
  </si>
  <si>
    <t>Available Seat Miles</t>
  </si>
  <si>
    <t xml:space="preserve">  Revenue Passengers Carried</t>
  </si>
  <si>
    <t xml:space="preserve">  Revenue Passenger Miles</t>
  </si>
  <si>
    <t>Revenue Passenger Miles</t>
  </si>
  <si>
    <t xml:space="preserve">  Total Revenue per ASM</t>
  </si>
  <si>
    <t>TOTAL_REVENUE_PER_ASM</t>
  </si>
  <si>
    <t xml:space="preserve">  Passenger Revenue per ASM (Km)</t>
  </si>
  <si>
    <t xml:space="preserve">  Operating Expenses per ASM, -Ex Fuel (Cents)</t>
  </si>
  <si>
    <t>CONSOLIDATED_CASM_EX_FUEL</t>
  </si>
  <si>
    <t xml:space="preserve">  Operating Ratio (%)</t>
  </si>
  <si>
    <t>OPERATING_RATIO</t>
  </si>
  <si>
    <t xml:space="preserve">  Cost per Available Seat Mile (Cents)</t>
  </si>
  <si>
    <t xml:space="preserve">  Cost per Available Seat Mile (Km) -Ex Fuel (Cents)</t>
  </si>
  <si>
    <t xml:space="preserve">  Cost per ASM (ex-Fuel, Special Items, &amp; Other) (Cents)</t>
  </si>
  <si>
    <t>COST_PER_SEAT_EXCL_ABN_ITMS</t>
  </si>
  <si>
    <t xml:space="preserve">  Aircraft in Fleet (End of Period)</t>
  </si>
  <si>
    <t xml:space="preserve">    737 MAX-8</t>
  </si>
  <si>
    <t>SEG0000234421 Segment</t>
  </si>
  <si>
    <t xml:space="preserve">    737-700</t>
  </si>
  <si>
    <t>SEG0000234425 Segment</t>
  </si>
  <si>
    <t xml:space="preserve">    737-800</t>
  </si>
  <si>
    <t>SEG0000234444 Segment</t>
  </si>
  <si>
    <t xml:space="preserve">  Average Age</t>
  </si>
  <si>
    <t>AGES_OF_AIRCRAFT_IN_FLT</t>
  </si>
  <si>
    <t>AVERAGE_AGE</t>
  </si>
  <si>
    <t xml:space="preserve">  Fuel Gallons Consumed (mm)</t>
  </si>
  <si>
    <t>FUEL_GALLONS_LITRES</t>
  </si>
  <si>
    <t>Fuel Gallons Consumed (mm)</t>
  </si>
  <si>
    <t xml:space="preserve">  Fuel Costs per Gallon, Incl. Fuel Tax</t>
  </si>
  <si>
    <t>FUEL_COSTS_PER_UNIT_INCL_FUEL_TAX_ECON</t>
  </si>
  <si>
    <t xml:space="preserve">  Fuel Costs per Gallon, Incl. Fuel Tax, Economic</t>
  </si>
  <si>
    <t>FUEL_PRICE_PER_GALLON_LITRE</t>
  </si>
  <si>
    <t xml:space="preserve">  Fuel Expenses</t>
  </si>
  <si>
    <t>FUEL_EXPENSES</t>
  </si>
  <si>
    <t xml:space="preserve">  Premium Cost of Fuel Contracts Designated as Hedges</t>
  </si>
  <si>
    <t>FUEL_HEDGE_EXPENSE</t>
  </si>
  <si>
    <t xml:space="preserve">  Fuel Hedge Gains Incl. in Fuel &amp; Oil Expense, Net</t>
  </si>
  <si>
    <t>FUEL_COST_INCLUDING_HEDGE</t>
  </si>
  <si>
    <t xml:space="preserve">  Avg. Number of Employees</t>
  </si>
  <si>
    <t>AVG_NUM_EMPLOYEES</t>
  </si>
  <si>
    <t xml:space="preserve">  Available seat mile per gallon</t>
  </si>
  <si>
    <t>ASM_PER_GALLON_LITER</t>
  </si>
  <si>
    <t xml:space="preserve">  Business Breakdown</t>
  </si>
  <si>
    <t>Business Breakdown</t>
  </si>
  <si>
    <t xml:space="preserve">  Total Revenue</t>
  </si>
  <si>
    <t>Total Revenue</t>
  </si>
  <si>
    <t xml:space="preserve">    Passenger</t>
  </si>
  <si>
    <t xml:space="preserve">      Passenger Non-Loyalty</t>
  </si>
  <si>
    <t>SALES_REV_TURN</t>
  </si>
  <si>
    <t>SEG0000234382 Segment</t>
  </si>
  <si>
    <t xml:space="preserve">        YOY Growth</t>
  </si>
  <si>
    <t xml:space="preserve">      Passenger Loyalty - Air Transportation</t>
  </si>
  <si>
    <t>SEG0000234391 Segment</t>
  </si>
  <si>
    <t xml:space="preserve">      Passenger Ancillary Sold Seperately</t>
  </si>
  <si>
    <t>SEG0000234410 Segment</t>
  </si>
  <si>
    <t xml:space="preserve">    Freight</t>
  </si>
  <si>
    <t>Freight</t>
  </si>
  <si>
    <t>Other</t>
  </si>
  <si>
    <t xml:space="preserve">  Income Statement</t>
  </si>
  <si>
    <t>Income Statement</t>
  </si>
  <si>
    <t xml:space="preserve">  Total Operating Expenses</t>
  </si>
  <si>
    <t>IS_TOT_OPER_EXP</t>
  </si>
  <si>
    <t>Total Operating Expenses</t>
  </si>
  <si>
    <t xml:space="preserve">    Salaries, Wages &amp; Benefits</t>
  </si>
  <si>
    <t>WAGES_SALARIES_BENEFITS</t>
  </si>
  <si>
    <t>Salaries, Wages &amp; Benefits</t>
  </si>
  <si>
    <t xml:space="preserve">      As % of Revenue</t>
  </si>
  <si>
    <t>PERSONNEL_EXPN_PCT_SALES</t>
  </si>
  <si>
    <t xml:space="preserve">    Fuel &amp; Oil</t>
  </si>
  <si>
    <t>IS_FUEL_COST</t>
  </si>
  <si>
    <t>Fuel &amp; Oil</t>
  </si>
  <si>
    <t>AIRLINE_FUEL_PCT_SALES</t>
  </si>
  <si>
    <t xml:space="preserve">    Advertising &amp; Other Operating Expenses</t>
  </si>
  <si>
    <t>CB_IS_OTHER_OPEX</t>
  </si>
  <si>
    <t>Advertising &amp; Other Operating Expenses</t>
  </si>
  <si>
    <t xml:space="preserve">    Landing Fees &amp; Airport Rentals</t>
  </si>
  <si>
    <t>OTHER_RENTALS_LANDING_FEES</t>
  </si>
  <si>
    <t>Landing Fees &amp; Airport Rentals</t>
  </si>
  <si>
    <t>AIRLINE_LANDING_FEES_PCT_SALES</t>
  </si>
  <si>
    <t xml:space="preserve">    Aircraft Rental</t>
  </si>
  <si>
    <t>AIRCRAFT_RENTALS</t>
  </si>
  <si>
    <t xml:space="preserve">    Maintenance, Materials &amp; Repairs</t>
  </si>
  <si>
    <t>MAINTENANCE_MATERIALS_REPAIRS</t>
  </si>
  <si>
    <t>Maintenance, Materials &amp; Repairs</t>
  </si>
  <si>
    <t>AIRLINE_MAINTENANCE_PCT_SALES</t>
  </si>
  <si>
    <t xml:space="preserve">    Depreciation &amp; Amortization</t>
  </si>
  <si>
    <t>IS_D_AND_A_GAAP</t>
  </si>
  <si>
    <t>Depreciation &amp; Amortization</t>
  </si>
  <si>
    <t>D_AND_A_TO_SALES</t>
  </si>
  <si>
    <t xml:space="preserve">    Profit Sharing</t>
  </si>
  <si>
    <t>CB_PROFIT_SHARING_COST</t>
  </si>
  <si>
    <t>Profit Sharing</t>
  </si>
  <si>
    <t xml:space="preserve">  Operating Income</t>
  </si>
  <si>
    <t>IS_EBIT_AS_REPORTED</t>
  </si>
  <si>
    <t>Operating Income</t>
  </si>
  <si>
    <t>OPER_MARGIN</t>
  </si>
  <si>
    <t xml:space="preserve">  Interest Expense</t>
  </si>
  <si>
    <t>IS_INT_EXPENSE</t>
  </si>
  <si>
    <t xml:space="preserve">  EBITDA</t>
  </si>
  <si>
    <t>EBITDA</t>
  </si>
  <si>
    <t xml:space="preserve">  EBITDAR</t>
  </si>
  <si>
    <t>AIRLINES_EBITDAR_RATIO</t>
  </si>
  <si>
    <t xml:space="preserve">  Non-Operating Income</t>
  </si>
  <si>
    <t>IS_NON_OPERATING_INC_LOSS_GAAP</t>
  </si>
  <si>
    <t>Interest Expense / (Income) Net</t>
  </si>
  <si>
    <t xml:space="preserve">    Interest Expense</t>
  </si>
  <si>
    <t>TOT_INT_EXP</t>
  </si>
  <si>
    <t>Interest Expense on Debt</t>
  </si>
  <si>
    <t xml:space="preserve">    Capitalized interest</t>
  </si>
  <si>
    <t>IS_CAP_INT_EXP</t>
  </si>
  <si>
    <t xml:space="preserve">    Interest Income</t>
  </si>
  <si>
    <t>IS_INT_INC</t>
  </si>
  <si>
    <t>Interest Income</t>
  </si>
  <si>
    <t xml:space="preserve">    Other Gains/Losses</t>
  </si>
  <si>
    <t>CB_IS_ADJ_NONOP_INC_EXPN</t>
  </si>
  <si>
    <t>Other Gains/Losses</t>
  </si>
  <si>
    <t xml:space="preserve">    Other Income (Expense), Net</t>
  </si>
  <si>
    <t>IS_OTHER_NONOP_INC_LOSS_GAAP</t>
  </si>
  <si>
    <t xml:space="preserve">  Pre-Tax Income</t>
  </si>
  <si>
    <t>PRETAX_INC</t>
  </si>
  <si>
    <t>Pre-Tax Income</t>
  </si>
  <si>
    <t xml:space="preserve">    As % of Revenue</t>
  </si>
  <si>
    <t>PRETAX_MARGIN</t>
  </si>
  <si>
    <t xml:space="preserve">  Income Tax Expense</t>
  </si>
  <si>
    <t>IS_INC_TAX_EXP</t>
  </si>
  <si>
    <t>Income Tax Expense</t>
  </si>
  <si>
    <t xml:space="preserve">    Tax Rate (%)</t>
  </si>
  <si>
    <t>EFF_TAX_RATE</t>
  </si>
  <si>
    <t>Tax Rate (%)</t>
  </si>
  <si>
    <t xml:space="preserve">  Net Income</t>
  </si>
  <si>
    <t>IS_COMP_NET_INCOME_GAAP</t>
  </si>
  <si>
    <t>Net Income</t>
  </si>
  <si>
    <t xml:space="preserve">  Basic Weighted Avg. Shares</t>
  </si>
  <si>
    <t>IS_AVG_NUM_SH_FOR_EPS</t>
  </si>
  <si>
    <t>Basic Weighted Avg. Shares</t>
  </si>
  <si>
    <t xml:space="preserve">  Basic EPS</t>
  </si>
  <si>
    <t>IS_EPS</t>
  </si>
  <si>
    <t xml:space="preserve">  Diluted Weighted Avg. Shares</t>
  </si>
  <si>
    <t>IS_SH_FOR_DILUTED_EPS</t>
  </si>
  <si>
    <t>Diluted Weighted Avg. Shares</t>
  </si>
  <si>
    <t xml:space="preserve">  Diluted EPS</t>
  </si>
  <si>
    <t>IS_COMP_EPS_GAAP</t>
  </si>
  <si>
    <t>Diluted EPS</t>
  </si>
  <si>
    <t xml:space="preserve">  Dividend Per Share</t>
  </si>
  <si>
    <t>HEADLINE_DPS</t>
  </si>
  <si>
    <t>Dividend Per Share</t>
  </si>
  <si>
    <t xml:space="preserve">  Adjusted Results</t>
  </si>
  <si>
    <t>Non-GAAP Results</t>
  </si>
  <si>
    <t xml:space="preserve">    Operating Income</t>
  </si>
  <si>
    <t xml:space="preserve">      Operating Margin (%)</t>
  </si>
  <si>
    <t xml:space="preserve">    EBITDA</t>
  </si>
  <si>
    <t>IS_COMPARABLE_EBITDA</t>
  </si>
  <si>
    <t xml:space="preserve">    Pre-Tax Income</t>
  </si>
  <si>
    <t>IS_COMP_PTP_EX_STK_BASED_COMP</t>
  </si>
  <si>
    <t xml:space="preserve">    Income Tax Expense</t>
  </si>
  <si>
    <t>CB_IS_ADJ_INC_TAX_EXPN</t>
  </si>
  <si>
    <t xml:space="preserve">    Net Income</t>
  </si>
  <si>
    <t xml:space="preserve">    Diluted EPS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</si>
  <si>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</si>
  <si>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</si>
  <si>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</si>
  <si>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</si>
  <si>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</si>
  <si>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</si>
  <si>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</si>
  <si>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Cash, Cash Equivalents, &amp; Short-Term Investments</t>
  </si>
  <si>
    <t>BS_CASH_CASH_EQUIVALENTS_AND_STI</t>
  </si>
  <si>
    <t>Cash, Cash Equivalents, &amp; Short-Term Investments</t>
  </si>
  <si>
    <t xml:space="preserve">        Cash &amp; Cash Equivalents</t>
  </si>
  <si>
    <t>BS_CASH_NEAR_CASH_ITEM</t>
  </si>
  <si>
    <t>Cash &amp; Cash Equivalents</t>
  </si>
  <si>
    <t xml:space="preserve">          YOY Growth</t>
  </si>
  <si>
    <t xml:space="preserve">        Short-Term Investment</t>
  </si>
  <si>
    <t>BS_MKT_SEC_OTHER_ST_INVEST</t>
  </si>
  <si>
    <t>Short-Term Investment</t>
  </si>
  <si>
    <t xml:space="preserve">      Accounts &amp; Notes Receivable</t>
  </si>
  <si>
    <t>BS_ACCTS_REC_EXCL_NOTES_REC</t>
  </si>
  <si>
    <t>Accounts &amp; Notes Receivable</t>
  </si>
  <si>
    <t xml:space="preserve">      Inventories</t>
  </si>
  <si>
    <t>BS_INVENTORIES</t>
  </si>
  <si>
    <t>Inventories</t>
  </si>
  <si>
    <t xml:space="preserve">      Other Short-Term Assets</t>
  </si>
  <si>
    <t>BS_OTHER_CUR_ASSET</t>
  </si>
  <si>
    <t>Other Short-Term Assets</t>
  </si>
  <si>
    <t xml:space="preserve">    Non-Current Assets</t>
  </si>
  <si>
    <t>BS_TOTAL_NON_CURRENT_ASSETS</t>
  </si>
  <si>
    <t>Non-Current Assets</t>
  </si>
  <si>
    <t xml:space="preserve">      Property, Plant &amp; Equipment</t>
  </si>
  <si>
    <t>CB_BS_PP_AND_E_NET</t>
  </si>
  <si>
    <t>Property, Plant &amp; Equipment</t>
  </si>
  <si>
    <t xml:space="preserve">        Property &amp; Equipment, at Cost</t>
  </si>
  <si>
    <t>CB_BS_GROSS_FIXED_ASSETS</t>
  </si>
  <si>
    <t xml:space="preserve">          Flight Equipment</t>
  </si>
  <si>
    <t>BS_FLIGHT_EQUIPMNT</t>
  </si>
  <si>
    <t xml:space="preserve">            YOY Growth</t>
  </si>
  <si>
    <t xml:space="preserve">          Ground Property &amp; Equipment</t>
  </si>
  <si>
    <t>BS_MACHINERY_EQUIPMENT_NET</t>
  </si>
  <si>
    <t xml:space="preserve">        Accumulated Depreciation</t>
  </si>
  <si>
    <t>CB_BS_ACCUMULATED_DEPRECIATION</t>
  </si>
  <si>
    <t xml:space="preserve">      Long-Term Operating Lease Right of Use Assets</t>
  </si>
  <si>
    <t>BS_OPER_LEA_RT_OF_USE_ASSETS</t>
  </si>
  <si>
    <t xml:space="preserve">      Goodwill</t>
  </si>
  <si>
    <t>BS_GOODWILL</t>
  </si>
  <si>
    <t>Goodwill</t>
  </si>
  <si>
    <t xml:space="preserve">      Other Long-Term Assets</t>
  </si>
  <si>
    <t>CB_BS_OTHER_NONCURRENT_ASSETS</t>
  </si>
  <si>
    <t>Other Long-Term Assets</t>
  </si>
  <si>
    <t xml:space="preserve">      Other</t>
  </si>
  <si>
    <t>BS_OTHER_ASSETS_DEF_CHRG_OTHER</t>
  </si>
  <si>
    <t xml:space="preserve">    Total Assets</t>
  </si>
  <si>
    <t>BS_TOT_ASSET</t>
  </si>
  <si>
    <t>Total Assets</t>
  </si>
  <si>
    <t xml:space="preserve">  Liabilities &amp; Equity</t>
  </si>
  <si>
    <t>Liabilities &amp; Equity</t>
  </si>
  <si>
    <t xml:space="preserve">    Current Liabilities</t>
  </si>
  <si>
    <t>BS_CUR_LIAB</t>
  </si>
  <si>
    <t>Current Liabilities</t>
  </si>
  <si>
    <t xml:space="preserve">      Accounts Payable</t>
  </si>
  <si>
    <t>BS_TRADE_PAYABLES_AND_OTHERS</t>
  </si>
  <si>
    <t>Accounts Payable</t>
  </si>
  <si>
    <t xml:space="preserve">      Air Traffic Liability</t>
  </si>
  <si>
    <t>ST_DEFERRED_REVENUE</t>
  </si>
  <si>
    <t>Air Traffic Liability</t>
  </si>
  <si>
    <t xml:space="preserve">      Short-Term Debt</t>
  </si>
  <si>
    <t>BS_CURR_PORTION_LT_DEBT</t>
  </si>
  <si>
    <t>Short-Term Debt</t>
  </si>
  <si>
    <t xml:space="preserve">      Short-Term Operating Leases</t>
  </si>
  <si>
    <t>BS_ST_OPERATING_LEASE_LIABS</t>
  </si>
  <si>
    <t>Short-Term Operating Leases</t>
  </si>
  <si>
    <t xml:space="preserve">      Accrued Liabilities</t>
  </si>
  <si>
    <t>BS_SHORTTERM_ACCRUD_EXPNSS</t>
  </si>
  <si>
    <t>Accrued Liabilities</t>
  </si>
  <si>
    <t xml:space="preserve">    Non-Current Liabilities</t>
  </si>
  <si>
    <t>BS_ADJ_TOTAL_LT_LIABILITIES</t>
  </si>
  <si>
    <t>Non-Current Liabilities</t>
  </si>
  <si>
    <t xml:space="preserve">      Long-Term Debt</t>
  </si>
  <si>
    <t>CB_BS_LT_BORROWING</t>
  </si>
  <si>
    <t>Long-Term Debt</t>
  </si>
  <si>
    <t xml:space="preserve">      Long-Term Operating Leases</t>
  </si>
  <si>
    <t>BS_LT_OPERATING_LEASE_LIABS</t>
  </si>
  <si>
    <t>Long-Term Operating Leases</t>
  </si>
  <si>
    <t xml:space="preserve">      Long Term Liabilities &amp; Credits</t>
  </si>
  <si>
    <t>BS_OTHER_LT_LIABILITIES</t>
  </si>
  <si>
    <t>Long Term Liabilities &amp; Credits</t>
  </si>
  <si>
    <t xml:space="preserve">        Deferred Income Taxes</t>
  </si>
  <si>
    <t>BS_DEFERRED_TAX_LIABILITIES_LT</t>
  </si>
  <si>
    <t>Deferred Income Taxes</t>
  </si>
  <si>
    <t xml:space="preserve">        Other Long-Term Liabilities</t>
  </si>
  <si>
    <t>CB_BS_OTHER_NONCURRENT_LIABS</t>
  </si>
  <si>
    <t>Other Long-Term Liabilities</t>
  </si>
  <si>
    <t xml:space="preserve">      Operating Lease Liabilities</t>
  </si>
  <si>
    <t>BS_TOTAL_OPERATING_LEASE_LIABS</t>
  </si>
  <si>
    <t xml:space="preserve">      Air traffic liability</t>
  </si>
  <si>
    <t>CB_BS_LT_DEFERRED_REVENUE</t>
  </si>
  <si>
    <t>LT_LIAB_LESS_DEF_TAX</t>
  </si>
  <si>
    <t xml:space="preserve">    Total Liabilities</t>
  </si>
  <si>
    <t>BS_TOTAL_LIABILITIES</t>
  </si>
  <si>
    <t>Total Liabilities</t>
  </si>
  <si>
    <t xml:space="preserve">    Total Shareholder Equity</t>
  </si>
  <si>
    <t>HEADLINE_NAV</t>
  </si>
  <si>
    <t>Total Shareholder Equity</t>
  </si>
  <si>
    <t xml:space="preserve">      Additional Paid-In Capital</t>
  </si>
  <si>
    <t>BS_ADD_PAID_IN_CAP</t>
  </si>
  <si>
    <t>Additional Paid-In Capital</t>
  </si>
  <si>
    <t xml:space="preserve">      Retained Earnings</t>
  </si>
  <si>
    <t>BS_PURE_RETAINED_EARNINGS</t>
  </si>
  <si>
    <t>Retained Earnings</t>
  </si>
  <si>
    <t xml:space="preserve">      Common Stock</t>
  </si>
  <si>
    <t>BS_COMMON_STOCK</t>
  </si>
  <si>
    <t>Common Stock</t>
  </si>
  <si>
    <t xml:space="preserve">      Treasury Stock</t>
  </si>
  <si>
    <t>BS_AMT_OF_TSY_STOCK</t>
  </si>
  <si>
    <t>Treasury Stock</t>
  </si>
  <si>
    <t xml:space="preserve">      Accumulated Other Comprehensive Income</t>
  </si>
  <si>
    <t>BS_ACCUMULATED_OTHER_COMP_INC</t>
  </si>
  <si>
    <t xml:space="preserve">    Total Liabilities &amp; Shareholders' Equity</t>
  </si>
  <si>
    <t>Total Liabilities &amp; Shareholders' Equity</t>
  </si>
  <si>
    <t xml:space="preserve">  Special Company Reference Items</t>
  </si>
  <si>
    <t>Special Company Reference Items</t>
  </si>
  <si>
    <t xml:space="preserve">    Net Debt</t>
  </si>
  <si>
    <t>NET_DEBT</t>
  </si>
  <si>
    <t xml:space="preserve">    Total Debt</t>
  </si>
  <si>
    <t>CB_BS_TOTAL_DEBT_FROM_SCHEDULE</t>
  </si>
  <si>
    <t>Total Debt</t>
  </si>
  <si>
    <t xml:space="preserve">    Total Debt (Inc. Capitalized Leases)</t>
  </si>
  <si>
    <t>SHORT_AND_LONG_TERM_DEBT</t>
  </si>
  <si>
    <t>Total Debt (Inc. Capitalized Leases)</t>
  </si>
  <si>
    <t xml:space="preserve">    </t>
  </si>
  <si>
    <t xml:space="preserve">    Return on Assets (%)</t>
  </si>
  <si>
    <t>RETURN_ON_ASSET</t>
  </si>
  <si>
    <t xml:space="preserve">    Return on Equity (%)</t>
  </si>
  <si>
    <t>RETURN_COM_EQY</t>
  </si>
  <si>
    <t xml:space="preserve">    Annualized Days Sales Outstanding</t>
  </si>
  <si>
    <t>ANNUALIZED_DAYS_SALES_OUTSTDG</t>
  </si>
  <si>
    <t xml:space="preserve">    Inventory to Sales</t>
  </si>
  <si>
    <t>INVENT_TO_SALES</t>
  </si>
  <si>
    <t xml:space="preserve">    Capitalized Interest</t>
  </si>
  <si>
    <t>Capitalized Interest</t>
  </si>
  <si>
    <t xml:space="preserve">    Book Value Per Share</t>
  </si>
  <si>
    <t>HEADLINE_BVPS</t>
  </si>
  <si>
    <t>Book Value Per Share</t>
  </si>
  <si>
    <t xml:space="preserve">  Condensed Cash Flow Statement</t>
  </si>
  <si>
    <t>Condensed Cash Flow Statement</t>
  </si>
  <si>
    <t xml:space="preserve">  Cash from Operating Activities</t>
  </si>
  <si>
    <t>Cash from Operating Activities</t>
  </si>
  <si>
    <t xml:space="preserve">    Deferred Income Taxes</t>
  </si>
  <si>
    <t>CF_DEF_INC_TAX</t>
  </si>
  <si>
    <t xml:space="preserve">    Change in Non-Cash Working Capital</t>
  </si>
  <si>
    <t xml:space="preserve">      Accounts Receivable</t>
  </si>
  <si>
    <t>CF_ACCT_RCV_UNBILLED_REV</t>
  </si>
  <si>
    <t xml:space="preserve">      Accounts Payable &amp; Accrued Expenses</t>
  </si>
  <si>
    <t>CHG_IN_ACCT_PYBL_AND_ACC_EXPNSS</t>
  </si>
  <si>
    <t xml:space="preserve">      Air Traffic Liablities</t>
  </si>
  <si>
    <t>CB_CF_CHG_IN_AIR_TRAFFIC_LIAB</t>
  </si>
  <si>
    <t xml:space="preserve">      Other Assets</t>
  </si>
  <si>
    <t>CF_CHANGE_IN_OTHR_ASSTS</t>
  </si>
  <si>
    <t xml:space="preserve">      Other Liabilities</t>
  </si>
  <si>
    <t>CF_CHANGE_IN_OTHR_LIBLTS</t>
  </si>
  <si>
    <t xml:space="preserve">  Cash Flow from Operations</t>
  </si>
  <si>
    <t>CB_CF_NET_CASH_OPERATING_ACT</t>
  </si>
  <si>
    <t>Cash Flow from Operations</t>
  </si>
  <si>
    <t xml:space="preserve">  Cash from Investing Activities</t>
  </si>
  <si>
    <t>Cash from Investing Activities</t>
  </si>
  <si>
    <t xml:space="preserve">    Capital Expenditures</t>
  </si>
  <si>
    <t>HEADLINE_CAPEX</t>
  </si>
  <si>
    <t>Capital Expenditures</t>
  </si>
  <si>
    <t xml:space="preserve">    Purchases of Short-Term Investments</t>
  </si>
  <si>
    <t>CB_CF_PURCHASES_OF_ST_INV</t>
  </si>
  <si>
    <t xml:space="preserve">    Proceeds from Sales of Short-Term &amp; Other Investments</t>
  </si>
  <si>
    <t>CB_CF_PROCEEDS_FROM_ST_INV</t>
  </si>
  <si>
    <t xml:space="preserve">    Other Investing Activites</t>
  </si>
  <si>
    <t>CB_CF_OTHER_INVESTING_ACTIVITIES</t>
  </si>
  <si>
    <t xml:space="preserve">  Cash Flow from Investing</t>
  </si>
  <si>
    <t>CB_CF_NET_CASH_INVESTING_ACT</t>
  </si>
  <si>
    <t>Cash Flow from Investing</t>
  </si>
  <si>
    <t xml:space="preserve">  Cash from Financing Activities</t>
  </si>
  <si>
    <t>Cash from Financing Activities</t>
  </si>
  <si>
    <t xml:space="preserve">    Dividends Paid</t>
  </si>
  <si>
    <t>CF_DVD_PAID</t>
  </si>
  <si>
    <t>Dividends Paid</t>
  </si>
  <si>
    <t xml:space="preserve">    Increase/Decrease in Borrowings</t>
  </si>
  <si>
    <t>CF_PROCEEDS_REPAYMNTS_BORROWINGS</t>
  </si>
  <si>
    <t xml:space="preserve">    Cash from (Repayment) of Debt</t>
  </si>
  <si>
    <t>CF_PYMT_LT_DEBT_AND_CAPITAL_LEASE</t>
  </si>
  <si>
    <t>Cash from (Repayment) of Debt</t>
  </si>
  <si>
    <t xml:space="preserve">    Debt Repayments</t>
  </si>
  <si>
    <t>CB_CF_REPAYMENT_LT_DEBT</t>
  </si>
  <si>
    <t xml:space="preserve">    Cash (Repurchase) of Equity</t>
  </si>
  <si>
    <t>CF_DECR_CAP_STOCK</t>
  </si>
  <si>
    <t>Cash (Repurchase) of Equity</t>
  </si>
  <si>
    <t xml:space="preserve">    Proceeds from Issuance of Common Stock</t>
  </si>
  <si>
    <t>CF_ISSUE_COM_STOCK</t>
  </si>
  <si>
    <t xml:space="preserve">  Cash Flow from Financing</t>
  </si>
  <si>
    <t>CB_CF_NET_CASH_FINANCING_ACT</t>
  </si>
  <si>
    <t>Cash Flow from Financing</t>
  </si>
  <si>
    <t xml:space="preserve">    Net Change in Cash</t>
  </si>
  <si>
    <t>CF_NET_CHNG_CASH</t>
  </si>
  <si>
    <t>Net Change in Cash</t>
  </si>
  <si>
    <t xml:space="preserve">      Cash &amp; Cash Equivalent (Beg. of Period)</t>
  </si>
  <si>
    <t>CF_CASH_AND_CASH_EQUIV_BEG_BAL</t>
  </si>
  <si>
    <t>Cash &amp; Cash Equivalent (Beg. of Period)</t>
  </si>
  <si>
    <t xml:space="preserve">      Cash &amp; Cash Equivalent (End of Period)</t>
  </si>
  <si>
    <t>Cash &amp; Cash Equivalent (End of Period)</t>
  </si>
  <si>
    <t xml:space="preserve">    Cash Flow per Share</t>
  </si>
  <si>
    <t>CASH_FLOW_PER_SH</t>
  </si>
  <si>
    <t xml:space="preserve">    Free Cash Flow</t>
  </si>
  <si>
    <t>CF_FREE_CASH_FLOW</t>
  </si>
  <si>
    <t>Free Cash Flow</t>
  </si>
  <si>
    <t xml:space="preserve">    Capital Expenditures/Revenue (%)</t>
  </si>
  <si>
    <t>CAP_EXPEND_TO_SALES</t>
  </si>
  <si>
    <t>Source: Bloomberg</t>
  </si>
  <si>
    <t xml:space="preserve"> 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</si>
</sst>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14" fontId="5" fillId="33" borderId="1" xfId="48" applyNumberFormat="1">
      <alignment horizontal="left"/>
    </xf>
    <xf numFmtId="0" fontId="3" fillId="0" borderId="0" xfId="32"/>
    <xf numFmtId="0" fontId="5" fillId="33" borderId="3" xfId="29">
      <alignment horizontal="left"/>
    </xf>
    <xf numFmtId="4" fontId="1" fillId="34" borderId="2" xfId="30"/>
    <xf numFmtId="0" fontId="7" fillId="35" borderId="4" xfId="31"/>
    <xf numFmtId="0" fontId="4" fillId="33" borderId="15" xfId="47">
      <alignment horizontal="left" vertical="center" readingOrder="1"/>
    </xf>
    <xf numFmtId="0" fontId="5" fillId="33" borderId="1" xfId="48">
      <alignment horizontal="left"/>
    </xf>
    <xf numFmtId="0" fontId="2" fillId="34" borderId="5" xfId="33" applyFont="1"/>
    <xf numFmtId="4" fontId="1" fillId="34" borderId="2" xfId="49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5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1" max="1" width="34.33203125" customWidth="1"/>
    <col min="2" max="4" width="0" hidden="1" customWidth="1"/>
    <col min="5" max="14" width="19" customWidth="1"/>
  </cols>
  <sheetData>
    <row r="1" spans="1:14" ht="20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">
      <c r="A3" s="3" t="s">
        <v>2</v>
      </c>
      <c r="B3" s="3"/>
      <c r="C3" s="3"/>
      <c r="D3" s="3"/>
      <c r="E3" s="3" t="str">
        <f>_xll.BQL("LUV US Equity", "FISCAL_PERIOD", "FPT=A", "FPO=5A", "ACT_EST_MAPPING=PRECISE", "FS=MRC", "CURRENCY=USD", "XLFILL=b")</f>
        <v>2028 A (Fwd)</v>
      </c>
      <c r="F3" s="3" t="str">
        <f>_xll.BQL("LUV US Equity", "FISCAL_PERIOD", "FPT=A", "FPO=4A", "ACT_EST_MAPPING=PRECISE", "FS=MRC", "CURRENCY=USD", "XLFILL=b")</f>
        <v>2027 A (Fwd)</v>
      </c>
      <c r="G3" s="3" t="str">
        <f>_xll.BQL("LUV US Equity", "FISCAL_PERIOD", "FPT=A", "FPO=3A", "ACT_EST_MAPPING=PRECISE", "FS=MRC", "CURRENCY=USD", "XLFILL=b")</f>
        <v>2026 A (Fwd)</v>
      </c>
      <c r="H3" s="3" t="str">
        <f>_xll.BQL("LUV US Equity", "FISCAL_PERIOD", "FPT=A", "FPO=2A", "ACT_EST_MAPPING=PRECISE", "FS=MRC", "CURRENCY=USD", "XLFILL=b")</f>
        <v>2025 A (Fwd)</v>
      </c>
      <c r="I3" s="3" t="str">
        <f>_xll.BQL("LUV US Equity", "FISCAL_PERIOD", "FPT=A", "FPO=1A", "ACT_EST_MAPPING=PRECISE", "FS=MRC", "CURRENCY=USD", "XLFILL=b")</f>
        <v>2024 A (Fwd)</v>
      </c>
      <c r="J3" s="3" t="str">
        <f>_xll.BQL("LUV US Equity", "FISCAL_PERIOD", "FPT=A", "FPO=0A", "ACT_EST_MAPPING=PRECISE", "FS=MRC", "CURRENCY=USD", "XLFILL=b")</f>
        <v>2023 A (Rep)</v>
      </c>
      <c r="K3" s="3" t="str">
        <f>_xll.BQL("LUV US Equity", "FISCAL_PERIOD", "FPT=A", "FPO=-1A", "ACT_EST_MAPPING=PRECISE", "FS=MRC", "CURRENCY=USD", "XLFILL=b")</f>
        <v>2022 A (Rep)</v>
      </c>
      <c r="L3" s="3" t="str">
        <f>_xll.BQL("LUV US Equity", "FISCAL_PERIOD", "FPT=A", "FPO=-2A", "ACT_EST_MAPPING=PRECISE", "FS=MRC", "CURRENCY=USD", "XLFILL=b")</f>
        <v>2021 A (Rep)</v>
      </c>
      <c r="M3" s="3" t="str">
        <f>_xll.BQL("LUV US Equity", "FISCAL_PERIOD", "FPT=A", "FPO=-3A", "ACT_EST_MAPPING=PRECISE", "FS=MRC", "CURRENCY=USD", "XLFILL=b")</f>
        <v>2020 A (Rep)</v>
      </c>
      <c r="N3" s="3" t="str">
        <f>_xll.BQL("LUV US Equity", "FISCAL_PERIOD", "FPT=A", "FPO=-4A", "ACT_EST_MAPPING=PRECISE", "FS=MRC", "CURRENCY=USD", "XLFILL=b")</f>
        <v>2019 A (Rep)</v>
      </c>
    </row>
    <row r="4" spans="1:14" x14ac:dyDescent="0.2">
      <c r="A4" s="7" t="s">
        <v>3</v>
      </c>
      <c r="B4" s="7" t="s">
        <v>4</v>
      </c>
      <c r="C4" s="7" t="s">
        <v>5</v>
      </c>
      <c r="D4" s="7" t="s">
        <v>6</v>
      </c>
      <c r="E4" s="1">
        <f>_xll.BQL("LUV US Equity", "IS_COMP_SALES().period_end_date", "FPT=A", "FPO=5A", "ACT_EST_MAPPING=PRECISE", "FS=MRC", "CURRENCY=USD", "XLFILL=b")</f>
        <v>47118</v>
      </c>
      <c r="F4" s="7">
        <f>_xll.BQL("LUV US Equity", "IS_COMP_SALES().period_end_date", "FPT=A", "FPO=4A", "ACT_EST_MAPPING=PRECISE", "FS=MRC", "CURRENCY=USD", "XLFILL=b")</f>
        <v>46752</v>
      </c>
      <c r="G4" s="7">
        <f>_xll.BQL("LUV US Equity", "IS_COMP_SALES().period_end_date", "FPT=A", "FPO=3A", "ACT_EST_MAPPING=PRECISE", "FS=MRC", "CURRENCY=USD", "XLFILL=b")</f>
        <v>46387</v>
      </c>
      <c r="H4" s="7">
        <f>_xll.BQL("LUV US Equity", "IS_COMP_SALES().period_end_date", "FPT=A", "FPO=2A", "ACT_EST_MAPPING=PRECISE", "FS=MRC", "CURRENCY=USD", "XLFILL=b")</f>
        <v>46022</v>
      </c>
      <c r="I4" s="7">
        <f>_xll.BQL("LUV US Equity", "IS_COMP_SALES().period_end_date", "FPT=A", "FPO=1A", "ACT_EST_MAPPING=PRECISE", "FS=MRC", "CURRENCY=USD", "XLFILL=b")</f>
        <v>45657</v>
      </c>
      <c r="J4" s="7">
        <f>_xll.BQL("LUV US Equity", "IS_COMP_SALES().period_end_date", "FPT=A", "FPO=0A", "ACT_EST_MAPPING=PRECISE", "FS=MRC", "CURRENCY=USD", "XLFILL=b")</f>
        <v>45291</v>
      </c>
      <c r="K4" s="7">
        <f>_xll.BQL("LUV US Equity", "IS_COMP_SALES().period_end_date", "FPT=A", "FPO=-1A", "ACT_EST_MAPPING=PRECISE", "FS=MRC", "CURRENCY=USD", "XLFILL=b")</f>
        <v>44926</v>
      </c>
      <c r="L4" s="7">
        <f>_xll.BQL("LUV US Equity", "IS_COMP_SALES().period_end_date", "FPT=A", "FPO=-2A", "ACT_EST_MAPPING=PRECISE", "FS=MRC", "CURRENCY=USD", "XLFILL=b")</f>
        <v>44561</v>
      </c>
      <c r="M4" s="7">
        <f>_xll.BQL("LUV US Equity", "IS_COMP_SALES().period_end_date", "FPT=A", "FPO=-3A", "ACT_EST_MAPPING=PRECISE", "FS=MRC", "CURRENCY=USD", "XLFILL=b")</f>
        <v>44196</v>
      </c>
      <c r="N4" s="7">
        <f>_xll.BQL("LUV US Equity", "IS_COMP_SALES().period_end_date", "FPT=A", "FPO=-4A", "ACT_EST_MAPPING=PRECISE", "FS=MRC", "CURRENCY=USD", "XLFILL=b")</f>
        <v>43830</v>
      </c>
    </row>
    <row r="5" spans="1:14" x14ac:dyDescent="0.2">
      <c r="A5" s="8" t="s">
        <v>7</v>
      </c>
      <c r="B5" s="4"/>
      <c r="C5" s="4" t="s">
        <v>8</v>
      </c>
      <c r="D5" s="4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8" t="s">
        <v>9</v>
      </c>
      <c r="B6" s="4" t="s">
        <v>10</v>
      </c>
      <c r="C6" s="4" t="s">
        <v>11</v>
      </c>
      <c r="D6" s="4"/>
      <c r="E6" s="9">
        <f>_xll.BQL("LUV US Equity", "IS_COMP_EPS_ADJUSTED_OLD", "FPT=A", "FPO=5A", "ACT_EST_MAPPING=PRECISE", "FS=MRC", "CURRENCY=USD", "XLFILL=b")</f>
        <v>2.9433333333333334</v>
      </c>
      <c r="F6" s="9">
        <f>_xll.BQL("LUV US Equity", "IS_COMP_EPS_ADJUSTED_OLD", "FPT=A", "FPO=4A", "ACT_EST_MAPPING=PRECISE", "FS=MRC", "CURRENCY=USD", "XLFILL=b")</f>
        <v>2.714</v>
      </c>
      <c r="G6" s="9">
        <f>_xll.BQL("LUV US Equity", "IS_COMP_EPS_ADJUSTED_OLD", "FPT=A", "FPO=3A", "ACT_EST_MAPPING=PRECISE", "FS=MRC", "CURRENCY=USD", "XLFILL=b")</f>
        <v>1.9899999999999998</v>
      </c>
      <c r="H6" s="9">
        <f>_xll.BQL("LUV US Equity", "IS_COMP_EPS_ADJUSTED_OLD", "FPT=A", "FPO=2A", "ACT_EST_MAPPING=PRECISE", "FS=MRC", "CURRENCY=USD", "XLFILL=b")</f>
        <v>1.2817647058823531</v>
      </c>
      <c r="I6" s="9">
        <f>_xll.BQL("LUV US Equity", "IS_COMP_EPS_ADJUSTED_OLD", "FPT=A", "FPO=1A", "ACT_EST_MAPPING=PRECISE", "FS=MRC", "CURRENCY=USD", "XLFILL=b")</f>
        <v>0.29799999999999999</v>
      </c>
      <c r="J6" s="9">
        <f>_xll.BQL("LUV US Equity", "IS_COMP_EPS_ADJUSTED_OLD", "FPT=A", "FPO=0A", "ACT_EST_MAPPING=PRECISE", "FS=MRC", "CURRENCY=USD", "XLFILL=b")</f>
        <v>1.57</v>
      </c>
      <c r="K6" s="9">
        <f>_xll.BQL("LUV US Equity", "IS_COMP_EPS_ADJUSTED_OLD", "FPT=A", "FPO=-1A", "ACT_EST_MAPPING=PRECISE", "FS=MRC", "CURRENCY=USD", "XLFILL=b")</f>
        <v>1.1599999999999999</v>
      </c>
      <c r="L6" s="9">
        <f>_xll.BQL("LUV US Equity", "IS_COMP_EPS_ADJUSTED_OLD", "FPT=A", "FPO=-2A", "ACT_EST_MAPPING=PRECISE", "FS=MRC", "CURRENCY=USD", "XLFILL=b")</f>
        <v>-2.15</v>
      </c>
      <c r="M6" s="9">
        <f>_xll.BQL("LUV US Equity", "IS_COMP_EPS_ADJUSTED_OLD", "FPT=A", "FPO=-3A", "ACT_EST_MAPPING=PRECISE", "FS=MRC", "CURRENCY=USD", "XLFILL=b")</f>
        <v>-6.22</v>
      </c>
      <c r="N6" s="9">
        <f>_xll.BQL("LUV US Equity", "IS_COMP_EPS_ADJUSTED_OLD", "FPT=A", "FPO=-4A", "ACT_EST_MAPPING=PRECISE", "FS=MRC", "CURRENCY=USD", "XLFILL=b")</f>
        <v>4.2699999999999996</v>
      </c>
    </row>
    <row r="7" spans="1:14" x14ac:dyDescent="0.2">
      <c r="A7" s="8" t="s">
        <v>12</v>
      </c>
      <c r="B7" s="4" t="s">
        <v>10</v>
      </c>
      <c r="C7" s="4" t="s">
        <v>11</v>
      </c>
      <c r="D7" s="4"/>
      <c r="E7" s="9">
        <f>_xll.BQL("LUV US Equity", "FA_GROWTH(IS_COMP_EPS_ADJUSTED_OLD, YOY)", "FPT=A", "FPO=5A", "ACT_EST_MAPPING=PRECISE", "FS=MRC", "CURRENCY=USD", "XLFILL=b")</f>
        <v>8.4500122819945975</v>
      </c>
      <c r="F7" s="9">
        <f>_xll.BQL("LUV US Equity", "FA_GROWTH(IS_COMP_EPS_ADJUSTED_OLD, YOY)", "FPT=A", "FPO=4A", "ACT_EST_MAPPING=PRECISE", "FS=MRC", "CURRENCY=USD", "XLFILL=b")</f>
        <v>36.381909547738708</v>
      </c>
      <c r="G7" s="9">
        <f>_xll.BQL("LUV US Equity", "FA_GROWTH(IS_COMP_EPS_ADJUSTED_OLD, YOY)", "FPT=A", "FPO=3A", "ACT_EST_MAPPING=PRECISE", "FS=MRC", "CURRENCY=USD", "XLFILL=b")</f>
        <v>55.254703992657141</v>
      </c>
      <c r="H7" s="9">
        <f>_xll.BQL("LUV US Equity", "FA_GROWTH(IS_COMP_EPS_ADJUSTED_OLD, YOY)", "FPT=A", "FPO=2A", "ACT_EST_MAPPING=PRECISE", "FS=MRC", "CURRENCY=USD", "XLFILL=b")</f>
        <v>330.1223845242796</v>
      </c>
      <c r="I7" s="9">
        <f>_xll.BQL("LUV US Equity", "FA_GROWTH(IS_COMP_EPS_ADJUSTED_OLD, YOY)", "FPT=A", "FPO=1A", "ACT_EST_MAPPING=PRECISE", "FS=MRC", "CURRENCY=USD", "XLFILL=b")</f>
        <v>-81.01910828025477</v>
      </c>
      <c r="J7" s="9">
        <f>_xll.BQL("LUV US Equity", "FA_GROWTH(IS_COMP_EPS_ADJUSTED_OLD, YOY)", "FPT=A", "FPO=0A", "ACT_EST_MAPPING=PRECISE", "FS=MRC", "CURRENCY=USD", "XLFILL=b")</f>
        <v>35.344827586206911</v>
      </c>
      <c r="K7" s="9">
        <f>_xll.BQL("LUV US Equity", "FA_GROWTH(IS_COMP_EPS_ADJUSTED_OLD, YOY)", "FPT=A", "FPO=-1A", "ACT_EST_MAPPING=PRECISE", "FS=MRC", "CURRENCY=USD", "XLFILL=b")</f>
        <v>153.95348837209301</v>
      </c>
      <c r="L7" s="9">
        <f>_xll.BQL("LUV US Equity", "FA_GROWTH(IS_COMP_EPS_ADJUSTED_OLD, YOY)", "FPT=A", "FPO=-2A", "ACT_EST_MAPPING=PRECISE", "FS=MRC", "CURRENCY=USD", "XLFILL=b")</f>
        <v>65.434083601286176</v>
      </c>
      <c r="M7" s="9">
        <f>_xll.BQL("LUV US Equity", "FA_GROWTH(IS_COMP_EPS_ADJUSTED_OLD, YOY)", "FPT=A", "FPO=-3A", "ACT_EST_MAPPING=PRECISE", "FS=MRC", "CURRENCY=USD", "XLFILL=b")</f>
        <v>-245.66744730679153</v>
      </c>
      <c r="N7" s="9">
        <f>_xll.BQL("LUV US Equity", "FA_GROWTH(IS_COMP_EPS_ADJUSTED_OLD, YOY)", "FPT=A", "FPO=-4A", "ACT_EST_MAPPING=PRECISE", "FS=MRC", "CURRENCY=USD", "XLFILL=b")</f>
        <v>0.70754716981130561</v>
      </c>
    </row>
    <row r="8" spans="1:14" x14ac:dyDescent="0.2">
      <c r="A8" s="8" t="s">
        <v>13</v>
      </c>
      <c r="B8" s="4" t="s">
        <v>14</v>
      </c>
      <c r="C8" s="4" t="s">
        <v>15</v>
      </c>
      <c r="D8" s="4"/>
      <c r="E8" s="9">
        <f>_xll.BQL("LUV US Equity", "IS_COMP_SALES/1M", "FPT=A", "FPO=5A", "ACT_EST_MAPPING=PRECISE", "FS=MRC", "CURRENCY=USD", "XLFILL=b")</f>
        <v>33646.666666666672</v>
      </c>
      <c r="F8" s="9">
        <f>_xll.BQL("LUV US Equity", "IS_COMP_SALES/1M", "FPT=A", "FPO=4A", "ACT_EST_MAPPING=PRECISE", "FS=MRC", "CURRENCY=USD", "XLFILL=b")</f>
        <v>32244.6</v>
      </c>
      <c r="G8" s="9">
        <f>_xll.BQL("LUV US Equity", "IS_COMP_SALES/1M", "FPT=A", "FPO=3A", "ACT_EST_MAPPING=PRECISE", "FS=MRC", "CURRENCY=USD", "XLFILL=b")</f>
        <v>30465.357142857145</v>
      </c>
      <c r="H8" s="9">
        <f>_xll.BQL("LUV US Equity", "IS_COMP_SALES/1M", "FPT=A", "FPO=2A", "ACT_EST_MAPPING=PRECISE", "FS=MRC", "CURRENCY=USD", "XLFILL=b")</f>
        <v>28773.888888888891</v>
      </c>
      <c r="I8" s="9">
        <f>_xll.BQL("LUV US Equity", "IS_COMP_SALES/1M", "FPT=A", "FPO=1A", "ACT_EST_MAPPING=PRECISE", "FS=MRC", "CURRENCY=USD", "XLFILL=b")</f>
        <v>27132.166666666668</v>
      </c>
      <c r="J8" s="9">
        <f>_xll.BQL("LUV US Equity", "IS_COMP_SALES/1M", "FPT=A", "FPO=0A", "ACT_EST_MAPPING=PRECISE", "FS=MRC", "CURRENCY=USD", "XLFILL=b")</f>
        <v>26091</v>
      </c>
      <c r="K8" s="9">
        <f>_xll.BQL("LUV US Equity", "IS_COMP_SALES/1M", "FPT=A", "FPO=-1A", "ACT_EST_MAPPING=PRECISE", "FS=MRC", "CURRENCY=USD", "XLFILL=b")</f>
        <v>23814</v>
      </c>
      <c r="L8" s="9">
        <f>_xll.BQL("LUV US Equity", "IS_COMP_SALES/1M", "FPT=A", "FPO=-2A", "ACT_EST_MAPPING=PRECISE", "FS=MRC", "CURRENCY=USD", "XLFILL=b")</f>
        <v>15790</v>
      </c>
      <c r="M8" s="9">
        <f>_xll.BQL("LUV US Equity", "IS_COMP_SALES/1M", "FPT=A", "FPO=-3A", "ACT_EST_MAPPING=PRECISE", "FS=MRC", "CURRENCY=USD", "XLFILL=b")</f>
        <v>9048</v>
      </c>
      <c r="N8" s="9">
        <f>_xll.BQL("LUV US Equity", "IS_COMP_SALES/1M", "FPT=A", "FPO=-4A", "ACT_EST_MAPPING=PRECISE", "FS=MRC", "CURRENCY=USD", "XLFILL=b")</f>
        <v>22428</v>
      </c>
    </row>
    <row r="9" spans="1:14" x14ac:dyDescent="0.2">
      <c r="A9" s="8" t="s">
        <v>12</v>
      </c>
      <c r="B9" s="4" t="s">
        <v>14</v>
      </c>
      <c r="C9" s="4" t="s">
        <v>15</v>
      </c>
      <c r="D9" s="4"/>
      <c r="E9" s="9">
        <f>_xll.BQL("LUV US Equity", "FA_GROWTH(IS_COMP_SALES, YOY)", "FPT=A", "FPO=5A", "ACT_EST_MAPPING=PRECISE", "FS=MRC", "CURRENCY=USD", "XLFILL=b")</f>
        <v>4.3482216143685086</v>
      </c>
      <c r="F9" s="9">
        <f>_xll.BQL("LUV US Equity", "FA_GROWTH(IS_COMP_SALES, YOY)", "FPT=A", "FPO=4A", "ACT_EST_MAPPING=PRECISE", "FS=MRC", "CURRENCY=USD", "XLFILL=b")</f>
        <v>5.8402166395085731</v>
      </c>
      <c r="G9" s="9">
        <f>_xll.BQL("LUV US Equity", "FA_GROWTH(IS_COMP_SALES, YOY)", "FPT=A", "FPO=3A", "ACT_EST_MAPPING=PRECISE", "FS=MRC", "CURRENCY=USD", "XLFILL=b")</f>
        <v>5.8784833030387453</v>
      </c>
      <c r="H9" s="9">
        <f>_xll.BQL("LUV US Equity", "FA_GROWTH(IS_COMP_SALES, YOY)", "FPT=A", "FPO=2A", "ACT_EST_MAPPING=PRECISE", "FS=MRC", "CURRENCY=USD", "XLFILL=b")</f>
        <v>6.0508334715456611</v>
      </c>
      <c r="I9" s="9">
        <f>_xll.BQL("LUV US Equity", "FA_GROWTH(IS_COMP_SALES, YOY)", "FPT=A", "FPO=1A", "ACT_EST_MAPPING=PRECISE", "FS=MRC", "CURRENCY=USD", "XLFILL=b")</f>
        <v>3.9905203582333675</v>
      </c>
      <c r="J9" s="9">
        <f>_xll.BQL("LUV US Equity", "FA_GROWTH(IS_COMP_SALES, YOY)", "FPT=A", "FPO=0A", "ACT_EST_MAPPING=PRECISE", "FS=MRC", "CURRENCY=USD", "XLFILL=b")</f>
        <v>9.5616024187452755</v>
      </c>
      <c r="K9" s="9">
        <f>_xll.BQL("LUV US Equity", "FA_GROWTH(IS_COMP_SALES, YOY)", "FPT=A", "FPO=-1A", "ACT_EST_MAPPING=PRECISE", "FS=MRC", "CURRENCY=USD", "XLFILL=b")</f>
        <v>50.816972767574413</v>
      </c>
      <c r="L9" s="9">
        <f>_xll.BQL("LUV US Equity", "FA_GROWTH(IS_COMP_SALES, YOY)", "FPT=A", "FPO=-2A", "ACT_EST_MAPPING=PRECISE", "FS=MRC", "CURRENCY=USD", "XLFILL=b")</f>
        <v>74.513704686118473</v>
      </c>
      <c r="M9" s="9">
        <f>_xll.BQL("LUV US Equity", "FA_GROWTH(IS_COMP_SALES, YOY)", "FPT=A", "FPO=-3A", "ACT_EST_MAPPING=PRECISE", "FS=MRC", "CURRENCY=USD", "XLFILL=b")</f>
        <v>-59.65757089352595</v>
      </c>
      <c r="N9" s="9">
        <f>_xll.BQL("LUV US Equity", "FA_GROWTH(IS_COMP_SALES, YOY)", "FPT=A", "FPO=-4A", "ACT_EST_MAPPING=PRECISE", "FS=MRC", "CURRENCY=USD", "XLFILL=b")</f>
        <v>2.107898930116094</v>
      </c>
    </row>
    <row r="10" spans="1:14" x14ac:dyDescent="0.2">
      <c r="A10" s="8" t="s">
        <v>16</v>
      </c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8" t="s">
        <v>17</v>
      </c>
      <c r="B11" s="4"/>
      <c r="C11" s="4"/>
      <c r="D11" s="4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A12" s="8" t="s">
        <v>18</v>
      </c>
      <c r="B12" s="4" t="s">
        <v>19</v>
      </c>
      <c r="C12" s="4" t="s">
        <v>20</v>
      </c>
      <c r="D12" s="4"/>
      <c r="E12" s="9">
        <f>_xll.BQL("LUV US Equity", "TOTAL_PASSENGER_REVENUE/1M", "FPT=A", "FPO=5A", "ACT_EST_MAPPING=PRECISE", "FS=MRC", "CURRENCY=USD", "XLFILL=b")</f>
        <v>30902.957446418386</v>
      </c>
      <c r="F12" s="9">
        <f>_xll.BQL("LUV US Equity", "TOTAL_PASSENGER_REVENUE/1M", "FPT=A", "FPO=4A", "ACT_EST_MAPPING=PRECISE", "FS=MRC", "CURRENCY=USD", "XLFILL=b")</f>
        <v>29790.277256436359</v>
      </c>
      <c r="G12" s="9">
        <f>_xll.BQL("LUV US Equity", "TOTAL_PASSENGER_REVENUE/1M", "FPT=A", "FPO=3A", "ACT_EST_MAPPING=PRECISE", "FS=MRC", "CURRENCY=USD", "XLFILL=b")</f>
        <v>27836.944802988659</v>
      </c>
      <c r="H12" s="9">
        <f>_xll.BQL("LUV US Equity", "TOTAL_PASSENGER_REVENUE/1M", "FPT=A", "FPO=2A", "ACT_EST_MAPPING=PRECISE", "FS=MRC", "CURRENCY=USD", "XLFILL=b")</f>
        <v>26255.959754016698</v>
      </c>
      <c r="I12" s="9">
        <f>_xll.BQL("LUV US Equity", "TOTAL_PASSENGER_REVENUE/1M", "FPT=A", "FPO=1A", "ACT_EST_MAPPING=PRECISE", "FS=MRC", "CURRENCY=USD", "XLFILL=b")</f>
        <v>24554.445164852219</v>
      </c>
      <c r="J12" s="9">
        <f>_xll.BQL("LUV US Equity", "TOTAL_PASSENGER_REVENUE/1M", "FPT=A", "FPO=0A", "ACT_EST_MAPPING=PRECISE", "FS=MRC", "CURRENCY=USD", "XLFILL=b")</f>
        <v>23637</v>
      </c>
      <c r="K12" s="9">
        <f>_xll.BQL("LUV US Equity", "TOTAL_PASSENGER_REVENUE/1M", "FPT=A", "FPO=-1A", "ACT_EST_MAPPING=PRECISE", "FS=MRC", "CURRENCY=USD", "XLFILL=b")</f>
        <v>21408</v>
      </c>
      <c r="L12" s="9">
        <f>_xll.BQL("LUV US Equity", "TOTAL_PASSENGER_REVENUE/1M", "FPT=A", "FPO=-2A", "ACT_EST_MAPPING=PRECISE", "FS=MRC", "CURRENCY=USD", "XLFILL=b")</f>
        <v>14066</v>
      </c>
      <c r="M12" s="9">
        <f>_xll.BQL("LUV US Equity", "TOTAL_PASSENGER_REVENUE/1M", "FPT=A", "FPO=-3A", "ACT_EST_MAPPING=PRECISE", "FS=MRC", "CURRENCY=USD", "XLFILL=b")</f>
        <v>7665</v>
      </c>
      <c r="N12" s="9">
        <f>_xll.BQL("LUV US Equity", "TOTAL_PASSENGER_REVENUE/1M", "FPT=A", "FPO=-4A", "ACT_EST_MAPPING=PRECISE", "FS=MRC", "CURRENCY=USD", "XLFILL=b")</f>
        <v>20776</v>
      </c>
    </row>
    <row r="13" spans="1:14" x14ac:dyDescent="0.2">
      <c r="A13" s="8" t="s">
        <v>21</v>
      </c>
      <c r="B13" s="4" t="s">
        <v>19</v>
      </c>
      <c r="C13" s="4" t="s">
        <v>20</v>
      </c>
      <c r="D13" s="4"/>
      <c r="E13" s="9">
        <f>_xll.BQL("LUV US Equity", "FA_GROWTH(TOTAL_PASSENGER_REVENUE, YOY)", "FPT=A", "FPO=5A", "ACT_EST_MAPPING=PRECISE", "FS=MRC", "CURRENCY=USD", "XLFILL=b")</f>
        <v>3.7350447610944078</v>
      </c>
      <c r="F13" s="9">
        <f>_xll.BQL("LUV US Equity", "FA_GROWTH(TOTAL_PASSENGER_REVENUE, YOY)", "FPT=A", "FPO=4A", "ACT_EST_MAPPING=PRECISE", "FS=MRC", "CURRENCY=USD", "XLFILL=b")</f>
        <v>7.017050424434454</v>
      </c>
      <c r="G13" s="9">
        <f>_xll.BQL("LUV US Equity", "FA_GROWTH(TOTAL_PASSENGER_REVENUE, YOY)", "FPT=A", "FPO=3A", "ACT_EST_MAPPING=PRECISE", "FS=MRC", "CURRENCY=USD", "XLFILL=b")</f>
        <v>6.0214330909389027</v>
      </c>
      <c r="H13" s="9">
        <f>_xll.BQL("LUV US Equity", "FA_GROWTH(TOTAL_PASSENGER_REVENUE, YOY)", "FPT=A", "FPO=2A", "ACT_EST_MAPPING=PRECISE", "FS=MRC", "CURRENCY=USD", "XLFILL=b")</f>
        <v>6.929558284624016</v>
      </c>
      <c r="I13" s="9">
        <f>_xll.BQL("LUV US Equity", "FA_GROWTH(TOTAL_PASSENGER_REVENUE, YOY)", "FPT=A", "FPO=1A", "ACT_EST_MAPPING=PRECISE", "FS=MRC", "CURRENCY=USD", "XLFILL=b")</f>
        <v>3.8813942752981285</v>
      </c>
      <c r="J13" s="9">
        <f>_xll.BQL("LUV US Equity", "FA_GROWTH(TOTAL_PASSENGER_REVENUE, YOY)", "FPT=A", "FPO=0A", "ACT_EST_MAPPING=PRECISE", "FS=MRC", "CURRENCY=USD", "XLFILL=b")</f>
        <v>10.411995515695068</v>
      </c>
      <c r="K13" s="9">
        <f>_xll.BQL("LUV US Equity", "FA_GROWTH(TOTAL_PASSENGER_REVENUE, YOY)", "FPT=A", "FPO=-1A", "ACT_EST_MAPPING=PRECISE", "FS=MRC", "CURRENCY=USD", "XLFILL=b")</f>
        <v>52.196786577562918</v>
      </c>
      <c r="L13" s="9">
        <f>_xll.BQL("LUV US Equity", "FA_GROWTH(TOTAL_PASSENGER_REVENUE, YOY)", "FPT=A", "FPO=-2A", "ACT_EST_MAPPING=PRECISE", "FS=MRC", "CURRENCY=USD", "XLFILL=b")</f>
        <v>83.509458577951733</v>
      </c>
      <c r="M13" s="9">
        <f>_xll.BQL("LUV US Equity", "FA_GROWTH(TOTAL_PASSENGER_REVENUE, YOY)", "FPT=A", "FPO=-3A", "ACT_EST_MAPPING=PRECISE", "FS=MRC", "CURRENCY=USD", "XLFILL=b")</f>
        <v>-63.10646900269542</v>
      </c>
      <c r="N13" s="9">
        <f>_xll.BQL("LUV US Equity", "FA_GROWTH(TOTAL_PASSENGER_REVENUE, YOY)", "FPT=A", "FPO=-4A", "ACT_EST_MAPPING=PRECISE", "FS=MRC", "CURRENCY=USD", "XLFILL=b")</f>
        <v>1.5692984600342215</v>
      </c>
    </row>
    <row r="14" spans="1:14" x14ac:dyDescent="0.2">
      <c r="A14" s="8" t="s">
        <v>22</v>
      </c>
      <c r="B14" s="4" t="s">
        <v>23</v>
      </c>
      <c r="C14" s="4"/>
      <c r="D14" s="4"/>
      <c r="E14" s="9">
        <f>_xll.BQL("LUV US Equity", "CARGO_FREIGHT_REV/1M", "FPT=A", "FPO=5A", "ACT_EST_MAPPING=PRECISE", "FS=MRC", "CURRENCY=USD", "XLFILL=b")</f>
        <v>206.43625916701308</v>
      </c>
      <c r="F14" s="9">
        <f>_xll.BQL("LUV US Equity", "CARGO_FREIGHT_REV/1M", "FPT=A", "FPO=4A", "ACT_EST_MAPPING=PRECISE", "FS=MRC", "CURRENCY=USD", "XLFILL=b")</f>
        <v>198.37243934515996</v>
      </c>
      <c r="G14" s="9">
        <f>_xll.BQL("LUV US Equity", "CARGO_FREIGHT_REV/1M", "FPT=A", "FPO=3A", "ACT_EST_MAPPING=PRECISE", "FS=MRC", "CURRENCY=USD", "XLFILL=b")</f>
        <v>198.05920408257967</v>
      </c>
      <c r="H14" s="9">
        <f>_xll.BQL("LUV US Equity", "CARGO_FREIGHT_REV/1M", "FPT=A", "FPO=2A", "ACT_EST_MAPPING=PRECISE", "FS=MRC", "CURRENCY=USD", "XLFILL=b")</f>
        <v>192.69058538593333</v>
      </c>
      <c r="I14" s="9">
        <f>_xll.BQL("LUV US Equity", "CARGO_FREIGHT_REV/1M", "FPT=A", "FPO=1A", "ACT_EST_MAPPING=PRECISE", "FS=MRC", "CURRENCY=USD", "XLFILL=b")</f>
        <v>178.37635177731326</v>
      </c>
      <c r="J14" s="9">
        <f>_xll.BQL("LUV US Equity", "CARGO_FREIGHT_REV/1M", "FPT=A", "FPO=0A", "ACT_EST_MAPPING=PRECISE", "FS=MRC", "CURRENCY=USD", "XLFILL=b")</f>
        <v>175</v>
      </c>
      <c r="K14" s="9">
        <f>_xll.BQL("LUV US Equity", "CARGO_FREIGHT_REV/1M", "FPT=A", "FPO=-1A", "ACT_EST_MAPPING=PRECISE", "FS=MRC", "CURRENCY=USD", "XLFILL=b")</f>
        <v>177</v>
      </c>
      <c r="L14" s="9">
        <f>_xll.BQL("LUV US Equity", "CARGO_FREIGHT_REV/1M", "FPT=A", "FPO=-2A", "ACT_EST_MAPPING=PRECISE", "FS=MRC", "CURRENCY=USD", "XLFILL=b")</f>
        <v>187</v>
      </c>
      <c r="M14" s="9">
        <f>_xll.BQL("LUV US Equity", "CARGO_FREIGHT_REV/1M", "FPT=A", "FPO=-3A", "ACT_EST_MAPPING=PRECISE", "FS=MRC", "CURRENCY=USD", "XLFILL=b")</f>
        <v>161</v>
      </c>
      <c r="N14" s="9">
        <f>_xll.BQL("LUV US Equity", "CARGO_FREIGHT_REV/1M", "FPT=A", "FPO=-4A", "ACT_EST_MAPPING=PRECISE", "FS=MRC", "CURRENCY=USD", "XLFILL=b")</f>
        <v>172</v>
      </c>
    </row>
    <row r="15" spans="1:14" x14ac:dyDescent="0.2">
      <c r="A15" s="8" t="s">
        <v>21</v>
      </c>
      <c r="B15" s="4" t="s">
        <v>23</v>
      </c>
      <c r="C15" s="4"/>
      <c r="D15" s="4"/>
      <c r="E15" s="9">
        <f>_xll.BQL("LUV US Equity", "FA_GROWTH(CARGO_FREIGHT_REV, YOY)", "FPT=A", "FPO=5A", "ACT_EST_MAPPING=PRECISE", "FS=MRC", "CURRENCY=USD", "XLFILL=b")</f>
        <v>4.0649899998569934</v>
      </c>
      <c r="F15" s="9">
        <f>_xll.BQL("LUV US Equity", "FA_GROWTH(CARGO_FREIGHT_REV, YOY)", "FPT=A", "FPO=4A", "ACT_EST_MAPPING=PRECISE", "FS=MRC", "CURRENCY=USD", "XLFILL=b")</f>
        <v>0.1581523383531693</v>
      </c>
      <c r="G15" s="9">
        <f>_xll.BQL("LUV US Equity", "FA_GROWTH(CARGO_FREIGHT_REV, YOY)", "FPT=A", "FPO=3A", "ACT_EST_MAPPING=PRECISE", "FS=MRC", "CURRENCY=USD", "XLFILL=b")</f>
        <v>2.78613440604465</v>
      </c>
      <c r="H15" s="9">
        <f>_xll.BQL("LUV US Equity", "FA_GROWTH(CARGO_FREIGHT_REV, YOY)", "FPT=A", "FPO=2A", "ACT_EST_MAPPING=PRECISE", "FS=MRC", "CURRENCY=USD", "XLFILL=b")</f>
        <v>8.0247372849569771</v>
      </c>
      <c r="I15" s="9">
        <f>_xll.BQL("LUV US Equity", "FA_GROWTH(CARGO_FREIGHT_REV, YOY)", "FPT=A", "FPO=1A", "ACT_EST_MAPPING=PRECISE", "FS=MRC", "CURRENCY=USD", "XLFILL=b")</f>
        <v>1.9293438727504355</v>
      </c>
      <c r="J15" s="9">
        <f>_xll.BQL("LUV US Equity", "FA_GROWTH(CARGO_FREIGHT_REV, YOY)", "FPT=A", "FPO=0A", "ACT_EST_MAPPING=PRECISE", "FS=MRC", "CURRENCY=USD", "XLFILL=b")</f>
        <v>-1.1299435028248588</v>
      </c>
      <c r="K15" s="9">
        <f>_xll.BQL("LUV US Equity", "FA_GROWTH(CARGO_FREIGHT_REV, YOY)", "FPT=A", "FPO=-1A", "ACT_EST_MAPPING=PRECISE", "FS=MRC", "CURRENCY=USD", "XLFILL=b")</f>
        <v>-5.3475935828877006</v>
      </c>
      <c r="L15" s="9">
        <f>_xll.BQL("LUV US Equity", "FA_GROWTH(CARGO_FREIGHT_REV, YOY)", "FPT=A", "FPO=-2A", "ACT_EST_MAPPING=PRECISE", "FS=MRC", "CURRENCY=USD", "XLFILL=b")</f>
        <v>16.149068322981368</v>
      </c>
      <c r="M15" s="9">
        <f>_xll.BQL("LUV US Equity", "FA_GROWTH(CARGO_FREIGHT_REV, YOY)", "FPT=A", "FPO=-3A", "ACT_EST_MAPPING=PRECISE", "FS=MRC", "CURRENCY=USD", "XLFILL=b")</f>
        <v>-6.3953488372093021</v>
      </c>
      <c r="N15" s="9">
        <f>_xll.BQL("LUV US Equity", "FA_GROWTH(CARGO_FREIGHT_REV, YOY)", "FPT=A", "FPO=-4A", "ACT_EST_MAPPING=PRECISE", "FS=MRC", "CURRENCY=USD", "XLFILL=b")</f>
        <v>-1.7142857142857142</v>
      </c>
    </row>
    <row r="16" spans="1:14" x14ac:dyDescent="0.2">
      <c r="A16" s="8" t="s">
        <v>24</v>
      </c>
      <c r="B16" s="4" t="s">
        <v>25</v>
      </c>
      <c r="C16" s="4"/>
      <c r="D16" s="4"/>
      <c r="E16" s="9">
        <f>_xll.BQL("LUV US Equity", "IS_OTHER_REVENUE_GAAP/1M", "FPT=A", "FPO=5A", "ACT_EST_MAPPING=PRECISE", "FS=MRC", "CURRENCY=USD", "XLFILL=b")</f>
        <v>2537.0828442741545</v>
      </c>
      <c r="F16" s="9">
        <f>_xll.BQL("LUV US Equity", "IS_OTHER_REVENUE_GAAP/1M", "FPT=A", "FPO=4A", "ACT_EST_MAPPING=PRECISE", "FS=MRC", "CURRENCY=USD", "XLFILL=b")</f>
        <v>2532.3498067818919</v>
      </c>
      <c r="G16" s="9">
        <f>_xll.BQL("LUV US Equity", "IS_OTHER_REVENUE_GAAP/1M", "FPT=A", "FPO=3A", "ACT_EST_MAPPING=PRECISE", "FS=MRC", "CURRENCY=USD", "XLFILL=b")</f>
        <v>2536.3773008717144</v>
      </c>
      <c r="H16" s="9">
        <f>_xll.BQL("LUV US Equity", "IS_OTHER_REVENUE_GAAP/1M", "FPT=A", "FPO=2A", "ACT_EST_MAPPING=PRECISE", "FS=MRC", "CURRENCY=USD", "XLFILL=b")</f>
        <v>2439.3543847055926</v>
      </c>
      <c r="I16" s="9">
        <f>_xll.BQL("LUV US Equity", "IS_OTHER_REVENUE_GAAP/1M", "FPT=A", "FPO=1A", "ACT_EST_MAPPING=PRECISE", "FS=MRC", "CURRENCY=USD", "XLFILL=b")</f>
        <v>2348.0695635082661</v>
      </c>
      <c r="J16" s="9">
        <f>_xll.BQL("LUV US Equity", "IS_OTHER_REVENUE_GAAP/1M", "FPT=A", "FPO=0A", "ACT_EST_MAPPING=PRECISE", "FS=MRC", "CURRENCY=USD", "XLFILL=b")</f>
        <v>2279</v>
      </c>
      <c r="K16" s="9">
        <f>_xll.BQL("LUV US Equity", "IS_OTHER_REVENUE_GAAP/1M", "FPT=A", "FPO=-1A", "ACT_EST_MAPPING=PRECISE", "FS=MRC", "CURRENCY=USD", "XLFILL=b")</f>
        <v>2229</v>
      </c>
      <c r="L16" s="9">
        <f>_xll.BQL("LUV US Equity", "IS_OTHER_REVENUE_GAAP/1M", "FPT=A", "FPO=-2A", "ACT_EST_MAPPING=PRECISE", "FS=MRC", "CURRENCY=USD", "XLFILL=b")</f>
        <v>1537</v>
      </c>
      <c r="M16" s="9">
        <f>_xll.BQL("LUV US Equity", "IS_OTHER_REVENUE_GAAP/1M", "FPT=A", "FPO=-3A", "ACT_EST_MAPPING=PRECISE", "FS=MRC", "CURRENCY=USD", "XLFILL=b")</f>
        <v>1222</v>
      </c>
      <c r="N16" s="9">
        <f>_xll.BQL("LUV US Equity", "IS_OTHER_REVENUE_GAAP/1M", "FPT=A", "FPO=-4A", "ACT_EST_MAPPING=PRECISE", "FS=MRC", "CURRENCY=USD", "XLFILL=b")</f>
        <v>1480</v>
      </c>
    </row>
    <row r="17" spans="1:14" x14ac:dyDescent="0.2">
      <c r="A17" s="8" t="s">
        <v>21</v>
      </c>
      <c r="B17" s="4" t="s">
        <v>25</v>
      </c>
      <c r="C17" s="4"/>
      <c r="D17" s="4"/>
      <c r="E17" s="9">
        <f>_xll.BQL("LUV US Equity", "FA_GROWTH(IS_OTHER_REVENUE_GAAP, YOY)", "FPT=A", "FPO=5A", "ACT_EST_MAPPING=PRECISE", "FS=MRC", "CURRENCY=USD", "XLFILL=b")</f>
        <v>0.18690298945221873</v>
      </c>
      <c r="F17" s="9">
        <f>_xll.BQL("LUV US Equity", "FA_GROWTH(IS_OTHER_REVENUE_GAAP, YOY)", "FPT=A", "FPO=4A", "ACT_EST_MAPPING=PRECISE", "FS=MRC", "CURRENCY=USD", "XLFILL=b")</f>
        <v>-0.15878923409536036</v>
      </c>
      <c r="G17" s="9">
        <f>_xll.BQL("LUV US Equity", "FA_GROWTH(IS_OTHER_REVENUE_GAAP, YOY)", "FPT=A", "FPO=3A", "ACT_EST_MAPPING=PRECISE", "FS=MRC", "CURRENCY=USD", "XLFILL=b")</f>
        <v>3.9774014294291118</v>
      </c>
      <c r="H17" s="9">
        <f>_xll.BQL("LUV US Equity", "FA_GROWTH(IS_OTHER_REVENUE_GAAP, YOY)", "FPT=A", "FPO=2A", "ACT_EST_MAPPING=PRECISE", "FS=MRC", "CURRENCY=USD", "XLFILL=b")</f>
        <v>3.8876540378530104</v>
      </c>
      <c r="I17" s="9">
        <f>_xll.BQL("LUV US Equity", "FA_GROWTH(IS_OTHER_REVENUE_GAAP, YOY)", "FPT=A", "FPO=1A", "ACT_EST_MAPPING=PRECISE", "FS=MRC", "CURRENCY=USD", "XLFILL=b")</f>
        <v>3.0306960732016663</v>
      </c>
      <c r="J17" s="9">
        <f>_xll.BQL("LUV US Equity", "FA_GROWTH(IS_OTHER_REVENUE_GAAP, YOY)", "FPT=A", "FPO=0A", "ACT_EST_MAPPING=PRECISE", "FS=MRC", "CURRENCY=USD", "XLFILL=b")</f>
        <v>2.2431583669807087</v>
      </c>
      <c r="K17" s="9">
        <f>_xll.BQL("LUV US Equity", "FA_GROWTH(IS_OTHER_REVENUE_GAAP, YOY)", "FPT=A", "FPO=-1A", "ACT_EST_MAPPING=PRECISE", "FS=MRC", "CURRENCY=USD", "XLFILL=b")</f>
        <v>45.022771633051399</v>
      </c>
      <c r="L17" s="9">
        <f>_xll.BQL("LUV US Equity", "FA_GROWTH(IS_OTHER_REVENUE_GAAP, YOY)", "FPT=A", "FPO=-2A", "ACT_EST_MAPPING=PRECISE", "FS=MRC", "CURRENCY=USD", "XLFILL=b")</f>
        <v>25.777414075286416</v>
      </c>
      <c r="M17" s="9">
        <f>_xll.BQL("LUV US Equity", "FA_GROWTH(IS_OTHER_REVENUE_GAAP, YOY)", "FPT=A", "FPO=-3A", "ACT_EST_MAPPING=PRECISE", "FS=MRC", "CURRENCY=USD", "XLFILL=b")</f>
        <v>-17.432432432432432</v>
      </c>
      <c r="N17" s="9">
        <f>_xll.BQL("LUV US Equity", "FA_GROWTH(IS_OTHER_REVENUE_GAAP, YOY)", "FPT=A", "FPO=-4A", "ACT_EST_MAPPING=PRECISE", "FS=MRC", "CURRENCY=USD", "XLFILL=b")</f>
        <v>10.861423220973784</v>
      </c>
    </row>
    <row r="18" spans="1:14" x14ac:dyDescent="0.2">
      <c r="A18" s="8" t="s">
        <v>16</v>
      </c>
      <c r="B18" s="4"/>
      <c r="C18" s="4"/>
      <c r="D18" s="4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">
      <c r="A19" s="8" t="s">
        <v>432</v>
      </c>
      <c r="B19" s="4" t="s">
        <v>26</v>
      </c>
      <c r="C19" s="4" t="s">
        <v>27</v>
      </c>
      <c r="D19" s="4"/>
      <c r="E19" s="9">
        <f>_xll.BQL("LUV US Equity", "REV_PASS_MILES_KM/1M", "FPT=A", "FPO=5A", "ACT_EST_MAPPING=PRECISE", "FS=MRC", "CURRENCY=USD", "XLFILL=b")</f>
        <v>174821.61476102157</v>
      </c>
      <c r="F19" s="9">
        <f>_xll.BQL("LUV US Equity", "REV_PASS_MILES_KM/1M", "FPT=A", "FPO=4A", "ACT_EST_MAPPING=PRECISE", "FS=MRC", "CURRENCY=USD", "XLFILL=b")</f>
        <v>169201.36860153553</v>
      </c>
      <c r="G19" s="9">
        <f>_xll.BQL("LUV US Equity", "REV_PASS_MILES_KM/1M", "FPT=A", "FPO=3A", "ACT_EST_MAPPING=PRECISE", "FS=MRC", "CURRENCY=USD", "XLFILL=b")</f>
        <v>155314.57053995109</v>
      </c>
      <c r="H19" s="9">
        <f>_xll.BQL("LUV US Equity", "REV_PASS_MILES_KM/1M", "FPT=A", "FPO=2A", "ACT_EST_MAPPING=PRECISE", "FS=MRC", "CURRENCY=USD", "XLFILL=b")</f>
        <v>148954.2428320997</v>
      </c>
      <c r="I19" s="9">
        <f>_xll.BQL("LUV US Equity", "REV_PASS_MILES_KM/1M", "FPT=A", "FPO=1A", "ACT_EST_MAPPING=PRECISE", "FS=MRC", "CURRENCY=USD", "XLFILL=b")</f>
        <v>143342.66722216964</v>
      </c>
      <c r="J19" s="9">
        <f>_xll.BQL("LUV US Equity", "REV_PASS_MILES_KM/1M", "FPT=A", "FPO=0A", "ACT_EST_MAPPING=PRECISE", "FS=MRC", "CURRENCY=USD", "XLFILL=b")</f>
        <v>136256</v>
      </c>
      <c r="K19" s="9">
        <f>_xll.BQL("LUV US Equity", "REV_PASS_MILES_KM/1M", "FPT=A", "FPO=-1A", "ACT_EST_MAPPING=PRECISE", "FS=MRC", "CURRENCY=USD", "XLFILL=b")</f>
        <v>123843</v>
      </c>
      <c r="L19" s="9">
        <f>_xll.BQL("LUV US Equity", "REV_PASS_MILES_KM/1M", "FPT=A", "FPO=-2A", "ACT_EST_MAPPING=PRECISE", "FS=MRC", "CURRENCY=USD", "XLFILL=b")</f>
        <v>103562</v>
      </c>
      <c r="M19" s="9">
        <f>_xll.BQL("LUV US Equity", "REV_PASS_MILES_KM/1M", "FPT=A", "FPO=-3A", "ACT_EST_MAPPING=PRECISE", "FS=MRC", "CURRENCY=USD", "XLFILL=b")</f>
        <v>54221</v>
      </c>
      <c r="N19" s="9">
        <f>_xll.BQL("LUV US Equity", "REV_PASS_MILES_KM/1M", "FPT=A", "FPO=-4A", "ACT_EST_MAPPING=PRECISE", "FS=MRC", "CURRENCY=USD", "XLFILL=b")</f>
        <v>131345</v>
      </c>
    </row>
    <row r="20" spans="1:14" x14ac:dyDescent="0.2">
      <c r="A20" s="8" t="s">
        <v>12</v>
      </c>
      <c r="B20" s="4" t="s">
        <v>26</v>
      </c>
      <c r="C20" s="4" t="s">
        <v>27</v>
      </c>
      <c r="D20" s="4"/>
      <c r="E20" s="9">
        <f>_xll.BQL("LUV US Equity", "FA_GROWTH(REV_PASS_MILES_KM, YOY)", "FPT=A", "FPO=5A", "ACT_EST_MAPPING=PRECISE", "FS=MRC", "CURRENCY=USD", "XLFILL=b")</f>
        <v>3.3216316191398993</v>
      </c>
      <c r="F20" s="9">
        <f>_xll.BQL("LUV US Equity", "FA_GROWTH(REV_PASS_MILES_KM, YOY)", "FPT=A", "FPO=4A", "ACT_EST_MAPPING=PRECISE", "FS=MRC", "CURRENCY=USD", "XLFILL=b")</f>
        <v>8.9410787496028163</v>
      </c>
      <c r="G20" s="9">
        <f>_xll.BQL("LUV US Equity", "FA_GROWTH(REV_PASS_MILES_KM, YOY)", "FPT=A", "FPO=3A", "ACT_EST_MAPPING=PRECISE", "FS=MRC", "CURRENCY=USD", "XLFILL=b")</f>
        <v>4.2699876062078346</v>
      </c>
      <c r="H20" s="9">
        <f>_xll.BQL("LUV US Equity", "FA_GROWTH(REV_PASS_MILES_KM, YOY)", "FPT=A", "FPO=2A", "ACT_EST_MAPPING=PRECISE", "FS=MRC", "CURRENCY=USD", "XLFILL=b")</f>
        <v>3.9147978188745163</v>
      </c>
      <c r="I20" s="9">
        <f>_xll.BQL("LUV US Equity", "FA_GROWTH(REV_PASS_MILES_KM, YOY)", "FPT=A", "FPO=1A", "ACT_EST_MAPPING=PRECISE", "FS=MRC", "CURRENCY=USD", "XLFILL=b")</f>
        <v>5.2009946146735899</v>
      </c>
      <c r="J20" s="9">
        <f>_xll.BQL("LUV US Equity", "FA_GROWTH(REV_PASS_MILES_KM, YOY)", "FPT=A", "FPO=0A", "ACT_EST_MAPPING=PRECISE", "FS=MRC", "CURRENCY=USD", "XLFILL=b")</f>
        <v>10.023174503201634</v>
      </c>
      <c r="K20" s="9">
        <f>_xll.BQL("LUV US Equity", "FA_GROWTH(REV_PASS_MILES_KM, YOY)", "FPT=A", "FPO=-1A", "ACT_EST_MAPPING=PRECISE", "FS=MRC", "CURRENCY=USD", "XLFILL=b")</f>
        <v>19.583437940557346</v>
      </c>
      <c r="L20" s="9">
        <f>_xll.BQL("LUV US Equity", "FA_GROWTH(REV_PASS_MILES_KM, YOY)", "FPT=A", "FPO=-2A", "ACT_EST_MAPPING=PRECISE", "FS=MRC", "CURRENCY=USD", "XLFILL=b")</f>
        <v>90.999797126574578</v>
      </c>
      <c r="M20" s="9">
        <f>_xll.BQL("LUV US Equity", "FA_GROWTH(REV_PASS_MILES_KM, YOY)", "FPT=A", "FPO=-3A", "ACT_EST_MAPPING=PRECISE", "FS=MRC", "CURRENCY=USD", "XLFILL=b")</f>
        <v>-58.718641745022651</v>
      </c>
      <c r="N20" s="9">
        <f>_xll.BQL("LUV US Equity", "FA_GROWTH(REV_PASS_MILES_KM, YOY)", "FPT=A", "FPO=-4A", "ACT_EST_MAPPING=PRECISE", "FS=MRC", "CURRENCY=USD", "XLFILL=b")</f>
        <v>-1.4828760444637794</v>
      </c>
    </row>
    <row r="21" spans="1:14" x14ac:dyDescent="0.2">
      <c r="A21" s="8" t="s">
        <v>28</v>
      </c>
      <c r="B21" s="4" t="s">
        <v>29</v>
      </c>
      <c r="C21" s="4" t="s">
        <v>30</v>
      </c>
      <c r="D21" s="4"/>
      <c r="E21" s="9">
        <f>_xll.BQL("LUV US Equity", "AVAIL_SEAT_MILES_KM/1M", "FPT=A", "FPO=5A", "ACT_EST_MAPPING=PRECISE", "FS=MRC", "CURRENCY=USD", "XLFILL=b")</f>
        <v>212917.20821488876</v>
      </c>
      <c r="F21" s="9">
        <f>_xll.BQL("LUV US Equity", "AVAIL_SEAT_MILES_KM/1M", "FPT=A", "FPO=4A", "ACT_EST_MAPPING=PRECISE", "FS=MRC", "CURRENCY=USD", "XLFILL=b")</f>
        <v>202456.20915354372</v>
      </c>
      <c r="G21" s="9">
        <f>_xll.BQL("LUV US Equity", "AVAIL_SEAT_MILES_KM/1M", "FPT=A", "FPO=3A", "ACT_EST_MAPPING=PRECISE", "FS=MRC", "CURRENCY=USD", "XLFILL=b")</f>
        <v>188707.50781712704</v>
      </c>
      <c r="H21" s="9">
        <f>_xll.BQL("LUV US Equity", "AVAIL_SEAT_MILES_KM/1M", "FPT=A", "FPO=2A", "ACT_EST_MAPPING=PRECISE", "FS=MRC", "CURRENCY=USD", "XLFILL=b")</f>
        <v>181915.95690737641</v>
      </c>
      <c r="I21" s="9">
        <f>_xll.BQL("LUV US Equity", "AVAIL_SEAT_MILES_KM/1M", "FPT=A", "FPO=1A", "ACT_EST_MAPPING=PRECISE", "FS=MRC", "CURRENCY=USD", "XLFILL=b")</f>
        <v>177198.8027623955</v>
      </c>
      <c r="J21" s="9">
        <f>_xll.BQL("LUV US Equity", "AVAIL_SEAT_MILES_KM/1M", "FPT=A", "FPO=0A", "ACT_EST_MAPPING=PRECISE", "FS=MRC", "CURRENCY=USD", "XLFILL=b")</f>
        <v>170323</v>
      </c>
      <c r="K21" s="9">
        <f>_xll.BQL("LUV US Equity", "AVAIL_SEAT_MILES_KM/1M", "FPT=A", "FPO=-1A", "ACT_EST_MAPPING=PRECISE", "FS=MRC", "CURRENCY=USD", "XLFILL=b")</f>
        <v>148467</v>
      </c>
      <c r="L21" s="9">
        <f>_xll.BQL("LUV US Equity", "AVAIL_SEAT_MILES_KM/1M", "FPT=A", "FPO=-2A", "ACT_EST_MAPPING=PRECISE", "FS=MRC", "CURRENCY=USD", "XLFILL=b")</f>
        <v>132006</v>
      </c>
      <c r="M21" s="9">
        <f>_xll.BQL("LUV US Equity", "AVAIL_SEAT_MILES_KM/1M", "FPT=A", "FPO=-3A", "ACT_EST_MAPPING=PRECISE", "FS=MRC", "CURRENCY=USD", "XLFILL=b")</f>
        <v>103456</v>
      </c>
      <c r="N21" s="9">
        <f>_xll.BQL("LUV US Equity", "AVAIL_SEAT_MILES_KM/1M", "FPT=A", "FPO=-4A", "ACT_EST_MAPPING=PRECISE", "FS=MRC", "CURRENCY=USD", "XLFILL=b")</f>
        <v>157254</v>
      </c>
    </row>
    <row r="22" spans="1:14" x14ac:dyDescent="0.2">
      <c r="A22" s="8" t="s">
        <v>12</v>
      </c>
      <c r="B22" s="4" t="s">
        <v>29</v>
      </c>
      <c r="C22" s="4" t="s">
        <v>30</v>
      </c>
      <c r="D22" s="4"/>
      <c r="E22" s="9">
        <f>_xll.BQL("LUV US Equity", "FA_GROWTH(AVAIL_SEAT_MILES_KM, YOY)", "FPT=A", "FPO=5A", "ACT_EST_MAPPING=PRECISE", "FS=MRC", "CURRENCY=USD", "XLFILL=b")</f>
        <v>5.1670428410577225</v>
      </c>
      <c r="F22" s="9">
        <f>_xll.BQL("LUV US Equity", "FA_GROWTH(AVAIL_SEAT_MILES_KM, YOY)", "FPT=A", "FPO=4A", "ACT_EST_MAPPING=PRECISE", "FS=MRC", "CURRENCY=USD", "XLFILL=b")</f>
        <v>7.2857203698224335</v>
      </c>
      <c r="G22" s="9">
        <f>_xll.BQL("LUV US Equity", "FA_GROWTH(AVAIL_SEAT_MILES_KM, YOY)", "FPT=A", "FPO=3A", "ACT_EST_MAPPING=PRECISE", "FS=MRC", "CURRENCY=USD", "XLFILL=b")</f>
        <v>3.733345345405076</v>
      </c>
      <c r="H22" s="9">
        <f>_xll.BQL("LUV US Equity", "FA_GROWTH(AVAIL_SEAT_MILES_KM, YOY)", "FPT=A", "FPO=2A", "ACT_EST_MAPPING=PRECISE", "FS=MRC", "CURRENCY=USD", "XLFILL=b")</f>
        <v>2.6620688579403615</v>
      </c>
      <c r="I22" s="9">
        <f>_xll.BQL("LUV US Equity", "FA_GROWTH(AVAIL_SEAT_MILES_KM, YOY)", "FPT=A", "FPO=1A", "ACT_EST_MAPPING=PRECISE", "FS=MRC", "CURRENCY=USD", "XLFILL=b")</f>
        <v>4.0369197127783725</v>
      </c>
      <c r="J22" s="9">
        <f>_xll.BQL("LUV US Equity", "FA_GROWTH(AVAIL_SEAT_MILES_KM, YOY)", "FPT=A", "FPO=0A", "ACT_EST_MAPPING=PRECISE", "FS=MRC", "CURRENCY=USD", "XLFILL=b")</f>
        <v>14.721116477062242</v>
      </c>
      <c r="K22" s="9">
        <f>_xll.BQL("LUV US Equity", "FA_GROWTH(AVAIL_SEAT_MILES_KM, YOY)", "FPT=A", "FPO=-1A", "ACT_EST_MAPPING=PRECISE", "FS=MRC", "CURRENCY=USD", "XLFILL=b")</f>
        <v>12.469887732375801</v>
      </c>
      <c r="L22" s="9">
        <f>_xll.BQL("LUV US Equity", "FA_GROWTH(AVAIL_SEAT_MILES_KM, YOY)", "FPT=A", "FPO=-2A", "ACT_EST_MAPPING=PRECISE", "FS=MRC", "CURRENCY=USD", "XLFILL=b")</f>
        <v>27.596272811630065</v>
      </c>
      <c r="M22" s="9">
        <f>_xll.BQL("LUV US Equity", "FA_GROWTH(AVAIL_SEAT_MILES_KM, YOY)", "FPT=A", "FPO=-3A", "ACT_EST_MAPPING=PRECISE", "FS=MRC", "CURRENCY=USD", "XLFILL=b")</f>
        <v>-34.210894476452111</v>
      </c>
      <c r="N22" s="9">
        <f>_xll.BQL("LUV US Equity", "FA_GROWTH(AVAIL_SEAT_MILES_KM, YOY)", "FPT=A", "FPO=-4A", "ACT_EST_MAPPING=PRECISE", "FS=MRC", "CURRENCY=USD", "XLFILL=b")</f>
        <v>-1.5901623955693232</v>
      </c>
    </row>
    <row r="23" spans="1:14" x14ac:dyDescent="0.2">
      <c r="A23" s="8" t="s">
        <v>31</v>
      </c>
      <c r="B23" s="4" t="s">
        <v>32</v>
      </c>
      <c r="C23" s="4" t="s">
        <v>33</v>
      </c>
      <c r="D23" s="4"/>
      <c r="E23" s="9">
        <f>_xll.BQL("LUV US Equity", "LOAD_FACTOR", "FPT=A", "FPO=5A", "ACT_EST_MAPPING=PRECISE", "FS=MRC", "CURRENCY=USD", "XLFILL=b")</f>
        <v>82.048683491286226</v>
      </c>
      <c r="F23" s="9">
        <f>_xll.BQL("LUV US Equity", "LOAD_FACTOR", "FPT=A", "FPO=4A", "ACT_EST_MAPPING=PRECISE", "FS=MRC", "CURRENCY=USD", "XLFILL=b")</f>
        <v>82.048683491286241</v>
      </c>
      <c r="G23" s="9">
        <f>_xll.BQL("LUV US Equity", "LOAD_FACTOR", "FPT=A", "FPO=3A", "ACT_EST_MAPPING=PRECISE", "FS=MRC", "CURRENCY=USD", "XLFILL=b")</f>
        <v>82.000339299273051</v>
      </c>
      <c r="H23" s="9">
        <f>_xll.BQL("LUV US Equity", "LOAD_FACTOR", "FPT=A", "FPO=2A", "ACT_EST_MAPPING=PRECISE", "FS=MRC", "CURRENCY=USD", "XLFILL=b")</f>
        <v>81.764386810050283</v>
      </c>
      <c r="I23" s="9">
        <f>_xll.BQL("LUV US Equity", "LOAD_FACTOR", "FPT=A", "FPO=1A", "ACT_EST_MAPPING=PRECISE", "FS=MRC", "CURRENCY=USD", "XLFILL=b")</f>
        <v>80.89072885720914</v>
      </c>
      <c r="J23" s="9">
        <f>_xll.BQL("LUV US Equity", "LOAD_FACTOR", "FPT=A", "FPO=0A", "ACT_EST_MAPPING=PRECISE", "FS=MRC", "CURRENCY=USD", "XLFILL=b")</f>
        <v>80</v>
      </c>
      <c r="K23" s="9">
        <f>_xll.BQL("LUV US Equity", "LOAD_FACTOR", "FPT=A", "FPO=-1A", "ACT_EST_MAPPING=PRECISE", "FS=MRC", "CURRENCY=USD", "XLFILL=b")</f>
        <v>83.4</v>
      </c>
      <c r="L23" s="9">
        <f>_xll.BQL("LUV US Equity", "LOAD_FACTOR", "FPT=A", "FPO=-2A", "ACT_EST_MAPPING=PRECISE", "FS=MRC", "CURRENCY=USD", "XLFILL=b")</f>
        <v>78.5</v>
      </c>
      <c r="M23" s="9">
        <f>_xll.BQL("LUV US Equity", "LOAD_FACTOR", "FPT=A", "FPO=-3A", "ACT_EST_MAPPING=PRECISE", "FS=MRC", "CURRENCY=USD", "XLFILL=b")</f>
        <v>52.4</v>
      </c>
      <c r="N23" s="9">
        <f>_xll.BQL("LUV US Equity", "LOAD_FACTOR", "FPT=A", "FPO=-4A", "ACT_EST_MAPPING=PRECISE", "FS=MRC", "CURRENCY=USD", "XLFILL=b")</f>
        <v>83.5</v>
      </c>
    </row>
    <row r="24" spans="1:14" x14ac:dyDescent="0.2">
      <c r="A24" s="8" t="s">
        <v>12</v>
      </c>
      <c r="B24" s="4" t="s">
        <v>32</v>
      </c>
      <c r="C24" s="4" t="s">
        <v>33</v>
      </c>
      <c r="D24" s="4"/>
      <c r="E24" s="9">
        <f>_xll.BQL("LUV US Equity", "FA_GROWTH(LOAD_FACTOR, YOY)", "FPT=A", "FPO=5A", "ACT_EST_MAPPING=PRECISE", "FS=MRC", "CURRENCY=USD", "XLFILL=b")</f>
        <v>-1.7320027708563085E-14</v>
      </c>
      <c r="F24" s="9">
        <f>_xll.BQL("LUV US Equity", "FA_GROWTH(LOAD_FACTOR, YOY)", "FPT=A", "FPO=4A", "ACT_EST_MAPPING=PRECISE", "FS=MRC", "CURRENCY=USD", "XLFILL=b")</f>
        <v>5.8956087775136917E-2</v>
      </c>
      <c r="G24" s="9">
        <f>_xll.BQL("LUV US Equity", "FA_GROWTH(LOAD_FACTOR, YOY)", "FPT=A", "FPO=3A", "ACT_EST_MAPPING=PRECISE", "FS=MRC", "CURRENCY=USD", "XLFILL=b")</f>
        <v>0.28857611293645208</v>
      </c>
      <c r="H24" s="9">
        <f>_xll.BQL("LUV US Equity", "FA_GROWTH(LOAD_FACTOR, YOY)", "FPT=A", "FPO=2A", "ACT_EST_MAPPING=PRECISE", "FS=MRC", "CURRENCY=USD", "XLFILL=b")</f>
        <v>1.0800470773150668</v>
      </c>
      <c r="I24" s="9">
        <f>_xll.BQL("LUV US Equity", "FA_GROWTH(LOAD_FACTOR, YOY)", "FPT=A", "FPO=1A", "ACT_EST_MAPPING=PRECISE", "FS=MRC", "CURRENCY=USD", "XLFILL=b")</f>
        <v>1.1134110715114254</v>
      </c>
      <c r="J24" s="9">
        <f>_xll.BQL("LUV US Equity", "FA_GROWTH(LOAD_FACTOR, YOY)", "FPT=A", "FPO=0A", "ACT_EST_MAPPING=PRECISE", "FS=MRC", "CURRENCY=USD", "XLFILL=b")</f>
        <v>-4.0767386091127165</v>
      </c>
      <c r="K24" s="9">
        <f>_xll.BQL("LUV US Equity", "FA_GROWTH(LOAD_FACTOR, YOY)", "FPT=A", "FPO=-1A", "ACT_EST_MAPPING=PRECISE", "FS=MRC", "CURRENCY=USD", "XLFILL=b")</f>
        <v>6.242038216560517</v>
      </c>
      <c r="L24" s="9">
        <f>_xll.BQL("LUV US Equity", "FA_GROWTH(LOAD_FACTOR, YOY)", "FPT=A", "FPO=-2A", "ACT_EST_MAPPING=PRECISE", "FS=MRC", "CURRENCY=USD", "XLFILL=b")</f>
        <v>49.809160305343511</v>
      </c>
      <c r="M24" s="9">
        <f>_xll.BQL("LUV US Equity", "FA_GROWTH(LOAD_FACTOR, YOY)", "FPT=A", "FPO=-3A", "ACT_EST_MAPPING=PRECISE", "FS=MRC", "CURRENCY=USD", "XLFILL=b")</f>
        <v>-37.245508982035929</v>
      </c>
      <c r="N24" s="9">
        <f>_xll.BQL("LUV US Equity", "FA_GROWTH(LOAD_FACTOR, YOY)", "FPT=A", "FPO=-4A", "ACT_EST_MAPPING=PRECISE", "FS=MRC", "CURRENCY=USD", "XLFILL=b")</f>
        <v>0.11990407673860229</v>
      </c>
    </row>
    <row r="25" spans="1:14" x14ac:dyDescent="0.2">
      <c r="A25" s="8" t="s">
        <v>16</v>
      </c>
      <c r="B25" s="4"/>
      <c r="C25" s="4"/>
      <c r="D25" s="4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">
      <c r="A26" s="8" t="s">
        <v>34</v>
      </c>
      <c r="B26" s="4" t="s">
        <v>35</v>
      </c>
      <c r="C26" s="4"/>
      <c r="D26" s="4"/>
      <c r="E26" s="9">
        <f>_xll.BQL("LUV US Equity", "PASSENGER_REVENUE_PER_ASM", "FPT=A", "FPO=5A", "ACT_EST_MAPPING=PRECISE", "FS=MRC", "CURRENCY=USD", "XLFILL=b")</f>
        <v>14.544732176211797</v>
      </c>
      <c r="F26" s="9">
        <f>_xll.BQL("LUV US Equity", "PASSENGER_REVENUE_PER_ASM", "FPT=A", "FPO=4A", "ACT_EST_MAPPING=PRECISE", "FS=MRC", "CURRENCY=USD", "XLFILL=b")</f>
        <v>14.735684750770606</v>
      </c>
      <c r="G26" s="9">
        <f>_xll.BQL("LUV US Equity", "PASSENGER_REVENUE_PER_ASM", "FPT=A", "FPO=3A", "ACT_EST_MAPPING=PRECISE", "FS=MRC", "CURRENCY=USD", "XLFILL=b")</f>
        <v>14.711541684360899</v>
      </c>
      <c r="H26" s="9">
        <f>_xll.BQL("LUV US Equity", "PASSENGER_REVENUE_PER_ASM", "FPT=A", "FPO=2A", "ACT_EST_MAPPING=PRECISE", "FS=MRC", "CURRENCY=USD", "XLFILL=b")</f>
        <v>14.397491989874759</v>
      </c>
      <c r="I26" s="9">
        <f>_xll.BQL("LUV US Equity", "PASSENGER_REVENUE_PER_ASM", "FPT=A", "FPO=1A", "ACT_EST_MAPPING=PRECISE", "FS=MRC", "CURRENCY=USD", "XLFILL=b")</f>
        <v>13.84137720189829</v>
      </c>
      <c r="J26" s="9">
        <f>_xll.BQL("LUV US Equity", "PASSENGER_REVENUE_PER_ASM", "FPT=A", "FPO=0A", "ACT_EST_MAPPING=PRECISE", "FS=MRC", "CURRENCY=USD", "XLFILL=b")</f>
        <v>13.88</v>
      </c>
      <c r="K26" s="9">
        <f>_xll.BQL("LUV US Equity", "PASSENGER_REVENUE_PER_ASM", "FPT=A", "FPO=-1A", "ACT_EST_MAPPING=PRECISE", "FS=MRC", "CURRENCY=USD", "XLFILL=b")</f>
        <v>14.42</v>
      </c>
      <c r="L26" s="9">
        <f>_xll.BQL("LUV US Equity", "PASSENGER_REVENUE_PER_ASM", "FPT=A", "FPO=-2A", "ACT_EST_MAPPING=PRECISE", "FS=MRC", "CURRENCY=USD", "XLFILL=b")</f>
        <v>10.66</v>
      </c>
      <c r="M26" s="9">
        <f>_xll.BQL("LUV US Equity", "PASSENGER_REVENUE_PER_ASM", "FPT=A", "FPO=-3A", "ACT_EST_MAPPING=PRECISE", "FS=MRC", "CURRENCY=USD", "XLFILL=b")</f>
        <v>7.41</v>
      </c>
      <c r="N26" s="9">
        <f>_xll.BQL("LUV US Equity", "PASSENGER_REVENUE_PER_ASM", "FPT=A", "FPO=-4A", "ACT_EST_MAPPING=PRECISE", "FS=MRC", "CURRENCY=USD", "XLFILL=b")</f>
        <v>13.21</v>
      </c>
    </row>
    <row r="27" spans="1:14" x14ac:dyDescent="0.2">
      <c r="A27" s="8" t="s">
        <v>12</v>
      </c>
      <c r="B27" s="4" t="s">
        <v>35</v>
      </c>
      <c r="C27" s="4"/>
      <c r="D27" s="4"/>
      <c r="E27" s="9">
        <f>_xll.BQL("LUV US Equity", "FA_GROWTH(PASSENGER_REVENUE_PER_ASM, YOY)", "FPT=A", "FPO=5A", "ACT_EST_MAPPING=PRECISE", "FS=MRC", "CURRENCY=USD", "XLFILL=b")</f>
        <v>-1.2958513824667894</v>
      </c>
      <c r="F27" s="9">
        <f>_xll.BQL("LUV US Equity", "FA_GROWTH(PASSENGER_REVENUE_PER_ASM, YOY)", "FPT=A", "FPO=4A", "ACT_EST_MAPPING=PRECISE", "FS=MRC", "CURRENCY=USD", "XLFILL=b")</f>
        <v>0.16410969650700802</v>
      </c>
      <c r="G27" s="9">
        <f>_xll.BQL("LUV US Equity", "FA_GROWTH(PASSENGER_REVENUE_PER_ASM, YOY)", "FPT=A", "FPO=3A", "ACT_EST_MAPPING=PRECISE", "FS=MRC", "CURRENCY=USD", "XLFILL=b")</f>
        <v>2.181280564052408</v>
      </c>
      <c r="H27" s="9">
        <f>_xll.BQL("LUV US Equity", "FA_GROWTH(PASSENGER_REVENUE_PER_ASM, YOY)", "FPT=A", "FPO=2A", "ACT_EST_MAPPING=PRECISE", "FS=MRC", "CURRENCY=USD", "XLFILL=b")</f>
        <v>4.0177706297910882</v>
      </c>
      <c r="I27" s="9">
        <f>_xll.BQL("LUV US Equity", "FA_GROWTH(PASSENGER_REVENUE_PER_ASM, YOY)", "FPT=A", "FPO=1A", "ACT_EST_MAPPING=PRECISE", "FS=MRC", "CURRENCY=USD", "XLFILL=b")</f>
        <v>-0.27826223416218371</v>
      </c>
      <c r="J27" s="9">
        <f>_xll.BQL("LUV US Equity", "FA_GROWTH(PASSENGER_REVENUE_PER_ASM, YOY)", "FPT=A", "FPO=0A", "ACT_EST_MAPPING=PRECISE", "FS=MRC", "CURRENCY=USD", "XLFILL=b")</f>
        <v>-3.7447988904299523</v>
      </c>
      <c r="K27" s="9">
        <f>_xll.BQL("LUV US Equity", "FA_GROWTH(PASSENGER_REVENUE_PER_ASM, YOY)", "FPT=A", "FPO=-1A", "ACT_EST_MAPPING=PRECISE", "FS=MRC", "CURRENCY=USD", "XLFILL=b")</f>
        <v>35.272045028142585</v>
      </c>
      <c r="L27" s="9">
        <f>_xll.BQL("LUV US Equity", "FA_GROWTH(PASSENGER_REVENUE_PER_ASM, YOY)", "FPT=A", "FPO=-2A", "ACT_EST_MAPPING=PRECISE", "FS=MRC", "CURRENCY=USD", "XLFILL=b")</f>
        <v>43.859649122807014</v>
      </c>
      <c r="M27" s="9">
        <f>_xll.BQL("LUV US Equity", "FA_GROWTH(PASSENGER_REVENUE_PER_ASM, YOY)", "FPT=A", "FPO=-3A", "ACT_EST_MAPPING=PRECISE", "FS=MRC", "CURRENCY=USD", "XLFILL=b")</f>
        <v>-43.906131718395159</v>
      </c>
      <c r="N27" s="9">
        <f>_xll.BQL("LUV US Equity", "FA_GROWTH(PASSENGER_REVENUE_PER_ASM, YOY)", "FPT=A", "FPO=-4A", "ACT_EST_MAPPING=PRECISE", "FS=MRC", "CURRENCY=USD", "XLFILL=b")</f>
        <v>3.2031250000000009</v>
      </c>
    </row>
    <row r="28" spans="1:14" x14ac:dyDescent="0.2">
      <c r="A28" s="8" t="s">
        <v>36</v>
      </c>
      <c r="B28" s="4" t="s">
        <v>37</v>
      </c>
      <c r="C28" s="4"/>
      <c r="D28" s="4"/>
      <c r="E28" s="9">
        <f>_xll.BQL("LUV US Equity", "YIELD_PER_PASS_MILES_KM", "FPT=A", "FPO=5A", "ACT_EST_MAPPING=PRECISE", "FS=MRC", "CURRENCY=USD", "XLFILL=b")</f>
        <v>17.74713460161507</v>
      </c>
      <c r="F28" s="9">
        <f>_xll.BQL("LUV US Equity", "YIELD_PER_PASS_MILES_KM", "FPT=A", "FPO=4A", "ACT_EST_MAPPING=PRECISE", "FS=MRC", "CURRENCY=USD", "XLFILL=b")</f>
        <v>17.805490857896004</v>
      </c>
      <c r="G28" s="9">
        <f>_xll.BQL("LUV US Equity", "YIELD_PER_PASS_MILES_KM", "FPT=A", "FPO=3A", "ACT_EST_MAPPING=PRECISE", "FS=MRC", "CURRENCY=USD", "XLFILL=b")</f>
        <v>18.00081711502915</v>
      </c>
      <c r="H28" s="9">
        <f>_xll.BQL("LUV US Equity", "YIELD_PER_PASS_MILES_KM", "FPT=A", "FPO=2A", "ACT_EST_MAPPING=PRECISE", "FS=MRC", "CURRENCY=USD", "XLFILL=b")</f>
        <v>17.658751772780455</v>
      </c>
      <c r="I28" s="9">
        <f>_xll.BQL("LUV US Equity", "YIELD_PER_PASS_MILES_KM", "FPT=A", "FPO=1A", "ACT_EST_MAPPING=PRECISE", "FS=MRC", "CURRENCY=USD", "XLFILL=b")</f>
        <v>17.12827336497952</v>
      </c>
      <c r="J28" s="9">
        <f>_xll.BQL("LUV US Equity", "YIELD_PER_PASS_MILES_KM", "FPT=A", "FPO=0A", "ACT_EST_MAPPING=PRECISE", "FS=MRC", "CURRENCY=USD", "XLFILL=b")</f>
        <v>17.350000000000001</v>
      </c>
      <c r="K28" s="9">
        <f>_xll.BQL("LUV US Equity", "YIELD_PER_PASS_MILES_KM", "FPT=A", "FPO=-1A", "ACT_EST_MAPPING=PRECISE", "FS=MRC", "CURRENCY=USD", "XLFILL=b")</f>
        <v>17.29</v>
      </c>
      <c r="L28" s="9">
        <f>_xll.BQL("LUV US Equity", "YIELD_PER_PASS_MILES_KM", "FPT=A", "FPO=-2A", "ACT_EST_MAPPING=PRECISE", "FS=MRC", "CURRENCY=USD", "XLFILL=b")</f>
        <v>13.58</v>
      </c>
      <c r="M28" s="9">
        <f>_xll.BQL("LUV US Equity", "YIELD_PER_PASS_MILES_KM", "FPT=A", "FPO=-3A", "ACT_EST_MAPPING=PRECISE", "FS=MRC", "CURRENCY=USD", "XLFILL=b")</f>
        <v>14.14</v>
      </c>
      <c r="N28" s="9">
        <f>_xll.BQL("LUV US Equity", "YIELD_PER_PASS_MILES_KM", "FPT=A", "FPO=-4A", "ACT_EST_MAPPING=PRECISE", "FS=MRC", "CURRENCY=USD", "XLFILL=b")</f>
        <v>15.82</v>
      </c>
    </row>
    <row r="29" spans="1:14" x14ac:dyDescent="0.2">
      <c r="A29" s="8" t="s">
        <v>12</v>
      </c>
      <c r="B29" s="4" t="s">
        <v>37</v>
      </c>
      <c r="C29" s="4"/>
      <c r="D29" s="4"/>
      <c r="E29" s="9">
        <f>_xll.BQL("LUV US Equity", "FA_GROWTH(YIELD_PER_PASS_MILES_KM, YOY)", "FPT=A", "FPO=5A", "ACT_EST_MAPPING=PRECISE", "FS=MRC", "CURRENCY=USD", "XLFILL=b")</f>
        <v>-0.32774303582344377</v>
      </c>
      <c r="F29" s="9">
        <f>_xll.BQL("LUV US Equity", "FA_GROWTH(YIELD_PER_PASS_MILES_KM, YOY)", "FPT=A", "FPO=4A", "ACT_EST_MAPPING=PRECISE", "FS=MRC", "CURRENCY=USD", "XLFILL=b")</f>
        <v>-1.0850966146979275</v>
      </c>
      <c r="G29" s="9">
        <f>_xll.BQL("LUV US Equity", "FA_GROWTH(YIELD_PER_PASS_MILES_KM, YOY)", "FPT=A", "FPO=3A", "ACT_EST_MAPPING=PRECISE", "FS=MRC", "CURRENCY=USD", "XLFILL=b")</f>
        <v>1.9370867581703097</v>
      </c>
      <c r="H29" s="9">
        <f>_xll.BQL("LUV US Equity", "FA_GROWTH(YIELD_PER_PASS_MILES_KM, YOY)", "FPT=A", "FPO=2A", "ACT_EST_MAPPING=PRECISE", "FS=MRC", "CURRENCY=USD", "XLFILL=b")</f>
        <v>3.0970921382277288</v>
      </c>
      <c r="I29" s="9">
        <f>_xll.BQL("LUV US Equity", "FA_GROWTH(YIELD_PER_PASS_MILES_KM, YOY)", "FPT=A", "FPO=1A", "ACT_EST_MAPPING=PRECISE", "FS=MRC", "CURRENCY=USD", "XLFILL=b")</f>
        <v>-1.2779633142390832</v>
      </c>
      <c r="J29" s="9">
        <f>_xll.BQL("LUV US Equity", "FA_GROWTH(YIELD_PER_PASS_MILES_KM, YOY)", "FPT=A", "FPO=0A", "ACT_EST_MAPPING=PRECISE", "FS=MRC", "CURRENCY=USD", "XLFILL=b")</f>
        <v>0.34702139965299178</v>
      </c>
      <c r="K29" s="9">
        <f>_xll.BQL("LUV US Equity", "FA_GROWTH(YIELD_PER_PASS_MILES_KM, YOY)", "FPT=A", "FPO=-1A", "ACT_EST_MAPPING=PRECISE", "FS=MRC", "CURRENCY=USD", "XLFILL=b")</f>
        <v>27.319587628865971</v>
      </c>
      <c r="L29" s="9">
        <f>_xll.BQL("LUV US Equity", "FA_GROWTH(YIELD_PER_PASS_MILES_KM, YOY)", "FPT=A", "FPO=-2A", "ACT_EST_MAPPING=PRECISE", "FS=MRC", "CURRENCY=USD", "XLFILL=b")</f>
        <v>-3.9603960396039639</v>
      </c>
      <c r="M29" s="9">
        <f>_xll.BQL("LUV US Equity", "FA_GROWTH(YIELD_PER_PASS_MILES_KM, YOY)", "FPT=A", "FPO=-3A", "ACT_EST_MAPPING=PRECISE", "FS=MRC", "CURRENCY=USD", "XLFILL=b")</f>
        <v>-10.619469026548671</v>
      </c>
      <c r="N29" s="9">
        <f>_xll.BQL("LUV US Equity", "FA_GROWTH(YIELD_PER_PASS_MILES_KM, YOY)", "FPT=A", "FPO=-4A", "ACT_EST_MAPPING=PRECISE", "FS=MRC", "CURRENCY=USD", "XLFILL=b")</f>
        <v>3.1290743155149965</v>
      </c>
    </row>
    <row r="30" spans="1:14" x14ac:dyDescent="0.2">
      <c r="A30" s="8" t="s">
        <v>16</v>
      </c>
      <c r="B30" s="4"/>
      <c r="C30" s="4"/>
      <c r="D30" s="4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2">
      <c r="A31" s="8" t="s">
        <v>38</v>
      </c>
      <c r="B31" s="4" t="s">
        <v>39</v>
      </c>
      <c r="C31" s="4"/>
      <c r="D31" s="4"/>
      <c r="E31" s="9">
        <f>_xll.BQL("LUV US Equity", "OP_EXP_PER_ASM_ASK", "FPT=A", "FPO=5A", "ACT_EST_MAPPING=PRECISE", "FS=MRC", "CURRENCY=USD", "XLFILL=b")</f>
        <v>14.765694093156492</v>
      </c>
      <c r="F31" s="9">
        <f>_xll.BQL("LUV US Equity", "OP_EXP_PER_ASM_ASK", "FPT=A", "FPO=4A", "ACT_EST_MAPPING=PRECISE", "FS=MRC", "CURRENCY=USD", "XLFILL=b")</f>
        <v>14.972983281399587</v>
      </c>
      <c r="G31" s="9">
        <f>_xll.BQL("LUV US Equity", "OP_EXP_PER_ASM_ASK", "FPT=A", "FPO=3A", "ACT_EST_MAPPING=PRECISE", "FS=MRC", "CURRENCY=USD", "XLFILL=b")</f>
        <v>15.42909062632669</v>
      </c>
      <c r="H31" s="9">
        <f>_xll.BQL("LUV US Equity", "OP_EXP_PER_ASM_ASK", "FPT=A", "FPO=2A", "ACT_EST_MAPPING=PRECISE", "FS=MRC", "CURRENCY=USD", "XLFILL=b")</f>
        <v>15.416692255264033</v>
      </c>
      <c r="I31" s="9">
        <f>_xll.BQL("LUV US Equity", "OP_EXP_PER_ASM_ASK", "FPT=A", "FPO=1A", "ACT_EST_MAPPING=PRECISE", "FS=MRC", "CURRENCY=USD", "XLFILL=b")</f>
        <v>15.367504892931352</v>
      </c>
      <c r="J31" s="9">
        <f>_xll.BQL("LUV US Equity", "OP_EXP_PER_ASM_ASK", "FPT=A", "FPO=0A", "ACT_EST_MAPPING=PRECISE", "FS=MRC", "CURRENCY=USD", "XLFILL=b")</f>
        <v>15.16</v>
      </c>
      <c r="K31" s="9">
        <f>_xll.BQL("LUV US Equity", "OP_EXP_PER_ASM_ASK", "FPT=A", "FPO=-1A", "ACT_EST_MAPPING=PRECISE", "FS=MRC", "CURRENCY=USD", "XLFILL=b")</f>
        <v>15.36</v>
      </c>
      <c r="L31" s="9">
        <f>_xll.BQL("LUV US Equity", "OP_EXP_PER_ASM_ASK", "FPT=A", "FPO=-2A", "ACT_EST_MAPPING=PRECISE", "FS=MRC", "CURRENCY=USD", "XLFILL=b")</f>
        <v>10.66</v>
      </c>
      <c r="M31" s="9">
        <f>_xll.BQL("LUV US Equity", "OP_EXP_PER_ASM_ASK", "FPT=A", "FPO=-3A", "ACT_EST_MAPPING=PRECISE", "FS=MRC", "CURRENCY=USD", "XLFILL=b")</f>
        <v>12.43</v>
      </c>
      <c r="N31" s="9">
        <f>_xll.BQL("LUV US Equity", "OP_EXP_PER_ASM_ASK", "FPT=A", "FPO=-4A", "ACT_EST_MAPPING=PRECISE", "FS=MRC", "CURRENCY=USD", "XLFILL=b")</f>
        <v>12.38</v>
      </c>
    </row>
    <row r="32" spans="1:14" x14ac:dyDescent="0.2">
      <c r="A32" s="8" t="s">
        <v>12</v>
      </c>
      <c r="B32" s="4" t="s">
        <v>39</v>
      </c>
      <c r="C32" s="4"/>
      <c r="D32" s="4"/>
      <c r="E32" s="9">
        <f>_xll.BQL("LUV US Equity", "FA_GROWTH(OP_EXP_PER_ASM_ASK, YOY)", "FPT=A", "FPO=5A", "ACT_EST_MAPPING=PRECISE", "FS=MRC", "CURRENCY=USD", "XLFILL=b")</f>
        <v>-1.3844214232216721</v>
      </c>
      <c r="F32" s="9">
        <f>_xll.BQL("LUV US Equity", "FA_GROWTH(OP_EXP_PER_ASM_ASK, YOY)", "FPT=A", "FPO=4A", "ACT_EST_MAPPING=PRECISE", "FS=MRC", "CURRENCY=USD", "XLFILL=b")</f>
        <v>-2.9561518301593628</v>
      </c>
      <c r="G32" s="9">
        <f>_xll.BQL("LUV US Equity", "FA_GROWTH(OP_EXP_PER_ASM_ASK, YOY)", "FPT=A", "FPO=3A", "ACT_EST_MAPPING=PRECISE", "FS=MRC", "CURRENCY=USD", "XLFILL=b")</f>
        <v>8.0421732868305451E-2</v>
      </c>
      <c r="H32" s="9">
        <f>_xll.BQL("LUV US Equity", "FA_GROWTH(OP_EXP_PER_ASM_ASK, YOY)", "FPT=A", "FPO=2A", "ACT_EST_MAPPING=PRECISE", "FS=MRC", "CURRENCY=USD", "XLFILL=b")</f>
        <v>0.32007383550797469</v>
      </c>
      <c r="I32" s="9">
        <f>_xll.BQL("LUV US Equity", "FA_GROWTH(OP_EXP_PER_ASM_ASK, YOY)", "FPT=A", "FPO=1A", "ACT_EST_MAPPING=PRECISE", "FS=MRC", "CURRENCY=USD", "XLFILL=b")</f>
        <v>1.3687657845075996</v>
      </c>
      <c r="J32" s="9">
        <f>_xll.BQL("LUV US Equity", "FA_GROWTH(OP_EXP_PER_ASM_ASK, YOY)", "FPT=A", "FPO=0A", "ACT_EST_MAPPING=PRECISE", "FS=MRC", "CURRENCY=USD", "XLFILL=b")</f>
        <v>-1.3020833333333288</v>
      </c>
      <c r="K32" s="9">
        <f>_xll.BQL("LUV US Equity", "FA_GROWTH(OP_EXP_PER_ASM_ASK, YOY)", "FPT=A", "FPO=-1A", "ACT_EST_MAPPING=PRECISE", "FS=MRC", "CURRENCY=USD", "XLFILL=b")</f>
        <v>44.090056285178228</v>
      </c>
      <c r="L32" s="9">
        <f>_xll.BQL("LUV US Equity", "FA_GROWTH(OP_EXP_PER_ASM_ASK, YOY)", "FPT=A", "FPO=-2A", "ACT_EST_MAPPING=PRECISE", "FS=MRC", "CURRENCY=USD", "XLFILL=b")</f>
        <v>-14.239742558326625</v>
      </c>
      <c r="M32" s="9">
        <f>_xll.BQL("LUV US Equity", "FA_GROWTH(OP_EXP_PER_ASM_ASK, YOY)", "FPT=A", "FPO=-3A", "ACT_EST_MAPPING=PRECISE", "FS=MRC", "CURRENCY=USD", "XLFILL=b")</f>
        <v>0.40387722132470866</v>
      </c>
      <c r="N32" s="9">
        <f>_xll.BQL("LUV US Equity", "FA_GROWTH(OP_EXP_PER_ASM_ASK, YOY)", "FPT=A", "FPO=-4A", "ACT_EST_MAPPING=PRECISE", "FS=MRC", "CURRENCY=USD", "XLFILL=b")</f>
        <v>5.4514480408858654</v>
      </c>
    </row>
    <row r="33" spans="1:14" x14ac:dyDescent="0.2">
      <c r="A33" s="8" t="s">
        <v>40</v>
      </c>
      <c r="B33" s="4" t="s">
        <v>41</v>
      </c>
      <c r="C33" s="4"/>
      <c r="D33" s="4"/>
      <c r="E33" s="9">
        <f>_xll.BQL("LUV US Equity", "CONS_COST_PER_ASM_EX_FUEL", "FPT=A", "FPO=5A", "ACT_EST_MAPPING=PRECISE", "FS=MRC", "CURRENCY=USD", "XLFILL=b")</f>
        <v>12.275716745972559</v>
      </c>
      <c r="F33" s="9">
        <f>_xll.BQL("LUV US Equity", "CONS_COST_PER_ASM_EX_FUEL", "FPT=A", "FPO=4A", "ACT_EST_MAPPING=PRECISE", "FS=MRC", "CURRENCY=USD", "XLFILL=b")</f>
        <v>12.294595349983545</v>
      </c>
      <c r="G33" s="9">
        <f>_xll.BQL("LUV US Equity", "CONS_COST_PER_ASM_EX_FUEL", "FPT=A", "FPO=3A", "ACT_EST_MAPPING=PRECISE", "FS=MRC", "CURRENCY=USD", "XLFILL=b")</f>
        <v>12.239637113232915</v>
      </c>
      <c r="H33" s="9">
        <f>_xll.BQL("LUV US Equity", "CONS_COST_PER_ASM_EX_FUEL", "FPT=A", "FPO=2A", "ACT_EST_MAPPING=PRECISE", "FS=MRC", "CURRENCY=USD", "XLFILL=b")</f>
        <v>12.139766316446925</v>
      </c>
      <c r="I33" s="9">
        <f>_xll.BQL("LUV US Equity", "CONS_COST_PER_ASM_EX_FUEL", "FPT=A", "FPO=1A", "ACT_EST_MAPPING=PRECISE", "FS=MRC", "CURRENCY=USD", "XLFILL=b")</f>
        <v>11.925945999963306</v>
      </c>
      <c r="J33" s="9">
        <f>_xll.BQL("LUV US Equity", "CONS_COST_PER_ASM_EX_FUEL", "FPT=A", "FPO=0A", "ACT_EST_MAPPING=PRECISE", "FS=MRC", "CURRENCY=USD", "XLFILL=b")</f>
        <v>11.536903000000001</v>
      </c>
      <c r="K33" s="9">
        <f>_xll.BQL("LUV US Equity", "CONS_COST_PER_ASM_EX_FUEL", "FPT=A", "FPO=-1A", "ACT_EST_MAPPING=PRECISE", "FS=MRC", "CURRENCY=USD", "XLFILL=b")</f>
        <v>11.22</v>
      </c>
      <c r="L33" s="9">
        <f>_xll.BQL("LUV US Equity", "CONS_COST_PER_ASM_EX_FUEL", "FPT=A", "FPO=-2A", "ACT_EST_MAPPING=PRECISE", "FS=MRC", "CURRENCY=USD", "XLFILL=b")</f>
        <v>8.15</v>
      </c>
      <c r="M33" s="9">
        <f>_xll.BQL("LUV US Equity", "CONS_COST_PER_ASM_EX_FUEL", "FPT=A", "FPO=-3A", "ACT_EST_MAPPING=PRECISE", "FS=MRC", "CURRENCY=USD", "XLFILL=b")</f>
        <v>10.65</v>
      </c>
      <c r="N33" s="9">
        <f>_xll.BQL("LUV US Equity", "CONS_COST_PER_ASM_EX_FUEL", "FPT=A", "FPO=-4A", "ACT_EST_MAPPING=PRECISE", "FS=MRC", "CURRENCY=USD", "XLFILL=b")</f>
        <v>9.6199999999999992</v>
      </c>
    </row>
    <row r="34" spans="1:14" x14ac:dyDescent="0.2">
      <c r="A34" s="8" t="s">
        <v>12</v>
      </c>
      <c r="B34" s="4" t="s">
        <v>41</v>
      </c>
      <c r="C34" s="4"/>
      <c r="D34" s="4"/>
      <c r="E34" s="9">
        <f>_xll.BQL("LUV US Equity", "FA_GROWTH(CONS_COST_PER_ASM_EX_FUEL, YOY)", "FPT=A", "FPO=5A", "ACT_EST_MAPPING=PRECISE", "FS=MRC", "CURRENCY=USD", "XLFILL=b")</f>
        <v>-0.1535520566035655</v>
      </c>
      <c r="F34" s="9">
        <f>_xll.BQL("LUV US Equity", "FA_GROWTH(CONS_COST_PER_ASM_EX_FUEL, YOY)", "FPT=A", "FPO=4A", "ACT_EST_MAPPING=PRECISE", "FS=MRC", "CURRENCY=USD", "XLFILL=b")</f>
        <v>0.44901851453759589</v>
      </c>
      <c r="G34" s="9">
        <f>_xll.BQL("LUV US Equity", "FA_GROWTH(CONS_COST_PER_ASM_EX_FUEL, YOY)", "FPT=A", "FPO=3A", "ACT_EST_MAPPING=PRECISE", "FS=MRC", "CURRENCY=USD", "XLFILL=b")</f>
        <v>0.82267478782260084</v>
      </c>
      <c r="H34" s="9">
        <f>_xll.BQL("LUV US Equity", "FA_GROWTH(CONS_COST_PER_ASM_EX_FUEL, YOY)", "FPT=A", "FPO=2A", "ACT_EST_MAPPING=PRECISE", "FS=MRC", "CURRENCY=USD", "XLFILL=b")</f>
        <v>1.7929002570050021</v>
      </c>
      <c r="I34" s="9">
        <f>_xll.BQL("LUV US Equity", "FA_GROWTH(CONS_COST_PER_ASM_EX_FUEL, YOY)", "FPT=A", "FPO=1A", "ACT_EST_MAPPING=PRECISE", "FS=MRC", "CURRENCY=USD", "XLFILL=b")</f>
        <v>3.372161488774803</v>
      </c>
      <c r="J34" s="9">
        <f>_xll.BQL("LUV US Equity", "FA_GROWTH(CONS_COST_PER_ASM_EX_FUEL, YOY)", "FPT=A", "FPO=0A", "ACT_EST_MAPPING=PRECISE", "FS=MRC", "CURRENCY=USD", "XLFILL=b")</f>
        <v>2.8244474153297676</v>
      </c>
      <c r="K34" s="9">
        <f>_xll.BQL("LUV US Equity", "FA_GROWTH(CONS_COST_PER_ASM_EX_FUEL, YOY)", "FPT=A", "FPO=-1A", "ACT_EST_MAPPING=PRECISE", "FS=MRC", "CURRENCY=USD", "XLFILL=b")</f>
        <v>37.668711656441715</v>
      </c>
      <c r="L34" s="9">
        <f>_xll.BQL("LUV US Equity", "FA_GROWTH(CONS_COST_PER_ASM_EX_FUEL, YOY)", "FPT=A", "FPO=-2A", "ACT_EST_MAPPING=PRECISE", "FS=MRC", "CURRENCY=USD", "XLFILL=b")</f>
        <v>-23.474178403755868</v>
      </c>
      <c r="M34" s="9">
        <f>_xll.BQL("LUV US Equity", "FA_GROWTH(CONS_COST_PER_ASM_EX_FUEL, YOY)", "FPT=A", "FPO=-3A", "ACT_EST_MAPPING=PRECISE", "FS=MRC", "CURRENCY=USD", "XLFILL=b")</f>
        <v>10.70686070686072</v>
      </c>
      <c r="N34" s="9">
        <f>_xll.BQL("LUV US Equity", "FA_GROWTH(CONS_COST_PER_ASM_EX_FUEL, YOY)", "FPT=A", "FPO=-4A", "ACT_EST_MAPPING=PRECISE", "FS=MRC", "CURRENCY=USD", "XLFILL=b")</f>
        <v>8.7005649717514082</v>
      </c>
    </row>
    <row r="35" spans="1:14" x14ac:dyDescent="0.2">
      <c r="A35" s="8" t="s">
        <v>16</v>
      </c>
      <c r="B35" s="4"/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">
      <c r="A36" s="8" t="s">
        <v>42</v>
      </c>
      <c r="B36" s="4" t="s">
        <v>43</v>
      </c>
      <c r="C36" s="4"/>
      <c r="D36" s="4"/>
      <c r="E36" s="9" t="str">
        <f>_xll.BQL("LUV US Equity", "REV_PASS_CARRIED/1K", "FPT=A", "FPO=5A", "ACT_EST_MAPPING=PRECISE", "FS=MRC", "CURRENCY=USD", "XLFILL=b")</f>
        <v/>
      </c>
      <c r="F36" s="9" t="str">
        <f>_xll.BQL("LUV US Equity", "REV_PASS_CARRIED/1K", "FPT=A", "FPO=4A", "ACT_EST_MAPPING=PRECISE", "FS=MRC", "CURRENCY=USD", "XLFILL=b")</f>
        <v/>
      </c>
      <c r="G36" s="9">
        <f>_xll.BQL("LUV US Equity", "REV_PASS_CARRIED/1K", "FPT=A", "FPO=3A", "ACT_EST_MAPPING=PRECISE", "FS=MRC", "CURRENCY=USD", "XLFILL=b")</f>
        <v>150014.39761803448</v>
      </c>
      <c r="H36" s="9">
        <f>_xll.BQL("LUV US Equity", "REV_PASS_CARRIED/1K", "FPT=A", "FPO=2A", "ACT_EST_MAPPING=PRECISE", "FS=MRC", "CURRENCY=USD", "XLFILL=b")</f>
        <v>146361.14678868043</v>
      </c>
      <c r="I36" s="9">
        <f>_xll.BQL("LUV US Equity", "REV_PASS_CARRIED/1K", "FPT=A", "FPO=1A", "ACT_EST_MAPPING=PRECISE", "FS=MRC", "CURRENCY=USD", "XLFILL=b")</f>
        <v>141438.8606945214</v>
      </c>
      <c r="J36" s="9">
        <f>_xll.BQL("LUV US Equity", "REV_PASS_CARRIED/1K", "FPT=A", "FPO=0A", "ACT_EST_MAPPING=PRECISE", "FS=MRC", "CURRENCY=USD", "XLFILL=b")</f>
        <v>137279</v>
      </c>
      <c r="K36" s="9">
        <f>_xll.BQL("LUV US Equity", "REV_PASS_CARRIED/1K", "FPT=A", "FPO=-1A", "ACT_EST_MAPPING=PRECISE", "FS=MRC", "CURRENCY=USD", "XLFILL=b")</f>
        <v>126586</v>
      </c>
      <c r="L36" s="9">
        <f>_xll.BQL("LUV US Equity", "REV_PASS_CARRIED/1K", "FPT=A", "FPO=-2A", "ACT_EST_MAPPING=PRECISE", "FS=MRC", "CURRENCY=USD", "XLFILL=b")</f>
        <v>99111</v>
      </c>
      <c r="M36" s="9">
        <f>_xll.BQL("LUV US Equity", "REV_PASS_CARRIED/1K", "FPT=A", "FPO=-3A", "ACT_EST_MAPPING=PRECISE", "FS=MRC", "CURRENCY=USD", "XLFILL=b")</f>
        <v>54088</v>
      </c>
      <c r="N36" s="9">
        <f>_xll.BQL("LUV US Equity", "REV_PASS_CARRIED/1K", "FPT=A", "FPO=-4A", "ACT_EST_MAPPING=PRECISE", "FS=MRC", "CURRENCY=USD", "XLFILL=b")</f>
        <v>134056</v>
      </c>
    </row>
    <row r="37" spans="1:14" x14ac:dyDescent="0.2">
      <c r="A37" s="8" t="s">
        <v>12</v>
      </c>
      <c r="B37" s="4" t="s">
        <v>43</v>
      </c>
      <c r="C37" s="4"/>
      <c r="D37" s="4"/>
      <c r="E37" s="9" t="str">
        <f>_xll.BQL("LUV US Equity", "FA_GROWTH(REV_PASS_CARRIED, YOY)", "FPT=A", "FPO=5A", "ACT_EST_MAPPING=PRECISE", "FS=MRC", "CURRENCY=USD", "XLFILL=b")</f>
        <v/>
      </c>
      <c r="F37" s="9" t="str">
        <f>_xll.BQL("LUV US Equity", "FA_GROWTH(REV_PASS_CARRIED, YOY)", "FPT=A", "FPO=4A", "ACT_EST_MAPPING=PRECISE", "FS=MRC", "CURRENCY=USD", "XLFILL=b")</f>
        <v/>
      </c>
      <c r="G37" s="9">
        <f>_xll.BQL("LUV US Equity", "FA_GROWTH(REV_PASS_CARRIED, YOY)", "FPT=A", "FPO=3A", "ACT_EST_MAPPING=PRECISE", "FS=MRC", "CURRENCY=USD", "XLFILL=b")</f>
        <v>2.4960523400576347</v>
      </c>
      <c r="H37" s="9">
        <f>_xll.BQL("LUV US Equity", "FA_GROWTH(REV_PASS_CARRIED, YOY)", "FPT=A", "FPO=2A", "ACT_EST_MAPPING=PRECISE", "FS=MRC", "CURRENCY=USD", "XLFILL=b")</f>
        <v>3.4801511197054635</v>
      </c>
      <c r="I37" s="9">
        <f>_xll.BQL("LUV US Equity", "FA_GROWTH(REV_PASS_CARRIED, YOY)", "FPT=A", "FPO=1A", "ACT_EST_MAPPING=PRECISE", "FS=MRC", "CURRENCY=USD", "XLFILL=b")</f>
        <v>3.0302236281743</v>
      </c>
      <c r="J37" s="9">
        <f>_xll.BQL("LUV US Equity", "FA_GROWTH(REV_PASS_CARRIED, YOY)", "FPT=A", "FPO=0A", "ACT_EST_MAPPING=PRECISE", "FS=MRC", "CURRENCY=USD", "XLFILL=b")</f>
        <v>8.4472216516834404</v>
      </c>
      <c r="K37" s="9">
        <f>_xll.BQL("LUV US Equity", "FA_GROWTH(REV_PASS_CARRIED, YOY)", "FPT=A", "FPO=-1A", "ACT_EST_MAPPING=PRECISE", "FS=MRC", "CURRENCY=USD", "XLFILL=b")</f>
        <v>27.72144363390542</v>
      </c>
      <c r="L37" s="9">
        <f>_xll.BQL("LUV US Equity", "FA_GROWTH(REV_PASS_CARRIED, YOY)", "FPT=A", "FPO=-2A", "ACT_EST_MAPPING=PRECISE", "FS=MRC", "CURRENCY=USD", "XLFILL=b")</f>
        <v>83.240275107232662</v>
      </c>
      <c r="M37" s="9">
        <f>_xll.BQL("LUV US Equity", "FA_GROWTH(REV_PASS_CARRIED, YOY)", "FPT=A", "FPO=-3A", "ACT_EST_MAPPING=PRECISE", "FS=MRC", "CURRENCY=USD", "XLFILL=b")</f>
        <v>-59.652682461061048</v>
      </c>
      <c r="N37" s="9">
        <f>_xll.BQL("LUV US Equity", "FA_GROWTH(REV_PASS_CARRIED, YOY)", "FPT=A", "FPO=-4A", "ACT_EST_MAPPING=PRECISE", "FS=MRC", "CURRENCY=USD", "XLFILL=b")</f>
        <v>-0.61828156275483726</v>
      </c>
    </row>
    <row r="38" spans="1:14" x14ac:dyDescent="0.2">
      <c r="A38" s="8" t="s">
        <v>44</v>
      </c>
      <c r="B38" s="4" t="s">
        <v>45</v>
      </c>
      <c r="C38" s="4"/>
      <c r="D38" s="4"/>
      <c r="E38" s="9">
        <f>_xll.BQL("LUV US Equity", "SIZE_OF_FLEET", "FPT=A", "FPO=5A", "ACT_EST_MAPPING=PRECISE", "FS=MRC", "CURRENCY=USD", "XLFILL=b")</f>
        <v>887</v>
      </c>
      <c r="F38" s="9">
        <f>_xll.BQL("LUV US Equity", "SIZE_OF_FLEET", "FPT=A", "FPO=4A", "ACT_EST_MAPPING=PRECISE", "FS=MRC", "CURRENCY=USD", "XLFILL=b")</f>
        <v>924</v>
      </c>
      <c r="G38" s="9">
        <f>_xll.BQL("LUV US Equity", "SIZE_OF_FLEET", "FPT=A", "FPO=3A", "ACT_EST_MAPPING=PRECISE", "FS=MRC", "CURRENCY=USD", "XLFILL=b")</f>
        <v>854.23051228765075</v>
      </c>
      <c r="H38" s="9">
        <f>_xll.BQL("LUV US Equity", "SIZE_OF_FLEET", "FPT=A", "FPO=2A", "ACT_EST_MAPPING=PRECISE", "FS=MRC", "CURRENCY=USD", "XLFILL=b")</f>
        <v>840.34401337243798</v>
      </c>
      <c r="I38" s="9">
        <f>_xll.BQL("LUV US Equity", "SIZE_OF_FLEET", "FPT=A", "FPO=1A", "ACT_EST_MAPPING=PRECISE", "FS=MRC", "CURRENCY=USD", "XLFILL=b")</f>
        <v>826.84989241165306</v>
      </c>
      <c r="J38" s="9">
        <f>_xll.BQL("LUV US Equity", "SIZE_OF_FLEET", "FPT=A", "FPO=0A", "ACT_EST_MAPPING=PRECISE", "FS=MRC", "CURRENCY=USD", "XLFILL=b")</f>
        <v>817</v>
      </c>
      <c r="K38" s="9">
        <f>_xll.BQL("LUV US Equity", "SIZE_OF_FLEET", "FPT=A", "FPO=-1A", "ACT_EST_MAPPING=PRECISE", "FS=MRC", "CURRENCY=USD", "XLFILL=b")</f>
        <v>770</v>
      </c>
      <c r="L38" s="9">
        <f>_xll.BQL("LUV US Equity", "SIZE_OF_FLEET", "FPT=A", "FPO=-2A", "ACT_EST_MAPPING=PRECISE", "FS=MRC", "CURRENCY=USD", "XLFILL=b")</f>
        <v>728</v>
      </c>
      <c r="M38" s="9">
        <f>_xll.BQL("LUV US Equity", "SIZE_OF_FLEET", "FPT=A", "FPO=-3A", "ACT_EST_MAPPING=PRECISE", "FS=MRC", "CURRENCY=USD", "XLFILL=b")</f>
        <v>718</v>
      </c>
      <c r="N38" s="9">
        <f>_xll.BQL("LUV US Equity", "SIZE_OF_FLEET", "FPT=A", "FPO=-4A", "ACT_EST_MAPPING=PRECISE", "FS=MRC", "CURRENCY=USD", "XLFILL=b")</f>
        <v>747</v>
      </c>
    </row>
    <row r="39" spans="1:14" x14ac:dyDescent="0.2">
      <c r="A39" s="8" t="s">
        <v>12</v>
      </c>
      <c r="B39" s="4" t="s">
        <v>45</v>
      </c>
      <c r="C39" s="4"/>
      <c r="D39" s="4"/>
      <c r="E39" s="9">
        <f>_xll.BQL("LUV US Equity", "FA_GROWTH(SIZE_OF_FLEET, YOY)", "FPT=A", "FPO=5A", "ACT_EST_MAPPING=PRECISE", "FS=MRC", "CURRENCY=USD", "XLFILL=b")</f>
        <v>-4.0043290043290041</v>
      </c>
      <c r="F39" s="9">
        <f>_xll.BQL("LUV US Equity", "FA_GROWTH(SIZE_OF_FLEET, YOY)", "FPT=A", "FPO=4A", "ACT_EST_MAPPING=PRECISE", "FS=MRC", "CURRENCY=USD", "XLFILL=b")</f>
        <v>8.1675246562552317</v>
      </c>
      <c r="G39" s="9">
        <f>_xll.BQL("LUV US Equity", "FA_GROWTH(SIZE_OF_FLEET, YOY)", "FPT=A", "FPO=3A", "ACT_EST_MAPPING=PRECISE", "FS=MRC", "CURRENCY=USD", "XLFILL=b")</f>
        <v>1.6524778774211739</v>
      </c>
      <c r="H39" s="9">
        <f>_xll.BQL("LUV US Equity", "FA_GROWTH(SIZE_OF_FLEET, YOY)", "FPT=A", "FPO=2A", "ACT_EST_MAPPING=PRECISE", "FS=MRC", "CURRENCY=USD", "XLFILL=b")</f>
        <v>1.6319916208039829</v>
      </c>
      <c r="I39" s="9">
        <f>_xll.BQL("LUV US Equity", "FA_GROWTH(SIZE_OF_FLEET, YOY)", "FPT=A", "FPO=1A", "ACT_EST_MAPPING=PRECISE", "FS=MRC", "CURRENCY=USD", "XLFILL=b")</f>
        <v>1.2056171862488445</v>
      </c>
      <c r="J39" s="9">
        <f>_xll.BQL("LUV US Equity", "FA_GROWTH(SIZE_OF_FLEET, YOY)", "FPT=A", "FPO=0A", "ACT_EST_MAPPING=PRECISE", "FS=MRC", "CURRENCY=USD", "XLFILL=b")</f>
        <v>6.1038961038961039</v>
      </c>
      <c r="K39" s="9">
        <f>_xll.BQL("LUV US Equity", "FA_GROWTH(SIZE_OF_FLEET, YOY)", "FPT=A", "FPO=-1A", "ACT_EST_MAPPING=PRECISE", "FS=MRC", "CURRENCY=USD", "XLFILL=b")</f>
        <v>5.7692307692307692</v>
      </c>
      <c r="L39" s="9">
        <f>_xll.BQL("LUV US Equity", "FA_GROWTH(SIZE_OF_FLEET, YOY)", "FPT=A", "FPO=-2A", "ACT_EST_MAPPING=PRECISE", "FS=MRC", "CURRENCY=USD", "XLFILL=b")</f>
        <v>1.392757660167131</v>
      </c>
      <c r="M39" s="9">
        <f>_xll.BQL("LUV US Equity", "FA_GROWTH(SIZE_OF_FLEET, YOY)", "FPT=A", "FPO=-3A", "ACT_EST_MAPPING=PRECISE", "FS=MRC", "CURRENCY=USD", "XLFILL=b")</f>
        <v>-3.8821954484605086</v>
      </c>
      <c r="N39" s="9">
        <f>_xll.BQL("LUV US Equity", "FA_GROWTH(SIZE_OF_FLEET, YOY)", "FPT=A", "FPO=-4A", "ACT_EST_MAPPING=PRECISE", "FS=MRC", "CURRENCY=USD", "XLFILL=b")</f>
        <v>-0.4</v>
      </c>
    </row>
    <row r="40" spans="1:14" x14ac:dyDescent="0.2">
      <c r="A40" s="8" t="s">
        <v>16</v>
      </c>
      <c r="B40" s="4"/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2">
      <c r="A41" s="8" t="s">
        <v>46</v>
      </c>
      <c r="B41" s="4" t="s">
        <v>47</v>
      </c>
      <c r="C41" s="4"/>
      <c r="D41" s="4"/>
      <c r="E41" s="9" t="str">
        <f>_xll.BQL("LUV US Equity", "AVERAGE_PASSENGER_FARE", "FPT=A", "FPO=5A", "ACT_EST_MAPPING=PRECISE", "FS=MRC", "CURRENCY=USD", "XLFILL=b")</f>
        <v/>
      </c>
      <c r="F41" s="9" t="str">
        <f>_xll.BQL("LUV US Equity", "AVERAGE_PASSENGER_FARE", "FPT=A", "FPO=4A", "ACT_EST_MAPPING=PRECISE", "FS=MRC", "CURRENCY=USD", "XLFILL=b")</f>
        <v/>
      </c>
      <c r="G41" s="9">
        <f>_xll.BQL("LUV US Equity", "AVERAGE_PASSENGER_FARE", "FPT=A", "FPO=3A", "ACT_EST_MAPPING=PRECISE", "FS=MRC", "CURRENCY=USD", "XLFILL=b")</f>
        <v>183.22606315599506</v>
      </c>
      <c r="H41" s="9">
        <f>_xll.BQL("LUV US Equity", "AVERAGE_PASSENGER_FARE", "FPT=A", "FPO=2A", "ACT_EST_MAPPING=PRECISE", "FS=MRC", "CURRENCY=USD", "XLFILL=b")</f>
        <v>178.75618976919645</v>
      </c>
      <c r="I41" s="9">
        <f>_xll.BQL("LUV US Equity", "AVERAGE_PASSENGER_FARE", "FPT=A", "FPO=1A", "ACT_EST_MAPPING=PRECISE", "FS=MRC", "CURRENCY=USD", "XLFILL=b")</f>
        <v>174.57067854168238</v>
      </c>
      <c r="J41" s="9">
        <f>_xll.BQL("LUV US Equity", "AVERAGE_PASSENGER_FARE", "FPT=A", "FPO=0A", "ACT_EST_MAPPING=PRECISE", "FS=MRC", "CURRENCY=USD", "XLFILL=b")</f>
        <v>172.18</v>
      </c>
      <c r="K41" s="9">
        <f>_xll.BQL("LUV US Equity", "AVERAGE_PASSENGER_FARE", "FPT=A", "FPO=-1A", "ACT_EST_MAPPING=PRECISE", "FS=MRC", "CURRENCY=USD", "XLFILL=b")</f>
        <v>169.12</v>
      </c>
      <c r="L41" s="9">
        <f>_xll.BQL("LUV US Equity", "AVERAGE_PASSENGER_FARE", "FPT=A", "FPO=-2A", "ACT_EST_MAPPING=PRECISE", "FS=MRC", "CURRENCY=USD", "XLFILL=b")</f>
        <v>141.91999999999999</v>
      </c>
      <c r="M41" s="9">
        <f>_xll.BQL("LUV US Equity", "AVERAGE_PASSENGER_FARE", "FPT=A", "FPO=-3A", "ACT_EST_MAPPING=PRECISE", "FS=MRC", "CURRENCY=USD", "XLFILL=b")</f>
        <v>141.72</v>
      </c>
      <c r="N41" s="9">
        <f>_xll.BQL("LUV US Equity", "AVERAGE_PASSENGER_FARE", "FPT=A", "FPO=-4A", "ACT_EST_MAPPING=PRECISE", "FS=MRC", "CURRENCY=USD", "XLFILL=b")</f>
        <v>154.97999999999999</v>
      </c>
    </row>
    <row r="42" spans="1:14" x14ac:dyDescent="0.2">
      <c r="A42" s="8" t="s">
        <v>12</v>
      </c>
      <c r="B42" s="4" t="s">
        <v>47</v>
      </c>
      <c r="C42" s="4"/>
      <c r="D42" s="4"/>
      <c r="E42" s="9" t="str">
        <f>_xll.BQL("LUV US Equity", "FA_GROWTH(AVERAGE_PASSENGER_FARE, YOY)", "FPT=A", "FPO=5A", "ACT_EST_MAPPING=PRECISE", "FS=MRC", "CURRENCY=USD", "XLFILL=b")</f>
        <v/>
      </c>
      <c r="F42" s="9" t="str">
        <f>_xll.BQL("LUV US Equity", "FA_GROWTH(AVERAGE_PASSENGER_FARE, YOY)", "FPT=A", "FPO=4A", "ACT_EST_MAPPING=PRECISE", "FS=MRC", "CURRENCY=USD", "XLFILL=b")</f>
        <v/>
      </c>
      <c r="G42" s="9">
        <f>_xll.BQL("LUV US Equity", "FA_GROWTH(AVERAGE_PASSENGER_FARE, YOY)", "FPT=A", "FPO=3A", "ACT_EST_MAPPING=PRECISE", "FS=MRC", "CURRENCY=USD", "XLFILL=b")</f>
        <v>2.5005418791762959</v>
      </c>
      <c r="H42" s="9">
        <f>_xll.BQL("LUV US Equity", "FA_GROWTH(AVERAGE_PASSENGER_FARE, YOY)", "FPT=A", "FPO=2A", "ACT_EST_MAPPING=PRECISE", "FS=MRC", "CURRENCY=USD", "XLFILL=b")</f>
        <v>2.3976026572610771</v>
      </c>
      <c r="I42" s="9">
        <f>_xll.BQL("LUV US Equity", "FA_GROWTH(AVERAGE_PASSENGER_FARE, YOY)", "FPT=A", "FPO=1A", "ACT_EST_MAPPING=PRECISE", "FS=MRC", "CURRENCY=USD", "XLFILL=b")</f>
        <v>1.3884763280766503</v>
      </c>
      <c r="J42" s="9">
        <f>_xll.BQL("LUV US Equity", "FA_GROWTH(AVERAGE_PASSENGER_FARE, YOY)", "FPT=A", "FPO=0A", "ACT_EST_MAPPING=PRECISE", "FS=MRC", "CURRENCY=USD", "XLFILL=b")</f>
        <v>1.8093661305581847</v>
      </c>
      <c r="K42" s="9">
        <f>_xll.BQL("LUV US Equity", "FA_GROWTH(AVERAGE_PASSENGER_FARE, YOY)", "FPT=A", "FPO=-1A", "ACT_EST_MAPPING=PRECISE", "FS=MRC", "CURRENCY=USD", "XLFILL=b")</f>
        <v>19.165727170236767</v>
      </c>
      <c r="L42" s="9">
        <f>_xll.BQL("LUV US Equity", "FA_GROWTH(AVERAGE_PASSENGER_FARE, YOY)", "FPT=A", "FPO=-2A", "ACT_EST_MAPPING=PRECISE", "FS=MRC", "CURRENCY=USD", "XLFILL=b")</f>
        <v>0.14112334180072583</v>
      </c>
      <c r="M42" s="9">
        <f>_xll.BQL("LUV US Equity", "FA_GROWTH(AVERAGE_PASSENGER_FARE, YOY)", "FPT=A", "FPO=-3A", "ACT_EST_MAPPING=PRECISE", "FS=MRC", "CURRENCY=USD", "XLFILL=b")</f>
        <v>-8.5559427022841597</v>
      </c>
      <c r="N42" s="9">
        <f>_xll.BQL("LUV US Equity", "FA_GROWTH(AVERAGE_PASSENGER_FARE, YOY)", "FPT=A", "FPO=-4A", "ACT_EST_MAPPING=PRECISE", "FS=MRC", "CURRENCY=USD", "XLFILL=b")</f>
        <v>2.202585069902403</v>
      </c>
    </row>
    <row r="43" spans="1:14" x14ac:dyDescent="0.2">
      <c r="A43" s="8" t="s">
        <v>48</v>
      </c>
      <c r="B43" s="4" t="s">
        <v>49</v>
      </c>
      <c r="C43" s="4"/>
      <c r="D43" s="4"/>
      <c r="E43" s="9">
        <f>_xll.BQL("LUV US Equity", "IS_COMP_NET_INCOME_ADJUST_OLD/1M", "FPT=A", "FPO=5A", "ACT_EST_MAPPING=PRECISE", "FS=MRC", "CURRENCY=USD", "XLFILL=b")</f>
        <v>1785</v>
      </c>
      <c r="F43" s="9">
        <f>_xll.BQL("LUV US Equity", "IS_COMP_NET_INCOME_ADJUST_OLD/1M", "FPT=A", "FPO=4A", "ACT_EST_MAPPING=PRECISE", "FS=MRC", "CURRENCY=USD", "XLFILL=b")</f>
        <v>1703.6</v>
      </c>
      <c r="G43" s="9">
        <f>_xll.BQL("LUV US Equity", "IS_COMP_NET_INCOME_ADJUST_OLD/1M", "FPT=A", "FPO=3A", "ACT_EST_MAPPING=PRECISE", "FS=MRC", "CURRENCY=USD", "XLFILL=b")</f>
        <v>1293.4285714285716</v>
      </c>
      <c r="H43" s="9">
        <f>_xll.BQL("LUV US Equity", "IS_COMP_NET_INCOME_ADJUST_OLD/1M", "FPT=A", "FPO=2A", "ACT_EST_MAPPING=PRECISE", "FS=MRC", "CURRENCY=USD", "XLFILL=b")</f>
        <v>825.27777777777783</v>
      </c>
      <c r="I43" s="9">
        <f>_xll.BQL("LUV US Equity", "IS_COMP_NET_INCOME_ADJUST_OLD/1M", "FPT=A", "FPO=1A", "ACT_EST_MAPPING=PRECISE", "FS=MRC", "CURRENCY=USD", "XLFILL=b")</f>
        <v>240.25</v>
      </c>
      <c r="J43" s="9">
        <f>_xll.BQL("LUV US Equity", "IS_COMP_NET_INCOME_ADJUST_OLD/1M", "FPT=A", "FPO=0A", "ACT_EST_MAPPING=PRECISE", "FS=MRC", "CURRENCY=USD", "XLFILL=b")</f>
        <v>986</v>
      </c>
      <c r="K43" s="9">
        <f>_xll.BQL("LUV US Equity", "IS_COMP_NET_INCOME_ADJUST_OLD/1M", "FPT=A", "FPO=-1A", "ACT_EST_MAPPING=PRECISE", "FS=MRC", "CURRENCY=USD", "XLFILL=b")</f>
        <v>723</v>
      </c>
      <c r="L43" s="9">
        <f>_xll.BQL("LUV US Equity", "IS_COMP_NET_INCOME_ADJUST_OLD/1M", "FPT=A", "FPO=-2A", "ACT_EST_MAPPING=PRECISE", "FS=MRC", "CURRENCY=USD", "XLFILL=b")</f>
        <v>-1271</v>
      </c>
      <c r="M43" s="9">
        <f>_xll.BQL("LUV US Equity", "IS_COMP_NET_INCOME_ADJUST_OLD/1M", "FPT=A", "FPO=-3A", "ACT_EST_MAPPING=PRECISE", "FS=MRC", "CURRENCY=USD", "XLFILL=b")</f>
        <v>-3512</v>
      </c>
      <c r="N43" s="9">
        <f>_xll.BQL("LUV US Equity", "IS_COMP_NET_INCOME_ADJUST_OLD/1M", "FPT=A", "FPO=-4A", "ACT_EST_MAPPING=PRECISE", "FS=MRC", "CURRENCY=USD", "XLFILL=b")</f>
        <v>2300</v>
      </c>
    </row>
    <row r="44" spans="1:14" x14ac:dyDescent="0.2">
      <c r="A44" s="8" t="s">
        <v>12</v>
      </c>
      <c r="B44" s="4" t="s">
        <v>49</v>
      </c>
      <c r="C44" s="4"/>
      <c r="D44" s="4"/>
      <c r="E44" s="9">
        <f>_xll.BQL("LUV US Equity", "FA_GROWTH(IS_COMP_NET_INCOME_ADJUST_OLD, YOY)", "FPT=A", "FPO=5A", "ACT_EST_MAPPING=PRECISE", "FS=MRC", "CURRENCY=USD", "XLFILL=b")</f>
        <v>4.778116928856539</v>
      </c>
      <c r="F44" s="9">
        <f>_xll.BQL("LUV US Equity", "FA_GROWTH(IS_COMP_NET_INCOME_ADJUST_OLD, YOY)", "FPT=A", "FPO=4A", "ACT_EST_MAPPING=PRECISE", "FS=MRC", "CURRENCY=USD", "XLFILL=b")</f>
        <v>31.711950519107571</v>
      </c>
      <c r="G44" s="9">
        <f>_xll.BQL("LUV US Equity", "FA_GROWTH(IS_COMP_NET_INCOME_ADJUST_OLD, YOY)", "FPT=A", "FPO=3A", "ACT_EST_MAPPING=PRECISE", "FS=MRC", "CURRENCY=USD", "XLFILL=b")</f>
        <v>56.726450930422658</v>
      </c>
      <c r="H44" s="9">
        <f>_xll.BQL("LUV US Equity", "FA_GROWTH(IS_COMP_NET_INCOME_ADJUST_OLD, YOY)", "FPT=A", "FPO=2A", "ACT_EST_MAPPING=PRECISE", "FS=MRC", "CURRENCY=USD", "XLFILL=b")</f>
        <v>243.50791999075037</v>
      </c>
      <c r="I44" s="9">
        <f>_xll.BQL("LUV US Equity", "FA_GROWTH(IS_COMP_NET_INCOME_ADJUST_OLD, YOY)", "FPT=A", "FPO=1A", "ACT_EST_MAPPING=PRECISE", "FS=MRC", "CURRENCY=USD", "XLFILL=b")</f>
        <v>-75.633874239350916</v>
      </c>
      <c r="J44" s="9">
        <f>_xll.BQL("LUV US Equity", "FA_GROWTH(IS_COMP_NET_INCOME_ADJUST_OLD, YOY)", "FPT=A", "FPO=0A", "ACT_EST_MAPPING=PRECISE", "FS=MRC", "CURRENCY=USD", "XLFILL=b")</f>
        <v>36.376210235131396</v>
      </c>
      <c r="K44" s="9">
        <f>_xll.BQL("LUV US Equity", "FA_GROWTH(IS_COMP_NET_INCOME_ADJUST_OLD, YOY)", "FPT=A", "FPO=-1A", "ACT_EST_MAPPING=PRECISE", "FS=MRC", "CURRENCY=USD", "XLFILL=b")</f>
        <v>156.88434303697875</v>
      </c>
      <c r="L44" s="9">
        <f>_xll.BQL("LUV US Equity", "FA_GROWTH(IS_COMP_NET_INCOME_ADJUST_OLD, YOY)", "FPT=A", "FPO=-2A", "ACT_EST_MAPPING=PRECISE", "FS=MRC", "CURRENCY=USD", "XLFILL=b")</f>
        <v>63.809794988610477</v>
      </c>
      <c r="M44" s="9">
        <f>_xll.BQL("LUV US Equity", "FA_GROWTH(IS_COMP_NET_INCOME_ADJUST_OLD, YOY)", "FPT=A", "FPO=-3A", "ACT_EST_MAPPING=PRECISE", "FS=MRC", "CURRENCY=USD", "XLFILL=b")</f>
        <v>-252.69565217391303</v>
      </c>
      <c r="N44" s="9">
        <f>_xll.BQL("LUV US Equity", "FA_GROWTH(IS_COMP_NET_INCOME_ADJUST_OLD, YOY)", "FPT=A", "FPO=-4A", "ACT_EST_MAPPING=PRECISE", "FS=MRC", "CURRENCY=USD", "XLFILL=b")</f>
        <v>-5.5441478439425049</v>
      </c>
    </row>
    <row r="45" spans="1:14" x14ac:dyDescent="0.2">
      <c r="A45" s="8" t="s">
        <v>16</v>
      </c>
      <c r="B45" s="4"/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x14ac:dyDescent="0.2">
      <c r="A46" s="8" t="s">
        <v>50</v>
      </c>
      <c r="B46" s="4" t="s">
        <v>51</v>
      </c>
      <c r="C46" s="4" t="s">
        <v>52</v>
      </c>
      <c r="D46" s="4"/>
      <c r="E46" s="9">
        <f>_xll.BQL("LUV US Equity", "IS_COMPARABLE_EBIT/1M", "FPT=A", "FPO=5A", "ACT_EST_MAPPING=PRECISE", "FS=MRC", "CURRENCY=USD", "XLFILL=b")</f>
        <v>2397.6666666666665</v>
      </c>
      <c r="F46" s="9">
        <f>_xll.BQL("LUV US Equity", "IS_COMPARABLE_EBIT/1M", "FPT=A", "FPO=4A", "ACT_EST_MAPPING=PRECISE", "FS=MRC", "CURRENCY=USD", "XLFILL=b")</f>
        <v>2257.1999999999998</v>
      </c>
      <c r="G46" s="9">
        <f>_xll.BQL("LUV US Equity", "IS_COMPARABLE_EBIT/1M", "FPT=A", "FPO=3A", "ACT_EST_MAPPING=PRECISE", "FS=MRC", "CURRENCY=USD", "XLFILL=b")</f>
        <v>1521.7857142857144</v>
      </c>
      <c r="H46" s="9">
        <f>_xll.BQL("LUV US Equity", "IS_COMPARABLE_EBIT/1M", "FPT=A", "FPO=2A", "ACT_EST_MAPPING=PRECISE", "FS=MRC", "CURRENCY=USD", "XLFILL=b")</f>
        <v>867.6111111111112</v>
      </c>
      <c r="I46" s="9">
        <f>_xll.BQL("LUV US Equity", "IS_COMPARABLE_EBIT/1M", "FPT=A", "FPO=1A", "ACT_EST_MAPPING=PRECISE", "FS=MRC", "CURRENCY=USD", "XLFILL=b")</f>
        <v>-59.517647058823528</v>
      </c>
      <c r="J46" s="9">
        <f>_xll.BQL("LUV US Equity", "IS_COMPARABLE_EBIT/1M", "FPT=A", "FPO=0A", "ACT_EST_MAPPING=PRECISE", "FS=MRC", "CURRENCY=USD", "XLFILL=b")</f>
        <v>900</v>
      </c>
      <c r="K46" s="9">
        <f>_xll.BQL("LUV US Equity", "IS_COMPARABLE_EBIT/1M", "FPT=A", "FPO=-1A", "ACT_EST_MAPPING=PRECISE", "FS=MRC", "CURRENCY=USD", "XLFILL=b")</f>
        <v>1120</v>
      </c>
      <c r="L46" s="9">
        <f>_xll.BQL("LUV US Equity", "IS_COMPARABLE_EBIT/1M", "FPT=A", "FPO=-2A", "ACT_EST_MAPPING=PRECISE", "FS=MRC", "CURRENCY=USD", "XLFILL=b")</f>
        <v>-1281</v>
      </c>
      <c r="M46" s="9">
        <f>_xll.BQL("LUV US Equity", "IS_COMPARABLE_EBIT/1M", "FPT=A", "FPO=-3A", "ACT_EST_MAPPING=PRECISE", "FS=MRC", "CURRENCY=USD", "XLFILL=b")</f>
        <v>-5032</v>
      </c>
      <c r="N46" s="9">
        <f>_xll.BQL("LUV US Equity", "IS_COMPARABLE_EBIT/1M", "FPT=A", "FPO=-4A", "ACT_EST_MAPPING=PRECISE", "FS=MRC", "CURRENCY=USD", "XLFILL=b")</f>
        <v>2957</v>
      </c>
    </row>
    <row r="47" spans="1:14" x14ac:dyDescent="0.2">
      <c r="A47" s="8" t="s">
        <v>12</v>
      </c>
      <c r="B47" s="4" t="s">
        <v>51</v>
      </c>
      <c r="C47" s="4" t="s">
        <v>52</v>
      </c>
      <c r="D47" s="4"/>
      <c r="E47" s="9">
        <f>_xll.BQL("LUV US Equity", "FA_GROWTH(IS_COMPARABLE_EBIT, YOY)", "FPT=A", "FPO=5A", "ACT_EST_MAPPING=PRECISE", "FS=MRC", "CURRENCY=USD", "XLFILL=b")</f>
        <v>6.2230492055053386</v>
      </c>
      <c r="F47" s="9">
        <f>_xll.BQL("LUV US Equity", "FA_GROWTH(IS_COMPARABLE_EBIT, YOY)", "FPT=A", "FPO=4A", "ACT_EST_MAPPING=PRECISE", "FS=MRC", "CURRENCY=USD", "XLFILL=b")</f>
        <v>48.3257451302511</v>
      </c>
      <c r="G47" s="9">
        <f>_xll.BQL("LUV US Equity", "FA_GROWTH(IS_COMPARABLE_EBIT, YOY)", "FPT=A", "FPO=3A", "ACT_EST_MAPPING=PRECISE", "FS=MRC", "CURRENCY=USD", "XLFILL=b")</f>
        <v>75.399518839360042</v>
      </c>
      <c r="H47" s="9">
        <f>_xll.BQL("LUV US Equity", "FA_GROWTH(IS_COMPARABLE_EBIT, YOY)", "FPT=A", "FPO=2A", "ACT_EST_MAPPING=PRECISE", "FS=MRC", "CURRENCY=USD", "XLFILL=b")</f>
        <v>1557.7375853813887</v>
      </c>
      <c r="I47" s="9">
        <f>_xll.BQL("LUV US Equity", "FA_GROWTH(IS_COMPARABLE_EBIT, YOY)", "FPT=A", "FPO=1A", "ACT_EST_MAPPING=PRECISE", "FS=MRC", "CURRENCY=USD", "XLFILL=b")</f>
        <v>-106.61307189542484</v>
      </c>
      <c r="J47" s="9">
        <f>_xll.BQL("LUV US Equity", "FA_GROWTH(IS_COMPARABLE_EBIT, YOY)", "FPT=A", "FPO=0A", "ACT_EST_MAPPING=PRECISE", "FS=MRC", "CURRENCY=USD", "XLFILL=b")</f>
        <v>-19.642857142857142</v>
      </c>
      <c r="K47" s="9">
        <f>_xll.BQL("LUV US Equity", "FA_GROWTH(IS_COMPARABLE_EBIT, YOY)", "FPT=A", "FPO=-1A", "ACT_EST_MAPPING=PRECISE", "FS=MRC", "CURRENCY=USD", "XLFILL=b")</f>
        <v>187.43169398907105</v>
      </c>
      <c r="L47" s="9">
        <f>_xll.BQL("LUV US Equity", "FA_GROWTH(IS_COMPARABLE_EBIT, YOY)", "FPT=A", "FPO=-2A", "ACT_EST_MAPPING=PRECISE", "FS=MRC", "CURRENCY=USD", "XLFILL=b")</f>
        <v>74.5429252782194</v>
      </c>
      <c r="M47" s="9">
        <f>_xll.BQL("LUV US Equity", "FA_GROWTH(IS_COMPARABLE_EBIT, YOY)", "FPT=A", "FPO=-3A", "ACT_EST_MAPPING=PRECISE", "FS=MRC", "CURRENCY=USD", "XLFILL=b")</f>
        <v>-270.17247210010146</v>
      </c>
      <c r="N47" s="9">
        <f>_xll.BQL("LUV US Equity", "FA_GROWTH(IS_COMPARABLE_EBIT, YOY)", "FPT=A", "FPO=-4A", "ACT_EST_MAPPING=PRECISE", "FS=MRC", "CURRENCY=USD", "XLFILL=b")</f>
        <v>-6.630880959898958</v>
      </c>
    </row>
    <row r="48" spans="1:14" x14ac:dyDescent="0.2">
      <c r="A48" s="8" t="s">
        <v>53</v>
      </c>
      <c r="B48" s="4" t="s">
        <v>54</v>
      </c>
      <c r="C48" s="4" t="s">
        <v>55</v>
      </c>
      <c r="D48" s="4"/>
      <c r="E48" s="9">
        <f>_xll.BQL("LUV US Equity", "ADJ_OPERATING_MARGIN", "FPT=A", "FPO=5A", "ACT_EST_MAPPING=PRECISE", "FS=MRC", "CURRENCY=USD", "XLFILL=b")</f>
        <v>5.9242135528366884</v>
      </c>
      <c r="F48" s="9">
        <f>_xll.BQL("LUV US Equity", "ADJ_OPERATING_MARGIN", "FPT=A", "FPO=4A", "ACT_EST_MAPPING=PRECISE", "FS=MRC", "CURRENCY=USD", "XLFILL=b")</f>
        <v>5.4994882930105176</v>
      </c>
      <c r="G48" s="9">
        <f>_xll.BQL("LUV US Equity", "ADJ_OPERATING_MARGIN", "FPT=A", "FPO=3A", "ACT_EST_MAPPING=PRECISE", "FS=MRC", "CURRENCY=USD", "XLFILL=b")</f>
        <v>4.3872993792591073</v>
      </c>
      <c r="H48" s="9">
        <f>_xll.BQL("LUV US Equity", "ADJ_OPERATING_MARGIN", "FPT=A", "FPO=2A", "ACT_EST_MAPPING=PRECISE", "FS=MRC", "CURRENCY=USD", "XLFILL=b")</f>
        <v>2.9582979500695785</v>
      </c>
      <c r="I48" s="9">
        <f>_xll.BQL("LUV US Equity", "ADJ_OPERATING_MARGIN", "FPT=A", "FPO=1A", "ACT_EST_MAPPING=PRECISE", "FS=MRC", "CURRENCY=USD", "XLFILL=b")</f>
        <v>-0.58434426756686852</v>
      </c>
      <c r="J48" s="9">
        <f>_xll.BQL("LUV US Equity", "ADJ_OPERATING_MARGIN", "FPT=A", "FPO=0A", "ACT_EST_MAPPING=PRECISE", "FS=MRC", "CURRENCY=USD", "XLFILL=b")</f>
        <v>3.4494653328734048</v>
      </c>
      <c r="K48" s="9">
        <f>_xll.BQL("LUV US Equity", "ADJ_OPERATING_MARGIN", "FPT=A", "FPO=-1A", "ACT_EST_MAPPING=PRECISE", "FS=MRC", "CURRENCY=USD", "XLFILL=b")</f>
        <v>4.7031158142269254</v>
      </c>
      <c r="L48" s="9">
        <f>_xll.BQL("LUV US Equity", "ADJ_OPERATING_MARGIN", "FPT=A", "FPO=-2A", "ACT_EST_MAPPING=PRECISE", "FS=MRC", "CURRENCY=USD", "XLFILL=b")</f>
        <v>-8.1127295756808095</v>
      </c>
      <c r="M48" s="9">
        <f>_xll.BQL("LUV US Equity", "ADJ_OPERATING_MARGIN", "FPT=A", "FPO=-3A", "ACT_EST_MAPPING=PRECISE", "FS=MRC", "CURRENCY=USD", "XLFILL=b")</f>
        <v>-55.614500442086644</v>
      </c>
      <c r="N48" s="9">
        <f>_xll.BQL("LUV US Equity", "ADJ_OPERATING_MARGIN", "FPT=A", "FPO=-4A", "ACT_EST_MAPPING=PRECISE", "FS=MRC", "CURRENCY=USD", "XLFILL=b")</f>
        <v>13.184412341715712</v>
      </c>
    </row>
    <row r="49" spans="1:14" x14ac:dyDescent="0.2">
      <c r="A49" s="8" t="s">
        <v>21</v>
      </c>
      <c r="B49" s="4" t="s">
        <v>54</v>
      </c>
      <c r="C49" s="4" t="s">
        <v>55</v>
      </c>
      <c r="D49" s="4"/>
      <c r="E49" s="9">
        <f>_xll.BQL("LUV US Equity", "FA_GROWTH(ADJ_OPERATING_MARGIN, YOY)", "FPT=A", "FPO=5A", "ACT_EST_MAPPING=PRECISE", "FS=MRC", "CURRENCY=USD", "XLFILL=b")</f>
        <v>7.7229959806618425</v>
      </c>
      <c r="F49" s="9">
        <f>_xll.BQL("LUV US Equity", "FA_GROWTH(ADJ_OPERATING_MARGIN, YOY)", "FPT=A", "FPO=4A", "ACT_EST_MAPPING=PRECISE", "FS=MRC", "CURRENCY=USD", "XLFILL=b")</f>
        <v>25.350194222196617</v>
      </c>
      <c r="G49" s="9">
        <f>_xll.BQL("LUV US Equity", "FA_GROWTH(ADJ_OPERATING_MARGIN, YOY)", "FPT=A", "FPO=3A", "ACT_EST_MAPPING=PRECISE", "FS=MRC", "CURRENCY=USD", "XLFILL=b")</f>
        <v>48.304851414845444</v>
      </c>
      <c r="H49" s="9">
        <f>_xll.BQL("LUV US Equity", "FA_GROWTH(ADJ_OPERATING_MARGIN, YOY)", "FPT=A", "FPO=2A", "ACT_EST_MAPPING=PRECISE", "FS=MRC", "CURRENCY=USD", "XLFILL=b")</f>
        <v>606.25942860491057</v>
      </c>
      <c r="I49" s="9">
        <f>_xll.BQL("LUV US Equity", "FA_GROWTH(ADJ_OPERATING_MARGIN, YOY)", "FPT=A", "FPO=1A", "ACT_EST_MAPPING=PRECISE", "FS=MRC", "CURRENCY=USD", "XLFILL=b")</f>
        <v>-116.94014031676352</v>
      </c>
      <c r="J49" s="9">
        <f>_xll.BQL("LUV US Equity", "FA_GROWTH(ADJ_OPERATING_MARGIN, YOY)", "FPT=A", "FPO=0A", "ACT_EST_MAPPING=PRECISE", "FS=MRC", "CURRENCY=USD", "XLFILL=b")</f>
        <v>-26.65574335977923</v>
      </c>
      <c r="K49" s="9">
        <f>_xll.BQL("LUV US Equity", "FA_GROWTH(ADJ_OPERATING_MARGIN, YOY)", "FPT=A", "FPO=-1A", "ACT_EST_MAPPING=PRECISE", "FS=MRC", "CURRENCY=USD", "XLFILL=b")</f>
        <v>157.97205207388225</v>
      </c>
      <c r="L49" s="9">
        <f>_xll.BQL("LUV US Equity", "FA_GROWTH(ADJ_OPERATING_MARGIN, YOY)", "FPT=A", "FPO=-2A", "ACT_EST_MAPPING=PRECISE", "FS=MRC", "CURRENCY=USD", "XLFILL=b")</f>
        <v>85.412564149292535</v>
      </c>
      <c r="M49" s="9">
        <f>_xll.BQL("LUV US Equity", "FA_GROWTH(ADJ_OPERATING_MARGIN, YOY)", "FPT=A", "FPO=-3A", "ACT_EST_MAPPING=PRECISE", "FS=MRC", "CURRENCY=USD", "XLFILL=b")</f>
        <v>-521.82009330913741</v>
      </c>
      <c r="N49" s="9">
        <f>_xll.BQL("LUV US Equity", "FA_GROWTH(ADJ_OPERATING_MARGIN, YOY)", "FPT=A", "FPO=-4A", "ACT_EST_MAPPING=PRECISE", "FS=MRC", "CURRENCY=USD", "XLFILL=b")</f>
        <v>-8.5583779331273817</v>
      </c>
    </row>
    <row r="50" spans="1:14" x14ac:dyDescent="0.2">
      <c r="A50" s="8" t="s">
        <v>16</v>
      </c>
      <c r="B50" s="4"/>
      <c r="C50" s="4"/>
      <c r="D50" s="4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">
      <c r="A51" s="8" t="s">
        <v>56</v>
      </c>
      <c r="B51" s="4"/>
      <c r="C51" s="4" t="s">
        <v>57</v>
      </c>
      <c r="D51" s="4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A52" s="8" t="s">
        <v>16</v>
      </c>
      <c r="B52" s="4"/>
      <c r="C52" s="4"/>
      <c r="D52" s="4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2">
      <c r="A53" s="8" t="s">
        <v>58</v>
      </c>
      <c r="B53" s="4"/>
      <c r="C53" s="4" t="s">
        <v>59</v>
      </c>
      <c r="D53" s="4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x14ac:dyDescent="0.2">
      <c r="A54" s="8" t="s">
        <v>60</v>
      </c>
      <c r="B54" s="4" t="s">
        <v>29</v>
      </c>
      <c r="C54" s="4" t="s">
        <v>61</v>
      </c>
      <c r="D54" s="4"/>
      <c r="E54" s="9">
        <f>_xll.BQL("LUV US Equity", "AVAIL_SEAT_MILES_KM/1M", "FPT=A", "FPO=5A", "ACT_EST_MAPPING=PRECISE", "FS=MRC", "CURRENCY=USD", "XLFILL=b")</f>
        <v>212917.20821488876</v>
      </c>
      <c r="F54" s="9">
        <f>_xll.BQL("LUV US Equity", "AVAIL_SEAT_MILES_KM/1M", "FPT=A", "FPO=4A", "ACT_EST_MAPPING=PRECISE", "FS=MRC", "CURRENCY=USD", "XLFILL=b")</f>
        <v>202456.20915354372</v>
      </c>
      <c r="G54" s="9">
        <f>_xll.BQL("LUV US Equity", "AVAIL_SEAT_MILES_KM/1M", "FPT=A", "FPO=3A", "ACT_EST_MAPPING=PRECISE", "FS=MRC", "CURRENCY=USD", "XLFILL=b")</f>
        <v>188707.50781712704</v>
      </c>
      <c r="H54" s="9">
        <f>_xll.BQL("LUV US Equity", "AVAIL_SEAT_MILES_KM/1M", "FPT=A", "FPO=2A", "ACT_EST_MAPPING=PRECISE", "FS=MRC", "CURRENCY=USD", "XLFILL=b")</f>
        <v>181915.95690737641</v>
      </c>
      <c r="I54" s="9">
        <f>_xll.BQL("LUV US Equity", "AVAIL_SEAT_MILES_KM/1M", "FPT=A", "FPO=1A", "ACT_EST_MAPPING=PRECISE", "FS=MRC", "CURRENCY=USD", "XLFILL=b")</f>
        <v>177198.8027623955</v>
      </c>
      <c r="J54" s="9">
        <f>_xll.BQL("LUV US Equity", "AVAIL_SEAT_MILES_KM/1M", "FPT=A", "FPO=0A", "ACT_EST_MAPPING=PRECISE", "FS=MRC", "CURRENCY=USD", "XLFILL=b")</f>
        <v>170323</v>
      </c>
      <c r="K54" s="9">
        <f>_xll.BQL("LUV US Equity", "AVAIL_SEAT_MILES_KM/1M", "FPT=A", "FPO=-1A", "ACT_EST_MAPPING=PRECISE", "FS=MRC", "CURRENCY=USD", "XLFILL=b")</f>
        <v>148467</v>
      </c>
      <c r="L54" s="9">
        <f>_xll.BQL("LUV US Equity", "AVAIL_SEAT_MILES_KM/1M", "FPT=A", "FPO=-2A", "ACT_EST_MAPPING=PRECISE", "FS=MRC", "CURRENCY=USD", "XLFILL=b")</f>
        <v>132006</v>
      </c>
      <c r="M54" s="9">
        <f>_xll.BQL("LUV US Equity", "AVAIL_SEAT_MILES_KM/1M", "FPT=A", "FPO=-3A", "ACT_EST_MAPPING=PRECISE", "FS=MRC", "CURRENCY=USD", "XLFILL=b")</f>
        <v>103456</v>
      </c>
      <c r="N54" s="9">
        <f>_xll.BQL("LUV US Equity", "AVAIL_SEAT_MILES_KM/1M", "FPT=A", "FPO=-4A", "ACT_EST_MAPPING=PRECISE", "FS=MRC", "CURRENCY=USD", "XLFILL=b")</f>
        <v>157254</v>
      </c>
    </row>
    <row r="55" spans="1:14" x14ac:dyDescent="0.2">
      <c r="A55" s="8" t="s">
        <v>12</v>
      </c>
      <c r="B55" s="4" t="s">
        <v>29</v>
      </c>
      <c r="C55" s="4" t="s">
        <v>61</v>
      </c>
      <c r="D55" s="4"/>
      <c r="E55" s="9">
        <f>_xll.BQL("LUV US Equity", "FA_GROWTH(AVAIL_SEAT_MILES_KM, YOY)", "FPT=A", "FPO=5A", "ACT_EST_MAPPING=PRECISE", "FS=MRC", "CURRENCY=USD", "XLFILL=b")</f>
        <v>5.1670428410577225</v>
      </c>
      <c r="F55" s="9">
        <f>_xll.BQL("LUV US Equity", "FA_GROWTH(AVAIL_SEAT_MILES_KM, YOY)", "FPT=A", "FPO=4A", "ACT_EST_MAPPING=PRECISE", "FS=MRC", "CURRENCY=USD", "XLFILL=b")</f>
        <v>7.2857203698224335</v>
      </c>
      <c r="G55" s="9">
        <f>_xll.BQL("LUV US Equity", "FA_GROWTH(AVAIL_SEAT_MILES_KM, YOY)", "FPT=A", "FPO=3A", "ACT_EST_MAPPING=PRECISE", "FS=MRC", "CURRENCY=USD", "XLFILL=b")</f>
        <v>3.733345345405076</v>
      </c>
      <c r="H55" s="9">
        <f>_xll.BQL("LUV US Equity", "FA_GROWTH(AVAIL_SEAT_MILES_KM, YOY)", "FPT=A", "FPO=2A", "ACT_EST_MAPPING=PRECISE", "FS=MRC", "CURRENCY=USD", "XLFILL=b")</f>
        <v>2.6620688579403615</v>
      </c>
      <c r="I55" s="9">
        <f>_xll.BQL("LUV US Equity", "FA_GROWTH(AVAIL_SEAT_MILES_KM, YOY)", "FPT=A", "FPO=1A", "ACT_EST_MAPPING=PRECISE", "FS=MRC", "CURRENCY=USD", "XLFILL=b")</f>
        <v>4.0369197127783725</v>
      </c>
      <c r="J55" s="9">
        <f>_xll.BQL("LUV US Equity", "FA_GROWTH(AVAIL_SEAT_MILES_KM, YOY)", "FPT=A", "FPO=0A", "ACT_EST_MAPPING=PRECISE", "FS=MRC", "CURRENCY=USD", "XLFILL=b")</f>
        <v>14.721116477062242</v>
      </c>
      <c r="K55" s="9">
        <f>_xll.BQL("LUV US Equity", "FA_GROWTH(AVAIL_SEAT_MILES_KM, YOY)", "FPT=A", "FPO=-1A", "ACT_EST_MAPPING=PRECISE", "FS=MRC", "CURRENCY=USD", "XLFILL=b")</f>
        <v>12.469887732375801</v>
      </c>
      <c r="L55" s="9">
        <f>_xll.BQL("LUV US Equity", "FA_GROWTH(AVAIL_SEAT_MILES_KM, YOY)", "FPT=A", "FPO=-2A", "ACT_EST_MAPPING=PRECISE", "FS=MRC", "CURRENCY=USD", "XLFILL=b")</f>
        <v>27.596272811630065</v>
      </c>
      <c r="M55" s="9">
        <f>_xll.BQL("LUV US Equity", "FA_GROWTH(AVAIL_SEAT_MILES_KM, YOY)", "FPT=A", "FPO=-3A", "ACT_EST_MAPPING=PRECISE", "FS=MRC", "CURRENCY=USD", "XLFILL=b")</f>
        <v>-34.210894476452111</v>
      </c>
      <c r="N55" s="9">
        <f>_xll.BQL("LUV US Equity", "FA_GROWTH(AVAIL_SEAT_MILES_KM, YOY)", "FPT=A", "FPO=-4A", "ACT_EST_MAPPING=PRECISE", "FS=MRC", "CURRENCY=USD", "XLFILL=b")</f>
        <v>-1.5901623955693232</v>
      </c>
    </row>
    <row r="56" spans="1:14" x14ac:dyDescent="0.2">
      <c r="A56" s="8" t="s">
        <v>31</v>
      </c>
      <c r="B56" s="4" t="s">
        <v>32</v>
      </c>
      <c r="C56" s="4" t="s">
        <v>33</v>
      </c>
      <c r="D56" s="4"/>
      <c r="E56" s="9">
        <f>_xll.BQL("LUV US Equity", "LOAD_FACTOR", "FPT=A", "FPO=5A", "ACT_EST_MAPPING=PRECISE", "FS=MRC", "CURRENCY=USD", "XLFILL=b")</f>
        <v>82.048683491286226</v>
      </c>
      <c r="F56" s="9">
        <f>_xll.BQL("LUV US Equity", "LOAD_FACTOR", "FPT=A", "FPO=4A", "ACT_EST_MAPPING=PRECISE", "FS=MRC", "CURRENCY=USD", "XLFILL=b")</f>
        <v>82.048683491286241</v>
      </c>
      <c r="G56" s="9">
        <f>_xll.BQL("LUV US Equity", "LOAD_FACTOR", "FPT=A", "FPO=3A", "ACT_EST_MAPPING=PRECISE", "FS=MRC", "CURRENCY=USD", "XLFILL=b")</f>
        <v>82.000339299273051</v>
      </c>
      <c r="H56" s="9">
        <f>_xll.BQL("LUV US Equity", "LOAD_FACTOR", "FPT=A", "FPO=2A", "ACT_EST_MAPPING=PRECISE", "FS=MRC", "CURRENCY=USD", "XLFILL=b")</f>
        <v>81.764386810050283</v>
      </c>
      <c r="I56" s="9">
        <f>_xll.BQL("LUV US Equity", "LOAD_FACTOR", "FPT=A", "FPO=1A", "ACT_EST_MAPPING=PRECISE", "FS=MRC", "CURRENCY=USD", "XLFILL=b")</f>
        <v>80.89072885720914</v>
      </c>
      <c r="J56" s="9">
        <f>_xll.BQL("LUV US Equity", "LOAD_FACTOR", "FPT=A", "FPO=0A", "ACT_EST_MAPPING=PRECISE", "FS=MRC", "CURRENCY=USD", "XLFILL=b")</f>
        <v>80</v>
      </c>
      <c r="K56" s="9">
        <f>_xll.BQL("LUV US Equity", "LOAD_FACTOR", "FPT=A", "FPO=-1A", "ACT_EST_MAPPING=PRECISE", "FS=MRC", "CURRENCY=USD", "XLFILL=b")</f>
        <v>83.4</v>
      </c>
      <c r="L56" s="9">
        <f>_xll.BQL("LUV US Equity", "LOAD_FACTOR", "FPT=A", "FPO=-2A", "ACT_EST_MAPPING=PRECISE", "FS=MRC", "CURRENCY=USD", "XLFILL=b")</f>
        <v>78.5</v>
      </c>
      <c r="M56" s="9">
        <f>_xll.BQL("LUV US Equity", "LOAD_FACTOR", "FPT=A", "FPO=-3A", "ACT_EST_MAPPING=PRECISE", "FS=MRC", "CURRENCY=USD", "XLFILL=b")</f>
        <v>52.4</v>
      </c>
      <c r="N56" s="9">
        <f>_xll.BQL("LUV US Equity", "LOAD_FACTOR", "FPT=A", "FPO=-4A", "ACT_EST_MAPPING=PRECISE", "FS=MRC", "CURRENCY=USD", "XLFILL=b")</f>
        <v>83.5</v>
      </c>
    </row>
    <row r="57" spans="1:14" x14ac:dyDescent="0.2">
      <c r="A57" s="8" t="s">
        <v>12</v>
      </c>
      <c r="B57" s="4" t="s">
        <v>32</v>
      </c>
      <c r="C57" s="4" t="s">
        <v>33</v>
      </c>
      <c r="D57" s="4"/>
      <c r="E57" s="9">
        <f>_xll.BQL("LUV US Equity", "FA_GROWTH(LOAD_FACTOR, YOY)", "FPT=A", "FPO=5A", "ACT_EST_MAPPING=PRECISE", "FS=MRC", "CURRENCY=USD", "XLFILL=b")</f>
        <v>-1.7320027708563085E-14</v>
      </c>
      <c r="F57" s="9">
        <f>_xll.BQL("LUV US Equity", "FA_GROWTH(LOAD_FACTOR, YOY)", "FPT=A", "FPO=4A", "ACT_EST_MAPPING=PRECISE", "FS=MRC", "CURRENCY=USD", "XLFILL=b")</f>
        <v>5.8956087775136917E-2</v>
      </c>
      <c r="G57" s="9">
        <f>_xll.BQL("LUV US Equity", "FA_GROWTH(LOAD_FACTOR, YOY)", "FPT=A", "FPO=3A", "ACT_EST_MAPPING=PRECISE", "FS=MRC", "CURRENCY=USD", "XLFILL=b")</f>
        <v>0.28857611293645208</v>
      </c>
      <c r="H57" s="9">
        <f>_xll.BQL("LUV US Equity", "FA_GROWTH(LOAD_FACTOR, YOY)", "FPT=A", "FPO=2A", "ACT_EST_MAPPING=PRECISE", "FS=MRC", "CURRENCY=USD", "XLFILL=b")</f>
        <v>1.0800470773150668</v>
      </c>
      <c r="I57" s="9">
        <f>_xll.BQL("LUV US Equity", "FA_GROWTH(LOAD_FACTOR, YOY)", "FPT=A", "FPO=1A", "ACT_EST_MAPPING=PRECISE", "FS=MRC", "CURRENCY=USD", "XLFILL=b")</f>
        <v>1.1134110715114254</v>
      </c>
      <c r="J57" s="9">
        <f>_xll.BQL("LUV US Equity", "FA_GROWTH(LOAD_FACTOR, YOY)", "FPT=A", "FPO=0A", "ACT_EST_MAPPING=PRECISE", "FS=MRC", "CURRENCY=USD", "XLFILL=b")</f>
        <v>-4.0767386091127165</v>
      </c>
      <c r="K57" s="9">
        <f>_xll.BQL("LUV US Equity", "FA_GROWTH(LOAD_FACTOR, YOY)", "FPT=A", "FPO=-1A", "ACT_EST_MAPPING=PRECISE", "FS=MRC", "CURRENCY=USD", "XLFILL=b")</f>
        <v>6.242038216560517</v>
      </c>
      <c r="L57" s="9">
        <f>_xll.BQL("LUV US Equity", "FA_GROWTH(LOAD_FACTOR, YOY)", "FPT=A", "FPO=-2A", "ACT_EST_MAPPING=PRECISE", "FS=MRC", "CURRENCY=USD", "XLFILL=b")</f>
        <v>49.809160305343511</v>
      </c>
      <c r="M57" s="9">
        <f>_xll.BQL("LUV US Equity", "FA_GROWTH(LOAD_FACTOR, YOY)", "FPT=A", "FPO=-3A", "ACT_EST_MAPPING=PRECISE", "FS=MRC", "CURRENCY=USD", "XLFILL=b")</f>
        <v>-37.245508982035929</v>
      </c>
      <c r="N57" s="9">
        <f>_xll.BQL("LUV US Equity", "FA_GROWTH(LOAD_FACTOR, YOY)", "FPT=A", "FPO=-4A", "ACT_EST_MAPPING=PRECISE", "FS=MRC", "CURRENCY=USD", "XLFILL=b")</f>
        <v>0.11990407673860229</v>
      </c>
    </row>
    <row r="58" spans="1:14" x14ac:dyDescent="0.2">
      <c r="A58" s="8" t="s">
        <v>62</v>
      </c>
      <c r="B58" s="4" t="s">
        <v>43</v>
      </c>
      <c r="C58" s="4"/>
      <c r="D58" s="4"/>
      <c r="E58" s="9" t="str">
        <f>_xll.BQL("LUV US Equity", "REV_PASS_CARRIED/1K", "FPT=A", "FPO=5A", "ACT_EST_MAPPING=PRECISE", "FS=MRC", "CURRENCY=USD", "XLFILL=b")</f>
        <v/>
      </c>
      <c r="F58" s="9" t="str">
        <f>_xll.BQL("LUV US Equity", "REV_PASS_CARRIED/1K", "FPT=A", "FPO=4A", "ACT_EST_MAPPING=PRECISE", "FS=MRC", "CURRENCY=USD", "XLFILL=b")</f>
        <v/>
      </c>
      <c r="G58" s="9">
        <f>_xll.BQL("LUV US Equity", "REV_PASS_CARRIED/1K", "FPT=A", "FPO=3A", "ACT_EST_MAPPING=PRECISE", "FS=MRC", "CURRENCY=USD", "XLFILL=b")</f>
        <v>150014.39761803448</v>
      </c>
      <c r="H58" s="9">
        <f>_xll.BQL("LUV US Equity", "REV_PASS_CARRIED/1K", "FPT=A", "FPO=2A", "ACT_EST_MAPPING=PRECISE", "FS=MRC", "CURRENCY=USD", "XLFILL=b")</f>
        <v>146361.14678868043</v>
      </c>
      <c r="I58" s="9">
        <f>_xll.BQL("LUV US Equity", "REV_PASS_CARRIED/1K", "FPT=A", "FPO=1A", "ACT_EST_MAPPING=PRECISE", "FS=MRC", "CURRENCY=USD", "XLFILL=b")</f>
        <v>141438.8606945214</v>
      </c>
      <c r="J58" s="9">
        <f>_xll.BQL("LUV US Equity", "REV_PASS_CARRIED/1K", "FPT=A", "FPO=0A", "ACT_EST_MAPPING=PRECISE", "FS=MRC", "CURRENCY=USD", "XLFILL=b")</f>
        <v>137279</v>
      </c>
      <c r="K58" s="9">
        <f>_xll.BQL("LUV US Equity", "REV_PASS_CARRIED/1K", "FPT=A", "FPO=-1A", "ACT_EST_MAPPING=PRECISE", "FS=MRC", "CURRENCY=USD", "XLFILL=b")</f>
        <v>126586</v>
      </c>
      <c r="L58" s="9">
        <f>_xll.BQL("LUV US Equity", "REV_PASS_CARRIED/1K", "FPT=A", "FPO=-2A", "ACT_EST_MAPPING=PRECISE", "FS=MRC", "CURRENCY=USD", "XLFILL=b")</f>
        <v>99111</v>
      </c>
      <c r="M58" s="9">
        <f>_xll.BQL("LUV US Equity", "REV_PASS_CARRIED/1K", "FPT=A", "FPO=-3A", "ACT_EST_MAPPING=PRECISE", "FS=MRC", "CURRENCY=USD", "XLFILL=b")</f>
        <v>54088</v>
      </c>
      <c r="N58" s="9">
        <f>_xll.BQL("LUV US Equity", "REV_PASS_CARRIED/1K", "FPT=A", "FPO=-4A", "ACT_EST_MAPPING=PRECISE", "FS=MRC", "CURRENCY=USD", "XLFILL=b")</f>
        <v>134056</v>
      </c>
    </row>
    <row r="59" spans="1:14" x14ac:dyDescent="0.2">
      <c r="A59" s="8" t="s">
        <v>12</v>
      </c>
      <c r="B59" s="4" t="s">
        <v>43</v>
      </c>
      <c r="C59" s="4"/>
      <c r="D59" s="4"/>
      <c r="E59" s="9" t="str">
        <f>_xll.BQL("LUV US Equity", "FA_GROWTH(REV_PASS_CARRIED, YOY)", "FPT=A", "FPO=5A", "ACT_EST_MAPPING=PRECISE", "FS=MRC", "CURRENCY=USD", "XLFILL=b")</f>
        <v/>
      </c>
      <c r="F59" s="9" t="str">
        <f>_xll.BQL("LUV US Equity", "FA_GROWTH(REV_PASS_CARRIED, YOY)", "FPT=A", "FPO=4A", "ACT_EST_MAPPING=PRECISE", "FS=MRC", "CURRENCY=USD", "XLFILL=b")</f>
        <v/>
      </c>
      <c r="G59" s="9">
        <f>_xll.BQL("LUV US Equity", "FA_GROWTH(REV_PASS_CARRIED, YOY)", "FPT=A", "FPO=3A", "ACT_EST_MAPPING=PRECISE", "FS=MRC", "CURRENCY=USD", "XLFILL=b")</f>
        <v>2.4960523400576347</v>
      </c>
      <c r="H59" s="9">
        <f>_xll.BQL("LUV US Equity", "FA_GROWTH(REV_PASS_CARRIED, YOY)", "FPT=A", "FPO=2A", "ACT_EST_MAPPING=PRECISE", "FS=MRC", "CURRENCY=USD", "XLFILL=b")</f>
        <v>3.4801511197054635</v>
      </c>
      <c r="I59" s="9">
        <f>_xll.BQL("LUV US Equity", "FA_GROWTH(REV_PASS_CARRIED, YOY)", "FPT=A", "FPO=1A", "ACT_EST_MAPPING=PRECISE", "FS=MRC", "CURRENCY=USD", "XLFILL=b")</f>
        <v>3.0302236281743</v>
      </c>
      <c r="J59" s="9">
        <f>_xll.BQL("LUV US Equity", "FA_GROWTH(REV_PASS_CARRIED, YOY)", "FPT=A", "FPO=0A", "ACT_EST_MAPPING=PRECISE", "FS=MRC", "CURRENCY=USD", "XLFILL=b")</f>
        <v>8.4472216516834404</v>
      </c>
      <c r="K59" s="9">
        <f>_xll.BQL("LUV US Equity", "FA_GROWTH(REV_PASS_CARRIED, YOY)", "FPT=A", "FPO=-1A", "ACT_EST_MAPPING=PRECISE", "FS=MRC", "CURRENCY=USD", "XLFILL=b")</f>
        <v>27.72144363390542</v>
      </c>
      <c r="L59" s="9">
        <f>_xll.BQL("LUV US Equity", "FA_GROWTH(REV_PASS_CARRIED, YOY)", "FPT=A", "FPO=-2A", "ACT_EST_MAPPING=PRECISE", "FS=MRC", "CURRENCY=USD", "XLFILL=b")</f>
        <v>83.240275107232662</v>
      </c>
      <c r="M59" s="9">
        <f>_xll.BQL("LUV US Equity", "FA_GROWTH(REV_PASS_CARRIED, YOY)", "FPT=A", "FPO=-3A", "ACT_EST_MAPPING=PRECISE", "FS=MRC", "CURRENCY=USD", "XLFILL=b")</f>
        <v>-59.652682461061048</v>
      </c>
      <c r="N59" s="9">
        <f>_xll.BQL("LUV US Equity", "FA_GROWTH(REV_PASS_CARRIED, YOY)", "FPT=A", "FPO=-4A", "ACT_EST_MAPPING=PRECISE", "FS=MRC", "CURRENCY=USD", "XLFILL=b")</f>
        <v>-0.61828156275483726</v>
      </c>
    </row>
    <row r="60" spans="1:14" x14ac:dyDescent="0.2">
      <c r="A60" s="8" t="s">
        <v>63</v>
      </c>
      <c r="B60" s="4" t="s">
        <v>26</v>
      </c>
      <c r="C60" s="4" t="s">
        <v>64</v>
      </c>
      <c r="D60" s="4"/>
      <c r="E60" s="9">
        <f>_xll.BQL("LUV US Equity", "REV_PASS_MILES_KM/1M", "FPT=A", "FPO=5A", "ACT_EST_MAPPING=PRECISE", "FS=MRC", "CURRENCY=USD", "XLFILL=b")</f>
        <v>174821.61476102157</v>
      </c>
      <c r="F60" s="9">
        <f>_xll.BQL("LUV US Equity", "REV_PASS_MILES_KM/1M", "FPT=A", "FPO=4A", "ACT_EST_MAPPING=PRECISE", "FS=MRC", "CURRENCY=USD", "XLFILL=b")</f>
        <v>169201.36860153553</v>
      </c>
      <c r="G60" s="9">
        <f>_xll.BQL("LUV US Equity", "REV_PASS_MILES_KM/1M", "FPT=A", "FPO=3A", "ACT_EST_MAPPING=PRECISE", "FS=MRC", "CURRENCY=USD", "XLFILL=b")</f>
        <v>155314.57053995109</v>
      </c>
      <c r="H60" s="9">
        <f>_xll.BQL("LUV US Equity", "REV_PASS_MILES_KM/1M", "FPT=A", "FPO=2A", "ACT_EST_MAPPING=PRECISE", "FS=MRC", "CURRENCY=USD", "XLFILL=b")</f>
        <v>148954.2428320997</v>
      </c>
      <c r="I60" s="9">
        <f>_xll.BQL("LUV US Equity", "REV_PASS_MILES_KM/1M", "FPT=A", "FPO=1A", "ACT_EST_MAPPING=PRECISE", "FS=MRC", "CURRENCY=USD", "XLFILL=b")</f>
        <v>143342.66722216964</v>
      </c>
      <c r="J60" s="9">
        <f>_xll.BQL("LUV US Equity", "REV_PASS_MILES_KM/1M", "FPT=A", "FPO=0A", "ACT_EST_MAPPING=PRECISE", "FS=MRC", "CURRENCY=USD", "XLFILL=b")</f>
        <v>136256</v>
      </c>
      <c r="K60" s="9">
        <f>_xll.BQL("LUV US Equity", "REV_PASS_MILES_KM/1M", "FPT=A", "FPO=-1A", "ACT_EST_MAPPING=PRECISE", "FS=MRC", "CURRENCY=USD", "XLFILL=b")</f>
        <v>123843</v>
      </c>
      <c r="L60" s="9">
        <f>_xll.BQL("LUV US Equity", "REV_PASS_MILES_KM/1M", "FPT=A", "FPO=-2A", "ACT_EST_MAPPING=PRECISE", "FS=MRC", "CURRENCY=USD", "XLFILL=b")</f>
        <v>103562</v>
      </c>
      <c r="M60" s="9">
        <f>_xll.BQL("LUV US Equity", "REV_PASS_MILES_KM/1M", "FPT=A", "FPO=-3A", "ACT_EST_MAPPING=PRECISE", "FS=MRC", "CURRENCY=USD", "XLFILL=b")</f>
        <v>54221</v>
      </c>
      <c r="N60" s="9">
        <f>_xll.BQL("LUV US Equity", "REV_PASS_MILES_KM/1M", "FPT=A", "FPO=-4A", "ACT_EST_MAPPING=PRECISE", "FS=MRC", "CURRENCY=USD", "XLFILL=b")</f>
        <v>131345</v>
      </c>
    </row>
    <row r="61" spans="1:14" x14ac:dyDescent="0.2">
      <c r="A61" s="8" t="s">
        <v>12</v>
      </c>
      <c r="B61" s="4" t="s">
        <v>26</v>
      </c>
      <c r="C61" s="4" t="s">
        <v>64</v>
      </c>
      <c r="D61" s="4"/>
      <c r="E61" s="9">
        <f>_xll.BQL("LUV US Equity", "FA_GROWTH(REV_PASS_MILES_KM, YOY)", "FPT=A", "FPO=5A", "ACT_EST_MAPPING=PRECISE", "FS=MRC", "CURRENCY=USD", "XLFILL=b")</f>
        <v>3.3216316191398993</v>
      </c>
      <c r="F61" s="9">
        <f>_xll.BQL("LUV US Equity", "FA_GROWTH(REV_PASS_MILES_KM, YOY)", "FPT=A", "FPO=4A", "ACT_EST_MAPPING=PRECISE", "FS=MRC", "CURRENCY=USD", "XLFILL=b")</f>
        <v>8.9410787496028163</v>
      </c>
      <c r="G61" s="9">
        <f>_xll.BQL("LUV US Equity", "FA_GROWTH(REV_PASS_MILES_KM, YOY)", "FPT=A", "FPO=3A", "ACT_EST_MAPPING=PRECISE", "FS=MRC", "CURRENCY=USD", "XLFILL=b")</f>
        <v>4.2699876062078346</v>
      </c>
      <c r="H61" s="9">
        <f>_xll.BQL("LUV US Equity", "FA_GROWTH(REV_PASS_MILES_KM, YOY)", "FPT=A", "FPO=2A", "ACT_EST_MAPPING=PRECISE", "FS=MRC", "CURRENCY=USD", "XLFILL=b")</f>
        <v>3.9147978188745163</v>
      </c>
      <c r="I61" s="9">
        <f>_xll.BQL("LUV US Equity", "FA_GROWTH(REV_PASS_MILES_KM, YOY)", "FPT=A", "FPO=1A", "ACT_EST_MAPPING=PRECISE", "FS=MRC", "CURRENCY=USD", "XLFILL=b")</f>
        <v>5.2009946146735899</v>
      </c>
      <c r="J61" s="9">
        <f>_xll.BQL("LUV US Equity", "FA_GROWTH(REV_PASS_MILES_KM, YOY)", "FPT=A", "FPO=0A", "ACT_EST_MAPPING=PRECISE", "FS=MRC", "CURRENCY=USD", "XLFILL=b")</f>
        <v>10.023174503201634</v>
      </c>
      <c r="K61" s="9">
        <f>_xll.BQL("LUV US Equity", "FA_GROWTH(REV_PASS_MILES_KM, YOY)", "FPT=A", "FPO=-1A", "ACT_EST_MAPPING=PRECISE", "FS=MRC", "CURRENCY=USD", "XLFILL=b")</f>
        <v>19.583437940557346</v>
      </c>
      <c r="L61" s="9">
        <f>_xll.BQL("LUV US Equity", "FA_GROWTH(REV_PASS_MILES_KM, YOY)", "FPT=A", "FPO=-2A", "ACT_EST_MAPPING=PRECISE", "FS=MRC", "CURRENCY=USD", "XLFILL=b")</f>
        <v>90.999797126574578</v>
      </c>
      <c r="M61" s="9">
        <f>_xll.BQL("LUV US Equity", "FA_GROWTH(REV_PASS_MILES_KM, YOY)", "FPT=A", "FPO=-3A", "ACT_EST_MAPPING=PRECISE", "FS=MRC", "CURRENCY=USD", "XLFILL=b")</f>
        <v>-58.718641745022651</v>
      </c>
      <c r="N61" s="9">
        <f>_xll.BQL("LUV US Equity", "FA_GROWTH(REV_PASS_MILES_KM, YOY)", "FPT=A", "FPO=-4A", "ACT_EST_MAPPING=PRECISE", "FS=MRC", "CURRENCY=USD", "XLFILL=b")</f>
        <v>-1.4828760444637794</v>
      </c>
    </row>
    <row r="62" spans="1:14" x14ac:dyDescent="0.2">
      <c r="A62" s="8" t="s">
        <v>46</v>
      </c>
      <c r="B62" s="4" t="s">
        <v>47</v>
      </c>
      <c r="C62" s="4"/>
      <c r="D62" s="4"/>
      <c r="E62" s="9" t="str">
        <f>_xll.BQL("LUV US Equity", "AVERAGE_PASSENGER_FARE", "FPT=A", "FPO=5A", "ACT_EST_MAPPING=PRECISE", "FS=MRC", "CURRENCY=USD", "XLFILL=b")</f>
        <v/>
      </c>
      <c r="F62" s="9" t="str">
        <f>_xll.BQL("LUV US Equity", "AVERAGE_PASSENGER_FARE", "FPT=A", "FPO=4A", "ACT_EST_MAPPING=PRECISE", "FS=MRC", "CURRENCY=USD", "XLFILL=b")</f>
        <v/>
      </c>
      <c r="G62" s="9">
        <f>_xll.BQL("LUV US Equity", "AVERAGE_PASSENGER_FARE", "FPT=A", "FPO=3A", "ACT_EST_MAPPING=PRECISE", "FS=MRC", "CURRENCY=USD", "XLFILL=b")</f>
        <v>183.22606315599506</v>
      </c>
      <c r="H62" s="9">
        <f>_xll.BQL("LUV US Equity", "AVERAGE_PASSENGER_FARE", "FPT=A", "FPO=2A", "ACT_EST_MAPPING=PRECISE", "FS=MRC", "CURRENCY=USD", "XLFILL=b")</f>
        <v>178.75618976919645</v>
      </c>
      <c r="I62" s="9">
        <f>_xll.BQL("LUV US Equity", "AVERAGE_PASSENGER_FARE", "FPT=A", "FPO=1A", "ACT_EST_MAPPING=PRECISE", "FS=MRC", "CURRENCY=USD", "XLFILL=b")</f>
        <v>174.57067854168238</v>
      </c>
      <c r="J62" s="9">
        <f>_xll.BQL("LUV US Equity", "AVERAGE_PASSENGER_FARE", "FPT=A", "FPO=0A", "ACT_EST_MAPPING=PRECISE", "FS=MRC", "CURRENCY=USD", "XLFILL=b")</f>
        <v>172.18</v>
      </c>
      <c r="K62" s="9">
        <f>_xll.BQL("LUV US Equity", "AVERAGE_PASSENGER_FARE", "FPT=A", "FPO=-1A", "ACT_EST_MAPPING=PRECISE", "FS=MRC", "CURRENCY=USD", "XLFILL=b")</f>
        <v>169.12</v>
      </c>
      <c r="L62" s="9">
        <f>_xll.BQL("LUV US Equity", "AVERAGE_PASSENGER_FARE", "FPT=A", "FPO=-2A", "ACT_EST_MAPPING=PRECISE", "FS=MRC", "CURRENCY=USD", "XLFILL=b")</f>
        <v>141.91999999999999</v>
      </c>
      <c r="M62" s="9">
        <f>_xll.BQL("LUV US Equity", "AVERAGE_PASSENGER_FARE", "FPT=A", "FPO=-3A", "ACT_EST_MAPPING=PRECISE", "FS=MRC", "CURRENCY=USD", "XLFILL=b")</f>
        <v>141.72</v>
      </c>
      <c r="N62" s="9">
        <f>_xll.BQL("LUV US Equity", "AVERAGE_PASSENGER_FARE", "FPT=A", "FPO=-4A", "ACT_EST_MAPPING=PRECISE", "FS=MRC", "CURRENCY=USD", "XLFILL=b")</f>
        <v>154.97999999999999</v>
      </c>
    </row>
    <row r="63" spans="1:14" x14ac:dyDescent="0.2">
      <c r="A63" s="8" t="s">
        <v>12</v>
      </c>
      <c r="B63" s="4" t="s">
        <v>47</v>
      </c>
      <c r="C63" s="4"/>
      <c r="D63" s="4"/>
      <c r="E63" s="9" t="str">
        <f>_xll.BQL("LUV US Equity", "FA_GROWTH(AVERAGE_PASSENGER_FARE, YOY)", "FPT=A", "FPO=5A", "ACT_EST_MAPPING=PRECISE", "FS=MRC", "CURRENCY=USD", "XLFILL=b")</f>
        <v/>
      </c>
      <c r="F63" s="9" t="str">
        <f>_xll.BQL("LUV US Equity", "FA_GROWTH(AVERAGE_PASSENGER_FARE, YOY)", "FPT=A", "FPO=4A", "ACT_EST_MAPPING=PRECISE", "FS=MRC", "CURRENCY=USD", "XLFILL=b")</f>
        <v/>
      </c>
      <c r="G63" s="9">
        <f>_xll.BQL("LUV US Equity", "FA_GROWTH(AVERAGE_PASSENGER_FARE, YOY)", "FPT=A", "FPO=3A", "ACT_EST_MAPPING=PRECISE", "FS=MRC", "CURRENCY=USD", "XLFILL=b")</f>
        <v>2.5005418791762959</v>
      </c>
      <c r="H63" s="9">
        <f>_xll.BQL("LUV US Equity", "FA_GROWTH(AVERAGE_PASSENGER_FARE, YOY)", "FPT=A", "FPO=2A", "ACT_EST_MAPPING=PRECISE", "FS=MRC", "CURRENCY=USD", "XLFILL=b")</f>
        <v>2.3976026572610771</v>
      </c>
      <c r="I63" s="9">
        <f>_xll.BQL("LUV US Equity", "FA_GROWTH(AVERAGE_PASSENGER_FARE, YOY)", "FPT=A", "FPO=1A", "ACT_EST_MAPPING=PRECISE", "FS=MRC", "CURRENCY=USD", "XLFILL=b")</f>
        <v>1.3884763280766503</v>
      </c>
      <c r="J63" s="9">
        <f>_xll.BQL("LUV US Equity", "FA_GROWTH(AVERAGE_PASSENGER_FARE, YOY)", "FPT=A", "FPO=0A", "ACT_EST_MAPPING=PRECISE", "FS=MRC", "CURRENCY=USD", "XLFILL=b")</f>
        <v>1.8093661305581847</v>
      </c>
      <c r="K63" s="9">
        <f>_xll.BQL("LUV US Equity", "FA_GROWTH(AVERAGE_PASSENGER_FARE, YOY)", "FPT=A", "FPO=-1A", "ACT_EST_MAPPING=PRECISE", "FS=MRC", "CURRENCY=USD", "XLFILL=b")</f>
        <v>19.165727170236767</v>
      </c>
      <c r="L63" s="9">
        <f>_xll.BQL("LUV US Equity", "FA_GROWTH(AVERAGE_PASSENGER_FARE, YOY)", "FPT=A", "FPO=-2A", "ACT_EST_MAPPING=PRECISE", "FS=MRC", "CURRENCY=USD", "XLFILL=b")</f>
        <v>0.14112334180072583</v>
      </c>
      <c r="M63" s="9">
        <f>_xll.BQL("LUV US Equity", "FA_GROWTH(AVERAGE_PASSENGER_FARE, YOY)", "FPT=A", "FPO=-3A", "ACT_EST_MAPPING=PRECISE", "FS=MRC", "CURRENCY=USD", "XLFILL=b")</f>
        <v>-8.5559427022841597</v>
      </c>
      <c r="N63" s="9">
        <f>_xll.BQL("LUV US Equity", "FA_GROWTH(AVERAGE_PASSENGER_FARE, YOY)", "FPT=A", "FPO=-4A", "ACT_EST_MAPPING=PRECISE", "FS=MRC", "CURRENCY=USD", "XLFILL=b")</f>
        <v>2.202585069902403</v>
      </c>
    </row>
    <row r="64" spans="1:14" x14ac:dyDescent="0.2">
      <c r="A64" s="8" t="s">
        <v>65</v>
      </c>
      <c r="B64" s="4" t="s">
        <v>66</v>
      </c>
      <c r="C64" s="4"/>
      <c r="D64" s="4"/>
      <c r="E64" s="9">
        <f>_xll.BQL("LUV US Equity", "TOTAL_REVENUE_PER_ASM", "FPT=A", "FPO=5A", "ACT_EST_MAPPING=PRECISE", "FS=MRC", "CURRENCY=USD", "XLFILL=b")</f>
        <v>15.839986975578469</v>
      </c>
      <c r="F64" s="9">
        <f>_xll.BQL("LUV US Equity", "TOTAL_REVENUE_PER_ASM", "FPT=A", "FPO=4A", "ACT_EST_MAPPING=PRECISE", "FS=MRC", "CURRENCY=USD", "XLFILL=b")</f>
        <v>16.092194685919686</v>
      </c>
      <c r="G64" s="9">
        <f>_xll.BQL("LUV US Equity", "TOTAL_REVENUE_PER_ASM", "FPT=A", "FPO=3A", "ACT_EST_MAPPING=PRECISE", "FS=MRC", "CURRENCY=USD", "XLFILL=b")</f>
        <v>16.165856765351272</v>
      </c>
      <c r="H64" s="9">
        <f>_xll.BQL("LUV US Equity", "TOTAL_REVENUE_PER_ASM", "FPT=A", "FPO=2A", "ACT_EST_MAPPING=PRECISE", "FS=MRC", "CURRENCY=USD", "XLFILL=b")</f>
        <v>15.831909248061862</v>
      </c>
      <c r="I64" s="9">
        <f>_xll.BQL("LUV US Equity", "TOTAL_REVENUE_PER_ASM", "FPT=A", "FPO=1A", "ACT_EST_MAPPING=PRECISE", "FS=MRC", "CURRENCY=USD", "XLFILL=b")</f>
        <v>15.271384846674867</v>
      </c>
      <c r="J64" s="9">
        <f>_xll.BQL("LUV US Equity", "TOTAL_REVENUE_PER_ASM", "FPT=A", "FPO=0A", "ACT_EST_MAPPING=PRECISE", "FS=MRC", "CURRENCY=USD", "XLFILL=b")</f>
        <v>15.32</v>
      </c>
      <c r="K64" s="9">
        <f>_xll.BQL("LUV US Equity", "TOTAL_REVENUE_PER_ASM", "FPT=A", "FPO=-1A", "ACT_EST_MAPPING=PRECISE", "FS=MRC", "CURRENCY=USD", "XLFILL=b")</f>
        <v>16.04</v>
      </c>
      <c r="L64" s="9">
        <f>_xll.BQL("LUV US Equity", "TOTAL_REVENUE_PER_ASM", "FPT=A", "FPO=-2A", "ACT_EST_MAPPING=PRECISE", "FS=MRC", "CURRENCY=USD", "XLFILL=b")</f>
        <v>11.96</v>
      </c>
      <c r="M64" s="9">
        <f>_xll.BQL("LUV US Equity", "TOTAL_REVENUE_PER_ASM", "FPT=A", "FPO=-3A", "ACT_EST_MAPPING=PRECISE", "FS=MRC", "CURRENCY=USD", "XLFILL=b")</f>
        <v>8.75</v>
      </c>
      <c r="N64" s="9">
        <f>_xll.BQL("LUV US Equity", "TOTAL_REVENUE_PER_ASM", "FPT=A", "FPO=-4A", "ACT_EST_MAPPING=PRECISE", "FS=MRC", "CURRENCY=USD", "XLFILL=b")</f>
        <v>14.26</v>
      </c>
    </row>
    <row r="65" spans="1:14" x14ac:dyDescent="0.2">
      <c r="A65" s="8" t="s">
        <v>12</v>
      </c>
      <c r="B65" s="4" t="s">
        <v>66</v>
      </c>
      <c r="C65" s="4"/>
      <c r="D65" s="4"/>
      <c r="E65" s="9">
        <f>_xll.BQL("LUV US Equity", "FA_GROWTH(TOTAL_REVENUE_PER_ASM, YOY)", "FPT=A", "FPO=5A", "ACT_EST_MAPPING=PRECISE", "FS=MRC", "CURRENCY=USD", "XLFILL=b")</f>
        <v>-1.5672673321675221</v>
      </c>
      <c r="F65" s="9">
        <f>_xll.BQL("LUV US Equity", "FA_GROWTH(TOTAL_REVENUE_PER_ASM, YOY)", "FPT=A", "FPO=4A", "ACT_EST_MAPPING=PRECISE", "FS=MRC", "CURRENCY=USD", "XLFILL=b")</f>
        <v>-0.45566455586484844</v>
      </c>
      <c r="G65" s="9">
        <f>_xll.BQL("LUV US Equity", "FA_GROWTH(TOTAL_REVENUE_PER_ASM, YOY)", "FPT=A", "FPO=3A", "ACT_EST_MAPPING=PRECISE", "FS=MRC", "CURRENCY=USD", "XLFILL=b")</f>
        <v>2.1093319324723359</v>
      </c>
      <c r="H65" s="9">
        <f>_xll.BQL("LUV US Equity", "FA_GROWTH(TOTAL_REVENUE_PER_ASM, YOY)", "FPT=A", "FPO=2A", "ACT_EST_MAPPING=PRECISE", "FS=MRC", "CURRENCY=USD", "XLFILL=b")</f>
        <v>3.6704228661295386</v>
      </c>
      <c r="I65" s="9">
        <f>_xll.BQL("LUV US Equity", "FA_GROWTH(TOTAL_REVENUE_PER_ASM, YOY)", "FPT=A", "FPO=1A", "ACT_EST_MAPPING=PRECISE", "FS=MRC", "CURRENCY=USD", "XLFILL=b")</f>
        <v>-0.31733128802306643</v>
      </c>
      <c r="J65" s="9">
        <f>_xll.BQL("LUV US Equity", "FA_GROWTH(TOTAL_REVENUE_PER_ASM, YOY)", "FPT=A", "FPO=0A", "ACT_EST_MAPPING=PRECISE", "FS=MRC", "CURRENCY=USD", "XLFILL=b")</f>
        <v>-4.488778054862836</v>
      </c>
      <c r="K65" s="9">
        <f>_xll.BQL("LUV US Equity", "FA_GROWTH(TOTAL_REVENUE_PER_ASM, YOY)", "FPT=A", "FPO=-1A", "ACT_EST_MAPPING=PRECISE", "FS=MRC", "CURRENCY=USD", "XLFILL=b")</f>
        <v>34.113712374581922</v>
      </c>
      <c r="L65" s="9">
        <f>_xll.BQL("LUV US Equity", "FA_GROWTH(TOTAL_REVENUE_PER_ASM, YOY)", "FPT=A", "FPO=-2A", "ACT_EST_MAPPING=PRECISE", "FS=MRC", "CURRENCY=USD", "XLFILL=b")</f>
        <v>36.685714285714297</v>
      </c>
      <c r="M65" s="9">
        <f>_xll.BQL("LUV US Equity", "FA_GROWTH(TOTAL_REVENUE_PER_ASM, YOY)", "FPT=A", "FPO=-3A", "ACT_EST_MAPPING=PRECISE", "FS=MRC", "CURRENCY=USD", "XLFILL=b")</f>
        <v>-38.639551192145866</v>
      </c>
      <c r="N65" s="9">
        <f>_xll.BQL("LUV US Equity", "FA_GROWTH(TOTAL_REVENUE_PER_ASM, YOY)", "FPT=A", "FPO=-4A", "ACT_EST_MAPPING=PRECISE", "FS=MRC", "CURRENCY=USD", "XLFILL=b")</f>
        <v>3.7090909090909077</v>
      </c>
    </row>
    <row r="66" spans="1:14" x14ac:dyDescent="0.2">
      <c r="A66" s="8" t="s">
        <v>67</v>
      </c>
      <c r="B66" s="4" t="s">
        <v>35</v>
      </c>
      <c r="C66" s="4"/>
      <c r="D66" s="4"/>
      <c r="E66" s="9">
        <f>_xll.BQL("LUV US Equity", "PASSENGER_REVENUE_PER_ASM", "FPT=A", "FPO=5A", "ACT_EST_MAPPING=PRECISE", "FS=MRC", "CURRENCY=USD", "XLFILL=b")</f>
        <v>14.544732176211797</v>
      </c>
      <c r="F66" s="9">
        <f>_xll.BQL("LUV US Equity", "PASSENGER_REVENUE_PER_ASM", "FPT=A", "FPO=4A", "ACT_EST_MAPPING=PRECISE", "FS=MRC", "CURRENCY=USD", "XLFILL=b")</f>
        <v>14.735684750770606</v>
      </c>
      <c r="G66" s="9">
        <f>_xll.BQL("LUV US Equity", "PASSENGER_REVENUE_PER_ASM", "FPT=A", "FPO=3A", "ACT_EST_MAPPING=PRECISE", "FS=MRC", "CURRENCY=USD", "XLFILL=b")</f>
        <v>14.711541684360899</v>
      </c>
      <c r="H66" s="9">
        <f>_xll.BQL("LUV US Equity", "PASSENGER_REVENUE_PER_ASM", "FPT=A", "FPO=2A", "ACT_EST_MAPPING=PRECISE", "FS=MRC", "CURRENCY=USD", "XLFILL=b")</f>
        <v>14.397491989874759</v>
      </c>
      <c r="I66" s="9">
        <f>_xll.BQL("LUV US Equity", "PASSENGER_REVENUE_PER_ASM", "FPT=A", "FPO=1A", "ACT_EST_MAPPING=PRECISE", "FS=MRC", "CURRENCY=USD", "XLFILL=b")</f>
        <v>13.84137720189829</v>
      </c>
      <c r="J66" s="9">
        <f>_xll.BQL("LUV US Equity", "PASSENGER_REVENUE_PER_ASM", "FPT=A", "FPO=0A", "ACT_EST_MAPPING=PRECISE", "FS=MRC", "CURRENCY=USD", "XLFILL=b")</f>
        <v>13.88</v>
      </c>
      <c r="K66" s="9">
        <f>_xll.BQL("LUV US Equity", "PASSENGER_REVENUE_PER_ASM", "FPT=A", "FPO=-1A", "ACT_EST_MAPPING=PRECISE", "FS=MRC", "CURRENCY=USD", "XLFILL=b")</f>
        <v>14.42</v>
      </c>
      <c r="L66" s="9">
        <f>_xll.BQL("LUV US Equity", "PASSENGER_REVENUE_PER_ASM", "FPT=A", "FPO=-2A", "ACT_EST_MAPPING=PRECISE", "FS=MRC", "CURRENCY=USD", "XLFILL=b")</f>
        <v>10.66</v>
      </c>
      <c r="M66" s="9">
        <f>_xll.BQL("LUV US Equity", "PASSENGER_REVENUE_PER_ASM", "FPT=A", "FPO=-3A", "ACT_EST_MAPPING=PRECISE", "FS=MRC", "CURRENCY=USD", "XLFILL=b")</f>
        <v>7.41</v>
      </c>
      <c r="N66" s="9">
        <f>_xll.BQL("LUV US Equity", "PASSENGER_REVENUE_PER_ASM", "FPT=A", "FPO=-4A", "ACT_EST_MAPPING=PRECISE", "FS=MRC", "CURRENCY=USD", "XLFILL=b")</f>
        <v>13.21</v>
      </c>
    </row>
    <row r="67" spans="1:14" x14ac:dyDescent="0.2">
      <c r="A67" s="8" t="s">
        <v>12</v>
      </c>
      <c r="B67" s="4" t="s">
        <v>35</v>
      </c>
      <c r="C67" s="4"/>
      <c r="D67" s="4"/>
      <c r="E67" s="9">
        <f>_xll.BQL("LUV US Equity", "FA_GROWTH(PASSENGER_REVENUE_PER_ASM, YOY)", "FPT=A", "FPO=5A", "ACT_EST_MAPPING=PRECISE", "FS=MRC", "CURRENCY=USD", "XLFILL=b")</f>
        <v>-1.2958513824667894</v>
      </c>
      <c r="F67" s="9">
        <f>_xll.BQL("LUV US Equity", "FA_GROWTH(PASSENGER_REVENUE_PER_ASM, YOY)", "FPT=A", "FPO=4A", "ACT_EST_MAPPING=PRECISE", "FS=MRC", "CURRENCY=USD", "XLFILL=b")</f>
        <v>0.16410969650700802</v>
      </c>
      <c r="G67" s="9">
        <f>_xll.BQL("LUV US Equity", "FA_GROWTH(PASSENGER_REVENUE_PER_ASM, YOY)", "FPT=A", "FPO=3A", "ACT_EST_MAPPING=PRECISE", "FS=MRC", "CURRENCY=USD", "XLFILL=b")</f>
        <v>2.181280564052408</v>
      </c>
      <c r="H67" s="9">
        <f>_xll.BQL("LUV US Equity", "FA_GROWTH(PASSENGER_REVENUE_PER_ASM, YOY)", "FPT=A", "FPO=2A", "ACT_EST_MAPPING=PRECISE", "FS=MRC", "CURRENCY=USD", "XLFILL=b")</f>
        <v>4.0177706297910882</v>
      </c>
      <c r="I67" s="9">
        <f>_xll.BQL("LUV US Equity", "FA_GROWTH(PASSENGER_REVENUE_PER_ASM, YOY)", "FPT=A", "FPO=1A", "ACT_EST_MAPPING=PRECISE", "FS=MRC", "CURRENCY=USD", "XLFILL=b")</f>
        <v>-0.27826223416218371</v>
      </c>
      <c r="J67" s="9">
        <f>_xll.BQL("LUV US Equity", "FA_GROWTH(PASSENGER_REVENUE_PER_ASM, YOY)", "FPT=A", "FPO=0A", "ACT_EST_MAPPING=PRECISE", "FS=MRC", "CURRENCY=USD", "XLFILL=b")</f>
        <v>-3.7447988904299523</v>
      </c>
      <c r="K67" s="9">
        <f>_xll.BQL("LUV US Equity", "FA_GROWTH(PASSENGER_REVENUE_PER_ASM, YOY)", "FPT=A", "FPO=-1A", "ACT_EST_MAPPING=PRECISE", "FS=MRC", "CURRENCY=USD", "XLFILL=b")</f>
        <v>35.272045028142585</v>
      </c>
      <c r="L67" s="9">
        <f>_xll.BQL("LUV US Equity", "FA_GROWTH(PASSENGER_REVENUE_PER_ASM, YOY)", "FPT=A", "FPO=-2A", "ACT_EST_MAPPING=PRECISE", "FS=MRC", "CURRENCY=USD", "XLFILL=b")</f>
        <v>43.859649122807014</v>
      </c>
      <c r="M67" s="9">
        <f>_xll.BQL("LUV US Equity", "FA_GROWTH(PASSENGER_REVENUE_PER_ASM, YOY)", "FPT=A", "FPO=-3A", "ACT_EST_MAPPING=PRECISE", "FS=MRC", "CURRENCY=USD", "XLFILL=b")</f>
        <v>-43.906131718395159</v>
      </c>
      <c r="N67" s="9">
        <f>_xll.BQL("LUV US Equity", "FA_GROWTH(PASSENGER_REVENUE_PER_ASM, YOY)", "FPT=A", "FPO=-4A", "ACT_EST_MAPPING=PRECISE", "FS=MRC", "CURRENCY=USD", "XLFILL=b")</f>
        <v>3.2031250000000009</v>
      </c>
    </row>
    <row r="68" spans="1:14" x14ac:dyDescent="0.2">
      <c r="A68" s="8" t="s">
        <v>68</v>
      </c>
      <c r="B68" s="4" t="s">
        <v>69</v>
      </c>
      <c r="C68" s="4"/>
      <c r="D68" s="4"/>
      <c r="E68" s="9" t="str">
        <f>_xll.BQL("LUV US Equity", "CONSOLIDATED_CASM_EX_FUEL", "FPT=A", "FPO=5A", "ACT_EST_MAPPING=PRECISE", "FS=MRC", "CURRENCY=USD", "XLFILL=b")</f>
        <v/>
      </c>
      <c r="F68" s="9">
        <f>_xll.BQL("LUV US Equity", "CONSOLIDATED_CASM_EX_FUEL", "FPT=A", "FPO=4A", "ACT_EST_MAPPING=PRECISE", "FS=MRC", "CURRENCY=USD", "XLFILL=b")</f>
        <v>12.6305792934648</v>
      </c>
      <c r="G68" s="9">
        <f>_xll.BQL("LUV US Equity", "CONSOLIDATED_CASM_EX_FUEL", "FPT=A", "FPO=3A", "ACT_EST_MAPPING=PRECISE", "FS=MRC", "CURRENCY=USD", "XLFILL=b")</f>
        <v>12.538845221296667</v>
      </c>
      <c r="H68" s="9">
        <f>_xll.BQL("LUV US Equity", "CONSOLIDATED_CASM_EX_FUEL", "FPT=A", "FPO=2A", "ACT_EST_MAPPING=PRECISE", "FS=MRC", "CURRENCY=USD", "XLFILL=b")</f>
        <v>12.340677056587102</v>
      </c>
      <c r="I68" s="9">
        <f>_xll.BQL("LUV US Equity", "CONSOLIDATED_CASM_EX_FUEL", "FPT=A", "FPO=1A", "ACT_EST_MAPPING=PRECISE", "FS=MRC", "CURRENCY=USD", "XLFILL=b")</f>
        <v>11.958466561825929</v>
      </c>
      <c r="J68" s="9">
        <f>_xll.BQL("LUV US Equity", "CONSOLIDATED_CASM_EX_FUEL", "FPT=A", "FPO=0A", "ACT_EST_MAPPING=PRECISE", "FS=MRC", "CURRENCY=USD", "XLFILL=b")</f>
        <v>11.536903000000001</v>
      </c>
      <c r="K68" s="9">
        <f>_xll.BQL("LUV US Equity", "CONSOLIDATED_CASM_EX_FUEL", "FPT=A", "FPO=-1A", "ACT_EST_MAPPING=PRECISE", "FS=MRC", "CURRENCY=USD", "XLFILL=b")</f>
        <v>11.22</v>
      </c>
      <c r="L68" s="9">
        <f>_xll.BQL("LUV US Equity", "CONSOLIDATED_CASM_EX_FUEL", "FPT=A", "FPO=-2A", "ACT_EST_MAPPING=PRECISE", "FS=MRC", "CURRENCY=USD", "XLFILL=b")</f>
        <v>8.15</v>
      </c>
      <c r="M68" s="9">
        <f>_xll.BQL("LUV US Equity", "CONSOLIDATED_CASM_EX_FUEL", "FPT=A", "FPO=-3A", "ACT_EST_MAPPING=PRECISE", "FS=MRC", "CURRENCY=USD", "XLFILL=b")</f>
        <v>10.65</v>
      </c>
      <c r="N68" s="9">
        <f>_xll.BQL("LUV US Equity", "CONSOLIDATED_CASM_EX_FUEL", "FPT=A", "FPO=-4A", "ACT_EST_MAPPING=PRECISE", "FS=MRC", "CURRENCY=USD", "XLFILL=b")</f>
        <v>9.6199999999999992</v>
      </c>
    </row>
    <row r="69" spans="1:14" x14ac:dyDescent="0.2">
      <c r="A69" s="8" t="s">
        <v>12</v>
      </c>
      <c r="B69" s="4" t="s">
        <v>69</v>
      </c>
      <c r="C69" s="4"/>
      <c r="D69" s="4"/>
      <c r="E69" s="9" t="str">
        <f>_xll.BQL("LUV US Equity", "FA_GROWTH(CONSOLIDATED_CASM_EX_FUEL, YOY)", "FPT=A", "FPO=5A", "ACT_EST_MAPPING=PRECISE", "FS=MRC", "CURRENCY=USD", "XLFILL=b")</f>
        <v/>
      </c>
      <c r="F69" s="9">
        <f>_xll.BQL("LUV US Equity", "FA_GROWTH(CONSOLIDATED_CASM_EX_FUEL, YOY)", "FPT=A", "FPO=4A", "ACT_EST_MAPPING=PRECISE", "FS=MRC", "CURRENCY=USD", "XLFILL=b")</f>
        <v>0.73159904719397317</v>
      </c>
      <c r="G69" s="9">
        <f>_xll.BQL("LUV US Equity", "FA_GROWTH(CONSOLIDATED_CASM_EX_FUEL, YOY)", "FPT=A", "FPO=3A", "ACT_EST_MAPPING=PRECISE", "FS=MRC", "CURRENCY=USD", "XLFILL=b")</f>
        <v>1.6058127426954065</v>
      </c>
      <c r="H69" s="9">
        <f>_xll.BQL("LUV US Equity", "FA_GROWTH(CONSOLIDATED_CASM_EX_FUEL, YOY)", "FPT=A", "FPO=2A", "ACT_EST_MAPPING=PRECISE", "FS=MRC", "CURRENCY=USD", "XLFILL=b")</f>
        <v>3.1961497135533543</v>
      </c>
      <c r="I69" s="9">
        <f>_xll.BQL("LUV US Equity", "FA_GROWTH(CONSOLIDATED_CASM_EX_FUEL, YOY)", "FPT=A", "FPO=1A", "ACT_EST_MAPPING=PRECISE", "FS=MRC", "CURRENCY=USD", "XLFILL=b")</f>
        <v>3.654044433119779</v>
      </c>
      <c r="J69" s="9">
        <f>_xll.BQL("LUV US Equity", "FA_GROWTH(CONSOLIDATED_CASM_EX_FUEL, YOY)", "FPT=A", "FPO=0A", "ACT_EST_MAPPING=PRECISE", "FS=MRC", "CURRENCY=USD", "XLFILL=b")</f>
        <v>2.8244474153297676</v>
      </c>
      <c r="K69" s="9">
        <f>_xll.BQL("LUV US Equity", "FA_GROWTH(CONSOLIDATED_CASM_EX_FUEL, YOY)", "FPT=A", "FPO=-1A", "ACT_EST_MAPPING=PRECISE", "FS=MRC", "CURRENCY=USD", "XLFILL=b")</f>
        <v>37.668711656441715</v>
      </c>
      <c r="L69" s="9">
        <f>_xll.BQL("LUV US Equity", "FA_GROWTH(CONSOLIDATED_CASM_EX_FUEL, YOY)", "FPT=A", "FPO=-2A", "ACT_EST_MAPPING=PRECISE", "FS=MRC", "CURRENCY=USD", "XLFILL=b")</f>
        <v>-23.474178403755868</v>
      </c>
      <c r="M69" s="9">
        <f>_xll.BQL("LUV US Equity", "FA_GROWTH(CONSOLIDATED_CASM_EX_FUEL, YOY)", "FPT=A", "FPO=-3A", "ACT_EST_MAPPING=PRECISE", "FS=MRC", "CURRENCY=USD", "XLFILL=b")</f>
        <v>10.70686070686072</v>
      </c>
      <c r="N69" s="9">
        <f>_xll.BQL("LUV US Equity", "FA_GROWTH(CONSOLIDATED_CASM_EX_FUEL, YOY)", "FPT=A", "FPO=-4A", "ACT_EST_MAPPING=PRECISE", "FS=MRC", "CURRENCY=USD", "XLFILL=b")</f>
        <v>8.7005649717514082</v>
      </c>
    </row>
    <row r="70" spans="1:14" x14ac:dyDescent="0.2">
      <c r="A70" s="8" t="s">
        <v>36</v>
      </c>
      <c r="B70" s="4" t="s">
        <v>37</v>
      </c>
      <c r="C70" s="4"/>
      <c r="D70" s="4"/>
      <c r="E70" s="9">
        <f>_xll.BQL("LUV US Equity", "YIELD_PER_PASS_MILES_KM", "FPT=A", "FPO=5A", "ACT_EST_MAPPING=PRECISE", "FS=MRC", "CURRENCY=USD", "XLFILL=b")</f>
        <v>17.74713460161507</v>
      </c>
      <c r="F70" s="9">
        <f>_xll.BQL("LUV US Equity", "YIELD_PER_PASS_MILES_KM", "FPT=A", "FPO=4A", "ACT_EST_MAPPING=PRECISE", "FS=MRC", "CURRENCY=USD", "XLFILL=b")</f>
        <v>17.805490857896004</v>
      </c>
      <c r="G70" s="9">
        <f>_xll.BQL("LUV US Equity", "YIELD_PER_PASS_MILES_KM", "FPT=A", "FPO=3A", "ACT_EST_MAPPING=PRECISE", "FS=MRC", "CURRENCY=USD", "XLFILL=b")</f>
        <v>18.00081711502915</v>
      </c>
      <c r="H70" s="9">
        <f>_xll.BQL("LUV US Equity", "YIELD_PER_PASS_MILES_KM", "FPT=A", "FPO=2A", "ACT_EST_MAPPING=PRECISE", "FS=MRC", "CURRENCY=USD", "XLFILL=b")</f>
        <v>17.658751772780455</v>
      </c>
      <c r="I70" s="9">
        <f>_xll.BQL("LUV US Equity", "YIELD_PER_PASS_MILES_KM", "FPT=A", "FPO=1A", "ACT_EST_MAPPING=PRECISE", "FS=MRC", "CURRENCY=USD", "XLFILL=b")</f>
        <v>17.12827336497952</v>
      </c>
      <c r="J70" s="9">
        <f>_xll.BQL("LUV US Equity", "YIELD_PER_PASS_MILES_KM", "FPT=A", "FPO=0A", "ACT_EST_MAPPING=PRECISE", "FS=MRC", "CURRENCY=USD", "XLFILL=b")</f>
        <v>17.350000000000001</v>
      </c>
      <c r="K70" s="9">
        <f>_xll.BQL("LUV US Equity", "YIELD_PER_PASS_MILES_KM", "FPT=A", "FPO=-1A", "ACT_EST_MAPPING=PRECISE", "FS=MRC", "CURRENCY=USD", "XLFILL=b")</f>
        <v>17.29</v>
      </c>
      <c r="L70" s="9">
        <f>_xll.BQL("LUV US Equity", "YIELD_PER_PASS_MILES_KM", "FPT=A", "FPO=-2A", "ACT_EST_MAPPING=PRECISE", "FS=MRC", "CURRENCY=USD", "XLFILL=b")</f>
        <v>13.58</v>
      </c>
      <c r="M70" s="9">
        <f>_xll.BQL("LUV US Equity", "YIELD_PER_PASS_MILES_KM", "FPT=A", "FPO=-3A", "ACT_EST_MAPPING=PRECISE", "FS=MRC", "CURRENCY=USD", "XLFILL=b")</f>
        <v>14.14</v>
      </c>
      <c r="N70" s="9">
        <f>_xll.BQL("LUV US Equity", "YIELD_PER_PASS_MILES_KM", "FPT=A", "FPO=-4A", "ACT_EST_MAPPING=PRECISE", "FS=MRC", "CURRENCY=USD", "XLFILL=b")</f>
        <v>15.82</v>
      </c>
    </row>
    <row r="71" spans="1:14" x14ac:dyDescent="0.2">
      <c r="A71" s="8" t="s">
        <v>12</v>
      </c>
      <c r="B71" s="4" t="s">
        <v>37</v>
      </c>
      <c r="C71" s="4"/>
      <c r="D71" s="4"/>
      <c r="E71" s="9">
        <f>_xll.BQL("LUV US Equity", "FA_GROWTH(YIELD_PER_PASS_MILES_KM, YOY)", "FPT=A", "FPO=5A", "ACT_EST_MAPPING=PRECISE", "FS=MRC", "CURRENCY=USD", "XLFILL=b")</f>
        <v>-0.32774303582344377</v>
      </c>
      <c r="F71" s="9">
        <f>_xll.BQL("LUV US Equity", "FA_GROWTH(YIELD_PER_PASS_MILES_KM, YOY)", "FPT=A", "FPO=4A", "ACT_EST_MAPPING=PRECISE", "FS=MRC", "CURRENCY=USD", "XLFILL=b")</f>
        <v>-1.0850966146979275</v>
      </c>
      <c r="G71" s="9">
        <f>_xll.BQL("LUV US Equity", "FA_GROWTH(YIELD_PER_PASS_MILES_KM, YOY)", "FPT=A", "FPO=3A", "ACT_EST_MAPPING=PRECISE", "FS=MRC", "CURRENCY=USD", "XLFILL=b")</f>
        <v>1.9370867581703097</v>
      </c>
      <c r="H71" s="9">
        <f>_xll.BQL("LUV US Equity", "FA_GROWTH(YIELD_PER_PASS_MILES_KM, YOY)", "FPT=A", "FPO=2A", "ACT_EST_MAPPING=PRECISE", "FS=MRC", "CURRENCY=USD", "XLFILL=b")</f>
        <v>3.0970921382277288</v>
      </c>
      <c r="I71" s="9">
        <f>_xll.BQL("LUV US Equity", "FA_GROWTH(YIELD_PER_PASS_MILES_KM, YOY)", "FPT=A", "FPO=1A", "ACT_EST_MAPPING=PRECISE", "FS=MRC", "CURRENCY=USD", "XLFILL=b")</f>
        <v>-1.2779633142390832</v>
      </c>
      <c r="J71" s="9">
        <f>_xll.BQL("LUV US Equity", "FA_GROWTH(YIELD_PER_PASS_MILES_KM, YOY)", "FPT=A", "FPO=0A", "ACT_EST_MAPPING=PRECISE", "FS=MRC", "CURRENCY=USD", "XLFILL=b")</f>
        <v>0.34702139965299178</v>
      </c>
      <c r="K71" s="9">
        <f>_xll.BQL("LUV US Equity", "FA_GROWTH(YIELD_PER_PASS_MILES_KM, YOY)", "FPT=A", "FPO=-1A", "ACT_EST_MAPPING=PRECISE", "FS=MRC", "CURRENCY=USD", "XLFILL=b")</f>
        <v>27.319587628865971</v>
      </c>
      <c r="L71" s="9">
        <f>_xll.BQL("LUV US Equity", "FA_GROWTH(YIELD_PER_PASS_MILES_KM, YOY)", "FPT=A", "FPO=-2A", "ACT_EST_MAPPING=PRECISE", "FS=MRC", "CURRENCY=USD", "XLFILL=b")</f>
        <v>-3.9603960396039639</v>
      </c>
      <c r="M71" s="9">
        <f>_xll.BQL("LUV US Equity", "FA_GROWTH(YIELD_PER_PASS_MILES_KM, YOY)", "FPT=A", "FPO=-3A", "ACT_EST_MAPPING=PRECISE", "FS=MRC", "CURRENCY=USD", "XLFILL=b")</f>
        <v>-10.619469026548671</v>
      </c>
      <c r="N71" s="9">
        <f>_xll.BQL("LUV US Equity", "FA_GROWTH(YIELD_PER_PASS_MILES_KM, YOY)", "FPT=A", "FPO=-4A", "ACT_EST_MAPPING=PRECISE", "FS=MRC", "CURRENCY=USD", "XLFILL=b")</f>
        <v>3.1290743155149965</v>
      </c>
    </row>
    <row r="72" spans="1:14" x14ac:dyDescent="0.2">
      <c r="A72" s="8" t="s">
        <v>70</v>
      </c>
      <c r="B72" s="4" t="s">
        <v>71</v>
      </c>
      <c r="C72" s="4"/>
      <c r="D72" s="4"/>
      <c r="E72" s="9">
        <f>_xll.BQL("LUV US Equity", "OPERATING_RATIO", "FPT=A", "FPO=5A", "ACT_EST_MAPPING=PRECISE", "FS=MRC", "CURRENCY=USD", "XLFILL=b")</f>
        <v>94.989157963236039</v>
      </c>
      <c r="F72" s="9">
        <f>_xll.BQL("LUV US Equity", "OPERATING_RATIO", "FPT=A", "FPO=4A", "ACT_EST_MAPPING=PRECISE", "FS=MRC", "CURRENCY=USD", "XLFILL=b")</f>
        <v>95.022229082817631</v>
      </c>
      <c r="G72" s="9">
        <f>_xll.BQL("LUV US Equity", "OPERATING_RATIO", "FPT=A", "FPO=3A", "ACT_EST_MAPPING=PRECISE", "FS=MRC", "CURRENCY=USD", "XLFILL=b")</f>
        <v>96.005093582019128</v>
      </c>
      <c r="H72" s="9">
        <f>_xll.BQL("LUV US Equity", "OPERATING_RATIO", "FPT=A", "FPO=2A", "ACT_EST_MAPPING=PRECISE", "FS=MRC", "CURRENCY=USD", "XLFILL=b")</f>
        <v>97.799599191378462</v>
      </c>
      <c r="I72" s="9">
        <f>_xll.BQL("LUV US Equity", "OPERATING_RATIO", "FPT=A", "FPO=1A", "ACT_EST_MAPPING=PRECISE", "FS=MRC", "CURRENCY=USD", "XLFILL=b")</f>
        <v>100.66389533966219</v>
      </c>
      <c r="J72" s="9">
        <f>_xll.BQL("LUV US Equity", "OPERATING_RATIO", "FPT=A", "FPO=0A", "ACT_EST_MAPPING=PRECISE", "FS=MRC", "CURRENCY=USD", "XLFILL=b")</f>
        <v>99.141465999999994</v>
      </c>
      <c r="K72" s="9">
        <f>_xll.BQL("LUV US Equity", "OPERATING_RATIO", "FPT=A", "FPO=-1A", "ACT_EST_MAPPING=PRECISE", "FS=MRC", "CURRENCY=USD", "XLFILL=b")</f>
        <v>95.729403000000005</v>
      </c>
      <c r="L72" s="9">
        <f>_xll.BQL("LUV US Equity", "OPERATING_RATIO", "FPT=A", "FPO=-2A", "ACT_EST_MAPPING=PRECISE", "FS=MRC", "CURRENCY=USD", "XLFILL=b")</f>
        <v>89.100696999999997</v>
      </c>
      <c r="M72" s="9">
        <f>_xll.BQL("LUV US Equity", "OPERATING_RATIO", "FPT=A", "FPO=-3A", "ACT_EST_MAPPING=PRECISE", "FS=MRC", "CURRENCY=USD", "XLFILL=b")</f>
        <v>142.17506599999999</v>
      </c>
      <c r="N72" s="9">
        <f>_xll.BQL("LUV US Equity", "OPERATING_RATIO", "FPT=A", "FPO=-4A", "ACT_EST_MAPPING=PRECISE", "FS=MRC", "CURRENCY=USD", "XLFILL=b")</f>
        <v>86.815588000000005</v>
      </c>
    </row>
    <row r="73" spans="1:14" x14ac:dyDescent="0.2">
      <c r="A73" s="8" t="s">
        <v>12</v>
      </c>
      <c r="B73" s="4" t="s">
        <v>71</v>
      </c>
      <c r="C73" s="4"/>
      <c r="D73" s="4"/>
      <c r="E73" s="9">
        <f>_xll.BQL("LUV US Equity", "FA_GROWTH(OPERATING_RATIO, YOY)", "FPT=A", "FPO=5A", "ACT_EST_MAPPING=PRECISE", "FS=MRC", "CURRENCY=USD", "XLFILL=b")</f>
        <v>-3.4803561125438101E-2</v>
      </c>
      <c r="F73" s="9">
        <f>_xll.BQL("LUV US Equity", "FA_GROWTH(OPERATING_RATIO, YOY)", "FPT=A", "FPO=4A", "ACT_EST_MAPPING=PRECISE", "FS=MRC", "CURRENCY=USD", "XLFILL=b")</f>
        <v>-1.0237628677084887</v>
      </c>
      <c r="G73" s="9">
        <f>_xll.BQL("LUV US Equity", "FA_GROWTH(OPERATING_RATIO, YOY)", "FPT=A", "FPO=3A", "ACT_EST_MAPPING=PRECISE", "FS=MRC", "CURRENCY=USD", "XLFILL=b")</f>
        <v>-1.8348803309998929</v>
      </c>
      <c r="H73" s="9">
        <f>_xll.BQL("LUV US Equity", "FA_GROWTH(OPERATING_RATIO, YOY)", "FPT=A", "FPO=2A", "ACT_EST_MAPPING=PRECISE", "FS=MRC", "CURRENCY=USD", "XLFILL=b")</f>
        <v>-2.8454056328924695</v>
      </c>
      <c r="I73" s="9">
        <f>_xll.BQL("LUV US Equity", "FA_GROWTH(OPERATING_RATIO, YOY)", "FPT=A", "FPO=1A", "ACT_EST_MAPPING=PRECISE", "FS=MRC", "CURRENCY=USD", "XLFILL=b")</f>
        <v>1.5356131002361777</v>
      </c>
      <c r="J73" s="9">
        <f>_xll.BQL("LUV US Equity", "FA_GROWTH(OPERATING_RATIO, YOY)", "FPT=A", "FPO=0A", "ACT_EST_MAPPING=PRECISE", "FS=MRC", "CURRENCY=USD", "XLFILL=b")</f>
        <v>3.5642789916907649</v>
      </c>
      <c r="K73" s="9">
        <f>_xll.BQL("LUV US Equity", "FA_GROWTH(OPERATING_RATIO, YOY)", "FPT=A", "FPO=-1A", "ACT_EST_MAPPING=PRECISE", "FS=MRC", "CURRENCY=USD", "XLFILL=b")</f>
        <v>7.4395669430060787</v>
      </c>
      <c r="L73" s="9">
        <f>_xll.BQL("LUV US Equity", "FA_GROWTH(OPERATING_RATIO, YOY)", "FPT=A", "FPO=-2A", "ACT_EST_MAPPING=PRECISE", "FS=MRC", "CURRENCY=USD", "XLFILL=b")</f>
        <v>-37.330293203451014</v>
      </c>
      <c r="M73" s="9">
        <f>_xll.BQL("LUV US Equity", "FA_GROWTH(OPERATING_RATIO, YOY)", "FPT=A", "FPO=-3A", "ACT_EST_MAPPING=PRECISE", "FS=MRC", "CURRENCY=USD", "XLFILL=b")</f>
        <v>63.76674889306743</v>
      </c>
      <c r="N73" s="9">
        <f>_xll.BQL("LUV US Equity", "FA_GROWTH(OPERATING_RATIO, YOY)", "FPT=A", "FPO=-4A", "ACT_EST_MAPPING=PRECISE", "FS=MRC", "CURRENCY=USD", "XLFILL=b")</f>
        <v>1.6527740393395063</v>
      </c>
    </row>
    <row r="74" spans="1:14" x14ac:dyDescent="0.2">
      <c r="A74" s="8" t="s">
        <v>72</v>
      </c>
      <c r="B74" s="4" t="s">
        <v>39</v>
      </c>
      <c r="C74" s="4"/>
      <c r="D74" s="4"/>
      <c r="E74" s="9">
        <f>_xll.BQL("LUV US Equity", "OP_EXP_PER_ASM_ASK", "FPT=A", "FPO=5A", "ACT_EST_MAPPING=PRECISE", "FS=MRC", "CURRENCY=USD", "XLFILL=b")</f>
        <v>14.765694093156492</v>
      </c>
      <c r="F74" s="9">
        <f>_xll.BQL("LUV US Equity", "OP_EXP_PER_ASM_ASK", "FPT=A", "FPO=4A", "ACT_EST_MAPPING=PRECISE", "FS=MRC", "CURRENCY=USD", "XLFILL=b")</f>
        <v>14.972983281399587</v>
      </c>
      <c r="G74" s="9">
        <f>_xll.BQL("LUV US Equity", "OP_EXP_PER_ASM_ASK", "FPT=A", "FPO=3A", "ACT_EST_MAPPING=PRECISE", "FS=MRC", "CURRENCY=USD", "XLFILL=b")</f>
        <v>15.42909062632669</v>
      </c>
      <c r="H74" s="9">
        <f>_xll.BQL("LUV US Equity", "OP_EXP_PER_ASM_ASK", "FPT=A", "FPO=2A", "ACT_EST_MAPPING=PRECISE", "FS=MRC", "CURRENCY=USD", "XLFILL=b")</f>
        <v>15.416692255264033</v>
      </c>
      <c r="I74" s="9">
        <f>_xll.BQL("LUV US Equity", "OP_EXP_PER_ASM_ASK", "FPT=A", "FPO=1A", "ACT_EST_MAPPING=PRECISE", "FS=MRC", "CURRENCY=USD", "XLFILL=b")</f>
        <v>15.367504892931352</v>
      </c>
      <c r="J74" s="9">
        <f>_xll.BQL("LUV US Equity", "OP_EXP_PER_ASM_ASK", "FPT=A", "FPO=0A", "ACT_EST_MAPPING=PRECISE", "FS=MRC", "CURRENCY=USD", "XLFILL=b")</f>
        <v>15.16</v>
      </c>
      <c r="K74" s="9">
        <f>_xll.BQL("LUV US Equity", "OP_EXP_PER_ASM_ASK", "FPT=A", "FPO=-1A", "ACT_EST_MAPPING=PRECISE", "FS=MRC", "CURRENCY=USD", "XLFILL=b")</f>
        <v>15.36</v>
      </c>
      <c r="L74" s="9">
        <f>_xll.BQL("LUV US Equity", "OP_EXP_PER_ASM_ASK", "FPT=A", "FPO=-2A", "ACT_EST_MAPPING=PRECISE", "FS=MRC", "CURRENCY=USD", "XLFILL=b")</f>
        <v>10.66</v>
      </c>
      <c r="M74" s="9">
        <f>_xll.BQL("LUV US Equity", "OP_EXP_PER_ASM_ASK", "FPT=A", "FPO=-3A", "ACT_EST_MAPPING=PRECISE", "FS=MRC", "CURRENCY=USD", "XLFILL=b")</f>
        <v>12.43</v>
      </c>
      <c r="N74" s="9">
        <f>_xll.BQL("LUV US Equity", "OP_EXP_PER_ASM_ASK", "FPT=A", "FPO=-4A", "ACT_EST_MAPPING=PRECISE", "FS=MRC", "CURRENCY=USD", "XLFILL=b")</f>
        <v>12.38</v>
      </c>
    </row>
    <row r="75" spans="1:14" x14ac:dyDescent="0.2">
      <c r="A75" s="8" t="s">
        <v>12</v>
      </c>
      <c r="B75" s="4" t="s">
        <v>39</v>
      </c>
      <c r="C75" s="4"/>
      <c r="D75" s="4"/>
      <c r="E75" s="9">
        <f>_xll.BQL("LUV US Equity", "FA_GROWTH(OP_EXP_PER_ASM_ASK, YOY)", "FPT=A", "FPO=5A", "ACT_EST_MAPPING=PRECISE", "FS=MRC", "CURRENCY=USD", "XLFILL=b")</f>
        <v>-1.3844214232216721</v>
      </c>
      <c r="F75" s="9">
        <f>_xll.BQL("LUV US Equity", "FA_GROWTH(OP_EXP_PER_ASM_ASK, YOY)", "FPT=A", "FPO=4A", "ACT_EST_MAPPING=PRECISE", "FS=MRC", "CURRENCY=USD", "XLFILL=b")</f>
        <v>-2.9561518301593628</v>
      </c>
      <c r="G75" s="9">
        <f>_xll.BQL("LUV US Equity", "FA_GROWTH(OP_EXP_PER_ASM_ASK, YOY)", "FPT=A", "FPO=3A", "ACT_EST_MAPPING=PRECISE", "FS=MRC", "CURRENCY=USD", "XLFILL=b")</f>
        <v>8.0421732868305451E-2</v>
      </c>
      <c r="H75" s="9">
        <f>_xll.BQL("LUV US Equity", "FA_GROWTH(OP_EXP_PER_ASM_ASK, YOY)", "FPT=A", "FPO=2A", "ACT_EST_MAPPING=PRECISE", "FS=MRC", "CURRENCY=USD", "XLFILL=b")</f>
        <v>0.32007383550797469</v>
      </c>
      <c r="I75" s="9">
        <f>_xll.BQL("LUV US Equity", "FA_GROWTH(OP_EXP_PER_ASM_ASK, YOY)", "FPT=A", "FPO=1A", "ACT_EST_MAPPING=PRECISE", "FS=MRC", "CURRENCY=USD", "XLFILL=b")</f>
        <v>1.3687657845075996</v>
      </c>
      <c r="J75" s="9">
        <f>_xll.BQL("LUV US Equity", "FA_GROWTH(OP_EXP_PER_ASM_ASK, YOY)", "FPT=A", "FPO=0A", "ACT_EST_MAPPING=PRECISE", "FS=MRC", "CURRENCY=USD", "XLFILL=b")</f>
        <v>-1.3020833333333288</v>
      </c>
      <c r="K75" s="9">
        <f>_xll.BQL("LUV US Equity", "FA_GROWTH(OP_EXP_PER_ASM_ASK, YOY)", "FPT=A", "FPO=-1A", "ACT_EST_MAPPING=PRECISE", "FS=MRC", "CURRENCY=USD", "XLFILL=b")</f>
        <v>44.090056285178228</v>
      </c>
      <c r="L75" s="9">
        <f>_xll.BQL("LUV US Equity", "FA_GROWTH(OP_EXP_PER_ASM_ASK, YOY)", "FPT=A", "FPO=-2A", "ACT_EST_MAPPING=PRECISE", "FS=MRC", "CURRENCY=USD", "XLFILL=b")</f>
        <v>-14.239742558326625</v>
      </c>
      <c r="M75" s="9">
        <f>_xll.BQL("LUV US Equity", "FA_GROWTH(OP_EXP_PER_ASM_ASK, YOY)", "FPT=A", "FPO=-3A", "ACT_EST_MAPPING=PRECISE", "FS=MRC", "CURRENCY=USD", "XLFILL=b")</f>
        <v>0.40387722132470866</v>
      </c>
      <c r="N75" s="9">
        <f>_xll.BQL("LUV US Equity", "FA_GROWTH(OP_EXP_PER_ASM_ASK, YOY)", "FPT=A", "FPO=-4A", "ACT_EST_MAPPING=PRECISE", "FS=MRC", "CURRENCY=USD", "XLFILL=b")</f>
        <v>5.4514480408858654</v>
      </c>
    </row>
    <row r="76" spans="1:14" x14ac:dyDescent="0.2">
      <c r="A76" s="8" t="s">
        <v>73</v>
      </c>
      <c r="B76" s="4" t="s">
        <v>41</v>
      </c>
      <c r="C76" s="4"/>
      <c r="D76" s="4"/>
      <c r="E76" s="9">
        <f>_xll.BQL("LUV US Equity", "CONS_COST_PER_ASM_EX_FUEL", "FPT=A", "FPO=5A", "ACT_EST_MAPPING=PRECISE", "FS=MRC", "CURRENCY=USD", "XLFILL=b")</f>
        <v>12.275716745972559</v>
      </c>
      <c r="F76" s="9">
        <f>_xll.BQL("LUV US Equity", "CONS_COST_PER_ASM_EX_FUEL", "FPT=A", "FPO=4A", "ACT_EST_MAPPING=PRECISE", "FS=MRC", "CURRENCY=USD", "XLFILL=b")</f>
        <v>12.294595349983545</v>
      </c>
      <c r="G76" s="9">
        <f>_xll.BQL("LUV US Equity", "CONS_COST_PER_ASM_EX_FUEL", "FPT=A", "FPO=3A", "ACT_EST_MAPPING=PRECISE", "FS=MRC", "CURRENCY=USD", "XLFILL=b")</f>
        <v>12.239637113232915</v>
      </c>
      <c r="H76" s="9">
        <f>_xll.BQL("LUV US Equity", "CONS_COST_PER_ASM_EX_FUEL", "FPT=A", "FPO=2A", "ACT_EST_MAPPING=PRECISE", "FS=MRC", "CURRENCY=USD", "XLFILL=b")</f>
        <v>12.139766316446925</v>
      </c>
      <c r="I76" s="9">
        <f>_xll.BQL("LUV US Equity", "CONS_COST_PER_ASM_EX_FUEL", "FPT=A", "FPO=1A", "ACT_EST_MAPPING=PRECISE", "FS=MRC", "CURRENCY=USD", "XLFILL=b")</f>
        <v>11.925945999963306</v>
      </c>
      <c r="J76" s="9">
        <f>_xll.BQL("LUV US Equity", "CONS_COST_PER_ASM_EX_FUEL", "FPT=A", "FPO=0A", "ACT_EST_MAPPING=PRECISE", "FS=MRC", "CURRENCY=USD", "XLFILL=b")</f>
        <v>11.536903000000001</v>
      </c>
      <c r="K76" s="9">
        <f>_xll.BQL("LUV US Equity", "CONS_COST_PER_ASM_EX_FUEL", "FPT=A", "FPO=-1A", "ACT_EST_MAPPING=PRECISE", "FS=MRC", "CURRENCY=USD", "XLFILL=b")</f>
        <v>11.22</v>
      </c>
      <c r="L76" s="9">
        <f>_xll.BQL("LUV US Equity", "CONS_COST_PER_ASM_EX_FUEL", "FPT=A", "FPO=-2A", "ACT_EST_MAPPING=PRECISE", "FS=MRC", "CURRENCY=USD", "XLFILL=b")</f>
        <v>8.15</v>
      </c>
      <c r="M76" s="9">
        <f>_xll.BQL("LUV US Equity", "CONS_COST_PER_ASM_EX_FUEL", "FPT=A", "FPO=-3A", "ACT_EST_MAPPING=PRECISE", "FS=MRC", "CURRENCY=USD", "XLFILL=b")</f>
        <v>10.65</v>
      </c>
      <c r="N76" s="9">
        <f>_xll.BQL("LUV US Equity", "CONS_COST_PER_ASM_EX_FUEL", "FPT=A", "FPO=-4A", "ACT_EST_MAPPING=PRECISE", "FS=MRC", "CURRENCY=USD", "XLFILL=b")</f>
        <v>9.6199999999999992</v>
      </c>
    </row>
    <row r="77" spans="1:14" x14ac:dyDescent="0.2">
      <c r="A77" s="8" t="s">
        <v>12</v>
      </c>
      <c r="B77" s="4" t="s">
        <v>41</v>
      </c>
      <c r="C77" s="4"/>
      <c r="D77" s="4"/>
      <c r="E77" s="9">
        <f>_xll.BQL("LUV US Equity", "FA_GROWTH(CONS_COST_PER_ASM_EX_FUEL, YOY)", "FPT=A", "FPO=5A", "ACT_EST_MAPPING=PRECISE", "FS=MRC", "CURRENCY=USD", "XLFILL=b")</f>
        <v>-0.1535520566035655</v>
      </c>
      <c r="F77" s="9">
        <f>_xll.BQL("LUV US Equity", "FA_GROWTH(CONS_COST_PER_ASM_EX_FUEL, YOY)", "FPT=A", "FPO=4A", "ACT_EST_MAPPING=PRECISE", "FS=MRC", "CURRENCY=USD", "XLFILL=b")</f>
        <v>0.44901851453759589</v>
      </c>
      <c r="G77" s="9">
        <f>_xll.BQL("LUV US Equity", "FA_GROWTH(CONS_COST_PER_ASM_EX_FUEL, YOY)", "FPT=A", "FPO=3A", "ACT_EST_MAPPING=PRECISE", "FS=MRC", "CURRENCY=USD", "XLFILL=b")</f>
        <v>0.82267478782260084</v>
      </c>
      <c r="H77" s="9">
        <f>_xll.BQL("LUV US Equity", "FA_GROWTH(CONS_COST_PER_ASM_EX_FUEL, YOY)", "FPT=A", "FPO=2A", "ACT_EST_MAPPING=PRECISE", "FS=MRC", "CURRENCY=USD", "XLFILL=b")</f>
        <v>1.7929002570050021</v>
      </c>
      <c r="I77" s="9">
        <f>_xll.BQL("LUV US Equity", "FA_GROWTH(CONS_COST_PER_ASM_EX_FUEL, YOY)", "FPT=A", "FPO=1A", "ACT_EST_MAPPING=PRECISE", "FS=MRC", "CURRENCY=USD", "XLFILL=b")</f>
        <v>3.372161488774803</v>
      </c>
      <c r="J77" s="9">
        <f>_xll.BQL("LUV US Equity", "FA_GROWTH(CONS_COST_PER_ASM_EX_FUEL, YOY)", "FPT=A", "FPO=0A", "ACT_EST_MAPPING=PRECISE", "FS=MRC", "CURRENCY=USD", "XLFILL=b")</f>
        <v>2.8244474153297676</v>
      </c>
      <c r="K77" s="9">
        <f>_xll.BQL("LUV US Equity", "FA_GROWTH(CONS_COST_PER_ASM_EX_FUEL, YOY)", "FPT=A", "FPO=-1A", "ACT_EST_MAPPING=PRECISE", "FS=MRC", "CURRENCY=USD", "XLFILL=b")</f>
        <v>37.668711656441715</v>
      </c>
      <c r="L77" s="9">
        <f>_xll.BQL("LUV US Equity", "FA_GROWTH(CONS_COST_PER_ASM_EX_FUEL, YOY)", "FPT=A", "FPO=-2A", "ACT_EST_MAPPING=PRECISE", "FS=MRC", "CURRENCY=USD", "XLFILL=b")</f>
        <v>-23.474178403755868</v>
      </c>
      <c r="M77" s="9">
        <f>_xll.BQL("LUV US Equity", "FA_GROWTH(CONS_COST_PER_ASM_EX_FUEL, YOY)", "FPT=A", "FPO=-3A", "ACT_EST_MAPPING=PRECISE", "FS=MRC", "CURRENCY=USD", "XLFILL=b")</f>
        <v>10.70686070686072</v>
      </c>
      <c r="N77" s="9">
        <f>_xll.BQL("LUV US Equity", "FA_GROWTH(CONS_COST_PER_ASM_EX_FUEL, YOY)", "FPT=A", "FPO=-4A", "ACT_EST_MAPPING=PRECISE", "FS=MRC", "CURRENCY=USD", "XLFILL=b")</f>
        <v>8.7005649717514082</v>
      </c>
    </row>
    <row r="78" spans="1:14" x14ac:dyDescent="0.2">
      <c r="A78" s="8" t="s">
        <v>74</v>
      </c>
      <c r="B78" s="4" t="s">
        <v>75</v>
      </c>
      <c r="C78" s="4"/>
      <c r="D78" s="4"/>
      <c r="E78" s="9">
        <f>_xll.BQL("LUV US Equity", "COST_PER_SEAT_EXCL_ABN_ITMS", "FPT=A", "FPO=5A", "ACT_EST_MAPPING=PRECISE", "FS=MRC", "CURRENCY=USD", "XLFILL=b")</f>
        <v>11.693562051249017</v>
      </c>
      <c r="F78" s="9">
        <f>_xll.BQL("LUV US Equity", "COST_PER_SEAT_EXCL_ABN_ITMS", "FPT=A", "FPO=4A", "ACT_EST_MAPPING=PRECISE", "FS=MRC", "CURRENCY=USD", "XLFILL=b")</f>
        <v>11.910659422574213</v>
      </c>
      <c r="G78" s="9">
        <f>_xll.BQL("LUV US Equity", "COST_PER_SEAT_EXCL_ABN_ITMS", "FPT=A", "FPO=3A", "ACT_EST_MAPPING=PRECISE", "FS=MRC", "CURRENCY=USD", "XLFILL=b")</f>
        <v>12.098954175397234</v>
      </c>
      <c r="H78" s="9">
        <f>_xll.BQL("LUV US Equity", "COST_PER_SEAT_EXCL_ABN_ITMS", "FPT=A", "FPO=2A", "ACT_EST_MAPPING=PRECISE", "FS=MRC", "CURRENCY=USD", "XLFILL=b")</f>
        <v>12.039284546347657</v>
      </c>
      <c r="I78" s="9">
        <f>_xll.BQL("LUV US Equity", "COST_PER_SEAT_EXCL_ABN_ITMS", "FPT=A", "FPO=1A", "ACT_EST_MAPPING=PRECISE", "FS=MRC", "CURRENCY=USD", "XLFILL=b")</f>
        <v>11.970316860901422</v>
      </c>
      <c r="J78" s="9">
        <f>_xll.BQL("LUV US Equity", "COST_PER_SEAT_EXCL_ABN_ITMS", "FPT=A", "FPO=0A", "ACT_EST_MAPPING=PRECISE", "FS=MRC", "CURRENCY=USD", "XLFILL=b")</f>
        <v>11.08</v>
      </c>
      <c r="K78" s="9">
        <f>_xll.BQL("LUV US Equity", "COST_PER_SEAT_EXCL_ABN_ITMS", "FPT=A", "FPO=-1A", "ACT_EST_MAPPING=PRECISE", "FS=MRC", "CURRENCY=USD", "XLFILL=b")</f>
        <v>11.22</v>
      </c>
      <c r="L78" s="9">
        <f>_xll.BQL("LUV US Equity", "COST_PER_SEAT_EXCL_ABN_ITMS", "FPT=A", "FPO=-2A", "ACT_EST_MAPPING=PRECISE", "FS=MRC", "CURRENCY=USD", "XLFILL=b")</f>
        <v>10.210000000000001</v>
      </c>
      <c r="M78" s="9">
        <f>_xll.BQL("LUV US Equity", "COST_PER_SEAT_EXCL_ABN_ITMS", "FPT=A", "FPO=-3A", "ACT_EST_MAPPING=PRECISE", "FS=MRC", "CURRENCY=USD", "XLFILL=b")</f>
        <v>11.77</v>
      </c>
      <c r="N78" s="9">
        <f>_xll.BQL("LUV US Equity", "COST_PER_SEAT_EXCL_ABN_ITMS", "FPT=A", "FPO=-4A", "ACT_EST_MAPPING=PRECISE", "FS=MRC", "CURRENCY=USD", "XLFILL=b")</f>
        <v>9.19</v>
      </c>
    </row>
    <row r="79" spans="1:14" x14ac:dyDescent="0.2">
      <c r="A79" s="8" t="s">
        <v>12</v>
      </c>
      <c r="B79" s="4" t="s">
        <v>75</v>
      </c>
      <c r="C79" s="4"/>
      <c r="D79" s="4"/>
      <c r="E79" s="9">
        <f>_xll.BQL("LUV US Equity", "FA_GROWTH(COST_PER_SEAT_EXCL_ABN_ITMS, YOY)", "FPT=A", "FPO=5A", "ACT_EST_MAPPING=PRECISE", "FS=MRC", "CURRENCY=USD", "XLFILL=b")</f>
        <v>-1.8227149616395866</v>
      </c>
      <c r="F79" s="9">
        <f>_xll.BQL("LUV US Equity", "FA_GROWTH(COST_PER_SEAT_EXCL_ABN_ITMS, YOY)", "FPT=A", "FPO=4A", "ACT_EST_MAPPING=PRECISE", "FS=MRC", "CURRENCY=USD", "XLFILL=b")</f>
        <v>-1.5562894948880048</v>
      </c>
      <c r="G79" s="9">
        <f>_xll.BQL("LUV US Equity", "FA_GROWTH(COST_PER_SEAT_EXCL_ABN_ITMS, YOY)", "FPT=A", "FPO=3A", "ACT_EST_MAPPING=PRECISE", "FS=MRC", "CURRENCY=USD", "XLFILL=b")</f>
        <v>0.49562437717844537</v>
      </c>
      <c r="H79" s="9">
        <f>_xll.BQL("LUV US Equity", "FA_GROWTH(COST_PER_SEAT_EXCL_ABN_ITMS, YOY)", "FPT=A", "FPO=2A", "ACT_EST_MAPPING=PRECISE", "FS=MRC", "CURRENCY=USD", "XLFILL=b")</f>
        <v>0.57615588833328468</v>
      </c>
      <c r="I79" s="9">
        <f>_xll.BQL("LUV US Equity", "FA_GROWTH(COST_PER_SEAT_EXCL_ABN_ITMS, YOY)", "FPT=A", "FPO=1A", "ACT_EST_MAPPING=PRECISE", "FS=MRC", "CURRENCY=USD", "XLFILL=b")</f>
        <v>8.0353507301572353</v>
      </c>
      <c r="J79" s="9">
        <f>_xll.BQL("LUV US Equity", "FA_GROWTH(COST_PER_SEAT_EXCL_ABN_ITMS, YOY)", "FPT=A", "FPO=0A", "ACT_EST_MAPPING=PRECISE", "FS=MRC", "CURRENCY=USD", "XLFILL=b")</f>
        <v>-1.247771836007135</v>
      </c>
      <c r="K79" s="9">
        <f>_xll.BQL("LUV US Equity", "FA_GROWTH(COST_PER_SEAT_EXCL_ABN_ITMS, YOY)", "FPT=A", "FPO=-1A", "ACT_EST_MAPPING=PRECISE", "FS=MRC", "CURRENCY=USD", "XLFILL=b")</f>
        <v>9.8922624877570975</v>
      </c>
      <c r="L79" s="9">
        <f>_xll.BQL("LUV US Equity", "FA_GROWTH(COST_PER_SEAT_EXCL_ABN_ITMS, YOY)", "FPT=A", "FPO=-2A", "ACT_EST_MAPPING=PRECISE", "FS=MRC", "CURRENCY=USD", "XLFILL=b")</f>
        <v>-13.254035683942217</v>
      </c>
      <c r="M79" s="9">
        <f>_xll.BQL("LUV US Equity", "FA_GROWTH(COST_PER_SEAT_EXCL_ABN_ITMS, YOY)", "FPT=A", "FPO=-3A", "ACT_EST_MAPPING=PRECISE", "FS=MRC", "CURRENCY=USD", "XLFILL=b")</f>
        <v>28.073993471164311</v>
      </c>
      <c r="N79" s="9">
        <f>_xll.BQL("LUV US Equity", "FA_GROWTH(COST_PER_SEAT_EXCL_ABN_ITMS, YOY)", "FPT=A", "FPO=-4A", "ACT_EST_MAPPING=PRECISE", "FS=MRC", "CURRENCY=USD", "XLFILL=b")</f>
        <v>7.9905992949471178</v>
      </c>
    </row>
    <row r="80" spans="1:14" x14ac:dyDescent="0.2">
      <c r="A80" s="8" t="s">
        <v>76</v>
      </c>
      <c r="B80" s="4" t="s">
        <v>45</v>
      </c>
      <c r="C80" s="4"/>
      <c r="D80" s="4"/>
      <c r="E80" s="9">
        <f>_xll.BQL("LUV US Equity", "SIZE_OF_FLEET", "FPT=A", "FPO=5A", "ACT_EST_MAPPING=PRECISE", "FS=MRC", "CURRENCY=USD", "XLFILL=b")</f>
        <v>887</v>
      </c>
      <c r="F80" s="9">
        <f>_xll.BQL("LUV US Equity", "SIZE_OF_FLEET", "FPT=A", "FPO=4A", "ACT_EST_MAPPING=PRECISE", "FS=MRC", "CURRENCY=USD", "XLFILL=b")</f>
        <v>924</v>
      </c>
      <c r="G80" s="9">
        <f>_xll.BQL("LUV US Equity", "SIZE_OF_FLEET", "FPT=A", "FPO=3A", "ACT_EST_MAPPING=PRECISE", "FS=MRC", "CURRENCY=USD", "XLFILL=b")</f>
        <v>854.23051228765075</v>
      </c>
      <c r="H80" s="9">
        <f>_xll.BQL("LUV US Equity", "SIZE_OF_FLEET", "FPT=A", "FPO=2A", "ACT_EST_MAPPING=PRECISE", "FS=MRC", "CURRENCY=USD", "XLFILL=b")</f>
        <v>840.34401337243798</v>
      </c>
      <c r="I80" s="9">
        <f>_xll.BQL("LUV US Equity", "SIZE_OF_FLEET", "FPT=A", "FPO=1A", "ACT_EST_MAPPING=PRECISE", "FS=MRC", "CURRENCY=USD", "XLFILL=b")</f>
        <v>826.84989241165306</v>
      </c>
      <c r="J80" s="9">
        <f>_xll.BQL("LUV US Equity", "SIZE_OF_FLEET", "FPT=A", "FPO=0A", "ACT_EST_MAPPING=PRECISE", "FS=MRC", "CURRENCY=USD", "XLFILL=b")</f>
        <v>817</v>
      </c>
      <c r="K80" s="9">
        <f>_xll.BQL("LUV US Equity", "SIZE_OF_FLEET", "FPT=A", "FPO=-1A", "ACT_EST_MAPPING=PRECISE", "FS=MRC", "CURRENCY=USD", "XLFILL=b")</f>
        <v>770</v>
      </c>
      <c r="L80" s="9">
        <f>_xll.BQL("LUV US Equity", "SIZE_OF_FLEET", "FPT=A", "FPO=-2A", "ACT_EST_MAPPING=PRECISE", "FS=MRC", "CURRENCY=USD", "XLFILL=b")</f>
        <v>728</v>
      </c>
      <c r="M80" s="9">
        <f>_xll.BQL("LUV US Equity", "SIZE_OF_FLEET", "FPT=A", "FPO=-3A", "ACT_EST_MAPPING=PRECISE", "FS=MRC", "CURRENCY=USD", "XLFILL=b")</f>
        <v>718</v>
      </c>
      <c r="N80" s="9">
        <f>_xll.BQL("LUV US Equity", "SIZE_OF_FLEET", "FPT=A", "FPO=-4A", "ACT_EST_MAPPING=PRECISE", "FS=MRC", "CURRENCY=USD", "XLFILL=b")</f>
        <v>747</v>
      </c>
    </row>
    <row r="81" spans="1:14" x14ac:dyDescent="0.2">
      <c r="A81" s="8" t="s">
        <v>12</v>
      </c>
      <c r="B81" s="4" t="s">
        <v>45</v>
      </c>
      <c r="C81" s="4"/>
      <c r="D81" s="4"/>
      <c r="E81" s="9">
        <f>_xll.BQL("LUV US Equity", "FA_GROWTH(SIZE_OF_FLEET, YOY)", "FPT=A", "FPO=5A", "ACT_EST_MAPPING=PRECISE", "FS=MRC", "CURRENCY=USD", "XLFILL=b")</f>
        <v>-4.0043290043290041</v>
      </c>
      <c r="F81" s="9">
        <f>_xll.BQL("LUV US Equity", "FA_GROWTH(SIZE_OF_FLEET, YOY)", "FPT=A", "FPO=4A", "ACT_EST_MAPPING=PRECISE", "FS=MRC", "CURRENCY=USD", "XLFILL=b")</f>
        <v>8.1675246562552317</v>
      </c>
      <c r="G81" s="9">
        <f>_xll.BQL("LUV US Equity", "FA_GROWTH(SIZE_OF_FLEET, YOY)", "FPT=A", "FPO=3A", "ACT_EST_MAPPING=PRECISE", "FS=MRC", "CURRENCY=USD", "XLFILL=b")</f>
        <v>1.6524778774211739</v>
      </c>
      <c r="H81" s="9">
        <f>_xll.BQL("LUV US Equity", "FA_GROWTH(SIZE_OF_FLEET, YOY)", "FPT=A", "FPO=2A", "ACT_EST_MAPPING=PRECISE", "FS=MRC", "CURRENCY=USD", "XLFILL=b")</f>
        <v>1.6319916208039829</v>
      </c>
      <c r="I81" s="9">
        <f>_xll.BQL("LUV US Equity", "FA_GROWTH(SIZE_OF_FLEET, YOY)", "FPT=A", "FPO=1A", "ACT_EST_MAPPING=PRECISE", "FS=MRC", "CURRENCY=USD", "XLFILL=b")</f>
        <v>1.2056171862488445</v>
      </c>
      <c r="J81" s="9">
        <f>_xll.BQL("LUV US Equity", "FA_GROWTH(SIZE_OF_FLEET, YOY)", "FPT=A", "FPO=0A", "ACT_EST_MAPPING=PRECISE", "FS=MRC", "CURRENCY=USD", "XLFILL=b")</f>
        <v>6.1038961038961039</v>
      </c>
      <c r="K81" s="9">
        <f>_xll.BQL("LUV US Equity", "FA_GROWTH(SIZE_OF_FLEET, YOY)", "FPT=A", "FPO=-1A", "ACT_EST_MAPPING=PRECISE", "FS=MRC", "CURRENCY=USD", "XLFILL=b")</f>
        <v>5.7692307692307692</v>
      </c>
      <c r="L81" s="9">
        <f>_xll.BQL("LUV US Equity", "FA_GROWTH(SIZE_OF_FLEET, YOY)", "FPT=A", "FPO=-2A", "ACT_EST_MAPPING=PRECISE", "FS=MRC", "CURRENCY=USD", "XLFILL=b")</f>
        <v>1.392757660167131</v>
      </c>
      <c r="M81" s="9">
        <f>_xll.BQL("LUV US Equity", "FA_GROWTH(SIZE_OF_FLEET, YOY)", "FPT=A", "FPO=-3A", "ACT_EST_MAPPING=PRECISE", "FS=MRC", "CURRENCY=USD", "XLFILL=b")</f>
        <v>-3.8821954484605086</v>
      </c>
      <c r="N81" s="9">
        <f>_xll.BQL("LUV US Equity", "FA_GROWTH(SIZE_OF_FLEET, YOY)", "FPT=A", "FPO=-4A", "ACT_EST_MAPPING=PRECISE", "FS=MRC", "CURRENCY=USD", "XLFILL=b")</f>
        <v>-0.4</v>
      </c>
    </row>
    <row r="82" spans="1:14" x14ac:dyDescent="0.2">
      <c r="A82" s="8" t="s">
        <v>77</v>
      </c>
      <c r="B82" s="4" t="s">
        <v>45</v>
      </c>
      <c r="C82" s="4"/>
      <c r="D82" s="4" t="s">
        <v>78</v>
      </c>
      <c r="E82" s="9">
        <f>_xll.BQL("SEG0000234421 Segment", "SIZE_OF_FLEET", "FPT=A", "FPO=5A", "ACT_EST_MAPPING=PRECISE", "FS=MRC", "CURRENCY=USD", "XLFILL=b")</f>
        <v>346</v>
      </c>
      <c r="F82" s="9">
        <f>_xll.BQL("SEG0000234421 Segment", "SIZE_OF_FLEET", "FPT=A", "FPO=4A", "ACT_EST_MAPPING=PRECISE", "FS=MRC", "CURRENCY=USD", "XLFILL=b")</f>
        <v>346</v>
      </c>
      <c r="G82" s="9">
        <f>_xll.BQL("SEG0000234421 Segment", "SIZE_OF_FLEET", "FPT=A", "FPO=3A", "ACT_EST_MAPPING=PRECISE", "FS=MRC", "CURRENCY=USD", "XLFILL=b")</f>
        <v>300</v>
      </c>
      <c r="H82" s="9">
        <f>_xll.BQL("SEG0000234421 Segment", "SIZE_OF_FLEET", "FPT=A", "FPO=2A", "ACT_EST_MAPPING=PRECISE", "FS=MRC", "CURRENCY=USD", "XLFILL=b")</f>
        <v>300</v>
      </c>
      <c r="I82" s="9">
        <f>_xll.BQL("SEG0000234421 Segment", "SIZE_OF_FLEET", "FPT=A", "FPO=1A", "ACT_EST_MAPPING=PRECISE", "FS=MRC", "CURRENCY=USD", "XLFILL=b")</f>
        <v>281</v>
      </c>
      <c r="J82" s="9">
        <f>_xll.BQL("SEG0000234421 Segment", "SIZE_OF_FLEET", "FPT=A", "FPO=0A", "ACT_EST_MAPPING=PRECISE", "FS=MRC", "CURRENCY=USD", "XLFILL=b")</f>
        <v>223</v>
      </c>
      <c r="K82" s="9">
        <f>_xll.BQL("SEG0000234421 Segment", "SIZE_OF_FLEET", "FPT=A", "FPO=-1A", "ACT_EST_MAPPING=PRECISE", "FS=MRC", "CURRENCY=USD", "XLFILL=b")</f>
        <v>137</v>
      </c>
      <c r="L82" s="9">
        <f>_xll.BQL("SEG0000234421 Segment", "SIZE_OF_FLEET", "FPT=A", "FPO=-2A", "ACT_EST_MAPPING=PRECISE", "FS=MRC", "CURRENCY=USD", "XLFILL=b")</f>
        <v>69</v>
      </c>
      <c r="M82" s="9">
        <f>_xll.BQL("SEG0000234421 Segment", "SIZE_OF_FLEET", "FPT=A", "FPO=-3A", "ACT_EST_MAPPING=PRECISE", "FS=MRC", "CURRENCY=USD", "XLFILL=b")</f>
        <v>41</v>
      </c>
      <c r="N82" s="9">
        <f>_xll.BQL("SEG0000234421 Segment", "SIZE_OF_FLEET", "FPT=A", "FPO=-4A", "ACT_EST_MAPPING=PRECISE", "FS=MRC", "CURRENCY=USD", "XLFILL=b")</f>
        <v>34</v>
      </c>
    </row>
    <row r="83" spans="1:14" x14ac:dyDescent="0.2">
      <c r="A83" s="8" t="s">
        <v>21</v>
      </c>
      <c r="B83" s="4" t="s">
        <v>45</v>
      </c>
      <c r="C83" s="4"/>
      <c r="D83" s="4" t="s">
        <v>78</v>
      </c>
      <c r="E83" s="9">
        <f>_xll.BQL("SEG0000234421 Segment", "FA_GROWTH(SIZE_OF_FLEET, YOY)", "FPT=A", "FPO=5A", "ACT_EST_MAPPING=PRECISE", "FS=MRC", "CURRENCY=USD", "XLFILL=b")</f>
        <v>0</v>
      </c>
      <c r="F83" s="9">
        <f>_xll.BQL("SEG0000234421 Segment", "FA_GROWTH(SIZE_OF_FLEET, YOY)", "FPT=A", "FPO=4A", "ACT_EST_MAPPING=PRECISE", "FS=MRC", "CURRENCY=USD", "XLFILL=b")</f>
        <v>15.333333333333334</v>
      </c>
      <c r="G83" s="9">
        <f>_xll.BQL("SEG0000234421 Segment", "FA_GROWTH(SIZE_OF_FLEET, YOY)", "FPT=A", "FPO=3A", "ACT_EST_MAPPING=PRECISE", "FS=MRC", "CURRENCY=USD", "XLFILL=b")</f>
        <v>0</v>
      </c>
      <c r="H83" s="9">
        <f>_xll.BQL("SEG0000234421 Segment", "FA_GROWTH(SIZE_OF_FLEET, YOY)", "FPT=A", "FPO=2A", "ACT_EST_MAPPING=PRECISE", "FS=MRC", "CURRENCY=USD", "XLFILL=b")</f>
        <v>6.7615658362989324</v>
      </c>
      <c r="I83" s="9">
        <f>_xll.BQL("SEG0000234421 Segment", "FA_GROWTH(SIZE_OF_FLEET, YOY)", "FPT=A", "FPO=1A", "ACT_EST_MAPPING=PRECISE", "FS=MRC", "CURRENCY=USD", "XLFILL=b")</f>
        <v>26.00896860986547</v>
      </c>
      <c r="J83" s="9">
        <f>_xll.BQL("SEG0000234421 Segment", "FA_GROWTH(SIZE_OF_FLEET, YOY)", "FPT=A", "FPO=0A", "ACT_EST_MAPPING=PRECISE", "FS=MRC", "CURRENCY=USD", "XLFILL=b")</f>
        <v>62.773722627737229</v>
      </c>
      <c r="K83" s="9">
        <f>_xll.BQL("SEG0000234421 Segment", "FA_GROWTH(SIZE_OF_FLEET, YOY)", "FPT=A", "FPO=-1A", "ACT_EST_MAPPING=PRECISE", "FS=MRC", "CURRENCY=USD", "XLFILL=b")</f>
        <v>98.550724637681157</v>
      </c>
      <c r="L83" s="9">
        <f>_xll.BQL("SEG0000234421 Segment", "FA_GROWTH(SIZE_OF_FLEET, YOY)", "FPT=A", "FPO=-2A", "ACT_EST_MAPPING=PRECISE", "FS=MRC", "CURRENCY=USD", "XLFILL=b")</f>
        <v>68.292682926829272</v>
      </c>
      <c r="M83" s="9">
        <f>_xll.BQL("SEG0000234421 Segment", "FA_GROWTH(SIZE_OF_FLEET, YOY)", "FPT=A", "FPO=-3A", "ACT_EST_MAPPING=PRECISE", "FS=MRC", "CURRENCY=USD", "XLFILL=b")</f>
        <v>20.588235294117649</v>
      </c>
      <c r="N83" s="9">
        <f>_xll.BQL("SEG0000234421 Segment", "FA_GROWTH(SIZE_OF_FLEET, YOY)", "FPT=A", "FPO=-4A", "ACT_EST_MAPPING=PRECISE", "FS=MRC", "CURRENCY=USD", "XLFILL=b")</f>
        <v>9.67741935483871</v>
      </c>
    </row>
    <row r="84" spans="1:14" x14ac:dyDescent="0.2">
      <c r="A84" s="8" t="s">
        <v>79</v>
      </c>
      <c r="B84" s="4" t="s">
        <v>45</v>
      </c>
      <c r="C84" s="4"/>
      <c r="D84" s="4" t="s">
        <v>80</v>
      </c>
      <c r="E84" s="9">
        <f>_xll.BQL("SEG0000234425 Segment", "SIZE_OF_FLEET", "FPT=A", "FPO=5A", "ACT_EST_MAPPING=PRECISE", "FS=MRC", "CURRENCY=USD", "XLFILL=b")</f>
        <v>189</v>
      </c>
      <c r="F84" s="9">
        <f>_xll.BQL("SEG0000234425 Segment", "SIZE_OF_FLEET", "FPT=A", "FPO=4A", "ACT_EST_MAPPING=PRECISE", "FS=MRC", "CURRENCY=USD", "XLFILL=b")</f>
        <v>226</v>
      </c>
      <c r="G84" s="9">
        <f>_xll.BQL("SEG0000234425 Segment", "SIZE_OF_FLEET", "FPT=A", "FPO=3A", "ACT_EST_MAPPING=PRECISE", "FS=MRC", "CURRENCY=USD", "XLFILL=b")</f>
        <v>263</v>
      </c>
      <c r="H84" s="9">
        <f>_xll.BQL("SEG0000234425 Segment", "SIZE_OF_FLEET", "FPT=A", "FPO=2A", "ACT_EST_MAPPING=PRECISE", "FS=MRC", "CURRENCY=USD", "XLFILL=b")</f>
        <v>300</v>
      </c>
      <c r="I84" s="9">
        <f>_xll.BQL("SEG0000234425 Segment", "SIZE_OF_FLEET", "FPT=A", "FPO=1A", "ACT_EST_MAPPING=PRECISE", "FS=MRC", "CURRENCY=USD", "XLFILL=b")</f>
        <v>337</v>
      </c>
      <c r="J84" s="9">
        <f>_xll.BQL("SEG0000234425 Segment", "SIZE_OF_FLEET", "FPT=A", "FPO=0A", "ACT_EST_MAPPING=PRECISE", "FS=MRC", "CURRENCY=USD", "XLFILL=b")</f>
        <v>387</v>
      </c>
      <c r="K84" s="9">
        <f>_xll.BQL("SEG0000234425 Segment", "SIZE_OF_FLEET", "FPT=A", "FPO=-1A", "ACT_EST_MAPPING=PRECISE", "FS=MRC", "CURRENCY=USD", "XLFILL=b")</f>
        <v>426</v>
      </c>
      <c r="L84" s="9">
        <f>_xll.BQL("SEG0000234425 Segment", "SIZE_OF_FLEET", "FPT=A", "FPO=-2A", "ACT_EST_MAPPING=PRECISE", "FS=MRC", "CURRENCY=USD", "XLFILL=b")</f>
        <v>452</v>
      </c>
      <c r="M84" s="9">
        <f>_xll.BQL("SEG0000234425 Segment", "SIZE_OF_FLEET", "FPT=A", "FPO=-3A", "ACT_EST_MAPPING=PRECISE", "FS=MRC", "CURRENCY=USD", "XLFILL=b")</f>
        <v>470</v>
      </c>
      <c r="N84" s="9">
        <f>_xll.BQL("SEG0000234425 Segment", "SIZE_OF_FLEET", "FPT=A", "FPO=-4A", "ACT_EST_MAPPING=PRECISE", "FS=MRC", "CURRENCY=USD", "XLFILL=b")</f>
        <v>506</v>
      </c>
    </row>
    <row r="85" spans="1:14" x14ac:dyDescent="0.2">
      <c r="A85" s="8" t="s">
        <v>21</v>
      </c>
      <c r="B85" s="4" t="s">
        <v>45</v>
      </c>
      <c r="C85" s="4"/>
      <c r="D85" s="4" t="s">
        <v>80</v>
      </c>
      <c r="E85" s="9">
        <f>_xll.BQL("SEG0000234425 Segment", "FA_GROWTH(SIZE_OF_FLEET, YOY)", "FPT=A", "FPO=5A", "ACT_EST_MAPPING=PRECISE", "FS=MRC", "CURRENCY=USD", "XLFILL=b")</f>
        <v>-16.371681415929203</v>
      </c>
      <c r="F85" s="9">
        <f>_xll.BQL("SEG0000234425 Segment", "FA_GROWTH(SIZE_OF_FLEET, YOY)", "FPT=A", "FPO=4A", "ACT_EST_MAPPING=PRECISE", "FS=MRC", "CURRENCY=USD", "XLFILL=b")</f>
        <v>-14.068441064638783</v>
      </c>
      <c r="G85" s="9">
        <f>_xll.BQL("SEG0000234425 Segment", "FA_GROWTH(SIZE_OF_FLEET, YOY)", "FPT=A", "FPO=3A", "ACT_EST_MAPPING=PRECISE", "FS=MRC", "CURRENCY=USD", "XLFILL=b")</f>
        <v>-12.333333333333334</v>
      </c>
      <c r="H85" s="9">
        <f>_xll.BQL("SEG0000234425 Segment", "FA_GROWTH(SIZE_OF_FLEET, YOY)", "FPT=A", "FPO=2A", "ACT_EST_MAPPING=PRECISE", "FS=MRC", "CURRENCY=USD", "XLFILL=b")</f>
        <v>-10.979228486646884</v>
      </c>
      <c r="I85" s="9">
        <f>_xll.BQL("SEG0000234425 Segment", "FA_GROWTH(SIZE_OF_FLEET, YOY)", "FPT=A", "FPO=1A", "ACT_EST_MAPPING=PRECISE", "FS=MRC", "CURRENCY=USD", "XLFILL=b")</f>
        <v>-12.919896640826874</v>
      </c>
      <c r="J85" s="9">
        <f>_xll.BQL("SEG0000234425 Segment", "FA_GROWTH(SIZE_OF_FLEET, YOY)", "FPT=A", "FPO=0A", "ACT_EST_MAPPING=PRECISE", "FS=MRC", "CURRENCY=USD", "XLFILL=b")</f>
        <v>-9.1549295774647881</v>
      </c>
      <c r="K85" s="9">
        <f>_xll.BQL("SEG0000234425 Segment", "FA_GROWTH(SIZE_OF_FLEET, YOY)", "FPT=A", "FPO=-1A", "ACT_EST_MAPPING=PRECISE", "FS=MRC", "CURRENCY=USD", "XLFILL=b")</f>
        <v>-5.7522123893805306</v>
      </c>
      <c r="L85" s="9">
        <f>_xll.BQL("SEG0000234425 Segment", "FA_GROWTH(SIZE_OF_FLEET, YOY)", "FPT=A", "FPO=-2A", "ACT_EST_MAPPING=PRECISE", "FS=MRC", "CURRENCY=USD", "XLFILL=b")</f>
        <v>-3.8297872340425534</v>
      </c>
      <c r="M85" s="9">
        <f>_xll.BQL("SEG0000234425 Segment", "FA_GROWTH(SIZE_OF_FLEET, YOY)", "FPT=A", "FPO=-3A", "ACT_EST_MAPPING=PRECISE", "FS=MRC", "CURRENCY=USD", "XLFILL=b")</f>
        <v>-7.1146245059288535</v>
      </c>
      <c r="N85" s="9">
        <f>_xll.BQL("SEG0000234425 Segment", "FA_GROWTH(SIZE_OF_FLEET, YOY)", "FPT=A", "FPO=-4A", "ACT_EST_MAPPING=PRECISE", "FS=MRC", "CURRENCY=USD", "XLFILL=b")</f>
        <v>-1.171875</v>
      </c>
    </row>
    <row r="86" spans="1:14" x14ac:dyDescent="0.2">
      <c r="A86" s="8" t="s">
        <v>81</v>
      </c>
      <c r="B86" s="4" t="s">
        <v>45</v>
      </c>
      <c r="C86" s="4"/>
      <c r="D86" s="4" t="s">
        <v>82</v>
      </c>
      <c r="E86" s="9">
        <f>_xll.BQL("SEG0000234444 Segment", "SIZE_OF_FLEET", "FPT=A", "FPO=5A", "ACT_EST_MAPPING=PRECISE", "FS=MRC", "CURRENCY=USD", "XLFILL=b")</f>
        <v>207</v>
      </c>
      <c r="F86" s="9">
        <f>_xll.BQL("SEG0000234444 Segment", "SIZE_OF_FLEET", "FPT=A", "FPO=4A", "ACT_EST_MAPPING=PRECISE", "FS=MRC", "CURRENCY=USD", "XLFILL=b")</f>
        <v>207</v>
      </c>
      <c r="G86" s="9">
        <f>_xll.BQL("SEG0000234444 Segment", "SIZE_OF_FLEET", "FPT=A", "FPO=3A", "ACT_EST_MAPPING=PRECISE", "FS=MRC", "CURRENCY=USD", "XLFILL=b")</f>
        <v>207</v>
      </c>
      <c r="H86" s="9">
        <f>_xll.BQL("SEG0000234444 Segment", "SIZE_OF_FLEET", "FPT=A", "FPO=2A", "ACT_EST_MAPPING=PRECISE", "FS=MRC", "CURRENCY=USD", "XLFILL=b")</f>
        <v>207</v>
      </c>
      <c r="I86" s="9">
        <f>_xll.BQL("SEG0000234444 Segment", "SIZE_OF_FLEET", "FPT=A", "FPO=1A", "ACT_EST_MAPPING=PRECISE", "FS=MRC", "CURRENCY=USD", "XLFILL=b")</f>
        <v>207</v>
      </c>
      <c r="J86" s="9">
        <f>_xll.BQL("SEG0000234444 Segment", "SIZE_OF_FLEET", "FPT=A", "FPO=0A", "ACT_EST_MAPPING=PRECISE", "FS=MRC", "CURRENCY=USD", "XLFILL=b")</f>
        <v>207</v>
      </c>
      <c r="K86" s="9">
        <f>_xll.BQL("SEG0000234444 Segment", "SIZE_OF_FLEET", "FPT=A", "FPO=-1A", "ACT_EST_MAPPING=PRECISE", "FS=MRC", "CURRENCY=USD", "XLFILL=b")</f>
        <v>207</v>
      </c>
      <c r="L86" s="9">
        <f>_xll.BQL("SEG0000234444 Segment", "SIZE_OF_FLEET", "FPT=A", "FPO=-2A", "ACT_EST_MAPPING=PRECISE", "FS=MRC", "CURRENCY=USD", "XLFILL=b")</f>
        <v>207</v>
      </c>
      <c r="M86" s="9">
        <f>_xll.BQL("SEG0000234444 Segment", "SIZE_OF_FLEET", "FPT=A", "FPO=-3A", "ACT_EST_MAPPING=PRECISE", "FS=MRC", "CURRENCY=USD", "XLFILL=b")</f>
        <v>207</v>
      </c>
      <c r="N86" s="9">
        <f>_xll.BQL("SEG0000234444 Segment", "SIZE_OF_FLEET", "FPT=A", "FPO=-4A", "ACT_EST_MAPPING=PRECISE", "FS=MRC", "CURRENCY=USD", "XLFILL=b")</f>
        <v>207</v>
      </c>
    </row>
    <row r="87" spans="1:14" x14ac:dyDescent="0.2">
      <c r="A87" s="8" t="s">
        <v>21</v>
      </c>
      <c r="B87" s="4" t="s">
        <v>45</v>
      </c>
      <c r="C87" s="4"/>
      <c r="D87" s="4" t="s">
        <v>82</v>
      </c>
      <c r="E87" s="9">
        <f>_xll.BQL("SEG0000234444 Segment", "FA_GROWTH(SIZE_OF_FLEET, YOY)", "FPT=A", "FPO=5A", "ACT_EST_MAPPING=PRECISE", "FS=MRC", "CURRENCY=USD", "XLFILL=b")</f>
        <v>0</v>
      </c>
      <c r="F87" s="9">
        <f>_xll.BQL("SEG0000234444 Segment", "FA_GROWTH(SIZE_OF_FLEET, YOY)", "FPT=A", "FPO=4A", "ACT_EST_MAPPING=PRECISE", "FS=MRC", "CURRENCY=USD", "XLFILL=b")</f>
        <v>0</v>
      </c>
      <c r="G87" s="9">
        <f>_xll.BQL("SEG0000234444 Segment", "FA_GROWTH(SIZE_OF_FLEET, YOY)", "FPT=A", "FPO=3A", "ACT_EST_MAPPING=PRECISE", "FS=MRC", "CURRENCY=USD", "XLFILL=b")</f>
        <v>0</v>
      </c>
      <c r="H87" s="9">
        <f>_xll.BQL("SEG0000234444 Segment", "FA_GROWTH(SIZE_OF_FLEET, YOY)", "FPT=A", "FPO=2A", "ACT_EST_MAPPING=PRECISE", "FS=MRC", "CURRENCY=USD", "XLFILL=b")</f>
        <v>0</v>
      </c>
      <c r="I87" s="9">
        <f>_xll.BQL("SEG0000234444 Segment", "FA_GROWTH(SIZE_OF_FLEET, YOY)", "FPT=A", "FPO=1A", "ACT_EST_MAPPING=PRECISE", "FS=MRC", "CURRENCY=USD", "XLFILL=b")</f>
        <v>0</v>
      </c>
      <c r="J87" s="9">
        <f>_xll.BQL("SEG0000234444 Segment", "FA_GROWTH(SIZE_OF_FLEET, YOY)", "FPT=A", "FPO=0A", "ACT_EST_MAPPING=PRECISE", "FS=MRC", "CURRENCY=USD", "XLFILL=b")</f>
        <v>0</v>
      </c>
      <c r="K87" s="9">
        <f>_xll.BQL("SEG0000234444 Segment", "FA_GROWTH(SIZE_OF_FLEET, YOY)", "FPT=A", "FPO=-1A", "ACT_EST_MAPPING=PRECISE", "FS=MRC", "CURRENCY=USD", "XLFILL=b")</f>
        <v>0</v>
      </c>
      <c r="L87" s="9">
        <f>_xll.BQL("SEG0000234444 Segment", "FA_GROWTH(SIZE_OF_FLEET, YOY)", "FPT=A", "FPO=-2A", "ACT_EST_MAPPING=PRECISE", "FS=MRC", "CURRENCY=USD", "XLFILL=b")</f>
        <v>0</v>
      </c>
      <c r="M87" s="9">
        <f>_xll.BQL("SEG0000234444 Segment", "FA_GROWTH(SIZE_OF_FLEET, YOY)", "FPT=A", "FPO=-3A", "ACT_EST_MAPPING=PRECISE", "FS=MRC", "CURRENCY=USD", "XLFILL=b")</f>
        <v>0</v>
      </c>
      <c r="N87" s="9">
        <f>_xll.BQL("SEG0000234444 Segment", "FA_GROWTH(SIZE_OF_FLEET, YOY)", "FPT=A", "FPO=-4A", "ACT_EST_MAPPING=PRECISE", "FS=MRC", "CURRENCY=USD", "XLFILL=b")</f>
        <v>0</v>
      </c>
    </row>
    <row r="88" spans="1:14" x14ac:dyDescent="0.2">
      <c r="A88" s="8" t="s">
        <v>83</v>
      </c>
      <c r="B88" s="4" t="s">
        <v>84</v>
      </c>
      <c r="C88" s="4"/>
      <c r="D88" s="4"/>
      <c r="E88" s="9" t="str">
        <f>_xll.BQL("LUV US Equity", "AGES_OF_AIRCRAFT_IN_FLT", "FPT=A", "FPO=5A", "ACT_EST_MAPPING=PRECISE", "FS=MRC", "CURRENCY=USD", "XLFILL=b")</f>
        <v/>
      </c>
      <c r="F88" s="9" t="str">
        <f>_xll.BQL("LUV US Equity", "AGES_OF_AIRCRAFT_IN_FLT", "FPT=A", "FPO=4A", "ACT_EST_MAPPING=PRECISE", "FS=MRC", "CURRENCY=USD", "XLFILL=b")</f>
        <v/>
      </c>
      <c r="G88" s="9" t="str">
        <f>_xll.BQL("LUV US Equity", "AGES_OF_AIRCRAFT_IN_FLT", "FPT=A", "FPO=3A", "ACT_EST_MAPPING=PRECISE", "FS=MRC", "CURRENCY=USD", "XLFILL=b")</f>
        <v/>
      </c>
      <c r="H88" s="9" t="str">
        <f>_xll.BQL("LUV US Equity", "AGES_OF_AIRCRAFT_IN_FLT", "FPT=A", "FPO=2A", "ACT_EST_MAPPING=PRECISE", "FS=MRC", "CURRENCY=USD", "XLFILL=b")</f>
        <v/>
      </c>
      <c r="I88" s="9" t="str">
        <f>_xll.BQL("LUV US Equity", "AGES_OF_AIRCRAFT_IN_FLT", "FPT=A", "FPO=1A", "ACT_EST_MAPPING=PRECISE", "FS=MRC", "CURRENCY=USD", "XLFILL=b")</f>
        <v/>
      </c>
      <c r="J88" s="9">
        <f>_xll.BQL("LUV US Equity", "AGES_OF_AIRCRAFT_IN_FLT", "FPT=A", "FPO=0A", "ACT_EST_MAPPING=PRECISE", "FS=MRC", "CURRENCY=USD", "XLFILL=b")</f>
        <v>12</v>
      </c>
      <c r="K88" s="9">
        <f>_xll.BQL("LUV US Equity", "AGES_OF_AIRCRAFT_IN_FLT", "FPT=A", "FPO=-1A", "ACT_EST_MAPPING=PRECISE", "FS=MRC", "CURRENCY=USD", "XLFILL=b")</f>
        <v>12</v>
      </c>
      <c r="L88" s="9">
        <f>_xll.BQL("LUV US Equity", "AGES_OF_AIRCRAFT_IN_FLT", "FPT=A", "FPO=-2A", "ACT_EST_MAPPING=PRECISE", "FS=MRC", "CURRENCY=USD", "XLFILL=b")</f>
        <v>13</v>
      </c>
      <c r="M88" s="9">
        <f>_xll.BQL("LUV US Equity", "AGES_OF_AIRCRAFT_IN_FLT", "FPT=A", "FPO=-3A", "ACT_EST_MAPPING=PRECISE", "FS=MRC", "CURRENCY=USD", "XLFILL=b")</f>
        <v>12</v>
      </c>
      <c r="N88" s="9">
        <f>_xll.BQL("LUV US Equity", "AGES_OF_AIRCRAFT_IN_FLT", "FPT=A", "FPO=-4A", "ACT_EST_MAPPING=PRECISE", "FS=MRC", "CURRENCY=USD", "XLFILL=b")</f>
        <v>12</v>
      </c>
    </row>
    <row r="89" spans="1:14" x14ac:dyDescent="0.2">
      <c r="A89" s="8" t="s">
        <v>12</v>
      </c>
      <c r="B89" s="4" t="s">
        <v>84</v>
      </c>
      <c r="C89" s="4"/>
      <c r="D89" s="4"/>
      <c r="E89" s="9" t="str">
        <f>_xll.BQL("LUV US Equity", "FA_GROWTH(AGES_OF_AIRCRAFT_IN_FLT, YOY)", "FPT=A", "FPO=5A", "ACT_EST_MAPPING=PRECISE", "FS=MRC", "CURRENCY=USD", "XLFILL=b")</f>
        <v/>
      </c>
      <c r="F89" s="9" t="str">
        <f>_xll.BQL("LUV US Equity", "FA_GROWTH(AGES_OF_AIRCRAFT_IN_FLT, YOY)", "FPT=A", "FPO=4A", "ACT_EST_MAPPING=PRECISE", "FS=MRC", "CURRENCY=USD", "XLFILL=b")</f>
        <v/>
      </c>
      <c r="G89" s="9" t="str">
        <f>_xll.BQL("LUV US Equity", "FA_GROWTH(AGES_OF_AIRCRAFT_IN_FLT, YOY)", "FPT=A", "FPO=3A", "ACT_EST_MAPPING=PRECISE", "FS=MRC", "CURRENCY=USD", "XLFILL=b")</f>
        <v/>
      </c>
      <c r="H89" s="9" t="str">
        <f>_xll.BQL("LUV US Equity", "FA_GROWTH(AGES_OF_AIRCRAFT_IN_FLT, YOY)", "FPT=A", "FPO=2A", "ACT_EST_MAPPING=PRECISE", "FS=MRC", "CURRENCY=USD", "XLFILL=b")</f>
        <v/>
      </c>
      <c r="I89" s="9" t="str">
        <f>_xll.BQL("LUV US Equity", "FA_GROWTH(AGES_OF_AIRCRAFT_IN_FLT, YOY)", "FPT=A", "FPO=1A", "ACT_EST_MAPPING=PRECISE", "FS=MRC", "CURRENCY=USD", "XLFILL=b")</f>
        <v/>
      </c>
      <c r="J89" s="9">
        <f>_xll.BQL("LUV US Equity", "FA_GROWTH(AGES_OF_AIRCRAFT_IN_FLT, YOY)", "FPT=A", "FPO=0A", "ACT_EST_MAPPING=PRECISE", "FS=MRC", "CURRENCY=USD", "XLFILL=b")</f>
        <v>0</v>
      </c>
      <c r="K89" s="9">
        <f>_xll.BQL("LUV US Equity", "FA_GROWTH(AGES_OF_AIRCRAFT_IN_FLT, YOY)", "FPT=A", "FPO=-1A", "ACT_EST_MAPPING=PRECISE", "FS=MRC", "CURRENCY=USD", "XLFILL=b")</f>
        <v>-7.6923076923076925</v>
      </c>
      <c r="L89" s="9">
        <f>_xll.BQL("LUV US Equity", "FA_GROWTH(AGES_OF_AIRCRAFT_IN_FLT, YOY)", "FPT=A", "FPO=-2A", "ACT_EST_MAPPING=PRECISE", "FS=MRC", "CURRENCY=USD", "XLFILL=b")</f>
        <v>8.3333333333333339</v>
      </c>
      <c r="M89" s="9">
        <f>_xll.BQL("LUV US Equity", "FA_GROWTH(AGES_OF_AIRCRAFT_IN_FLT, YOY)", "FPT=A", "FPO=-3A", "ACT_EST_MAPPING=PRECISE", "FS=MRC", "CURRENCY=USD", "XLFILL=b")</f>
        <v>0</v>
      </c>
      <c r="N89" s="9">
        <f>_xll.BQL("LUV US Equity", "FA_GROWTH(AGES_OF_AIRCRAFT_IN_FLT, YOY)", "FPT=A", "FPO=-4A", "ACT_EST_MAPPING=PRECISE", "FS=MRC", "CURRENCY=USD", "XLFILL=b")</f>
        <v>9.0909090909090917</v>
      </c>
    </row>
    <row r="90" spans="1:14" x14ac:dyDescent="0.2">
      <c r="A90" s="8" t="s">
        <v>77</v>
      </c>
      <c r="B90" s="4" t="s">
        <v>85</v>
      </c>
      <c r="C90" s="4"/>
      <c r="D90" s="4" t="s">
        <v>78</v>
      </c>
      <c r="E90" s="9" t="str">
        <f>_xll.BQL("SEG0000234421 Segment", "AVERAGE_AGE", "FPT=A", "FPO=5A", "ACT_EST_MAPPING=PRECISE", "FS=MRC", "CURRENCY=USD", "XLFILL=b")</f>
        <v/>
      </c>
      <c r="F90" s="9" t="str">
        <f>_xll.BQL("SEG0000234421 Segment", "AVERAGE_AGE", "FPT=A", "FPO=4A", "ACT_EST_MAPPING=PRECISE", "FS=MRC", "CURRENCY=USD", "XLFILL=b")</f>
        <v/>
      </c>
      <c r="G90" s="9" t="str">
        <f>_xll.BQL("SEG0000234421 Segment", "AVERAGE_AGE", "FPT=A", "FPO=3A", "ACT_EST_MAPPING=PRECISE", "FS=MRC", "CURRENCY=USD", "XLFILL=b")</f>
        <v/>
      </c>
      <c r="H90" s="9" t="str">
        <f>_xll.BQL("SEG0000234421 Segment", "AVERAGE_AGE", "FPT=A", "FPO=2A", "ACT_EST_MAPPING=PRECISE", "FS=MRC", "CURRENCY=USD", "XLFILL=b")</f>
        <v/>
      </c>
      <c r="I90" s="9" t="str">
        <f>_xll.BQL("SEG0000234421 Segment", "AVERAGE_AGE", "FPT=A", "FPO=1A", "ACT_EST_MAPPING=PRECISE", "FS=MRC", "CURRENCY=USD", "XLFILL=b")</f>
        <v/>
      </c>
      <c r="J90" s="9">
        <f>_xll.BQL("SEG0000234421 Segment", "AVERAGE_AGE", "FPT=A", "FPO=0A", "ACT_EST_MAPPING=PRECISE", "FS=MRC", "CURRENCY=USD", "XLFILL=b")</f>
        <v>2</v>
      </c>
      <c r="K90" s="9">
        <f>_xll.BQL("SEG0000234421 Segment", "AVERAGE_AGE", "FPT=A", "FPO=-1A", "ACT_EST_MAPPING=PRECISE", "FS=MRC", "CURRENCY=USD", "XLFILL=b")</f>
        <v>2</v>
      </c>
      <c r="L90" s="9">
        <f>_xll.BQL("SEG0000234421 Segment", "AVERAGE_AGE", "FPT=A", "FPO=-2A", "ACT_EST_MAPPING=PRECISE", "FS=MRC", "CURRENCY=USD", "XLFILL=b")</f>
        <v>2</v>
      </c>
      <c r="M90" s="9">
        <f>_xll.BQL("SEG0000234421 Segment", "AVERAGE_AGE", "FPT=A", "FPO=-3A", "ACT_EST_MAPPING=PRECISE", "FS=MRC", "CURRENCY=USD", "XLFILL=b")</f>
        <v>2</v>
      </c>
      <c r="N90" s="9">
        <f>_xll.BQL("SEG0000234421 Segment", "AVERAGE_AGE", "FPT=A", "FPO=-4A", "ACT_EST_MAPPING=PRECISE", "FS=MRC", "CURRENCY=USD", "XLFILL=b")</f>
        <v>2</v>
      </c>
    </row>
    <row r="91" spans="1:14" x14ac:dyDescent="0.2">
      <c r="A91" s="8" t="s">
        <v>21</v>
      </c>
      <c r="B91" s="4" t="s">
        <v>85</v>
      </c>
      <c r="C91" s="4"/>
      <c r="D91" s="4" t="s">
        <v>78</v>
      </c>
      <c r="E91" s="9" t="str">
        <f>_xll.BQL("SEG0000234421 Segment", "FA_GROWTH(AVERAGE_AGE, YOY)", "FPT=A", "FPO=5A", "ACT_EST_MAPPING=PRECISE", "FS=MRC", "CURRENCY=USD", "XLFILL=b")</f>
        <v/>
      </c>
      <c r="F91" s="9" t="str">
        <f>_xll.BQL("SEG0000234421 Segment", "FA_GROWTH(AVERAGE_AGE, YOY)", "FPT=A", "FPO=4A", "ACT_EST_MAPPING=PRECISE", "FS=MRC", "CURRENCY=USD", "XLFILL=b")</f>
        <v/>
      </c>
      <c r="G91" s="9" t="str">
        <f>_xll.BQL("SEG0000234421 Segment", "FA_GROWTH(AVERAGE_AGE, YOY)", "FPT=A", "FPO=3A", "ACT_EST_MAPPING=PRECISE", "FS=MRC", "CURRENCY=USD", "XLFILL=b")</f>
        <v/>
      </c>
      <c r="H91" s="9" t="str">
        <f>_xll.BQL("SEG0000234421 Segment", "FA_GROWTH(AVERAGE_AGE, YOY)", "FPT=A", "FPO=2A", "ACT_EST_MAPPING=PRECISE", "FS=MRC", "CURRENCY=USD", "XLFILL=b")</f>
        <v/>
      </c>
      <c r="I91" s="9" t="str">
        <f>_xll.BQL("SEG0000234421 Segment", "FA_GROWTH(AVERAGE_AGE, YOY)", "FPT=A", "FPO=1A", "ACT_EST_MAPPING=PRECISE", "FS=MRC", "CURRENCY=USD", "XLFILL=b")</f>
        <v/>
      </c>
      <c r="J91" s="9">
        <f>_xll.BQL("SEG0000234421 Segment", "FA_GROWTH(AVERAGE_AGE, YOY)", "FPT=A", "FPO=0A", "ACT_EST_MAPPING=PRECISE", "FS=MRC", "CURRENCY=USD", "XLFILL=b")</f>
        <v>0</v>
      </c>
      <c r="K91" s="9">
        <f>_xll.BQL("SEG0000234421 Segment", "FA_GROWTH(AVERAGE_AGE, YOY)", "FPT=A", "FPO=-1A", "ACT_EST_MAPPING=PRECISE", "FS=MRC", "CURRENCY=USD", "XLFILL=b")</f>
        <v>0</v>
      </c>
      <c r="L91" s="9">
        <f>_xll.BQL("SEG0000234421 Segment", "FA_GROWTH(AVERAGE_AGE, YOY)", "FPT=A", "FPO=-2A", "ACT_EST_MAPPING=PRECISE", "FS=MRC", "CURRENCY=USD", "XLFILL=b")</f>
        <v>0</v>
      </c>
      <c r="M91" s="9">
        <f>_xll.BQL("SEG0000234421 Segment", "FA_GROWTH(AVERAGE_AGE, YOY)", "FPT=A", "FPO=-3A", "ACT_EST_MAPPING=PRECISE", "FS=MRC", "CURRENCY=USD", "XLFILL=b")</f>
        <v>0</v>
      </c>
      <c r="N91" s="9">
        <f>_xll.BQL("SEG0000234421 Segment", "FA_GROWTH(AVERAGE_AGE, YOY)", "FPT=A", "FPO=-4A", "ACT_EST_MAPPING=PRECISE", "FS=MRC", "CURRENCY=USD", "XLFILL=b")</f>
        <v>100</v>
      </c>
    </row>
    <row r="92" spans="1:14" x14ac:dyDescent="0.2">
      <c r="A92" s="8" t="s">
        <v>79</v>
      </c>
      <c r="B92" s="4" t="s">
        <v>85</v>
      </c>
      <c r="C92" s="4"/>
      <c r="D92" s="4" t="s">
        <v>80</v>
      </c>
      <c r="E92" s="9" t="str">
        <f>_xll.BQL("SEG0000234425 Segment", "AVERAGE_AGE", "FPT=A", "FPO=5A", "ACT_EST_MAPPING=PRECISE", "FS=MRC", "CURRENCY=USD", "XLFILL=b")</f>
        <v/>
      </c>
      <c r="F92" s="9" t="str">
        <f>_xll.BQL("SEG0000234425 Segment", "AVERAGE_AGE", "FPT=A", "FPO=4A", "ACT_EST_MAPPING=PRECISE", "FS=MRC", "CURRENCY=USD", "XLFILL=b")</f>
        <v/>
      </c>
      <c r="G92" s="9" t="str">
        <f>_xll.BQL("SEG0000234425 Segment", "AVERAGE_AGE", "FPT=A", "FPO=3A", "ACT_EST_MAPPING=PRECISE", "FS=MRC", "CURRENCY=USD", "XLFILL=b")</f>
        <v/>
      </c>
      <c r="H92" s="9" t="str">
        <f>_xll.BQL("SEG0000234425 Segment", "AVERAGE_AGE", "FPT=A", "FPO=2A", "ACT_EST_MAPPING=PRECISE", "FS=MRC", "CURRENCY=USD", "XLFILL=b")</f>
        <v/>
      </c>
      <c r="I92" s="9" t="str">
        <f>_xll.BQL("SEG0000234425 Segment", "AVERAGE_AGE", "FPT=A", "FPO=1A", "ACT_EST_MAPPING=PRECISE", "FS=MRC", "CURRENCY=USD", "XLFILL=b")</f>
        <v/>
      </c>
      <c r="J92" s="9">
        <f>_xll.BQL("SEG0000234425 Segment", "AVERAGE_AGE", "FPT=A", "FPO=0A", "ACT_EST_MAPPING=PRECISE", "FS=MRC", "CURRENCY=USD", "XLFILL=b")</f>
        <v>18</v>
      </c>
      <c r="K92" s="9">
        <f>_xll.BQL("SEG0000234425 Segment", "AVERAGE_AGE", "FPT=A", "FPO=-1A", "ACT_EST_MAPPING=PRECISE", "FS=MRC", "CURRENCY=USD", "XLFILL=b")</f>
        <v>18</v>
      </c>
      <c r="L92" s="9">
        <f>_xll.BQL("SEG0000234425 Segment", "AVERAGE_AGE", "FPT=A", "FPO=-2A", "ACT_EST_MAPPING=PRECISE", "FS=MRC", "CURRENCY=USD", "XLFILL=b")</f>
        <v>17</v>
      </c>
      <c r="M92" s="9">
        <f>_xll.BQL("SEG0000234425 Segment", "AVERAGE_AGE", "FPT=A", "FPO=-3A", "ACT_EST_MAPPING=PRECISE", "FS=MRC", "CURRENCY=USD", "XLFILL=b")</f>
        <v>16</v>
      </c>
      <c r="N92" s="9">
        <f>_xll.BQL("SEG0000234425 Segment", "AVERAGE_AGE", "FPT=A", "FPO=-4A", "ACT_EST_MAPPING=PRECISE", "FS=MRC", "CURRENCY=USD", "XLFILL=b")</f>
        <v>15</v>
      </c>
    </row>
    <row r="93" spans="1:14" x14ac:dyDescent="0.2">
      <c r="A93" s="8" t="s">
        <v>21</v>
      </c>
      <c r="B93" s="4" t="s">
        <v>85</v>
      </c>
      <c r="C93" s="4"/>
      <c r="D93" s="4" t="s">
        <v>80</v>
      </c>
      <c r="E93" s="9" t="str">
        <f>_xll.BQL("SEG0000234425 Segment", "FA_GROWTH(AVERAGE_AGE, YOY)", "FPT=A", "FPO=5A", "ACT_EST_MAPPING=PRECISE", "FS=MRC", "CURRENCY=USD", "XLFILL=b")</f>
        <v/>
      </c>
      <c r="F93" s="9" t="str">
        <f>_xll.BQL("SEG0000234425 Segment", "FA_GROWTH(AVERAGE_AGE, YOY)", "FPT=A", "FPO=4A", "ACT_EST_MAPPING=PRECISE", "FS=MRC", "CURRENCY=USD", "XLFILL=b")</f>
        <v/>
      </c>
      <c r="G93" s="9" t="str">
        <f>_xll.BQL("SEG0000234425 Segment", "FA_GROWTH(AVERAGE_AGE, YOY)", "FPT=A", "FPO=3A", "ACT_EST_MAPPING=PRECISE", "FS=MRC", "CURRENCY=USD", "XLFILL=b")</f>
        <v/>
      </c>
      <c r="H93" s="9" t="str">
        <f>_xll.BQL("SEG0000234425 Segment", "FA_GROWTH(AVERAGE_AGE, YOY)", "FPT=A", "FPO=2A", "ACT_EST_MAPPING=PRECISE", "FS=MRC", "CURRENCY=USD", "XLFILL=b")</f>
        <v/>
      </c>
      <c r="I93" s="9" t="str">
        <f>_xll.BQL("SEG0000234425 Segment", "FA_GROWTH(AVERAGE_AGE, YOY)", "FPT=A", "FPO=1A", "ACT_EST_MAPPING=PRECISE", "FS=MRC", "CURRENCY=USD", "XLFILL=b")</f>
        <v/>
      </c>
      <c r="J93" s="9">
        <f>_xll.BQL("SEG0000234425 Segment", "FA_GROWTH(AVERAGE_AGE, YOY)", "FPT=A", "FPO=0A", "ACT_EST_MAPPING=PRECISE", "FS=MRC", "CURRENCY=USD", "XLFILL=b")</f>
        <v>0</v>
      </c>
      <c r="K93" s="9">
        <f>_xll.BQL("SEG0000234425 Segment", "FA_GROWTH(AVERAGE_AGE, YOY)", "FPT=A", "FPO=-1A", "ACT_EST_MAPPING=PRECISE", "FS=MRC", "CURRENCY=USD", "XLFILL=b")</f>
        <v>5.882352941176471</v>
      </c>
      <c r="L93" s="9">
        <f>_xll.BQL("SEG0000234425 Segment", "FA_GROWTH(AVERAGE_AGE, YOY)", "FPT=A", "FPO=-2A", "ACT_EST_MAPPING=PRECISE", "FS=MRC", "CURRENCY=USD", "XLFILL=b")</f>
        <v>6.25</v>
      </c>
      <c r="M93" s="9">
        <f>_xll.BQL("SEG0000234425 Segment", "FA_GROWTH(AVERAGE_AGE, YOY)", "FPT=A", "FPO=-3A", "ACT_EST_MAPPING=PRECISE", "FS=MRC", "CURRENCY=USD", "XLFILL=b")</f>
        <v>6.666666666666667</v>
      </c>
      <c r="N93" s="9">
        <f>_xll.BQL("SEG0000234425 Segment", "FA_GROWTH(AVERAGE_AGE, YOY)", "FPT=A", "FPO=-4A", "ACT_EST_MAPPING=PRECISE", "FS=MRC", "CURRENCY=USD", "XLFILL=b")</f>
        <v>0</v>
      </c>
    </row>
    <row r="94" spans="1:14" x14ac:dyDescent="0.2">
      <c r="A94" s="8" t="s">
        <v>81</v>
      </c>
      <c r="B94" s="4" t="s">
        <v>85</v>
      </c>
      <c r="C94" s="4"/>
      <c r="D94" s="4" t="s">
        <v>82</v>
      </c>
      <c r="E94" s="9" t="str">
        <f>_xll.BQL("SEG0000234444 Segment", "AVERAGE_AGE", "FPT=A", "FPO=5A", "ACT_EST_MAPPING=PRECISE", "FS=MRC", "CURRENCY=USD", "XLFILL=b")</f>
        <v/>
      </c>
      <c r="F94" s="9" t="str">
        <f>_xll.BQL("SEG0000234444 Segment", "AVERAGE_AGE", "FPT=A", "FPO=4A", "ACT_EST_MAPPING=PRECISE", "FS=MRC", "CURRENCY=USD", "XLFILL=b")</f>
        <v/>
      </c>
      <c r="G94" s="9" t="str">
        <f>_xll.BQL("SEG0000234444 Segment", "AVERAGE_AGE", "FPT=A", "FPO=3A", "ACT_EST_MAPPING=PRECISE", "FS=MRC", "CURRENCY=USD", "XLFILL=b")</f>
        <v/>
      </c>
      <c r="H94" s="9" t="str">
        <f>_xll.BQL("SEG0000234444 Segment", "AVERAGE_AGE", "FPT=A", "FPO=2A", "ACT_EST_MAPPING=PRECISE", "FS=MRC", "CURRENCY=USD", "XLFILL=b")</f>
        <v/>
      </c>
      <c r="I94" s="9" t="str">
        <f>_xll.BQL("SEG0000234444 Segment", "AVERAGE_AGE", "FPT=A", "FPO=1A", "ACT_EST_MAPPING=PRECISE", "FS=MRC", "CURRENCY=USD", "XLFILL=b")</f>
        <v/>
      </c>
      <c r="J94" s="9">
        <f>_xll.BQL("SEG0000234444 Segment", "AVERAGE_AGE", "FPT=A", "FPO=0A", "ACT_EST_MAPPING=PRECISE", "FS=MRC", "CURRENCY=USD", "XLFILL=b")</f>
        <v>8</v>
      </c>
      <c r="K94" s="9">
        <f>_xll.BQL("SEG0000234444 Segment", "AVERAGE_AGE", "FPT=A", "FPO=-1A", "ACT_EST_MAPPING=PRECISE", "FS=MRC", "CURRENCY=USD", "XLFILL=b")</f>
        <v>7</v>
      </c>
      <c r="L94" s="9">
        <f>_xll.BQL("SEG0000234444 Segment", "AVERAGE_AGE", "FPT=A", "FPO=-2A", "ACT_EST_MAPPING=PRECISE", "FS=MRC", "CURRENCY=USD", "XLFILL=b")</f>
        <v>6</v>
      </c>
      <c r="M94" s="9">
        <f>_xll.BQL("SEG0000234444 Segment", "AVERAGE_AGE", "FPT=A", "FPO=-3A", "ACT_EST_MAPPING=PRECISE", "FS=MRC", "CURRENCY=USD", "XLFILL=b")</f>
        <v>5</v>
      </c>
      <c r="N94" s="9">
        <f>_xll.BQL("SEG0000234444 Segment", "AVERAGE_AGE", "FPT=A", "FPO=-4A", "ACT_EST_MAPPING=PRECISE", "FS=MRC", "CURRENCY=USD", "XLFILL=b")</f>
        <v>4</v>
      </c>
    </row>
    <row r="95" spans="1:14" x14ac:dyDescent="0.2">
      <c r="A95" s="8" t="s">
        <v>21</v>
      </c>
      <c r="B95" s="4" t="s">
        <v>85</v>
      </c>
      <c r="C95" s="4"/>
      <c r="D95" s="4" t="s">
        <v>82</v>
      </c>
      <c r="E95" s="9" t="str">
        <f>_xll.BQL("SEG0000234444 Segment", "FA_GROWTH(AVERAGE_AGE, YOY)", "FPT=A", "FPO=5A", "ACT_EST_MAPPING=PRECISE", "FS=MRC", "CURRENCY=USD", "XLFILL=b")</f>
        <v/>
      </c>
      <c r="F95" s="9" t="str">
        <f>_xll.BQL("SEG0000234444 Segment", "FA_GROWTH(AVERAGE_AGE, YOY)", "FPT=A", "FPO=4A", "ACT_EST_MAPPING=PRECISE", "FS=MRC", "CURRENCY=USD", "XLFILL=b")</f>
        <v/>
      </c>
      <c r="G95" s="9" t="str">
        <f>_xll.BQL("SEG0000234444 Segment", "FA_GROWTH(AVERAGE_AGE, YOY)", "FPT=A", "FPO=3A", "ACT_EST_MAPPING=PRECISE", "FS=MRC", "CURRENCY=USD", "XLFILL=b")</f>
        <v/>
      </c>
      <c r="H95" s="9" t="str">
        <f>_xll.BQL("SEG0000234444 Segment", "FA_GROWTH(AVERAGE_AGE, YOY)", "FPT=A", "FPO=2A", "ACT_EST_MAPPING=PRECISE", "FS=MRC", "CURRENCY=USD", "XLFILL=b")</f>
        <v/>
      </c>
      <c r="I95" s="9" t="str">
        <f>_xll.BQL("SEG0000234444 Segment", "FA_GROWTH(AVERAGE_AGE, YOY)", "FPT=A", "FPO=1A", "ACT_EST_MAPPING=PRECISE", "FS=MRC", "CURRENCY=USD", "XLFILL=b")</f>
        <v/>
      </c>
      <c r="J95" s="9">
        <f>_xll.BQL("SEG0000234444 Segment", "FA_GROWTH(AVERAGE_AGE, YOY)", "FPT=A", "FPO=0A", "ACT_EST_MAPPING=PRECISE", "FS=MRC", "CURRENCY=USD", "XLFILL=b")</f>
        <v>14.285714285714286</v>
      </c>
      <c r="K95" s="9">
        <f>_xll.BQL("SEG0000234444 Segment", "FA_GROWTH(AVERAGE_AGE, YOY)", "FPT=A", "FPO=-1A", "ACT_EST_MAPPING=PRECISE", "FS=MRC", "CURRENCY=USD", "XLFILL=b")</f>
        <v>16.666666666666668</v>
      </c>
      <c r="L95" s="9">
        <f>_xll.BQL("SEG0000234444 Segment", "FA_GROWTH(AVERAGE_AGE, YOY)", "FPT=A", "FPO=-2A", "ACT_EST_MAPPING=PRECISE", "FS=MRC", "CURRENCY=USD", "XLFILL=b")</f>
        <v>20</v>
      </c>
      <c r="M95" s="9">
        <f>_xll.BQL("SEG0000234444 Segment", "FA_GROWTH(AVERAGE_AGE, YOY)", "FPT=A", "FPO=-3A", "ACT_EST_MAPPING=PRECISE", "FS=MRC", "CURRENCY=USD", "XLFILL=b")</f>
        <v>25</v>
      </c>
      <c r="N95" s="9">
        <f>_xll.BQL("SEG0000234444 Segment", "FA_GROWTH(AVERAGE_AGE, YOY)", "FPT=A", "FPO=-4A", "ACT_EST_MAPPING=PRECISE", "FS=MRC", "CURRENCY=USD", "XLFILL=b")</f>
        <v>33.333333333333336</v>
      </c>
    </row>
    <row r="96" spans="1:14" x14ac:dyDescent="0.2">
      <c r="A96" s="8" t="s">
        <v>86</v>
      </c>
      <c r="B96" s="4" t="s">
        <v>87</v>
      </c>
      <c r="C96" s="4" t="s">
        <v>88</v>
      </c>
      <c r="D96" s="4"/>
      <c r="E96" s="9">
        <f>_xll.BQL("LUV US Equity", "FUEL_GALLONS_LITRES/1M", "FPT=A", "FPO=5A", "ACT_EST_MAPPING=PRECISE", "FS=MRC", "CURRENCY=USD", "XLFILL=b")</f>
        <v>2523.793775153898</v>
      </c>
      <c r="F96" s="9">
        <f>_xll.BQL("LUV US Equity", "FUEL_GALLONS_LITRES/1M", "FPT=A", "FPO=4A", "ACT_EST_MAPPING=PRECISE", "FS=MRC", "CURRENCY=USD", "XLFILL=b")</f>
        <v>2421.6217755088223</v>
      </c>
      <c r="G96" s="9">
        <f>_xll.BQL("LUV US Equity", "FUEL_GALLONS_LITRES/1M", "FPT=A", "FPO=3A", "ACT_EST_MAPPING=PRECISE", "FS=MRC", "CURRENCY=USD", "XLFILL=b")</f>
        <v>2281.2402403168762</v>
      </c>
      <c r="H96" s="9">
        <f>_xll.BQL("LUV US Equity", "FUEL_GALLONS_LITRES/1M", "FPT=A", "FPO=2A", "ACT_EST_MAPPING=PRECISE", "FS=MRC", "CURRENCY=USD", "XLFILL=b")</f>
        <v>2217.1733539482302</v>
      </c>
      <c r="I96" s="9">
        <f>_xll.BQL("LUV US Equity", "FUEL_GALLONS_LITRES/1M", "FPT=A", "FPO=1A", "ACT_EST_MAPPING=PRECISE", "FS=MRC", "CURRENCY=USD", "XLFILL=b")</f>
        <v>2188.7899397625483</v>
      </c>
      <c r="J96" s="9">
        <f>_xll.BQL("LUV US Equity", "FUEL_GALLONS_LITRES/1M", "FPT=A", "FPO=0A", "ACT_EST_MAPPING=PRECISE", "FS=MRC", "CURRENCY=USD", "XLFILL=b")</f>
        <v>2143</v>
      </c>
      <c r="K96" s="9">
        <f>_xll.BQL("LUV US Equity", "FUEL_GALLONS_LITRES/1M", "FPT=A", "FPO=-1A", "ACT_EST_MAPPING=PRECISE", "FS=MRC", "CURRENCY=USD", "XLFILL=b")</f>
        <v>1922</v>
      </c>
      <c r="L96" s="9">
        <f>_xll.BQL("LUV US Equity", "FUEL_GALLONS_LITRES/1M", "FPT=A", "FPO=-2A", "ACT_EST_MAPPING=PRECISE", "FS=MRC", "CURRENCY=USD", "XLFILL=b")</f>
        <v>1668</v>
      </c>
      <c r="M96" s="9">
        <f>_xll.BQL("LUV US Equity", "FUEL_GALLONS_LITRES/1M", "FPT=A", "FPO=-3A", "ACT_EST_MAPPING=PRECISE", "FS=MRC", "CURRENCY=USD", "XLFILL=b")</f>
        <v>1273</v>
      </c>
      <c r="N96" s="9">
        <f>_xll.BQL("LUV US Equity", "FUEL_GALLONS_LITRES/1M", "FPT=A", "FPO=-4A", "ACT_EST_MAPPING=PRECISE", "FS=MRC", "CURRENCY=USD", "XLFILL=b")</f>
        <v>2077</v>
      </c>
    </row>
    <row r="97" spans="1:14" x14ac:dyDescent="0.2">
      <c r="A97" s="8" t="s">
        <v>12</v>
      </c>
      <c r="B97" s="4" t="s">
        <v>87</v>
      </c>
      <c r="C97" s="4" t="s">
        <v>88</v>
      </c>
      <c r="D97" s="4"/>
      <c r="E97" s="9">
        <f>_xll.BQL("LUV US Equity", "FA_GROWTH(FUEL_GALLONS_LITRES, YOY)", "FPT=A", "FPO=5A", "ACT_EST_MAPPING=PRECISE", "FS=MRC", "CURRENCY=USD", "XLFILL=b")</f>
        <v>4.2191559672280912</v>
      </c>
      <c r="F97" s="9">
        <f>_xll.BQL("LUV US Equity", "FA_GROWTH(FUEL_GALLONS_LITRES, YOY)", "FPT=A", "FPO=4A", "ACT_EST_MAPPING=PRECISE", "FS=MRC", "CURRENCY=USD", "XLFILL=b")</f>
        <v>6.1537374587275515</v>
      </c>
      <c r="G97" s="9">
        <f>_xll.BQL("LUV US Equity", "FA_GROWTH(FUEL_GALLONS_LITRES, YOY)", "FPT=A", "FPO=3A", "ACT_EST_MAPPING=PRECISE", "FS=MRC", "CURRENCY=USD", "XLFILL=b")</f>
        <v>2.8895749741245571</v>
      </c>
      <c r="H97" s="9">
        <f>_xll.BQL("LUV US Equity", "FA_GROWTH(FUEL_GALLONS_LITRES, YOY)", "FPT=A", "FPO=2A", "ACT_EST_MAPPING=PRECISE", "FS=MRC", "CURRENCY=USD", "XLFILL=b")</f>
        <v>1.296762821779097</v>
      </c>
      <c r="I97" s="9">
        <f>_xll.BQL("LUV US Equity", "FA_GROWTH(FUEL_GALLONS_LITRES, YOY)", "FPT=A", "FPO=1A", "ACT_EST_MAPPING=PRECISE", "FS=MRC", "CURRENCY=USD", "XLFILL=b")</f>
        <v>2.1367214074917613</v>
      </c>
      <c r="J97" s="9">
        <f>_xll.BQL("LUV US Equity", "FA_GROWTH(FUEL_GALLONS_LITRES, YOY)", "FPT=A", "FPO=0A", "ACT_EST_MAPPING=PRECISE", "FS=MRC", "CURRENCY=USD", "XLFILL=b")</f>
        <v>11.49843912591051</v>
      </c>
      <c r="K97" s="9">
        <f>_xll.BQL("LUV US Equity", "FA_GROWTH(FUEL_GALLONS_LITRES, YOY)", "FPT=A", "FPO=-1A", "ACT_EST_MAPPING=PRECISE", "FS=MRC", "CURRENCY=USD", "XLFILL=b")</f>
        <v>15.227817745803357</v>
      </c>
      <c r="L97" s="9">
        <f>_xll.BQL("LUV US Equity", "FA_GROWTH(FUEL_GALLONS_LITRES, YOY)", "FPT=A", "FPO=-2A", "ACT_EST_MAPPING=PRECISE", "FS=MRC", "CURRENCY=USD", "XLFILL=b")</f>
        <v>31.029065200314218</v>
      </c>
      <c r="M97" s="9">
        <f>_xll.BQL("LUV US Equity", "FA_GROWTH(FUEL_GALLONS_LITRES, YOY)", "FPT=A", "FPO=-3A", "ACT_EST_MAPPING=PRECISE", "FS=MRC", "CURRENCY=USD", "XLFILL=b")</f>
        <v>-38.70967741935484</v>
      </c>
      <c r="N97" s="9">
        <f>_xll.BQL("LUV US Equity", "FA_GROWTH(FUEL_GALLONS_LITRES, YOY)", "FPT=A", "FPO=-4A", "ACT_EST_MAPPING=PRECISE", "FS=MRC", "CURRENCY=USD", "XLFILL=b")</f>
        <v>-0.81184336198662843</v>
      </c>
    </row>
    <row r="98" spans="1:14" x14ac:dyDescent="0.2">
      <c r="A98" s="8" t="s">
        <v>89</v>
      </c>
      <c r="B98" s="4" t="s">
        <v>90</v>
      </c>
      <c r="C98" s="4"/>
      <c r="D98" s="4"/>
      <c r="E98" s="9">
        <f>_xll.BQL("LUV US Equity", "FUEL_COSTS_PER_UNIT_INCL_FUEL_TAX_ECON", "FPT=A", "FPO=5A", "ACT_EST_MAPPING=PRECISE", "FS=MRC", "CURRENCY=USD", "XLFILL=b")</f>
        <v>2.7019999999999995</v>
      </c>
      <c r="F98" s="9">
        <f>_xll.BQL("LUV US Equity", "FUEL_COSTS_PER_UNIT_INCL_FUEL_TAX_ECON", "FPT=A", "FPO=4A", "ACT_EST_MAPPING=PRECISE", "FS=MRC", "CURRENCY=USD", "XLFILL=b")</f>
        <v>2.623931091321027</v>
      </c>
      <c r="G98" s="9">
        <f>_xll.BQL("LUV US Equity", "FUEL_COSTS_PER_UNIT_INCL_FUEL_TAX_ECON", "FPT=A", "FPO=3A", "ACT_EST_MAPPING=PRECISE", "FS=MRC", "CURRENCY=USD", "XLFILL=b")</f>
        <v>2.5344127262662011</v>
      </c>
      <c r="H98" s="9">
        <f>_xll.BQL("LUV US Equity", "FUEL_COSTS_PER_UNIT_INCL_FUEL_TAX_ECON", "FPT=A", "FPO=2A", "ACT_EST_MAPPING=PRECISE", "FS=MRC", "CURRENCY=USD", "XLFILL=b")</f>
        <v>2.575050202984599</v>
      </c>
      <c r="I98" s="9">
        <f>_xll.BQL("LUV US Equity", "FUEL_COSTS_PER_UNIT_INCL_FUEL_TAX_ECON", "FPT=A", "FPO=1A", "ACT_EST_MAPPING=PRECISE", "FS=MRC", "CURRENCY=USD", "XLFILL=b")</f>
        <v>2.7020378664172426</v>
      </c>
      <c r="J98" s="9" t="str">
        <f>_xll.BQL("LUV US Equity", "FUEL_COSTS_PER_UNIT_INCL_FUEL_TAX_ECON", "FPT=A", "FPO=0A", "ACT_EST_MAPPING=PRECISE", "FS=MRC", "CURRENCY=USD", "XLFILL=b")</f>
        <v/>
      </c>
      <c r="K98" s="9" t="str">
        <f>_xll.BQL("LUV US Equity", "FUEL_COSTS_PER_UNIT_INCL_FUEL_TAX_ECON", "FPT=A", "FPO=-1A", "ACT_EST_MAPPING=PRECISE", "FS=MRC", "CURRENCY=USD", "XLFILL=b")</f>
        <v/>
      </c>
      <c r="L98" s="9" t="str">
        <f>_xll.BQL("LUV US Equity", "FUEL_COSTS_PER_UNIT_INCL_FUEL_TAX_ECON", "FPT=A", "FPO=-2A", "ACT_EST_MAPPING=PRECISE", "FS=MRC", "CURRENCY=USD", "XLFILL=b")</f>
        <v/>
      </c>
      <c r="M98" s="9" t="str">
        <f>_xll.BQL("LUV US Equity", "FUEL_COSTS_PER_UNIT_INCL_FUEL_TAX_ECON", "FPT=A", "FPO=-3A", "ACT_EST_MAPPING=PRECISE", "FS=MRC", "CURRENCY=USD", "XLFILL=b")</f>
        <v/>
      </c>
      <c r="N98" s="9" t="str">
        <f>_xll.BQL("LUV US Equity", "FUEL_COSTS_PER_UNIT_INCL_FUEL_TAX_ECON", "FPT=A", "FPO=-4A", "ACT_EST_MAPPING=PRECISE", "FS=MRC", "CURRENCY=USD", "XLFILL=b")</f>
        <v/>
      </c>
    </row>
    <row r="99" spans="1:14" x14ac:dyDescent="0.2">
      <c r="A99" s="8" t="s">
        <v>12</v>
      </c>
      <c r="B99" s="4" t="s">
        <v>90</v>
      </c>
      <c r="C99" s="4"/>
      <c r="D99" s="4"/>
      <c r="E99" s="9">
        <f>_xll.BQL("LUV US Equity", "FA_GROWTH(FUEL_COSTS_PER_UNIT_INCL_FUEL_TAX_ECON, YOY)", "FPT=A", "FPO=5A", "ACT_EST_MAPPING=PRECISE", "FS=MRC", "CURRENCY=USD", "XLFILL=b")</f>
        <v>2.9752652017880727</v>
      </c>
      <c r="F99" s="9">
        <f>_xll.BQL("LUV US Equity", "FA_GROWTH(FUEL_COSTS_PER_UNIT_INCL_FUEL_TAX_ECON, YOY)", "FPT=A", "FPO=4A", "ACT_EST_MAPPING=PRECISE", "FS=MRC", "CURRENCY=USD", "XLFILL=b")</f>
        <v>3.5321147233468944</v>
      </c>
      <c r="G99" s="9">
        <f>_xll.BQL("LUV US Equity", "FA_GROWTH(FUEL_COSTS_PER_UNIT_INCL_FUEL_TAX_ECON, YOY)", "FPT=A", "FPO=3A", "ACT_EST_MAPPING=PRECISE", "FS=MRC", "CURRENCY=USD", "XLFILL=b")</f>
        <v>-1.5781236680860529</v>
      </c>
      <c r="H99" s="9">
        <f>_xll.BQL("LUV US Equity", "FA_GROWTH(FUEL_COSTS_PER_UNIT_INCL_FUEL_TAX_ECON, YOY)", "FPT=A", "FPO=2A", "ACT_EST_MAPPING=PRECISE", "FS=MRC", "CURRENCY=USD", "XLFILL=b")</f>
        <v>-4.699699623418768</v>
      </c>
      <c r="I99" s="9" t="str">
        <f>_xll.BQL("LUV US Equity", "FA_GROWTH(FUEL_COSTS_PER_UNIT_INCL_FUEL_TAX_ECON, YOY)", "FPT=A", "FPO=1A", "ACT_EST_MAPPING=PRECISE", "FS=MRC", "CURRENCY=USD", "XLFILL=b")</f>
        <v/>
      </c>
      <c r="J99" s="9" t="str">
        <f>_xll.BQL("LUV US Equity", "FA_GROWTH(FUEL_COSTS_PER_UNIT_INCL_FUEL_TAX_ECON, YOY)", "FPT=A", "FPO=0A", "ACT_EST_MAPPING=PRECISE", "FS=MRC", "CURRENCY=USD", "XLFILL=b")</f>
        <v/>
      </c>
      <c r="K99" s="9" t="str">
        <f>_xll.BQL("LUV US Equity", "FA_GROWTH(FUEL_COSTS_PER_UNIT_INCL_FUEL_TAX_ECON, YOY)", "FPT=A", "FPO=-1A", "ACT_EST_MAPPING=PRECISE", "FS=MRC", "CURRENCY=USD", "XLFILL=b")</f>
        <v/>
      </c>
      <c r="L99" s="9" t="str">
        <f>_xll.BQL("LUV US Equity", "FA_GROWTH(FUEL_COSTS_PER_UNIT_INCL_FUEL_TAX_ECON, YOY)", "FPT=A", "FPO=-2A", "ACT_EST_MAPPING=PRECISE", "FS=MRC", "CURRENCY=USD", "XLFILL=b")</f>
        <v/>
      </c>
      <c r="M99" s="9" t="str">
        <f>_xll.BQL("LUV US Equity", "FA_GROWTH(FUEL_COSTS_PER_UNIT_INCL_FUEL_TAX_ECON, YOY)", "FPT=A", "FPO=-3A", "ACT_EST_MAPPING=PRECISE", "FS=MRC", "CURRENCY=USD", "XLFILL=b")</f>
        <v/>
      </c>
      <c r="N99" s="9" t="str">
        <f>_xll.BQL("LUV US Equity", "FA_GROWTH(FUEL_COSTS_PER_UNIT_INCL_FUEL_TAX_ECON, YOY)", "FPT=A", "FPO=-4A", "ACT_EST_MAPPING=PRECISE", "FS=MRC", "CURRENCY=USD", "XLFILL=b")</f>
        <v/>
      </c>
    </row>
    <row r="100" spans="1:14" x14ac:dyDescent="0.2">
      <c r="A100" s="8" t="s">
        <v>91</v>
      </c>
      <c r="B100" s="4" t="s">
        <v>92</v>
      </c>
      <c r="C100" s="4"/>
      <c r="D100" s="4"/>
      <c r="E100" s="9">
        <f>_xll.BQL("LUV US Equity", "FUEL_PRICE_PER_GALLON_LITRE", "FPT=A", "FPO=5A", "ACT_EST_MAPPING=PRECISE", "FS=MRC", "CURRENCY=USD", "XLFILL=b")</f>
        <v>2.4032429537333937</v>
      </c>
      <c r="F100" s="9">
        <f>_xll.BQL("LUV US Equity", "FUEL_PRICE_PER_GALLON_LITRE", "FPT=A", "FPO=4A", "ACT_EST_MAPPING=PRECISE", "FS=MRC", "CURRENCY=USD", "XLFILL=b")</f>
        <v>2.4452816269221604</v>
      </c>
      <c r="G100" s="9">
        <f>_xll.BQL("LUV US Equity", "FUEL_PRICE_PER_GALLON_LITRE", "FPT=A", "FPO=3A", "ACT_EST_MAPPING=PRECISE", "FS=MRC", "CURRENCY=USD", "XLFILL=b")</f>
        <v>2.6379905207353906</v>
      </c>
      <c r="H100" s="9">
        <f>_xll.BQL("LUV US Equity", "FUEL_PRICE_PER_GALLON_LITRE", "FPT=A", "FPO=2A", "ACT_EST_MAPPING=PRECISE", "FS=MRC", "CURRENCY=USD", "XLFILL=b")</f>
        <v>2.6774982655597075</v>
      </c>
      <c r="I100" s="9">
        <f>_xll.BQL("LUV US Equity", "FUEL_PRICE_PER_GALLON_LITRE", "FPT=A", "FPO=1A", "ACT_EST_MAPPING=PRECISE", "FS=MRC", "CURRENCY=USD", "XLFILL=b")</f>
        <v>2.7605864479608271</v>
      </c>
      <c r="J100" s="9">
        <f>_xll.BQL("LUV US Equity", "FUEL_PRICE_PER_GALLON_LITRE", "FPT=A", "FPO=0A", "ACT_EST_MAPPING=PRECISE", "FS=MRC", "CURRENCY=USD", "XLFILL=b")</f>
        <v>2.89</v>
      </c>
      <c r="K100" s="9">
        <f>_xll.BQL("LUV US Equity", "FUEL_PRICE_PER_GALLON_LITRE", "FPT=A", "FPO=-1A", "ACT_EST_MAPPING=PRECISE", "FS=MRC", "CURRENCY=USD", "XLFILL=b")</f>
        <v>3.07</v>
      </c>
      <c r="L100" s="9">
        <f>_xll.BQL("LUV US Equity", "FUEL_PRICE_PER_GALLON_LITRE", "FPT=A", "FPO=-2A", "ACT_EST_MAPPING=PRECISE", "FS=MRC", "CURRENCY=USD", "XLFILL=b")</f>
        <v>2.0099999999999998</v>
      </c>
      <c r="M100" s="9">
        <f>_xll.BQL("LUV US Equity", "FUEL_PRICE_PER_GALLON_LITRE", "FPT=A", "FPO=-3A", "ACT_EST_MAPPING=PRECISE", "FS=MRC", "CURRENCY=USD", "XLFILL=b")</f>
        <v>1.49</v>
      </c>
      <c r="N100" s="9">
        <f>_xll.BQL("LUV US Equity", "FUEL_PRICE_PER_GALLON_LITRE", "FPT=A", "FPO=-4A", "ACT_EST_MAPPING=PRECISE", "FS=MRC", "CURRENCY=USD", "XLFILL=b")</f>
        <v>2.09</v>
      </c>
    </row>
    <row r="101" spans="1:14" x14ac:dyDescent="0.2">
      <c r="A101" s="8" t="s">
        <v>12</v>
      </c>
      <c r="B101" s="4" t="s">
        <v>92</v>
      </c>
      <c r="C101" s="4"/>
      <c r="D101" s="4"/>
      <c r="E101" s="9">
        <f>_xll.BQL("LUV US Equity", "FA_GROWTH(FUEL_PRICE_PER_GALLON_LITRE, YOY)", "FPT=A", "FPO=5A", "ACT_EST_MAPPING=PRECISE", "FS=MRC", "CURRENCY=USD", "XLFILL=b")</f>
        <v>-1.7191751136526634</v>
      </c>
      <c r="F101" s="9">
        <f>_xll.BQL("LUV US Equity", "FA_GROWTH(FUEL_PRICE_PER_GALLON_LITRE, YOY)", "FPT=A", "FPO=4A", "ACT_EST_MAPPING=PRECISE", "FS=MRC", "CURRENCY=USD", "XLFILL=b")</f>
        <v>-7.3051397379361651</v>
      </c>
      <c r="G101" s="9">
        <f>_xll.BQL("LUV US Equity", "FA_GROWTH(FUEL_PRICE_PER_GALLON_LITRE, YOY)", "FPT=A", "FPO=3A", "ACT_EST_MAPPING=PRECISE", "FS=MRC", "CURRENCY=USD", "XLFILL=b")</f>
        <v>-1.4755469810195414</v>
      </c>
      <c r="H101" s="9">
        <f>_xll.BQL("LUV US Equity", "FA_GROWTH(FUEL_PRICE_PER_GALLON_LITRE, YOY)", "FPT=A", "FPO=2A", "ACT_EST_MAPPING=PRECISE", "FS=MRC", "CURRENCY=USD", "XLFILL=b")</f>
        <v>-3.0098018651976886</v>
      </c>
      <c r="I101" s="9">
        <f>_xll.BQL("LUV US Equity", "FA_GROWTH(FUEL_PRICE_PER_GALLON_LITRE, YOY)", "FPT=A", "FPO=1A", "ACT_EST_MAPPING=PRECISE", "FS=MRC", "CURRENCY=USD", "XLFILL=b")</f>
        <v>-4.4779775792101395</v>
      </c>
      <c r="J101" s="9">
        <f>_xll.BQL("LUV US Equity", "FA_GROWTH(FUEL_PRICE_PER_GALLON_LITRE, YOY)", "FPT=A", "FPO=0A", "ACT_EST_MAPPING=PRECISE", "FS=MRC", "CURRENCY=USD", "XLFILL=b")</f>
        <v>-5.8631921824104145</v>
      </c>
      <c r="K101" s="9">
        <f>_xll.BQL("LUV US Equity", "FA_GROWTH(FUEL_PRICE_PER_GALLON_LITRE, YOY)", "FPT=A", "FPO=-1A", "ACT_EST_MAPPING=PRECISE", "FS=MRC", "CURRENCY=USD", "XLFILL=b")</f>
        <v>52.736318407960205</v>
      </c>
      <c r="L101" s="9">
        <f>_xll.BQL("LUV US Equity", "FA_GROWTH(FUEL_PRICE_PER_GALLON_LITRE, YOY)", "FPT=A", "FPO=-2A", "ACT_EST_MAPPING=PRECISE", "FS=MRC", "CURRENCY=USD", "XLFILL=b")</f>
        <v>34.89932885906039</v>
      </c>
      <c r="M101" s="9">
        <f>_xll.BQL("LUV US Equity", "FA_GROWTH(FUEL_PRICE_PER_GALLON_LITRE, YOY)", "FPT=A", "FPO=-3A", "ACT_EST_MAPPING=PRECISE", "FS=MRC", "CURRENCY=USD", "XLFILL=b")</f>
        <v>-28.708133971291861</v>
      </c>
      <c r="N101" s="9">
        <f>_xll.BQL("LUV US Equity", "FA_GROWTH(FUEL_PRICE_PER_GALLON_LITRE, YOY)", "FPT=A", "FPO=-4A", "ACT_EST_MAPPING=PRECISE", "FS=MRC", "CURRENCY=USD", "XLFILL=b")</f>
        <v>-5.0000000000000142</v>
      </c>
    </row>
    <row r="102" spans="1:14" x14ac:dyDescent="0.2">
      <c r="A102" s="8" t="s">
        <v>93</v>
      </c>
      <c r="B102" s="4" t="s">
        <v>94</v>
      </c>
      <c r="C102" s="4"/>
      <c r="D102" s="4"/>
      <c r="E102" s="9">
        <f>_xll.BQL("LUV US Equity", "FUEL_EXPENSES/1M", "FPT=A", "FPO=5A", "ACT_EST_MAPPING=PRECISE", "FS=MRC", "CURRENCY=USD", "XLFILL=b")</f>
        <v>5947.8006832746432</v>
      </c>
      <c r="F102" s="9">
        <f>_xll.BQL("LUV US Equity", "FUEL_EXPENSES/1M", "FPT=A", "FPO=4A", "ACT_EST_MAPPING=PRECISE", "FS=MRC", "CURRENCY=USD", "XLFILL=b")</f>
        <v>5852.6221143069197</v>
      </c>
      <c r="G102" s="9">
        <f>_xll.BQL("LUV US Equity", "FUEL_EXPENSES/1M", "FPT=A", "FPO=3A", "ACT_EST_MAPPING=PRECISE", "FS=MRC", "CURRENCY=USD", "XLFILL=b")</f>
        <v>5991.4049613960797</v>
      </c>
      <c r="H102" s="9">
        <f>_xll.BQL("LUV US Equity", "FUEL_EXPENSES/1M", "FPT=A", "FPO=2A", "ACT_EST_MAPPING=PRECISE", "FS=MRC", "CURRENCY=USD", "XLFILL=b")</f>
        <v>5924.3347516219555</v>
      </c>
      <c r="I102" s="9">
        <f>_xll.BQL("LUV US Equity", "FUEL_EXPENSES/1M", "FPT=A", "FPO=1A", "ACT_EST_MAPPING=PRECISE", "FS=MRC", "CURRENCY=USD", "XLFILL=b")</f>
        <v>5994.7005486768685</v>
      </c>
      <c r="J102" s="9">
        <f>_xll.BQL("LUV US Equity", "FUEL_EXPENSES/1M", "FPT=A", "FPO=0A", "ACT_EST_MAPPING=PRECISE", "FS=MRC", "CURRENCY=USD", "XLFILL=b")</f>
        <v>6217</v>
      </c>
      <c r="K102" s="9">
        <f>_xll.BQL("LUV US Equity", "FUEL_EXPENSES/1M", "FPT=A", "FPO=-1A", "ACT_EST_MAPPING=PRECISE", "FS=MRC", "CURRENCY=USD", "XLFILL=b")</f>
        <v>5907</v>
      </c>
      <c r="L102" s="9">
        <f>_xll.BQL("LUV US Equity", "FUEL_EXPENSES/1M", "FPT=A", "FPO=-2A", "ACT_EST_MAPPING=PRECISE", "FS=MRC", "CURRENCY=USD", "XLFILL=b")</f>
        <v>3361</v>
      </c>
      <c r="M102" s="9">
        <f>_xll.BQL("LUV US Equity", "FUEL_EXPENSES/1M", "FPT=A", "FPO=-3A", "ACT_EST_MAPPING=PRECISE", "FS=MRC", "CURRENCY=USD", "XLFILL=b")</f>
        <v>1908</v>
      </c>
      <c r="N102" s="9">
        <f>_xll.BQL("LUV US Equity", "FUEL_EXPENSES/1M", "FPT=A", "FPO=-4A", "ACT_EST_MAPPING=PRECISE", "FS=MRC", "CURRENCY=USD", "XLFILL=b")</f>
        <v>4347</v>
      </c>
    </row>
    <row r="103" spans="1:14" x14ac:dyDescent="0.2">
      <c r="A103" s="8" t="s">
        <v>12</v>
      </c>
      <c r="B103" s="4" t="s">
        <v>94</v>
      </c>
      <c r="C103" s="4"/>
      <c r="D103" s="4"/>
      <c r="E103" s="9">
        <f>_xll.BQL("LUV US Equity", "FA_GROWTH(FUEL_EXPENSES, YOY)", "FPT=A", "FPO=5A", "ACT_EST_MAPPING=PRECISE", "FS=MRC", "CURRENCY=USD", "XLFILL=b")</f>
        <v>1.6262551572406472</v>
      </c>
      <c r="F103" s="9">
        <f>_xll.BQL("LUV US Equity", "FA_GROWTH(FUEL_EXPENSES, YOY)", "FPT=A", "FPO=4A", "ACT_EST_MAPPING=PRECISE", "FS=MRC", "CURRENCY=USD", "XLFILL=b")</f>
        <v>-2.3163656601976985</v>
      </c>
      <c r="G103" s="9">
        <f>_xll.BQL("LUV US Equity", "FA_GROWTH(FUEL_EXPENSES, YOY)", "FPT=A", "FPO=3A", "ACT_EST_MAPPING=PRECISE", "FS=MRC", "CURRENCY=USD", "XLFILL=b")</f>
        <v>1.1321137745594434</v>
      </c>
      <c r="H103" s="9">
        <f>_xll.BQL("LUV US Equity", "FA_GROWTH(FUEL_EXPENSES, YOY)", "FPT=A", "FPO=2A", "ACT_EST_MAPPING=PRECISE", "FS=MRC", "CURRENCY=USD", "XLFILL=b")</f>
        <v>-1.1738000336054064</v>
      </c>
      <c r="I103" s="9">
        <f>_xll.BQL("LUV US Equity", "FA_GROWTH(FUEL_EXPENSES, YOY)", "FPT=A", "FPO=1A", "ACT_EST_MAPPING=PRECISE", "FS=MRC", "CURRENCY=USD", "XLFILL=b")</f>
        <v>-3.5756707627976767</v>
      </c>
      <c r="J103" s="9">
        <f>_xll.BQL("LUV US Equity", "FA_GROWTH(FUEL_EXPENSES, YOY)", "FPT=A", "FPO=0A", "ACT_EST_MAPPING=PRECISE", "FS=MRC", "CURRENCY=USD", "XLFILL=b")</f>
        <v>5.2480108346030132</v>
      </c>
      <c r="K103" s="9">
        <f>_xll.BQL("LUV US Equity", "FA_GROWTH(FUEL_EXPENSES, YOY)", "FPT=A", "FPO=-1A", "ACT_EST_MAPPING=PRECISE", "FS=MRC", "CURRENCY=USD", "XLFILL=b")</f>
        <v>75.751264504611726</v>
      </c>
      <c r="L103" s="9">
        <f>_xll.BQL("LUV US Equity", "FA_GROWTH(FUEL_EXPENSES, YOY)", "FPT=A", "FPO=-2A", "ACT_EST_MAPPING=PRECISE", "FS=MRC", "CURRENCY=USD", "XLFILL=b")</f>
        <v>76.153039832285117</v>
      </c>
      <c r="M103" s="9">
        <f>_xll.BQL("LUV US Equity", "FA_GROWTH(FUEL_EXPENSES, YOY)", "FPT=A", "FPO=-3A", "ACT_EST_MAPPING=PRECISE", "FS=MRC", "CURRENCY=USD", "XLFILL=b")</f>
        <v>-56.107660455486545</v>
      </c>
      <c r="N103" s="9">
        <f>_xll.BQL("LUV US Equity", "FA_GROWTH(FUEL_EXPENSES, YOY)", "FPT=A", "FPO=-4A", "ACT_EST_MAPPING=PRECISE", "FS=MRC", "CURRENCY=USD", "XLFILL=b")</f>
        <v>-5.8275563258232239</v>
      </c>
    </row>
    <row r="104" spans="1:14" x14ac:dyDescent="0.2">
      <c r="A104" s="8" t="s">
        <v>95</v>
      </c>
      <c r="B104" s="4" t="s">
        <v>96</v>
      </c>
      <c r="C104" s="4"/>
      <c r="D104" s="4"/>
      <c r="E104" s="9" t="str">
        <f>_xll.BQL("LUV US Equity", "FUEL_HEDGE_EXPENSE/1M", "FPT=A", "FPO=5A", "ACT_EST_MAPPING=PRECISE", "FS=MRC", "CURRENCY=USD", "XLFILL=b")</f>
        <v/>
      </c>
      <c r="F104" s="9">
        <f>_xll.BQL("LUV US Equity", "FUEL_HEDGE_EXPENSE/1M", "FPT=A", "FPO=4A", "ACT_EST_MAPPING=PRECISE", "FS=MRC", "CURRENCY=USD", "XLFILL=b")</f>
        <v>151.21090680360794</v>
      </c>
      <c r="G104" s="9">
        <f>_xll.BQL("LUV US Equity", "FUEL_HEDGE_EXPENSE/1M", "FPT=A", "FPO=3A", "ACT_EST_MAPPING=PRECISE", "FS=MRC", "CURRENCY=USD", "XLFILL=b")</f>
        <v>133.95688014308774</v>
      </c>
      <c r="H104" s="9">
        <f>_xll.BQL("LUV US Equity", "FUEL_HEDGE_EXPENSE/1M", "FPT=A", "FPO=2A", "ACT_EST_MAPPING=PRECISE", "FS=MRC", "CURRENCY=USD", "XLFILL=b")</f>
        <v>132.98765129173972</v>
      </c>
      <c r="I104" s="9">
        <f>_xll.BQL("LUV US Equity", "FUEL_HEDGE_EXPENSE/1M", "FPT=A", "FPO=1A", "ACT_EST_MAPPING=PRECISE", "FS=MRC", "CURRENCY=USD", "XLFILL=b")</f>
        <v>156.20122972042552</v>
      </c>
      <c r="J104" s="9">
        <f>_xll.BQL("LUV US Equity", "FUEL_HEDGE_EXPENSE/1M", "FPT=A", "FPO=0A", "ACT_EST_MAPPING=PRECISE", "FS=MRC", "CURRENCY=USD", "XLFILL=b")</f>
        <v>121</v>
      </c>
      <c r="K104" s="9">
        <f>_xll.BQL("LUV US Equity", "FUEL_HEDGE_EXPENSE/1M", "FPT=A", "FPO=-1A", "ACT_EST_MAPPING=PRECISE", "FS=MRC", "CURRENCY=USD", "XLFILL=b")</f>
        <v>78</v>
      </c>
      <c r="L104" s="9">
        <f>_xll.BQL("LUV US Equity", "FUEL_HEDGE_EXPENSE/1M", "FPT=A", "FPO=-2A", "ACT_EST_MAPPING=PRECISE", "FS=MRC", "CURRENCY=USD", "XLFILL=b")</f>
        <v>100</v>
      </c>
      <c r="M104" s="9">
        <f>_xll.BQL("LUV US Equity", "FUEL_HEDGE_EXPENSE/1M", "FPT=A", "FPO=-3A", "ACT_EST_MAPPING=PRECISE", "FS=MRC", "CURRENCY=USD", "XLFILL=b")</f>
        <v>98</v>
      </c>
      <c r="N104" s="9" t="str">
        <f>_xll.BQL("LUV US Equity", "FUEL_HEDGE_EXPENSE/1M", "FPT=A", "FPO=-4A", "ACT_EST_MAPPING=PRECISE", "FS=MRC", "CURRENCY=USD", "XLFILL=b")</f>
        <v/>
      </c>
    </row>
    <row r="105" spans="1:14" x14ac:dyDescent="0.2">
      <c r="A105" s="8" t="s">
        <v>12</v>
      </c>
      <c r="B105" s="4" t="s">
        <v>96</v>
      </c>
      <c r="C105" s="4"/>
      <c r="D105" s="4"/>
      <c r="E105" s="9" t="str">
        <f>_xll.BQL("LUV US Equity", "FA_GROWTH(FUEL_HEDGE_EXPENSE, YOY)", "FPT=A", "FPO=5A", "ACT_EST_MAPPING=PRECISE", "FS=MRC", "CURRENCY=USD", "XLFILL=b")</f>
        <v/>
      </c>
      <c r="F105" s="9">
        <f>_xll.BQL("LUV US Equity", "FA_GROWTH(FUEL_HEDGE_EXPENSE, YOY)", "FPT=A", "FPO=4A", "ACT_EST_MAPPING=PRECISE", "FS=MRC", "CURRENCY=USD", "XLFILL=b")</f>
        <v>12.880284045201776</v>
      </c>
      <c r="G105" s="9">
        <f>_xll.BQL("LUV US Equity", "FA_GROWTH(FUEL_HEDGE_EXPENSE, YOY)", "FPT=A", "FPO=3A", "ACT_EST_MAPPING=PRECISE", "FS=MRC", "CURRENCY=USD", "XLFILL=b")</f>
        <v>0.72881116549821301</v>
      </c>
      <c r="H105" s="9">
        <f>_xll.BQL("LUV US Equity", "FA_GROWTH(FUEL_HEDGE_EXPENSE, YOY)", "FPT=A", "FPO=2A", "ACT_EST_MAPPING=PRECISE", "FS=MRC", "CURRENCY=USD", "XLFILL=b")</f>
        <v>-14.861328857803668</v>
      </c>
      <c r="I105" s="9">
        <f>_xll.BQL("LUV US Equity", "FA_GROWTH(FUEL_HEDGE_EXPENSE, YOY)", "FPT=A", "FPO=1A", "ACT_EST_MAPPING=PRECISE", "FS=MRC", "CURRENCY=USD", "XLFILL=b")</f>
        <v>29.091925388781416</v>
      </c>
      <c r="J105" s="9">
        <f>_xll.BQL("LUV US Equity", "FA_GROWTH(FUEL_HEDGE_EXPENSE, YOY)", "FPT=A", "FPO=0A", "ACT_EST_MAPPING=PRECISE", "FS=MRC", "CURRENCY=USD", "XLFILL=b")</f>
        <v>55.128205128205131</v>
      </c>
      <c r="K105" s="9">
        <f>_xll.BQL("LUV US Equity", "FA_GROWTH(FUEL_HEDGE_EXPENSE, YOY)", "FPT=A", "FPO=-1A", "ACT_EST_MAPPING=PRECISE", "FS=MRC", "CURRENCY=USD", "XLFILL=b")</f>
        <v>-22</v>
      </c>
      <c r="L105" s="9">
        <f>_xll.BQL("LUV US Equity", "FA_GROWTH(FUEL_HEDGE_EXPENSE, YOY)", "FPT=A", "FPO=-2A", "ACT_EST_MAPPING=PRECISE", "FS=MRC", "CURRENCY=USD", "XLFILL=b")</f>
        <v>2.0408163265306123</v>
      </c>
      <c r="M105" s="9" t="str">
        <f>_xll.BQL("LUV US Equity", "FA_GROWTH(FUEL_HEDGE_EXPENSE, YOY)", "FPT=A", "FPO=-3A", "ACT_EST_MAPPING=PRECISE", "FS=MRC", "CURRENCY=USD", "XLFILL=b")</f>
        <v/>
      </c>
      <c r="N105" s="9" t="str">
        <f>_xll.BQL("LUV US Equity", "FA_GROWTH(FUEL_HEDGE_EXPENSE, YOY)", "FPT=A", "FPO=-4A", "ACT_EST_MAPPING=PRECISE", "FS=MRC", "CURRENCY=USD", "XLFILL=b")</f>
        <v/>
      </c>
    </row>
    <row r="106" spans="1:14" x14ac:dyDescent="0.2">
      <c r="A106" s="8" t="s">
        <v>97</v>
      </c>
      <c r="B106" s="4" t="s">
        <v>98</v>
      </c>
      <c r="C106" s="4"/>
      <c r="D106" s="4"/>
      <c r="E106" s="9" t="str">
        <f>_xll.BQL("LUV US Equity", "FUEL_COST_INCLUDING_HEDGE/1M", "FPT=A", "FPO=5A", "ACT_EST_MAPPING=PRECISE", "FS=MRC", "CURRENCY=USD", "XLFILL=b")</f>
        <v/>
      </c>
      <c r="F106" s="9">
        <f>_xll.BQL("LUV US Equity", "FUEL_COST_INCLUDING_HEDGE/1M", "FPT=A", "FPO=4A", "ACT_EST_MAPPING=PRECISE", "FS=MRC", "CURRENCY=USD", "XLFILL=b")</f>
        <v>-92.292568285165899</v>
      </c>
      <c r="G106" s="9">
        <f>_xll.BQL("LUV US Equity", "FUEL_COST_INCLUDING_HEDGE/1M", "FPT=A", "FPO=3A", "ACT_EST_MAPPING=PRECISE", "FS=MRC", "CURRENCY=USD", "XLFILL=b")</f>
        <v>-42.63256136037014</v>
      </c>
      <c r="H106" s="9">
        <f>_xll.BQL("LUV US Equity", "FUEL_COST_INCLUDING_HEDGE/1M", "FPT=A", "FPO=2A", "ACT_EST_MAPPING=PRECISE", "FS=MRC", "CURRENCY=USD", "XLFILL=b")</f>
        <v>-42.347706661173333</v>
      </c>
      <c r="I106" s="9">
        <f>_xll.BQL("LUV US Equity", "FUEL_COST_INCLUDING_HEDGE/1M", "FPT=A", "FPO=1A", "ACT_EST_MAPPING=PRECISE", "FS=MRC", "CURRENCY=USD", "XLFILL=b")</f>
        <v>-78.575800799999996</v>
      </c>
      <c r="J106" s="9">
        <f>_xll.BQL("LUV US Equity", "FUEL_COST_INCLUDING_HEDGE/1M", "FPT=A", "FPO=0A", "ACT_EST_MAPPING=PRECISE", "FS=MRC", "CURRENCY=USD", "XLFILL=b")</f>
        <v>-250</v>
      </c>
      <c r="K106" s="9" t="str">
        <f>_xll.BQL("LUV US Equity", "FUEL_COST_INCLUDING_HEDGE/1M", "FPT=A", "FPO=-1A", "ACT_EST_MAPPING=PRECISE", "FS=MRC", "CURRENCY=USD", "XLFILL=b")</f>
        <v/>
      </c>
      <c r="L106" s="9" t="str">
        <f>_xll.BQL("LUV US Equity", "FUEL_COST_INCLUDING_HEDGE/1M", "FPT=A", "FPO=-2A", "ACT_EST_MAPPING=PRECISE", "FS=MRC", "CURRENCY=USD", "XLFILL=b")</f>
        <v/>
      </c>
      <c r="M106" s="9" t="str">
        <f>_xll.BQL("LUV US Equity", "FUEL_COST_INCLUDING_HEDGE/1M", "FPT=A", "FPO=-3A", "ACT_EST_MAPPING=PRECISE", "FS=MRC", "CURRENCY=USD", "XLFILL=b")</f>
        <v/>
      </c>
      <c r="N106" s="9" t="str">
        <f>_xll.BQL("LUV US Equity", "FUEL_COST_INCLUDING_HEDGE/1M", "FPT=A", "FPO=-4A", "ACT_EST_MAPPING=PRECISE", "FS=MRC", "CURRENCY=USD", "XLFILL=b")</f>
        <v/>
      </c>
    </row>
    <row r="107" spans="1:14" x14ac:dyDescent="0.2">
      <c r="A107" s="8" t="s">
        <v>12</v>
      </c>
      <c r="B107" s="4" t="s">
        <v>98</v>
      </c>
      <c r="C107" s="4"/>
      <c r="D107" s="4"/>
      <c r="E107" s="9" t="str">
        <f>_xll.BQL("LUV US Equity", "FA_GROWTH(FUEL_COST_INCLUDING_HEDGE, YOY)", "FPT=A", "FPO=5A", "ACT_EST_MAPPING=PRECISE", "FS=MRC", "CURRENCY=USD", "XLFILL=b")</f>
        <v/>
      </c>
      <c r="F107" s="9">
        <f>_xll.BQL("LUV US Equity", "FA_GROWTH(FUEL_COST_INCLUDING_HEDGE, YOY)", "FPT=A", "FPO=4A", "ACT_EST_MAPPING=PRECISE", "FS=MRC", "CURRENCY=USD", "XLFILL=b")</f>
        <v>-116.48375171508724</v>
      </c>
      <c r="G107" s="9">
        <f>_xll.BQL("LUV US Equity", "FA_GROWTH(FUEL_COST_INCLUDING_HEDGE, YOY)", "FPT=A", "FPO=3A", "ACT_EST_MAPPING=PRECISE", "FS=MRC", "CURRENCY=USD", "XLFILL=b")</f>
        <v>-0.67265673080230992</v>
      </c>
      <c r="H107" s="9">
        <f>_xll.BQL("LUV US Equity", "FA_GROWTH(FUEL_COST_INCLUDING_HEDGE, YOY)", "FPT=A", "FPO=2A", "ACT_EST_MAPPING=PRECISE", "FS=MRC", "CURRENCY=USD", "XLFILL=b")</f>
        <v>46.105917814364375</v>
      </c>
      <c r="I107" s="9">
        <f>_xll.BQL("LUV US Equity", "FA_GROWTH(FUEL_COST_INCLUDING_HEDGE, YOY)", "FPT=A", "FPO=1A", "ACT_EST_MAPPING=PRECISE", "FS=MRC", "CURRENCY=USD", "XLFILL=b")</f>
        <v>68.569679679999993</v>
      </c>
      <c r="J107" s="9" t="str">
        <f>_xll.BQL("LUV US Equity", "FA_GROWTH(FUEL_COST_INCLUDING_HEDGE, YOY)", "FPT=A", "FPO=0A", "ACT_EST_MAPPING=PRECISE", "FS=MRC", "CURRENCY=USD", "XLFILL=b")</f>
        <v/>
      </c>
      <c r="K107" s="9" t="str">
        <f>_xll.BQL("LUV US Equity", "FA_GROWTH(FUEL_COST_INCLUDING_HEDGE, YOY)", "FPT=A", "FPO=-1A", "ACT_EST_MAPPING=PRECISE", "FS=MRC", "CURRENCY=USD", "XLFILL=b")</f>
        <v/>
      </c>
      <c r="L107" s="9" t="str">
        <f>_xll.BQL("LUV US Equity", "FA_GROWTH(FUEL_COST_INCLUDING_HEDGE, YOY)", "FPT=A", "FPO=-2A", "ACT_EST_MAPPING=PRECISE", "FS=MRC", "CURRENCY=USD", "XLFILL=b")</f>
        <v/>
      </c>
      <c r="M107" s="9" t="str">
        <f>_xll.BQL("LUV US Equity", "FA_GROWTH(FUEL_COST_INCLUDING_HEDGE, YOY)", "FPT=A", "FPO=-3A", "ACT_EST_MAPPING=PRECISE", "FS=MRC", "CURRENCY=USD", "XLFILL=b")</f>
        <v/>
      </c>
      <c r="N107" s="9" t="str">
        <f>_xll.BQL("LUV US Equity", "FA_GROWTH(FUEL_COST_INCLUDING_HEDGE, YOY)", "FPT=A", "FPO=-4A", "ACT_EST_MAPPING=PRECISE", "FS=MRC", "CURRENCY=USD", "XLFILL=b")</f>
        <v/>
      </c>
    </row>
    <row r="108" spans="1:14" x14ac:dyDescent="0.2">
      <c r="A108" s="8" t="s">
        <v>99</v>
      </c>
      <c r="B108" s="4" t="s">
        <v>100</v>
      </c>
      <c r="C108" s="4"/>
      <c r="D108" s="4"/>
      <c r="E108" s="9" t="str">
        <f>_xll.BQL("LUV US Equity", "AVG_NUM_EMPLOYEES", "FPT=A", "FPO=5A", "ACT_EST_MAPPING=PRECISE", "FS=MRC", "CURRENCY=USD", "XLFILL=b")</f>
        <v/>
      </c>
      <c r="F108" s="9" t="str">
        <f>_xll.BQL("LUV US Equity", "AVG_NUM_EMPLOYEES", "FPT=A", "FPO=4A", "ACT_EST_MAPPING=PRECISE", "FS=MRC", "CURRENCY=USD", "XLFILL=b")</f>
        <v/>
      </c>
      <c r="G108" s="9">
        <f>_xll.BQL("LUV US Equity", "AVG_NUM_EMPLOYEES", "FPT=A", "FPO=3A", "ACT_EST_MAPPING=PRECISE", "FS=MRC", "CURRENCY=USD", "XLFILL=b")</f>
        <v>70695</v>
      </c>
      <c r="H108" s="9">
        <f>_xll.BQL("LUV US Equity", "AVG_NUM_EMPLOYEES", "FPT=A", "FPO=2A", "ACT_EST_MAPPING=PRECISE", "FS=MRC", "CURRENCY=USD", "XLFILL=b")</f>
        <v>73943.302093750011</v>
      </c>
      <c r="I108" s="9">
        <f>_xll.BQL("LUV US Equity", "AVG_NUM_EMPLOYEES", "FPT=A", "FPO=1A", "ACT_EST_MAPPING=PRECISE", "FS=MRC", "CURRENCY=USD", "XLFILL=b")</f>
        <v>73333.715624999997</v>
      </c>
      <c r="J108" s="9">
        <f>_xll.BQL("LUV US Equity", "AVG_NUM_EMPLOYEES", "FPT=A", "FPO=0A", "ACT_EST_MAPPING=PRECISE", "FS=MRC", "CURRENCY=USD", "XLFILL=b")</f>
        <v>74806</v>
      </c>
      <c r="K108" s="9">
        <f>_xll.BQL("LUV US Equity", "AVG_NUM_EMPLOYEES", "FPT=A", "FPO=-1A", "ACT_EST_MAPPING=PRECISE", "FS=MRC", "CURRENCY=USD", "XLFILL=b")</f>
        <v>66656</v>
      </c>
      <c r="L108" s="9">
        <f>_xll.BQL("LUV US Equity", "AVG_NUM_EMPLOYEES", "FPT=A", "FPO=-2A", "ACT_EST_MAPPING=PRECISE", "FS=MRC", "CURRENCY=USD", "XLFILL=b")</f>
        <v>55093</v>
      </c>
      <c r="M108" s="9">
        <f>_xll.BQL("LUV US Equity", "AVG_NUM_EMPLOYEES", "FPT=A", "FPO=-3A", "ACT_EST_MAPPING=PRECISE", "FS=MRC", "CURRENCY=USD", "XLFILL=b")</f>
        <v>56537</v>
      </c>
      <c r="N108" s="9">
        <f>_xll.BQL("LUV US Equity", "AVG_NUM_EMPLOYEES", "FPT=A", "FPO=-4A", "ACT_EST_MAPPING=PRECISE", "FS=MRC", "CURRENCY=USD", "XLFILL=b")</f>
        <v>60767</v>
      </c>
    </row>
    <row r="109" spans="1:14" x14ac:dyDescent="0.2">
      <c r="A109" s="8" t="s">
        <v>12</v>
      </c>
      <c r="B109" s="4" t="s">
        <v>100</v>
      </c>
      <c r="C109" s="4"/>
      <c r="D109" s="4"/>
      <c r="E109" s="9" t="str">
        <f>_xll.BQL("LUV US Equity", "FA_GROWTH(AVG_NUM_EMPLOYEES, YOY)", "FPT=A", "FPO=5A", "ACT_EST_MAPPING=PRECISE", "FS=MRC", "CURRENCY=USD", "XLFILL=b")</f>
        <v/>
      </c>
      <c r="F109" s="9" t="str">
        <f>_xll.BQL("LUV US Equity", "FA_GROWTH(AVG_NUM_EMPLOYEES, YOY)", "FPT=A", "FPO=4A", "ACT_EST_MAPPING=PRECISE", "FS=MRC", "CURRENCY=USD", "XLFILL=b")</f>
        <v/>
      </c>
      <c r="G109" s="9">
        <f>_xll.BQL("LUV US Equity", "FA_GROWTH(AVG_NUM_EMPLOYEES, YOY)", "FPT=A", "FPO=3A", "ACT_EST_MAPPING=PRECISE", "FS=MRC", "CURRENCY=USD", "XLFILL=b")</f>
        <v>-4.3929632593789334</v>
      </c>
      <c r="H109" s="9">
        <f>_xll.BQL("LUV US Equity", "FA_GROWTH(AVG_NUM_EMPLOYEES, YOY)", "FPT=A", "FPO=2A", "ACT_EST_MAPPING=PRECISE", "FS=MRC", "CURRENCY=USD", "XLFILL=b")</f>
        <v>0.83124994220557658</v>
      </c>
      <c r="I109" s="9">
        <f>_xll.BQL("LUV US Equity", "FA_GROWTH(AVG_NUM_EMPLOYEES, YOY)", "FPT=A", "FPO=1A", "ACT_EST_MAPPING=PRECISE", "FS=MRC", "CURRENCY=USD", "XLFILL=b")</f>
        <v>-1.9681367470523794</v>
      </c>
      <c r="J109" s="9">
        <f>_xll.BQL("LUV US Equity", "FA_GROWTH(AVG_NUM_EMPLOYEES, YOY)", "FPT=A", "FPO=0A", "ACT_EST_MAPPING=PRECISE", "FS=MRC", "CURRENCY=USD", "XLFILL=b")</f>
        <v>12.226956313010081</v>
      </c>
      <c r="K109" s="9">
        <f>_xll.BQL("LUV US Equity", "FA_GROWTH(AVG_NUM_EMPLOYEES, YOY)", "FPT=A", "FPO=-1A", "ACT_EST_MAPPING=PRECISE", "FS=MRC", "CURRENCY=USD", "XLFILL=b")</f>
        <v>20.988147314540868</v>
      </c>
      <c r="L109" s="9">
        <f>_xll.BQL("LUV US Equity", "FA_GROWTH(AVG_NUM_EMPLOYEES, YOY)", "FPT=A", "FPO=-2A", "ACT_EST_MAPPING=PRECISE", "FS=MRC", "CURRENCY=USD", "XLFILL=b")</f>
        <v>-2.554079629269328</v>
      </c>
      <c r="M109" s="9">
        <f>_xll.BQL("LUV US Equity", "FA_GROWTH(AVG_NUM_EMPLOYEES, YOY)", "FPT=A", "FPO=-3A", "ACT_EST_MAPPING=PRECISE", "FS=MRC", "CURRENCY=USD", "XLFILL=b")</f>
        <v>-6.9610150246021689</v>
      </c>
      <c r="N109" s="9">
        <f>_xll.BQL("LUV US Equity", "FA_GROWTH(AVG_NUM_EMPLOYEES, YOY)", "FPT=A", "FPO=-4A", "ACT_EST_MAPPING=PRECISE", "FS=MRC", "CURRENCY=USD", "XLFILL=b")</f>
        <v>3.3399656480111557</v>
      </c>
    </row>
    <row r="110" spans="1:14" x14ac:dyDescent="0.2">
      <c r="A110" s="8" t="s">
        <v>101</v>
      </c>
      <c r="B110" s="4" t="s">
        <v>102</v>
      </c>
      <c r="C110" s="4"/>
      <c r="D110" s="4"/>
      <c r="E110" s="9">
        <f>_xll.BQL("LUV US Equity", "ASM_PER_GALLON_LITER", "FPT=A", "FPO=5A", "ACT_EST_MAPPING=PRECISE", "FS=MRC", "CURRENCY=USD", "XLFILL=b")</f>
        <v>84.318097777415716</v>
      </c>
      <c r="F110" s="9">
        <f>_xll.BQL("LUV US Equity", "ASM_PER_GALLON_LITER", "FPT=A", "FPO=4A", "ACT_EST_MAPPING=PRECISE", "FS=MRC", "CURRENCY=USD", "XLFILL=b")</f>
        <v>83.730460927259543</v>
      </c>
      <c r="G110" s="9">
        <f>_xll.BQL("LUV US Equity", "ASM_PER_GALLON_LITER", "FPT=A", "FPO=3A", "ACT_EST_MAPPING=PRECISE", "FS=MRC", "CURRENCY=USD", "XLFILL=b")</f>
        <v>82.688087968633326</v>
      </c>
      <c r="H110" s="9">
        <f>_xll.BQL("LUV US Equity", "ASM_PER_GALLON_LITER", "FPT=A", "FPO=2A", "ACT_EST_MAPPING=PRECISE", "FS=MRC", "CURRENCY=USD", "XLFILL=b")</f>
        <v>82.083949556181082</v>
      </c>
      <c r="I110" s="9">
        <f>_xll.BQL("LUV US Equity", "ASM_PER_GALLON_LITER", "FPT=A", "FPO=1A", "ACT_EST_MAPPING=PRECISE", "FS=MRC", "CURRENCY=USD", "XLFILL=b")</f>
        <v>81.023512638530548</v>
      </c>
      <c r="J110" s="9">
        <f>_xll.BQL("LUV US Equity", "ASM_PER_GALLON_LITER", "FPT=A", "FPO=0A", "ACT_EST_MAPPING=PRECISE", "FS=MRC", "CURRENCY=USD", "XLFILL=b")</f>
        <v>79.478768082127857</v>
      </c>
      <c r="K110" s="9">
        <f>_xll.BQL("LUV US Equity", "ASM_PER_GALLON_LITER", "FPT=A", "FPO=-1A", "ACT_EST_MAPPING=PRECISE", "FS=MRC", "CURRENCY=USD", "XLFILL=b")</f>
        <v>77.246097814776277</v>
      </c>
      <c r="L110" s="9">
        <f>_xll.BQL("LUV US Equity", "ASM_PER_GALLON_LITER", "FPT=A", "FPO=-2A", "ACT_EST_MAPPING=PRECISE", "FS=MRC", "CURRENCY=USD", "XLFILL=b")</f>
        <v>79.140287769784166</v>
      </c>
      <c r="M110" s="9">
        <f>_xll.BQL("LUV US Equity", "ASM_PER_GALLON_LITER", "FPT=A", "FPO=-3A", "ACT_EST_MAPPING=PRECISE", "FS=MRC", "CURRENCY=USD", "XLFILL=b")</f>
        <v>81.269442262372351</v>
      </c>
      <c r="N110" s="9">
        <f>_xll.BQL("LUV US Equity", "ASM_PER_GALLON_LITER", "FPT=A", "FPO=-4A", "ACT_EST_MAPPING=PRECISE", "FS=MRC", "CURRENCY=USD", "XLFILL=b")</f>
        <v>75.712084737602311</v>
      </c>
    </row>
    <row r="111" spans="1:14" x14ac:dyDescent="0.2">
      <c r="A111" s="8" t="s">
        <v>12</v>
      </c>
      <c r="B111" s="4" t="s">
        <v>102</v>
      </c>
      <c r="C111" s="4"/>
      <c r="D111" s="4"/>
      <c r="E111" s="9">
        <f>_xll.BQL("LUV US Equity", "FA_GROWTH(ASM_PER_GALLON_LITER, YOY)", "FPT=A", "FPO=5A", "ACT_EST_MAPPING=PRECISE", "FS=MRC", "CURRENCY=USD", "XLFILL=b")</f>
        <v>0.7018196766726027</v>
      </c>
      <c r="F111" s="9">
        <f>_xll.BQL("LUV US Equity", "FA_GROWTH(ASM_PER_GALLON_LITER, YOY)", "FPT=A", "FPO=4A", "ACT_EST_MAPPING=PRECISE", "FS=MRC", "CURRENCY=USD", "XLFILL=b")</f>
        <v>1.2606083708473557</v>
      </c>
      <c r="G111" s="9">
        <f>_xll.BQL("LUV US Equity", "FA_GROWTH(ASM_PER_GALLON_LITER, YOY)", "FPT=A", "FPO=3A", "ACT_EST_MAPPING=PRECISE", "FS=MRC", "CURRENCY=USD", "XLFILL=b")</f>
        <v>0.73600066239350559</v>
      </c>
      <c r="H111" s="9">
        <f>_xll.BQL("LUV US Equity", "FA_GROWTH(ASM_PER_GALLON_LITER, YOY)", "FPT=A", "FPO=2A", "ACT_EST_MAPPING=PRECISE", "FS=MRC", "CURRENCY=USD", "XLFILL=b")</f>
        <v>1.3088014615972672</v>
      </c>
      <c r="I111" s="9">
        <f>_xll.BQL("LUV US Equity", "FA_GROWTH(ASM_PER_GALLON_LITER, YOY)", "FPT=A", "FPO=1A", "ACT_EST_MAPPING=PRECISE", "FS=MRC", "CURRENCY=USD", "XLFILL=b")</f>
        <v>1.943593985762913</v>
      </c>
      <c r="J111" s="9">
        <f>_xll.BQL("LUV US Equity", "FA_GROWTH(ASM_PER_GALLON_LITER, YOY)", "FPT=A", "FPO=0A", "ACT_EST_MAPPING=PRECISE", "FS=MRC", "CURRENCY=USD", "XLFILL=b")</f>
        <v>2.8903340498896966</v>
      </c>
      <c r="K111" s="9">
        <f>_xll.BQL("LUV US Equity", "FA_GROWTH(ASM_PER_GALLON_LITER, YOY)", "FPT=A", "FPO=-1A", "ACT_EST_MAPPING=PRECISE", "FS=MRC", "CURRENCY=USD", "XLFILL=b")</f>
        <v>-2.3934585132139135</v>
      </c>
      <c r="L111" s="9">
        <f>_xll.BQL("LUV US Equity", "FA_GROWTH(ASM_PER_GALLON_LITER, YOY)", "FPT=A", "FPO=-2A", "ACT_EST_MAPPING=PRECISE", "FS=MRC", "CURRENCY=USD", "XLFILL=b")</f>
        <v>-2.6198709297331808</v>
      </c>
      <c r="M111" s="9">
        <f>_xll.BQL("LUV US Equity", "FA_GROWTH(ASM_PER_GALLON_LITER, YOY)", "FPT=A", "FPO=-3A", "ACT_EST_MAPPING=PRECISE", "FS=MRC", "CURRENCY=USD", "XLFILL=b")</f>
        <v>7.3401195384202467</v>
      </c>
      <c r="N111" s="9">
        <f>_xll.BQL("LUV US Equity", "FA_GROWTH(ASM_PER_GALLON_LITER, YOY)", "FPT=A", "FPO=-4A", "ACT_EST_MAPPING=PRECISE", "FS=MRC", "CURRENCY=USD", "XLFILL=b")</f>
        <v>-0.78468948306315267</v>
      </c>
    </row>
    <row r="112" spans="1:14" x14ac:dyDescent="0.2">
      <c r="A112" s="8" t="s">
        <v>16</v>
      </c>
      <c r="B112" s="4"/>
      <c r="C112" s="4"/>
      <c r="D112" s="4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14" x14ac:dyDescent="0.2">
      <c r="A113" s="8" t="s">
        <v>103</v>
      </c>
      <c r="B113" s="4"/>
      <c r="C113" s="4" t="s">
        <v>104</v>
      </c>
      <c r="D113" s="4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14" x14ac:dyDescent="0.2">
      <c r="A114" s="8" t="s">
        <v>105</v>
      </c>
      <c r="B114" s="4" t="s">
        <v>14</v>
      </c>
      <c r="C114" s="4" t="s">
        <v>106</v>
      </c>
      <c r="D114" s="4"/>
      <c r="E114" s="9">
        <f>_xll.BQL("LUV US Equity", "IS_COMP_SALES/1M", "FPT=A", "FPO=5A", "ACT_EST_MAPPING=PRECISE", "FS=MRC", "CURRENCY=USD", "XLFILL=b")</f>
        <v>33646.666666666672</v>
      </c>
      <c r="F114" s="9">
        <f>_xll.BQL("LUV US Equity", "IS_COMP_SALES/1M", "FPT=A", "FPO=4A", "ACT_EST_MAPPING=PRECISE", "FS=MRC", "CURRENCY=USD", "XLFILL=b")</f>
        <v>32244.6</v>
      </c>
      <c r="G114" s="9">
        <f>_xll.BQL("LUV US Equity", "IS_COMP_SALES/1M", "FPT=A", "FPO=3A", "ACT_EST_MAPPING=PRECISE", "FS=MRC", "CURRENCY=USD", "XLFILL=b")</f>
        <v>30465.357142857145</v>
      </c>
      <c r="H114" s="9">
        <f>_xll.BQL("LUV US Equity", "IS_COMP_SALES/1M", "FPT=A", "FPO=2A", "ACT_EST_MAPPING=PRECISE", "FS=MRC", "CURRENCY=USD", "XLFILL=b")</f>
        <v>28773.888888888891</v>
      </c>
      <c r="I114" s="9">
        <f>_xll.BQL("LUV US Equity", "IS_COMP_SALES/1M", "FPT=A", "FPO=1A", "ACT_EST_MAPPING=PRECISE", "FS=MRC", "CURRENCY=USD", "XLFILL=b")</f>
        <v>27132.166666666668</v>
      </c>
      <c r="J114" s="9">
        <f>_xll.BQL("LUV US Equity", "IS_COMP_SALES/1M", "FPT=A", "FPO=0A", "ACT_EST_MAPPING=PRECISE", "FS=MRC", "CURRENCY=USD", "XLFILL=b")</f>
        <v>26091</v>
      </c>
      <c r="K114" s="9">
        <f>_xll.BQL("LUV US Equity", "IS_COMP_SALES/1M", "FPT=A", "FPO=-1A", "ACT_EST_MAPPING=PRECISE", "FS=MRC", "CURRENCY=USD", "XLFILL=b")</f>
        <v>23814</v>
      </c>
      <c r="L114" s="9">
        <f>_xll.BQL("LUV US Equity", "IS_COMP_SALES/1M", "FPT=A", "FPO=-2A", "ACT_EST_MAPPING=PRECISE", "FS=MRC", "CURRENCY=USD", "XLFILL=b")</f>
        <v>15790</v>
      </c>
      <c r="M114" s="9">
        <f>_xll.BQL("LUV US Equity", "IS_COMP_SALES/1M", "FPT=A", "FPO=-3A", "ACT_EST_MAPPING=PRECISE", "FS=MRC", "CURRENCY=USD", "XLFILL=b")</f>
        <v>9048</v>
      </c>
      <c r="N114" s="9">
        <f>_xll.BQL("LUV US Equity", "IS_COMP_SALES/1M", "FPT=A", "FPO=-4A", "ACT_EST_MAPPING=PRECISE", "FS=MRC", "CURRENCY=USD", "XLFILL=b")</f>
        <v>22428</v>
      </c>
    </row>
    <row r="115" spans="1:14" x14ac:dyDescent="0.2">
      <c r="A115" s="8" t="s">
        <v>12</v>
      </c>
      <c r="B115" s="4" t="s">
        <v>14</v>
      </c>
      <c r="C115" s="4" t="s">
        <v>106</v>
      </c>
      <c r="D115" s="4"/>
      <c r="E115" s="9">
        <f>_xll.BQL("LUV US Equity", "FA_GROWTH(IS_COMP_SALES, YOY)", "FPT=A", "FPO=5A", "ACT_EST_MAPPING=PRECISE", "FS=MRC", "CURRENCY=USD", "XLFILL=b")</f>
        <v>4.3482216143685086</v>
      </c>
      <c r="F115" s="9">
        <f>_xll.BQL("LUV US Equity", "FA_GROWTH(IS_COMP_SALES, YOY)", "FPT=A", "FPO=4A", "ACT_EST_MAPPING=PRECISE", "FS=MRC", "CURRENCY=USD", "XLFILL=b")</f>
        <v>5.8402166395085731</v>
      </c>
      <c r="G115" s="9">
        <f>_xll.BQL("LUV US Equity", "FA_GROWTH(IS_COMP_SALES, YOY)", "FPT=A", "FPO=3A", "ACT_EST_MAPPING=PRECISE", "FS=MRC", "CURRENCY=USD", "XLFILL=b")</f>
        <v>5.8784833030387453</v>
      </c>
      <c r="H115" s="9">
        <f>_xll.BQL("LUV US Equity", "FA_GROWTH(IS_COMP_SALES, YOY)", "FPT=A", "FPO=2A", "ACT_EST_MAPPING=PRECISE", "FS=MRC", "CURRENCY=USD", "XLFILL=b")</f>
        <v>6.0508334715456611</v>
      </c>
      <c r="I115" s="9">
        <f>_xll.BQL("LUV US Equity", "FA_GROWTH(IS_COMP_SALES, YOY)", "FPT=A", "FPO=1A", "ACT_EST_MAPPING=PRECISE", "FS=MRC", "CURRENCY=USD", "XLFILL=b")</f>
        <v>3.9905203582333675</v>
      </c>
      <c r="J115" s="9">
        <f>_xll.BQL("LUV US Equity", "FA_GROWTH(IS_COMP_SALES, YOY)", "FPT=A", "FPO=0A", "ACT_EST_MAPPING=PRECISE", "FS=MRC", "CURRENCY=USD", "XLFILL=b")</f>
        <v>9.5616024187452755</v>
      </c>
      <c r="K115" s="9">
        <f>_xll.BQL("LUV US Equity", "FA_GROWTH(IS_COMP_SALES, YOY)", "FPT=A", "FPO=-1A", "ACT_EST_MAPPING=PRECISE", "FS=MRC", "CURRENCY=USD", "XLFILL=b")</f>
        <v>50.816972767574413</v>
      </c>
      <c r="L115" s="9">
        <f>_xll.BQL("LUV US Equity", "FA_GROWTH(IS_COMP_SALES, YOY)", "FPT=A", "FPO=-2A", "ACT_EST_MAPPING=PRECISE", "FS=MRC", "CURRENCY=USD", "XLFILL=b")</f>
        <v>74.513704686118473</v>
      </c>
      <c r="M115" s="9">
        <f>_xll.BQL("LUV US Equity", "FA_GROWTH(IS_COMP_SALES, YOY)", "FPT=A", "FPO=-3A", "ACT_EST_MAPPING=PRECISE", "FS=MRC", "CURRENCY=USD", "XLFILL=b")</f>
        <v>-59.65757089352595</v>
      </c>
      <c r="N115" s="9">
        <f>_xll.BQL("LUV US Equity", "FA_GROWTH(IS_COMP_SALES, YOY)", "FPT=A", "FPO=-4A", "ACT_EST_MAPPING=PRECISE", "FS=MRC", "CURRENCY=USD", "XLFILL=b")</f>
        <v>2.107898930116094</v>
      </c>
    </row>
    <row r="116" spans="1:14" x14ac:dyDescent="0.2">
      <c r="A116" s="8" t="s">
        <v>107</v>
      </c>
      <c r="B116" s="4" t="s">
        <v>19</v>
      </c>
      <c r="C116" s="4" t="s">
        <v>20</v>
      </c>
      <c r="D116" s="4"/>
      <c r="E116" s="9">
        <f>_xll.BQL("LUV US Equity", "TOTAL_PASSENGER_REVENUE/1M", "FPT=A", "FPO=5A", "ACT_EST_MAPPING=PRECISE", "FS=MRC", "CURRENCY=USD", "XLFILL=b")</f>
        <v>30902.957446418386</v>
      </c>
      <c r="F116" s="9">
        <f>_xll.BQL("LUV US Equity", "TOTAL_PASSENGER_REVENUE/1M", "FPT=A", "FPO=4A", "ACT_EST_MAPPING=PRECISE", "FS=MRC", "CURRENCY=USD", "XLFILL=b")</f>
        <v>29790.277256436359</v>
      </c>
      <c r="G116" s="9">
        <f>_xll.BQL("LUV US Equity", "TOTAL_PASSENGER_REVENUE/1M", "FPT=A", "FPO=3A", "ACT_EST_MAPPING=PRECISE", "FS=MRC", "CURRENCY=USD", "XLFILL=b")</f>
        <v>27836.944802988659</v>
      </c>
      <c r="H116" s="9">
        <f>_xll.BQL("LUV US Equity", "TOTAL_PASSENGER_REVENUE/1M", "FPT=A", "FPO=2A", "ACT_EST_MAPPING=PRECISE", "FS=MRC", "CURRENCY=USD", "XLFILL=b")</f>
        <v>26255.959754016698</v>
      </c>
      <c r="I116" s="9">
        <f>_xll.BQL("LUV US Equity", "TOTAL_PASSENGER_REVENUE/1M", "FPT=A", "FPO=1A", "ACT_EST_MAPPING=PRECISE", "FS=MRC", "CURRENCY=USD", "XLFILL=b")</f>
        <v>24554.445164852219</v>
      </c>
      <c r="J116" s="9">
        <f>_xll.BQL("LUV US Equity", "TOTAL_PASSENGER_REVENUE/1M", "FPT=A", "FPO=0A", "ACT_EST_MAPPING=PRECISE", "FS=MRC", "CURRENCY=USD", "XLFILL=b")</f>
        <v>23637</v>
      </c>
      <c r="K116" s="9">
        <f>_xll.BQL("LUV US Equity", "TOTAL_PASSENGER_REVENUE/1M", "FPT=A", "FPO=-1A", "ACT_EST_MAPPING=PRECISE", "FS=MRC", "CURRENCY=USD", "XLFILL=b")</f>
        <v>21408</v>
      </c>
      <c r="L116" s="9">
        <f>_xll.BQL("LUV US Equity", "TOTAL_PASSENGER_REVENUE/1M", "FPT=A", "FPO=-2A", "ACT_EST_MAPPING=PRECISE", "FS=MRC", "CURRENCY=USD", "XLFILL=b")</f>
        <v>14066</v>
      </c>
      <c r="M116" s="9">
        <f>_xll.BQL("LUV US Equity", "TOTAL_PASSENGER_REVENUE/1M", "FPT=A", "FPO=-3A", "ACT_EST_MAPPING=PRECISE", "FS=MRC", "CURRENCY=USD", "XLFILL=b")</f>
        <v>7665</v>
      </c>
      <c r="N116" s="9">
        <f>_xll.BQL("LUV US Equity", "TOTAL_PASSENGER_REVENUE/1M", "FPT=A", "FPO=-4A", "ACT_EST_MAPPING=PRECISE", "FS=MRC", "CURRENCY=USD", "XLFILL=b")</f>
        <v>20776</v>
      </c>
    </row>
    <row r="117" spans="1:14" x14ac:dyDescent="0.2">
      <c r="A117" s="8" t="s">
        <v>21</v>
      </c>
      <c r="B117" s="4" t="s">
        <v>19</v>
      </c>
      <c r="C117" s="4" t="s">
        <v>20</v>
      </c>
      <c r="D117" s="4"/>
      <c r="E117" s="9">
        <f>_xll.BQL("LUV US Equity", "FA_GROWTH(TOTAL_PASSENGER_REVENUE, YOY)", "FPT=A", "FPO=5A", "ACT_EST_MAPPING=PRECISE", "FS=MRC", "CURRENCY=USD", "XLFILL=b")</f>
        <v>3.7350447610944078</v>
      </c>
      <c r="F117" s="9">
        <f>_xll.BQL("LUV US Equity", "FA_GROWTH(TOTAL_PASSENGER_REVENUE, YOY)", "FPT=A", "FPO=4A", "ACT_EST_MAPPING=PRECISE", "FS=MRC", "CURRENCY=USD", "XLFILL=b")</f>
        <v>7.017050424434454</v>
      </c>
      <c r="G117" s="9">
        <f>_xll.BQL("LUV US Equity", "FA_GROWTH(TOTAL_PASSENGER_REVENUE, YOY)", "FPT=A", "FPO=3A", "ACT_EST_MAPPING=PRECISE", "FS=MRC", "CURRENCY=USD", "XLFILL=b")</f>
        <v>6.0214330909389027</v>
      </c>
      <c r="H117" s="9">
        <f>_xll.BQL("LUV US Equity", "FA_GROWTH(TOTAL_PASSENGER_REVENUE, YOY)", "FPT=A", "FPO=2A", "ACT_EST_MAPPING=PRECISE", "FS=MRC", "CURRENCY=USD", "XLFILL=b")</f>
        <v>6.929558284624016</v>
      </c>
      <c r="I117" s="9">
        <f>_xll.BQL("LUV US Equity", "FA_GROWTH(TOTAL_PASSENGER_REVENUE, YOY)", "FPT=A", "FPO=1A", "ACT_EST_MAPPING=PRECISE", "FS=MRC", "CURRENCY=USD", "XLFILL=b")</f>
        <v>3.8813942752981285</v>
      </c>
      <c r="J117" s="9">
        <f>_xll.BQL("LUV US Equity", "FA_GROWTH(TOTAL_PASSENGER_REVENUE, YOY)", "FPT=A", "FPO=0A", "ACT_EST_MAPPING=PRECISE", "FS=MRC", "CURRENCY=USD", "XLFILL=b")</f>
        <v>10.411995515695068</v>
      </c>
      <c r="K117" s="9">
        <f>_xll.BQL("LUV US Equity", "FA_GROWTH(TOTAL_PASSENGER_REVENUE, YOY)", "FPT=A", "FPO=-1A", "ACT_EST_MAPPING=PRECISE", "FS=MRC", "CURRENCY=USD", "XLFILL=b")</f>
        <v>52.196786577562918</v>
      </c>
      <c r="L117" s="9">
        <f>_xll.BQL("LUV US Equity", "FA_GROWTH(TOTAL_PASSENGER_REVENUE, YOY)", "FPT=A", "FPO=-2A", "ACT_EST_MAPPING=PRECISE", "FS=MRC", "CURRENCY=USD", "XLFILL=b")</f>
        <v>83.509458577951733</v>
      </c>
      <c r="M117" s="9">
        <f>_xll.BQL("LUV US Equity", "FA_GROWTH(TOTAL_PASSENGER_REVENUE, YOY)", "FPT=A", "FPO=-3A", "ACT_EST_MAPPING=PRECISE", "FS=MRC", "CURRENCY=USD", "XLFILL=b")</f>
        <v>-63.10646900269542</v>
      </c>
      <c r="N117" s="9">
        <f>_xll.BQL("LUV US Equity", "FA_GROWTH(TOTAL_PASSENGER_REVENUE, YOY)", "FPT=A", "FPO=-4A", "ACT_EST_MAPPING=PRECISE", "FS=MRC", "CURRENCY=USD", "XLFILL=b")</f>
        <v>1.5692984600342215</v>
      </c>
    </row>
    <row r="118" spans="1:14" x14ac:dyDescent="0.2">
      <c r="A118" s="8" t="s">
        <v>108</v>
      </c>
      <c r="B118" s="4" t="s">
        <v>109</v>
      </c>
      <c r="C118" s="4"/>
      <c r="D118" s="4" t="s">
        <v>110</v>
      </c>
      <c r="E118" s="9">
        <f>_xll.BQL("SEG0000234382 Segment", "SALES_REV_TURN/1M", "FPT=A", "FPO=5A", "ACT_EST_MAPPING=PRECISE", "FS=MRC", "CURRENCY=USD", "XLFILL=b")</f>
        <v>25222.819866960588</v>
      </c>
      <c r="F118" s="9">
        <f>_xll.BQL("SEG0000234382 Segment", "SALES_REV_TURN/1M", "FPT=A", "FPO=4A", "ACT_EST_MAPPING=PRECISE", "FS=MRC", "CURRENCY=USD", "XLFILL=b")</f>
        <v>24012.585554989135</v>
      </c>
      <c r="G118" s="9">
        <f>_xll.BQL("SEG0000234382 Segment", "SALES_REV_TURN/1M", "FPT=A", "FPO=3A", "ACT_EST_MAPPING=PRECISE", "FS=MRC", "CURRENCY=USD", "XLFILL=b")</f>
        <v>22420.714803911422</v>
      </c>
      <c r="H118" s="9">
        <f>_xll.BQL("SEG0000234382 Segment", "SALES_REV_TURN/1M", "FPT=A", "FPO=2A", "ACT_EST_MAPPING=PRECISE", "FS=MRC", "CURRENCY=USD", "XLFILL=b")</f>
        <v>20934.374233343999</v>
      </c>
      <c r="I118" s="9">
        <f>_xll.BQL("SEG0000234382 Segment", "SALES_REV_TURN/1M", "FPT=A", "FPO=1A", "ACT_EST_MAPPING=PRECISE", "FS=MRC", "CURRENCY=USD", "XLFILL=b")</f>
        <v>19734.515679999997</v>
      </c>
      <c r="J118" s="9">
        <f>_xll.BQL("SEG0000234382 Segment", "SALES_REV_TURN/1M", "FPT=A", "FPO=0A", "ACT_EST_MAPPING=PRECISE", "FS=MRC", "CURRENCY=USD", "XLFILL=b")</f>
        <v>19073</v>
      </c>
      <c r="K118" s="9">
        <f>_xll.BQL("SEG0000234382 Segment", "SALES_REV_TURN/1M", "FPT=A", "FPO=-1A", "ACT_EST_MAPPING=PRECISE", "FS=MRC", "CURRENCY=USD", "XLFILL=b")</f>
        <v>17645</v>
      </c>
      <c r="L118" s="9">
        <f>_xll.BQL("SEG0000234382 Segment", "SALES_REV_TURN/1M", "FPT=A", "FPO=-2A", "ACT_EST_MAPPING=PRECISE", "FS=MRC", "CURRENCY=USD", "XLFILL=b")</f>
        <v>11377</v>
      </c>
      <c r="M118" s="9">
        <f>_xll.BQL("SEG0000234382 Segment", "SALES_REV_TURN/1M", "FPT=A", "FPO=-3A", "ACT_EST_MAPPING=PRECISE", "FS=MRC", "CURRENCY=USD", "XLFILL=b")</f>
        <v>6303</v>
      </c>
      <c r="N118" s="9">
        <f>_xll.BQL("SEG0000234382 Segment", "SALES_REV_TURN/1M", "FPT=A", "FPO=-4A", "ACT_EST_MAPPING=PRECISE", "FS=MRC", "CURRENCY=USD", "XLFILL=b")</f>
        <v>17578</v>
      </c>
    </row>
    <row r="119" spans="1:14" x14ac:dyDescent="0.2">
      <c r="A119" s="8" t="s">
        <v>111</v>
      </c>
      <c r="B119" s="4" t="s">
        <v>109</v>
      </c>
      <c r="C119" s="4"/>
      <c r="D119" s="4" t="s">
        <v>110</v>
      </c>
      <c r="E119" s="9">
        <f>_xll.BQL("SEG0000234382 Segment", "FA_GROWTH(SALES_REV_TURN, YOY)", "FPT=A", "FPO=5A", "ACT_EST_MAPPING=PRECISE", "FS=MRC", "CURRENCY=USD", "XLFILL=b")</f>
        <v>5.0399999999999929</v>
      </c>
      <c r="F119" s="9">
        <f>_xll.BQL("SEG0000234382 Segment", "FA_GROWTH(SALES_REV_TURN, YOY)", "FPT=A", "FPO=4A", "ACT_EST_MAPPING=PRECISE", "FS=MRC", "CURRENCY=USD", "XLFILL=b")</f>
        <v>7.1000000000000085</v>
      </c>
      <c r="G119" s="9">
        <f>_xll.BQL("SEG0000234382 Segment", "FA_GROWTH(SALES_REV_TURN, YOY)", "FPT=A", "FPO=3A", "ACT_EST_MAPPING=PRECISE", "FS=MRC", "CURRENCY=USD", "XLFILL=b")</f>
        <v>7.100000000000005</v>
      </c>
      <c r="H119" s="9">
        <f>_xll.BQL("SEG0000234382 Segment", "FA_GROWTH(SALES_REV_TURN, YOY)", "FPT=A", "FPO=2A", "ACT_EST_MAPPING=PRECISE", "FS=MRC", "CURRENCY=USD", "XLFILL=b")</f>
        <v>6.0800000000000098</v>
      </c>
      <c r="I119" s="9">
        <f>_xll.BQL("SEG0000234382 Segment", "FA_GROWTH(SALES_REV_TURN, YOY)", "FPT=A", "FPO=1A", "ACT_EST_MAPPING=PRECISE", "FS=MRC", "CURRENCY=USD", "XLFILL=b")</f>
        <v>3.4683357625963205</v>
      </c>
      <c r="J119" s="9">
        <f>_xll.BQL("SEG0000234382 Segment", "FA_GROWTH(SALES_REV_TURN, YOY)", "FPT=A", "FPO=0A", "ACT_EST_MAPPING=PRECISE", "FS=MRC", "CURRENCY=USD", "XLFILL=b")</f>
        <v>8.0929441768206285</v>
      </c>
      <c r="K119" s="9">
        <f>_xll.BQL("SEG0000234382 Segment", "FA_GROWTH(SALES_REV_TURN, YOY)", "FPT=A", "FPO=-1A", "ACT_EST_MAPPING=PRECISE", "FS=MRC", "CURRENCY=USD", "XLFILL=b")</f>
        <v>55.093609914740263</v>
      </c>
      <c r="L119" s="9">
        <f>_xll.BQL("SEG0000234382 Segment", "FA_GROWTH(SALES_REV_TURN, YOY)", "FPT=A", "FPO=-2A", "ACT_EST_MAPPING=PRECISE", "FS=MRC", "CURRENCY=USD", "XLFILL=b")</f>
        <v>80.501348564175785</v>
      </c>
      <c r="M119" s="9">
        <f>_xll.BQL("SEG0000234382 Segment", "FA_GROWTH(SALES_REV_TURN, YOY)", "FPT=A", "FPO=-3A", "ACT_EST_MAPPING=PRECISE", "FS=MRC", "CURRENCY=USD", "XLFILL=b")</f>
        <v>-64.142678347934918</v>
      </c>
      <c r="N119" s="9">
        <f>_xll.BQL("SEG0000234382 Segment", "FA_GROWTH(SALES_REV_TURN, YOY)", "FPT=A", "FPO=-4A", "ACT_EST_MAPPING=PRECISE", "FS=MRC", "CURRENCY=USD", "XLFILL=b")</f>
        <v>0.41128755855135385</v>
      </c>
    </row>
    <row r="120" spans="1:14" x14ac:dyDescent="0.2">
      <c r="A120" s="8" t="s">
        <v>112</v>
      </c>
      <c r="B120" s="4" t="s">
        <v>109</v>
      </c>
      <c r="C120" s="4"/>
      <c r="D120" s="4" t="s">
        <v>113</v>
      </c>
      <c r="E120" s="9">
        <f>_xll.BQL("SEG0000234391 Segment", "SALES_REV_TURN/1M", "FPT=A", "FPO=5A", "ACT_EST_MAPPING=PRECISE", "FS=MRC", "CURRENCY=USD", "XLFILL=b")</f>
        <v>4821.4446339165615</v>
      </c>
      <c r="F120" s="9">
        <f>_xll.BQL("SEG0000234391 Segment", "SALES_REV_TURN/1M", "FPT=A", "FPO=4A", "ACT_EST_MAPPING=PRECISE", "FS=MRC", "CURRENCY=USD", "XLFILL=b")</f>
        <v>4590.1034214742585</v>
      </c>
      <c r="G120" s="9">
        <f>_xll.BQL("SEG0000234391 Segment", "SALES_REV_TURN/1M", "FPT=A", "FPO=3A", "ACT_EST_MAPPING=PRECISE", "FS=MRC", "CURRENCY=USD", "XLFILL=b")</f>
        <v>4285.8108510497277</v>
      </c>
      <c r="H120" s="9">
        <f>_xll.BQL("SEG0000234391 Segment", "SALES_REV_TURN/1M", "FPT=A", "FPO=2A", "ACT_EST_MAPPING=PRECISE", "FS=MRC", "CURRENCY=USD", "XLFILL=b")</f>
        <v>4001.6908039680006</v>
      </c>
      <c r="I120" s="9">
        <f>_xll.BQL("SEG0000234391 Segment", "SALES_REV_TURN/1M", "FPT=A", "FPO=1A", "ACT_EST_MAPPING=PRECISE", "FS=MRC", "CURRENCY=USD", "XLFILL=b")</f>
        <v>3772.3329599999997</v>
      </c>
      <c r="J120" s="9">
        <f>_xll.BQL("SEG0000234391 Segment", "SALES_REV_TURN/1M", "FPT=A", "FPO=0A", "ACT_EST_MAPPING=PRECISE", "FS=MRC", "CURRENCY=USD", "XLFILL=b")</f>
        <v>3639</v>
      </c>
      <c r="K120" s="9">
        <f>_xll.BQL("SEG0000234391 Segment", "SALES_REV_TURN/1M", "FPT=A", "FPO=-1A", "ACT_EST_MAPPING=PRECISE", "FS=MRC", "CURRENCY=USD", "XLFILL=b")</f>
        <v>3028</v>
      </c>
      <c r="L120" s="9">
        <f>_xll.BQL("SEG0000234391 Segment", "SALES_REV_TURN/1M", "FPT=A", "FPO=-2A", "ACT_EST_MAPPING=PRECISE", "FS=MRC", "CURRENCY=USD", "XLFILL=b")</f>
        <v>2136</v>
      </c>
      <c r="M120" s="9">
        <f>_xll.BQL("SEG0000234391 Segment", "SALES_REV_TURN/1M", "FPT=A", "FPO=-3A", "ACT_EST_MAPPING=PRECISE", "FS=MRC", "CURRENCY=USD", "XLFILL=b")</f>
        <v>1003</v>
      </c>
      <c r="N120" s="9">
        <f>_xll.BQL("SEG0000234391 Segment", "SALES_REV_TURN/1M", "FPT=A", "FPO=-4A", "ACT_EST_MAPPING=PRECISE", "FS=MRC", "CURRENCY=USD", "XLFILL=b")</f>
        <v>2487</v>
      </c>
    </row>
    <row r="121" spans="1:14" x14ac:dyDescent="0.2">
      <c r="A121" s="8" t="s">
        <v>111</v>
      </c>
      <c r="B121" s="4" t="s">
        <v>109</v>
      </c>
      <c r="C121" s="4"/>
      <c r="D121" s="4" t="s">
        <v>113</v>
      </c>
      <c r="E121" s="9">
        <f>_xll.BQL("SEG0000234391 Segment", "FA_GROWTH(SALES_REV_TURN, YOY)", "FPT=A", "FPO=5A", "ACT_EST_MAPPING=PRECISE", "FS=MRC", "CURRENCY=USD", "XLFILL=b")</f>
        <v>5.0400000000000018</v>
      </c>
      <c r="F121" s="9">
        <f>_xll.BQL("SEG0000234391 Segment", "FA_GROWTH(SALES_REV_TURN, YOY)", "FPT=A", "FPO=4A", "ACT_EST_MAPPING=PRECISE", "FS=MRC", "CURRENCY=USD", "XLFILL=b")</f>
        <v>7.0999999999999952</v>
      </c>
      <c r="G121" s="9">
        <f>_xll.BQL("SEG0000234391 Segment", "FA_GROWTH(SALES_REV_TURN, YOY)", "FPT=A", "FPO=3A", "ACT_EST_MAPPING=PRECISE", "FS=MRC", "CURRENCY=USD", "XLFILL=b")</f>
        <v>7.0999999999999872</v>
      </c>
      <c r="H121" s="9">
        <f>_xll.BQL("SEG0000234391 Segment", "FA_GROWTH(SALES_REV_TURN, YOY)", "FPT=A", "FPO=2A", "ACT_EST_MAPPING=PRECISE", "FS=MRC", "CURRENCY=USD", "XLFILL=b")</f>
        <v>6.0800000000000241</v>
      </c>
      <c r="I121" s="9">
        <f>_xll.BQL("SEG0000234391 Segment", "FA_GROWTH(SALES_REV_TURN, YOY)", "FPT=A", "FPO=1A", "ACT_EST_MAPPING=PRECISE", "FS=MRC", "CURRENCY=USD", "XLFILL=b")</f>
        <v>3.6639999999999868</v>
      </c>
      <c r="J121" s="9">
        <f>_xll.BQL("SEG0000234391 Segment", "FA_GROWTH(SALES_REV_TURN, YOY)", "FPT=A", "FPO=0A", "ACT_EST_MAPPING=PRECISE", "FS=MRC", "CURRENCY=USD", "XLFILL=b")</f>
        <v>20.178335535006607</v>
      </c>
      <c r="K121" s="9">
        <f>_xll.BQL("SEG0000234391 Segment", "FA_GROWTH(SALES_REV_TURN, YOY)", "FPT=A", "FPO=-1A", "ACT_EST_MAPPING=PRECISE", "FS=MRC", "CURRENCY=USD", "XLFILL=b")</f>
        <v>41.760299625468164</v>
      </c>
      <c r="L121" s="9">
        <f>_xll.BQL("SEG0000234391 Segment", "FA_GROWTH(SALES_REV_TURN, YOY)", "FPT=A", "FPO=-2A", "ACT_EST_MAPPING=PRECISE", "FS=MRC", "CURRENCY=USD", "XLFILL=b")</f>
        <v>112.96111665004985</v>
      </c>
      <c r="M121" s="9">
        <f>_xll.BQL("SEG0000234391 Segment", "FA_GROWTH(SALES_REV_TURN, YOY)", "FPT=A", "FPO=-3A", "ACT_EST_MAPPING=PRECISE", "FS=MRC", "CURRENCY=USD", "XLFILL=b")</f>
        <v>-59.670285484519503</v>
      </c>
      <c r="N121" s="9">
        <f>_xll.BQL("SEG0000234391 Segment", "FA_GROWTH(SALES_REV_TURN, YOY)", "FPT=A", "FPO=-4A", "ACT_EST_MAPPING=PRECISE", "FS=MRC", "CURRENCY=USD", "XLFILL=b")</f>
        <v>7.802340702210663</v>
      </c>
    </row>
    <row r="122" spans="1:14" x14ac:dyDescent="0.2">
      <c r="A122" s="8" t="s">
        <v>114</v>
      </c>
      <c r="B122" s="4" t="s">
        <v>109</v>
      </c>
      <c r="C122" s="4"/>
      <c r="D122" s="4" t="s">
        <v>115</v>
      </c>
      <c r="E122" s="9">
        <f>_xll.BQL("SEG0000234410 Segment", "SALES_REV_TURN/1M", "FPT=A", "FPO=5A", "ACT_EST_MAPPING=PRECISE", "FS=MRC", "CURRENCY=USD", "XLFILL=b")</f>
        <v>1260.1590442972958</v>
      </c>
      <c r="F122" s="9">
        <f>_xll.BQL("SEG0000234410 Segment", "SALES_REV_TURN/1M", "FPT=A", "FPO=4A", "ACT_EST_MAPPING=PRECISE", "FS=MRC", "CURRENCY=USD", "XLFILL=b")</f>
        <v>1187.9327340660782</v>
      </c>
      <c r="G122" s="9">
        <f>_xll.BQL("SEG0000234410 Segment", "SALES_REV_TURN/1M", "FPT=A", "FPO=3A", "ACT_EST_MAPPING=PRECISE", "FS=MRC", "CURRENCY=USD", "XLFILL=b")</f>
        <v>1109.1808908180001</v>
      </c>
      <c r="H122" s="9">
        <f>_xll.BQL("SEG0000234410 Segment", "SALES_REV_TURN/1M", "FPT=A", "FPO=2A", "ACT_EST_MAPPING=PRECISE", "FS=MRC", "CURRENCY=USD", "XLFILL=b")</f>
        <v>1035.649758</v>
      </c>
      <c r="I122" s="9">
        <f>_xll.BQL("SEG0000234410 Segment", "SALES_REV_TURN/1M", "FPT=A", "FPO=1A", "ACT_EST_MAPPING=PRECISE", "FS=MRC", "CURRENCY=USD", "XLFILL=b")</f>
        <v>985.95749999999987</v>
      </c>
      <c r="J122" s="9">
        <f>_xll.BQL("SEG0000234410 Segment", "SALES_REV_TURN/1M", "FPT=A", "FPO=0A", "ACT_EST_MAPPING=PRECISE", "FS=MRC", "CURRENCY=USD", "XLFILL=b")</f>
        <v>925</v>
      </c>
      <c r="K122" s="9">
        <f>_xll.BQL("SEG0000234410 Segment", "SALES_REV_TURN/1M", "FPT=A", "FPO=-1A", "ACT_EST_MAPPING=PRECISE", "FS=MRC", "CURRENCY=USD", "XLFILL=b")</f>
        <v>735</v>
      </c>
      <c r="L122" s="9">
        <f>_xll.BQL("SEG0000234410 Segment", "SALES_REV_TURN/1M", "FPT=A", "FPO=-2A", "ACT_EST_MAPPING=PRECISE", "FS=MRC", "CURRENCY=USD", "XLFILL=b")</f>
        <v>553</v>
      </c>
      <c r="M122" s="9">
        <f>_xll.BQL("SEG0000234410 Segment", "SALES_REV_TURN/1M", "FPT=A", "FPO=-3A", "ACT_EST_MAPPING=PRECISE", "FS=MRC", "CURRENCY=USD", "XLFILL=b")</f>
        <v>359</v>
      </c>
      <c r="N122" s="9">
        <f>_xll.BQL("SEG0000234410 Segment", "SALES_REV_TURN/1M", "FPT=A", "FPO=-4A", "ACT_EST_MAPPING=PRECISE", "FS=MRC", "CURRENCY=USD", "XLFILL=b")</f>
        <v>711</v>
      </c>
    </row>
    <row r="123" spans="1:14" x14ac:dyDescent="0.2">
      <c r="A123" s="8" t="s">
        <v>111</v>
      </c>
      <c r="B123" s="4" t="s">
        <v>109</v>
      </c>
      <c r="C123" s="4"/>
      <c r="D123" s="4" t="s">
        <v>115</v>
      </c>
      <c r="E123" s="9">
        <f>_xll.BQL("SEG0000234410 Segment", "FA_GROWTH(SALES_REV_TURN, YOY)", "FPT=A", "FPO=5A", "ACT_EST_MAPPING=PRECISE", "FS=MRC", "CURRENCY=USD", "XLFILL=b")</f>
        <v>6.0800000000000054</v>
      </c>
      <c r="F123" s="9">
        <f>_xll.BQL("SEG0000234410 Segment", "FA_GROWTH(SALES_REV_TURN, YOY)", "FPT=A", "FPO=4A", "ACT_EST_MAPPING=PRECISE", "FS=MRC", "CURRENCY=USD", "XLFILL=b")</f>
        <v>7.1000000000000094</v>
      </c>
      <c r="G123" s="9">
        <f>_xll.BQL("SEG0000234410 Segment", "FA_GROWTH(SALES_REV_TURN, YOY)", "FPT=A", "FPO=3A", "ACT_EST_MAPPING=PRECISE", "FS=MRC", "CURRENCY=USD", "XLFILL=b")</f>
        <v>7.1000000000000076</v>
      </c>
      <c r="H123" s="9">
        <f>_xll.BQL("SEG0000234410 Segment", "FA_GROWTH(SALES_REV_TURN, YOY)", "FPT=A", "FPO=2A", "ACT_EST_MAPPING=PRECISE", "FS=MRC", "CURRENCY=USD", "XLFILL=b")</f>
        <v>5.0400000000000125</v>
      </c>
      <c r="I123" s="9">
        <f>_xll.BQL("SEG0000234410 Segment", "FA_GROWTH(SALES_REV_TURN, YOY)", "FPT=A", "FPO=1A", "ACT_EST_MAPPING=PRECISE", "FS=MRC", "CURRENCY=USD", "XLFILL=b")</f>
        <v>6.5899999999999874</v>
      </c>
      <c r="J123" s="9">
        <f>_xll.BQL("SEG0000234410 Segment", "FA_GROWTH(SALES_REV_TURN, YOY)", "FPT=A", "FPO=0A", "ACT_EST_MAPPING=PRECISE", "FS=MRC", "CURRENCY=USD", "XLFILL=b")</f>
        <v>25.85034013605442</v>
      </c>
      <c r="K123" s="9">
        <f>_xll.BQL("SEG0000234410 Segment", "FA_GROWTH(SALES_REV_TURN, YOY)", "FPT=A", "FPO=-1A", "ACT_EST_MAPPING=PRECISE", "FS=MRC", "CURRENCY=USD", "XLFILL=b")</f>
        <v>32.911392405063289</v>
      </c>
      <c r="L123" s="9">
        <f>_xll.BQL("SEG0000234410 Segment", "FA_GROWTH(SALES_REV_TURN, YOY)", "FPT=A", "FPO=-2A", "ACT_EST_MAPPING=PRECISE", "FS=MRC", "CURRENCY=USD", "XLFILL=b")</f>
        <v>54.038997214484681</v>
      </c>
      <c r="M123" s="9">
        <f>_xll.BQL("SEG0000234410 Segment", "FA_GROWTH(SALES_REV_TURN, YOY)", "FPT=A", "FPO=-3A", "ACT_EST_MAPPING=PRECISE", "FS=MRC", "CURRENCY=USD", "XLFILL=b")</f>
        <v>-49.507735583684948</v>
      </c>
      <c r="N123" s="9">
        <f>_xll.BQL("SEG0000234410 Segment", "FA_GROWTH(SALES_REV_TURN, YOY)", "FPT=A", "FPO=-4A", "ACT_EST_MAPPING=PRECISE", "FS=MRC", "CURRENCY=USD", "XLFILL=b")</f>
        <v>10.747663551401869</v>
      </c>
    </row>
    <row r="124" spans="1:14" x14ac:dyDescent="0.2">
      <c r="A124" s="8" t="s">
        <v>116</v>
      </c>
      <c r="B124" s="4" t="s">
        <v>23</v>
      </c>
      <c r="C124" s="4" t="s">
        <v>117</v>
      </c>
      <c r="D124" s="4"/>
      <c r="E124" s="9">
        <f>_xll.BQL("LUV US Equity", "CARGO_FREIGHT_REV/1M", "FPT=A", "FPO=5A", "ACT_EST_MAPPING=PRECISE", "FS=MRC", "CURRENCY=USD", "XLFILL=b")</f>
        <v>206.43625916701308</v>
      </c>
      <c r="F124" s="9">
        <f>_xll.BQL("LUV US Equity", "CARGO_FREIGHT_REV/1M", "FPT=A", "FPO=4A", "ACT_EST_MAPPING=PRECISE", "FS=MRC", "CURRENCY=USD", "XLFILL=b")</f>
        <v>198.37243934515996</v>
      </c>
      <c r="G124" s="9">
        <f>_xll.BQL("LUV US Equity", "CARGO_FREIGHT_REV/1M", "FPT=A", "FPO=3A", "ACT_EST_MAPPING=PRECISE", "FS=MRC", "CURRENCY=USD", "XLFILL=b")</f>
        <v>198.05920408257967</v>
      </c>
      <c r="H124" s="9">
        <f>_xll.BQL("LUV US Equity", "CARGO_FREIGHT_REV/1M", "FPT=A", "FPO=2A", "ACT_EST_MAPPING=PRECISE", "FS=MRC", "CURRENCY=USD", "XLFILL=b")</f>
        <v>192.69058538593333</v>
      </c>
      <c r="I124" s="9">
        <f>_xll.BQL("LUV US Equity", "CARGO_FREIGHT_REV/1M", "FPT=A", "FPO=1A", "ACT_EST_MAPPING=PRECISE", "FS=MRC", "CURRENCY=USD", "XLFILL=b")</f>
        <v>178.37635177731326</v>
      </c>
      <c r="J124" s="9">
        <f>_xll.BQL("LUV US Equity", "CARGO_FREIGHT_REV/1M", "FPT=A", "FPO=0A", "ACT_EST_MAPPING=PRECISE", "FS=MRC", "CURRENCY=USD", "XLFILL=b")</f>
        <v>175</v>
      </c>
      <c r="K124" s="9">
        <f>_xll.BQL("LUV US Equity", "CARGO_FREIGHT_REV/1M", "FPT=A", "FPO=-1A", "ACT_EST_MAPPING=PRECISE", "FS=MRC", "CURRENCY=USD", "XLFILL=b")</f>
        <v>177</v>
      </c>
      <c r="L124" s="9">
        <f>_xll.BQL("LUV US Equity", "CARGO_FREIGHT_REV/1M", "FPT=A", "FPO=-2A", "ACT_EST_MAPPING=PRECISE", "FS=MRC", "CURRENCY=USD", "XLFILL=b")</f>
        <v>187</v>
      </c>
      <c r="M124" s="9">
        <f>_xll.BQL("LUV US Equity", "CARGO_FREIGHT_REV/1M", "FPT=A", "FPO=-3A", "ACT_EST_MAPPING=PRECISE", "FS=MRC", "CURRENCY=USD", "XLFILL=b")</f>
        <v>161</v>
      </c>
      <c r="N124" s="9">
        <f>_xll.BQL("LUV US Equity", "CARGO_FREIGHT_REV/1M", "FPT=A", "FPO=-4A", "ACT_EST_MAPPING=PRECISE", "FS=MRC", "CURRENCY=USD", "XLFILL=b")</f>
        <v>172</v>
      </c>
    </row>
    <row r="125" spans="1:14" x14ac:dyDescent="0.2">
      <c r="A125" s="8" t="s">
        <v>21</v>
      </c>
      <c r="B125" s="4" t="s">
        <v>23</v>
      </c>
      <c r="C125" s="4" t="s">
        <v>117</v>
      </c>
      <c r="D125" s="4"/>
      <c r="E125" s="9">
        <f>_xll.BQL("LUV US Equity", "FA_GROWTH(CARGO_FREIGHT_REV, YOY)", "FPT=A", "FPO=5A", "ACT_EST_MAPPING=PRECISE", "FS=MRC", "CURRENCY=USD", "XLFILL=b")</f>
        <v>4.0649899998569934</v>
      </c>
      <c r="F125" s="9">
        <f>_xll.BQL("LUV US Equity", "FA_GROWTH(CARGO_FREIGHT_REV, YOY)", "FPT=A", "FPO=4A", "ACT_EST_MAPPING=PRECISE", "FS=MRC", "CURRENCY=USD", "XLFILL=b")</f>
        <v>0.1581523383531693</v>
      </c>
      <c r="G125" s="9">
        <f>_xll.BQL("LUV US Equity", "FA_GROWTH(CARGO_FREIGHT_REV, YOY)", "FPT=A", "FPO=3A", "ACT_EST_MAPPING=PRECISE", "FS=MRC", "CURRENCY=USD", "XLFILL=b")</f>
        <v>2.78613440604465</v>
      </c>
      <c r="H125" s="9">
        <f>_xll.BQL("LUV US Equity", "FA_GROWTH(CARGO_FREIGHT_REV, YOY)", "FPT=A", "FPO=2A", "ACT_EST_MAPPING=PRECISE", "FS=MRC", "CURRENCY=USD", "XLFILL=b")</f>
        <v>8.0247372849569771</v>
      </c>
      <c r="I125" s="9">
        <f>_xll.BQL("LUV US Equity", "FA_GROWTH(CARGO_FREIGHT_REV, YOY)", "FPT=A", "FPO=1A", "ACT_EST_MAPPING=PRECISE", "FS=MRC", "CURRENCY=USD", "XLFILL=b")</f>
        <v>1.9293438727504355</v>
      </c>
      <c r="J125" s="9">
        <f>_xll.BQL("LUV US Equity", "FA_GROWTH(CARGO_FREIGHT_REV, YOY)", "FPT=A", "FPO=0A", "ACT_EST_MAPPING=PRECISE", "FS=MRC", "CURRENCY=USD", "XLFILL=b")</f>
        <v>-1.1299435028248588</v>
      </c>
      <c r="K125" s="9">
        <f>_xll.BQL("LUV US Equity", "FA_GROWTH(CARGO_FREIGHT_REV, YOY)", "FPT=A", "FPO=-1A", "ACT_EST_MAPPING=PRECISE", "FS=MRC", "CURRENCY=USD", "XLFILL=b")</f>
        <v>-5.3475935828877006</v>
      </c>
      <c r="L125" s="9">
        <f>_xll.BQL("LUV US Equity", "FA_GROWTH(CARGO_FREIGHT_REV, YOY)", "FPT=A", "FPO=-2A", "ACT_EST_MAPPING=PRECISE", "FS=MRC", "CURRENCY=USD", "XLFILL=b")</f>
        <v>16.149068322981368</v>
      </c>
      <c r="M125" s="9">
        <f>_xll.BQL("LUV US Equity", "FA_GROWTH(CARGO_FREIGHT_REV, YOY)", "FPT=A", "FPO=-3A", "ACT_EST_MAPPING=PRECISE", "FS=MRC", "CURRENCY=USD", "XLFILL=b")</f>
        <v>-6.3953488372093021</v>
      </c>
      <c r="N125" s="9">
        <f>_xll.BQL("LUV US Equity", "FA_GROWTH(CARGO_FREIGHT_REV, YOY)", "FPT=A", "FPO=-4A", "ACT_EST_MAPPING=PRECISE", "FS=MRC", "CURRENCY=USD", "XLFILL=b")</f>
        <v>-1.7142857142857142</v>
      </c>
    </row>
    <row r="126" spans="1:14" x14ac:dyDescent="0.2">
      <c r="A126" s="8" t="s">
        <v>24</v>
      </c>
      <c r="B126" s="4" t="s">
        <v>25</v>
      </c>
      <c r="C126" s="4" t="s">
        <v>118</v>
      </c>
      <c r="D126" s="4"/>
      <c r="E126" s="9">
        <f>_xll.BQL("LUV US Equity", "IS_OTHER_REVENUE_GAAP/1M", "FPT=A", "FPO=5A", "ACT_EST_MAPPING=PRECISE", "FS=MRC", "CURRENCY=USD", "XLFILL=b")</f>
        <v>2537.0828442741545</v>
      </c>
      <c r="F126" s="9">
        <f>_xll.BQL("LUV US Equity", "IS_OTHER_REVENUE_GAAP/1M", "FPT=A", "FPO=4A", "ACT_EST_MAPPING=PRECISE", "FS=MRC", "CURRENCY=USD", "XLFILL=b")</f>
        <v>2532.3498067818919</v>
      </c>
      <c r="G126" s="9">
        <f>_xll.BQL("LUV US Equity", "IS_OTHER_REVENUE_GAAP/1M", "FPT=A", "FPO=3A", "ACT_EST_MAPPING=PRECISE", "FS=MRC", "CURRENCY=USD", "XLFILL=b")</f>
        <v>2536.3773008717144</v>
      </c>
      <c r="H126" s="9">
        <f>_xll.BQL("LUV US Equity", "IS_OTHER_REVENUE_GAAP/1M", "FPT=A", "FPO=2A", "ACT_EST_MAPPING=PRECISE", "FS=MRC", "CURRENCY=USD", "XLFILL=b")</f>
        <v>2439.3543847055926</v>
      </c>
      <c r="I126" s="9">
        <f>_xll.BQL("LUV US Equity", "IS_OTHER_REVENUE_GAAP/1M", "FPT=A", "FPO=1A", "ACT_EST_MAPPING=PRECISE", "FS=MRC", "CURRENCY=USD", "XLFILL=b")</f>
        <v>2348.0695635082661</v>
      </c>
      <c r="J126" s="9">
        <f>_xll.BQL("LUV US Equity", "IS_OTHER_REVENUE_GAAP/1M", "FPT=A", "FPO=0A", "ACT_EST_MAPPING=PRECISE", "FS=MRC", "CURRENCY=USD", "XLFILL=b")</f>
        <v>2279</v>
      </c>
      <c r="K126" s="9">
        <f>_xll.BQL("LUV US Equity", "IS_OTHER_REVENUE_GAAP/1M", "FPT=A", "FPO=-1A", "ACT_EST_MAPPING=PRECISE", "FS=MRC", "CURRENCY=USD", "XLFILL=b")</f>
        <v>2229</v>
      </c>
      <c r="L126" s="9">
        <f>_xll.BQL("LUV US Equity", "IS_OTHER_REVENUE_GAAP/1M", "FPT=A", "FPO=-2A", "ACT_EST_MAPPING=PRECISE", "FS=MRC", "CURRENCY=USD", "XLFILL=b")</f>
        <v>1537</v>
      </c>
      <c r="M126" s="9">
        <f>_xll.BQL("LUV US Equity", "IS_OTHER_REVENUE_GAAP/1M", "FPT=A", "FPO=-3A", "ACT_EST_MAPPING=PRECISE", "FS=MRC", "CURRENCY=USD", "XLFILL=b")</f>
        <v>1222</v>
      </c>
      <c r="N126" s="9">
        <f>_xll.BQL("LUV US Equity", "IS_OTHER_REVENUE_GAAP/1M", "FPT=A", "FPO=-4A", "ACT_EST_MAPPING=PRECISE", "FS=MRC", "CURRENCY=USD", "XLFILL=b")</f>
        <v>1480</v>
      </c>
    </row>
    <row r="127" spans="1:14" x14ac:dyDescent="0.2">
      <c r="A127" s="8" t="s">
        <v>21</v>
      </c>
      <c r="B127" s="4" t="s">
        <v>25</v>
      </c>
      <c r="C127" s="4" t="s">
        <v>118</v>
      </c>
      <c r="D127" s="4"/>
      <c r="E127" s="9">
        <f>_xll.BQL("LUV US Equity", "FA_GROWTH(IS_OTHER_REVENUE_GAAP, YOY)", "FPT=A", "FPO=5A", "ACT_EST_MAPPING=PRECISE", "FS=MRC", "CURRENCY=USD", "XLFILL=b")</f>
        <v>0.18690298945221873</v>
      </c>
      <c r="F127" s="9">
        <f>_xll.BQL("LUV US Equity", "FA_GROWTH(IS_OTHER_REVENUE_GAAP, YOY)", "FPT=A", "FPO=4A", "ACT_EST_MAPPING=PRECISE", "FS=MRC", "CURRENCY=USD", "XLFILL=b")</f>
        <v>-0.15878923409536036</v>
      </c>
      <c r="G127" s="9">
        <f>_xll.BQL("LUV US Equity", "FA_GROWTH(IS_OTHER_REVENUE_GAAP, YOY)", "FPT=A", "FPO=3A", "ACT_EST_MAPPING=PRECISE", "FS=MRC", "CURRENCY=USD", "XLFILL=b")</f>
        <v>3.9774014294291118</v>
      </c>
      <c r="H127" s="9">
        <f>_xll.BQL("LUV US Equity", "FA_GROWTH(IS_OTHER_REVENUE_GAAP, YOY)", "FPT=A", "FPO=2A", "ACT_EST_MAPPING=PRECISE", "FS=MRC", "CURRENCY=USD", "XLFILL=b")</f>
        <v>3.8876540378530104</v>
      </c>
      <c r="I127" s="9">
        <f>_xll.BQL("LUV US Equity", "FA_GROWTH(IS_OTHER_REVENUE_GAAP, YOY)", "FPT=A", "FPO=1A", "ACT_EST_MAPPING=PRECISE", "FS=MRC", "CURRENCY=USD", "XLFILL=b")</f>
        <v>3.0306960732016663</v>
      </c>
      <c r="J127" s="9">
        <f>_xll.BQL("LUV US Equity", "FA_GROWTH(IS_OTHER_REVENUE_GAAP, YOY)", "FPT=A", "FPO=0A", "ACT_EST_MAPPING=PRECISE", "FS=MRC", "CURRENCY=USD", "XLFILL=b")</f>
        <v>2.2431583669807087</v>
      </c>
      <c r="K127" s="9">
        <f>_xll.BQL("LUV US Equity", "FA_GROWTH(IS_OTHER_REVENUE_GAAP, YOY)", "FPT=A", "FPO=-1A", "ACT_EST_MAPPING=PRECISE", "FS=MRC", "CURRENCY=USD", "XLFILL=b")</f>
        <v>45.022771633051399</v>
      </c>
      <c r="L127" s="9">
        <f>_xll.BQL("LUV US Equity", "FA_GROWTH(IS_OTHER_REVENUE_GAAP, YOY)", "FPT=A", "FPO=-2A", "ACT_EST_MAPPING=PRECISE", "FS=MRC", "CURRENCY=USD", "XLFILL=b")</f>
        <v>25.777414075286416</v>
      </c>
      <c r="M127" s="9">
        <f>_xll.BQL("LUV US Equity", "FA_GROWTH(IS_OTHER_REVENUE_GAAP, YOY)", "FPT=A", "FPO=-3A", "ACT_EST_MAPPING=PRECISE", "FS=MRC", "CURRENCY=USD", "XLFILL=b")</f>
        <v>-17.432432432432432</v>
      </c>
      <c r="N127" s="9">
        <f>_xll.BQL("LUV US Equity", "FA_GROWTH(IS_OTHER_REVENUE_GAAP, YOY)", "FPT=A", "FPO=-4A", "ACT_EST_MAPPING=PRECISE", "FS=MRC", "CURRENCY=USD", "XLFILL=b")</f>
        <v>10.861423220973784</v>
      </c>
    </row>
    <row r="128" spans="1:14" x14ac:dyDescent="0.2">
      <c r="A128" s="8" t="s">
        <v>16</v>
      </c>
      <c r="B128" s="4"/>
      <c r="C128" s="4"/>
      <c r="D128" s="4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14" x14ac:dyDescent="0.2">
      <c r="A129" s="8" t="s">
        <v>119</v>
      </c>
      <c r="B129" s="4"/>
      <c r="C129" s="4" t="s">
        <v>120</v>
      </c>
      <c r="D129" s="4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1:14" x14ac:dyDescent="0.2">
      <c r="A130" s="8" t="s">
        <v>105</v>
      </c>
      <c r="B130" s="4" t="s">
        <v>14</v>
      </c>
      <c r="C130" s="4" t="s">
        <v>106</v>
      </c>
      <c r="D130" s="4"/>
      <c r="E130" s="9">
        <f>_xll.BQL("LUV US Equity", "IS_COMP_SALES/1M", "FPT=A", "FPO=5A", "ACT_EST_MAPPING=PRECISE", "FS=MRC", "CURRENCY=USD", "XLFILL=b")</f>
        <v>33646.666666666672</v>
      </c>
      <c r="F130" s="9">
        <f>_xll.BQL("LUV US Equity", "IS_COMP_SALES/1M", "FPT=A", "FPO=4A", "ACT_EST_MAPPING=PRECISE", "FS=MRC", "CURRENCY=USD", "XLFILL=b")</f>
        <v>32244.6</v>
      </c>
      <c r="G130" s="9">
        <f>_xll.BQL("LUV US Equity", "IS_COMP_SALES/1M", "FPT=A", "FPO=3A", "ACT_EST_MAPPING=PRECISE", "FS=MRC", "CURRENCY=USD", "XLFILL=b")</f>
        <v>30465.357142857145</v>
      </c>
      <c r="H130" s="9">
        <f>_xll.BQL("LUV US Equity", "IS_COMP_SALES/1M", "FPT=A", "FPO=2A", "ACT_EST_MAPPING=PRECISE", "FS=MRC", "CURRENCY=USD", "XLFILL=b")</f>
        <v>28773.888888888891</v>
      </c>
      <c r="I130" s="9">
        <f>_xll.BQL("LUV US Equity", "IS_COMP_SALES/1M", "FPT=A", "FPO=1A", "ACT_EST_MAPPING=PRECISE", "FS=MRC", "CURRENCY=USD", "XLFILL=b")</f>
        <v>27132.166666666668</v>
      </c>
      <c r="J130" s="9">
        <f>_xll.BQL("LUV US Equity", "IS_COMP_SALES/1M", "FPT=A", "FPO=0A", "ACT_EST_MAPPING=PRECISE", "FS=MRC", "CURRENCY=USD", "XLFILL=b")</f>
        <v>26091</v>
      </c>
      <c r="K130" s="9">
        <f>_xll.BQL("LUV US Equity", "IS_COMP_SALES/1M", "FPT=A", "FPO=-1A", "ACT_EST_MAPPING=PRECISE", "FS=MRC", "CURRENCY=USD", "XLFILL=b")</f>
        <v>23814</v>
      </c>
      <c r="L130" s="9">
        <f>_xll.BQL("LUV US Equity", "IS_COMP_SALES/1M", "FPT=A", "FPO=-2A", "ACT_EST_MAPPING=PRECISE", "FS=MRC", "CURRENCY=USD", "XLFILL=b")</f>
        <v>15790</v>
      </c>
      <c r="M130" s="9">
        <f>_xll.BQL("LUV US Equity", "IS_COMP_SALES/1M", "FPT=A", "FPO=-3A", "ACT_EST_MAPPING=PRECISE", "FS=MRC", "CURRENCY=USD", "XLFILL=b")</f>
        <v>9048</v>
      </c>
      <c r="N130" s="9">
        <f>_xll.BQL("LUV US Equity", "IS_COMP_SALES/1M", "FPT=A", "FPO=-4A", "ACT_EST_MAPPING=PRECISE", "FS=MRC", "CURRENCY=USD", "XLFILL=b")</f>
        <v>22428</v>
      </c>
    </row>
    <row r="131" spans="1:14" x14ac:dyDescent="0.2">
      <c r="A131" s="8" t="s">
        <v>12</v>
      </c>
      <c r="B131" s="4" t="s">
        <v>14</v>
      </c>
      <c r="C131" s="4" t="s">
        <v>106</v>
      </c>
      <c r="D131" s="4"/>
      <c r="E131" s="9">
        <f>_xll.BQL("LUV US Equity", "FA_GROWTH(IS_COMP_SALES, YOY)", "FPT=A", "FPO=5A", "ACT_EST_MAPPING=PRECISE", "FS=MRC", "CURRENCY=USD", "XLFILL=b")</f>
        <v>4.3482216143685086</v>
      </c>
      <c r="F131" s="9">
        <f>_xll.BQL("LUV US Equity", "FA_GROWTH(IS_COMP_SALES, YOY)", "FPT=A", "FPO=4A", "ACT_EST_MAPPING=PRECISE", "FS=MRC", "CURRENCY=USD", "XLFILL=b")</f>
        <v>5.8402166395085731</v>
      </c>
      <c r="G131" s="9">
        <f>_xll.BQL("LUV US Equity", "FA_GROWTH(IS_COMP_SALES, YOY)", "FPT=A", "FPO=3A", "ACT_EST_MAPPING=PRECISE", "FS=MRC", "CURRENCY=USD", "XLFILL=b")</f>
        <v>5.8784833030387453</v>
      </c>
      <c r="H131" s="9">
        <f>_xll.BQL("LUV US Equity", "FA_GROWTH(IS_COMP_SALES, YOY)", "FPT=A", "FPO=2A", "ACT_EST_MAPPING=PRECISE", "FS=MRC", "CURRENCY=USD", "XLFILL=b")</f>
        <v>6.0508334715456611</v>
      </c>
      <c r="I131" s="9">
        <f>_xll.BQL("LUV US Equity", "FA_GROWTH(IS_COMP_SALES, YOY)", "FPT=A", "FPO=1A", "ACT_EST_MAPPING=PRECISE", "FS=MRC", "CURRENCY=USD", "XLFILL=b")</f>
        <v>3.9905203582333675</v>
      </c>
      <c r="J131" s="9">
        <f>_xll.BQL("LUV US Equity", "FA_GROWTH(IS_COMP_SALES, YOY)", "FPT=A", "FPO=0A", "ACT_EST_MAPPING=PRECISE", "FS=MRC", "CURRENCY=USD", "XLFILL=b")</f>
        <v>9.5616024187452755</v>
      </c>
      <c r="K131" s="9">
        <f>_xll.BQL("LUV US Equity", "FA_GROWTH(IS_COMP_SALES, YOY)", "FPT=A", "FPO=-1A", "ACT_EST_MAPPING=PRECISE", "FS=MRC", "CURRENCY=USD", "XLFILL=b")</f>
        <v>50.816972767574413</v>
      </c>
      <c r="L131" s="9">
        <f>_xll.BQL("LUV US Equity", "FA_GROWTH(IS_COMP_SALES, YOY)", "FPT=A", "FPO=-2A", "ACT_EST_MAPPING=PRECISE", "FS=MRC", "CURRENCY=USD", "XLFILL=b")</f>
        <v>74.513704686118473</v>
      </c>
      <c r="M131" s="9">
        <f>_xll.BQL("LUV US Equity", "FA_GROWTH(IS_COMP_SALES, YOY)", "FPT=A", "FPO=-3A", "ACT_EST_MAPPING=PRECISE", "FS=MRC", "CURRENCY=USD", "XLFILL=b")</f>
        <v>-59.65757089352595</v>
      </c>
      <c r="N131" s="9">
        <f>_xll.BQL("LUV US Equity", "FA_GROWTH(IS_COMP_SALES, YOY)", "FPT=A", "FPO=-4A", "ACT_EST_MAPPING=PRECISE", "FS=MRC", "CURRENCY=USD", "XLFILL=b")</f>
        <v>2.107898930116094</v>
      </c>
    </row>
    <row r="132" spans="1:14" x14ac:dyDescent="0.2">
      <c r="A132" s="8" t="s">
        <v>16</v>
      </c>
      <c r="B132" s="4"/>
      <c r="C132" s="4"/>
      <c r="D132" s="4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spans="1:14" x14ac:dyDescent="0.2">
      <c r="A133" s="8" t="s">
        <v>121</v>
      </c>
      <c r="B133" s="4" t="s">
        <v>122</v>
      </c>
      <c r="C133" s="4" t="s">
        <v>123</v>
      </c>
      <c r="D133" s="4"/>
      <c r="E133" s="9">
        <f>_xll.BQL("LUV US Equity", "IS_TOT_OPER_EXP/1M", "FPT=A", "FPO=5A", "ACT_EST_MAPPING=PRECISE", "FS=MRC", "CURRENCY=USD", "XLFILL=b")</f>
        <v>31248.588661744077</v>
      </c>
      <c r="F133" s="9">
        <f>_xll.BQL("LUV US Equity", "IS_TOT_OPER_EXP/1M", "FPT=A", "FPO=4A", "ACT_EST_MAPPING=PRECISE", "FS=MRC", "CURRENCY=USD", "XLFILL=b")</f>
        <v>30147.066946777599</v>
      </c>
      <c r="G133" s="9">
        <f>_xll.BQL("LUV US Equity", "IS_TOT_OPER_EXP/1M", "FPT=A", "FPO=3A", "ACT_EST_MAPPING=PRECISE", "FS=MRC", "CURRENCY=USD", "XLFILL=b")</f>
        <v>29050.794147653185</v>
      </c>
      <c r="H133" s="9">
        <f>_xll.BQL("LUV US Equity", "IS_TOT_OPER_EXP/1M", "FPT=A", "FPO=2A", "ACT_EST_MAPPING=PRECISE", "FS=MRC", "CURRENCY=USD", "XLFILL=b")</f>
        <v>28030.176089727276</v>
      </c>
      <c r="I133" s="9">
        <f>_xll.BQL("LUV US Equity", "IS_TOT_OPER_EXP/1M", "FPT=A", "FPO=1A", "ACT_EST_MAPPING=PRECISE", "FS=MRC", "CURRENCY=USD", "XLFILL=b")</f>
        <v>27229.247519008946</v>
      </c>
      <c r="J133" s="9">
        <f>_xll.BQL("LUV US Equity", "IS_TOT_OPER_EXP/1M", "FPT=A", "FPO=0A", "ACT_EST_MAPPING=PRECISE", "FS=MRC", "CURRENCY=USD", "XLFILL=b")</f>
        <v>25867</v>
      </c>
      <c r="K133" s="9">
        <f>_xll.BQL("LUV US Equity", "IS_TOT_OPER_EXP/1M", "FPT=A", "FPO=-1A", "ACT_EST_MAPPING=PRECISE", "FS=MRC", "CURRENCY=USD", "XLFILL=b")</f>
        <v>22797</v>
      </c>
      <c r="L133" s="9">
        <f>_xll.BQL("LUV US Equity", "IS_TOT_OPER_EXP/1M", "FPT=A", "FPO=-2A", "ACT_EST_MAPPING=PRECISE", "FS=MRC", "CURRENCY=USD", "XLFILL=b")</f>
        <v>14069</v>
      </c>
      <c r="M133" s="9">
        <f>_xll.BQL("LUV US Equity", "IS_TOT_OPER_EXP/1M", "FPT=A", "FPO=-3A", "ACT_EST_MAPPING=PRECISE", "FS=MRC", "CURRENCY=USD", "XLFILL=b")</f>
        <v>12864</v>
      </c>
      <c r="N133" s="9">
        <f>_xll.BQL("LUV US Equity", "IS_TOT_OPER_EXP/1M", "FPT=A", "FPO=-4A", "ACT_EST_MAPPING=PRECISE", "FS=MRC", "CURRENCY=USD", "XLFILL=b")</f>
        <v>19471</v>
      </c>
    </row>
    <row r="134" spans="1:14" x14ac:dyDescent="0.2">
      <c r="A134" s="8" t="s">
        <v>12</v>
      </c>
      <c r="B134" s="4" t="s">
        <v>122</v>
      </c>
      <c r="C134" s="4" t="s">
        <v>123</v>
      </c>
      <c r="D134" s="4"/>
      <c r="E134" s="9">
        <f>_xll.BQL("LUV US Equity", "FA_GROWTH(IS_TOT_OPER_EXP, YOY)", "FPT=A", "FPO=5A", "ACT_EST_MAPPING=PRECISE", "FS=MRC", "CURRENCY=USD", "XLFILL=b")</f>
        <v>3.653827143155024</v>
      </c>
      <c r="F134" s="9">
        <f>_xll.BQL("LUV US Equity", "FA_GROWTH(IS_TOT_OPER_EXP, YOY)", "FPT=A", "FPO=4A", "ACT_EST_MAPPING=PRECISE", "FS=MRC", "CURRENCY=USD", "XLFILL=b")</f>
        <v>3.7736414142501946</v>
      </c>
      <c r="G134" s="9">
        <f>_xll.BQL("LUV US Equity", "FA_GROWTH(IS_TOT_OPER_EXP, YOY)", "FPT=A", "FPO=3A", "ACT_EST_MAPPING=PRECISE", "FS=MRC", "CURRENCY=USD", "XLFILL=b")</f>
        <v>3.6411403719292199</v>
      </c>
      <c r="H134" s="9">
        <f>_xll.BQL("LUV US Equity", "FA_GROWTH(IS_TOT_OPER_EXP, YOY)", "FPT=A", "FPO=2A", "ACT_EST_MAPPING=PRECISE", "FS=MRC", "CURRENCY=USD", "XLFILL=b")</f>
        <v>2.9414274858649545</v>
      </c>
      <c r="I134" s="9">
        <f>_xll.BQL("LUV US Equity", "FA_GROWTH(IS_TOT_OPER_EXP, YOY)", "FPT=A", "FPO=1A", "ACT_EST_MAPPING=PRECISE", "FS=MRC", "CURRENCY=USD", "XLFILL=b")</f>
        <v>5.2663529555377329</v>
      </c>
      <c r="J134" s="9">
        <f>_xll.BQL("LUV US Equity", "FA_GROWTH(IS_TOT_OPER_EXP, YOY)", "FPT=A", "FPO=0A", "ACT_EST_MAPPING=PRECISE", "FS=MRC", "CURRENCY=USD", "XLFILL=b")</f>
        <v>13.466684212835021</v>
      </c>
      <c r="K134" s="9">
        <f>_xll.BQL("LUV US Equity", "FA_GROWTH(IS_TOT_OPER_EXP, YOY)", "FPT=A", "FPO=-1A", "ACT_EST_MAPPING=PRECISE", "FS=MRC", "CURRENCY=USD", "XLFILL=b")</f>
        <v>62.037102850238114</v>
      </c>
      <c r="L134" s="9">
        <f>_xll.BQL("LUV US Equity", "FA_GROWTH(IS_TOT_OPER_EXP, YOY)", "FPT=A", "FPO=-2A", "ACT_EST_MAPPING=PRECISE", "FS=MRC", "CURRENCY=USD", "XLFILL=b")</f>
        <v>9.3672263681592032</v>
      </c>
      <c r="M134" s="9">
        <f>_xll.BQL("LUV US Equity", "FA_GROWTH(IS_TOT_OPER_EXP, YOY)", "FPT=A", "FPO=-3A", "ACT_EST_MAPPING=PRECISE", "FS=MRC", "CURRENCY=USD", "XLFILL=b")</f>
        <v>-33.932515022340915</v>
      </c>
      <c r="N134" s="9">
        <f>_xll.BQL("LUV US Equity", "FA_GROWTH(IS_TOT_OPER_EXP, YOY)", "FPT=A", "FPO=-4A", "ACT_EST_MAPPING=PRECISE", "FS=MRC", "CURRENCY=USD", "XLFILL=b")</f>
        <v>3.79551148781918</v>
      </c>
    </row>
    <row r="135" spans="1:14" x14ac:dyDescent="0.2">
      <c r="A135" s="8" t="s">
        <v>124</v>
      </c>
      <c r="B135" s="4" t="s">
        <v>125</v>
      </c>
      <c r="C135" s="4" t="s">
        <v>126</v>
      </c>
      <c r="D135" s="4"/>
      <c r="E135" s="9">
        <f>_xll.BQL("LUV US Equity", "WAGES_SALARIES_BENEFITS/1M", "FPT=A", "FPO=5A", "ACT_EST_MAPPING=PRECISE", "FS=MRC", "CURRENCY=USD", "XLFILL=b")</f>
        <v>14180.431508436715</v>
      </c>
      <c r="F135" s="9">
        <f>_xll.BQL("LUV US Equity", "WAGES_SALARIES_BENEFITS/1M", "FPT=A", "FPO=4A", "ACT_EST_MAPPING=PRECISE", "FS=MRC", "CURRENCY=USD", "XLFILL=b")</f>
        <v>13834.553584191261</v>
      </c>
      <c r="G135" s="9">
        <f>_xll.BQL("LUV US Equity", "WAGES_SALARIES_BENEFITS/1M", "FPT=A", "FPO=3A", "ACT_EST_MAPPING=PRECISE", "FS=MRC", "CURRENCY=USD", "XLFILL=b")</f>
        <v>13008.307000829765</v>
      </c>
      <c r="H135" s="9">
        <f>_xll.BQL("LUV US Equity", "WAGES_SALARIES_BENEFITS/1M", "FPT=A", "FPO=2A", "ACT_EST_MAPPING=PRECISE", "FS=MRC", "CURRENCY=USD", "XLFILL=b")</f>
        <v>12497.100479285862</v>
      </c>
      <c r="I135" s="9">
        <f>_xll.BQL("LUV US Equity", "WAGES_SALARIES_BENEFITS/1M", "FPT=A", "FPO=1A", "ACT_EST_MAPPING=PRECISE", "FS=MRC", "CURRENCY=USD", "XLFILL=b")</f>
        <v>11988.656532703955</v>
      </c>
      <c r="J135" s="9">
        <f>_xll.BQL("LUV US Equity", "WAGES_SALARIES_BENEFITS/1M", "FPT=A", "FPO=0A", "ACT_EST_MAPPING=PRECISE", "FS=MRC", "CURRENCY=USD", "XLFILL=b")</f>
        <v>11152</v>
      </c>
      <c r="K135" s="9">
        <f>_xll.BQL("LUV US Equity", "WAGES_SALARIES_BENEFITS/1M", "FPT=A", "FPO=-1A", "ACT_EST_MAPPING=PRECISE", "FS=MRC", "CURRENCY=USD", "XLFILL=b")</f>
        <v>9376</v>
      </c>
      <c r="L135" s="9">
        <f>_xll.BQL("LUV US Equity", "WAGES_SALARIES_BENEFITS/1M", "FPT=A", "FPO=-2A", "ACT_EST_MAPPING=PRECISE", "FS=MRC", "CURRENCY=USD", "XLFILL=b")</f>
        <v>7743</v>
      </c>
      <c r="M135" s="9">
        <f>_xll.BQL("LUV US Equity", "WAGES_SALARIES_BENEFITS/1M", "FPT=A", "FPO=-3A", "ACT_EST_MAPPING=PRECISE", "FS=MRC", "CURRENCY=USD", "XLFILL=b")</f>
        <v>6811</v>
      </c>
      <c r="N135" s="9">
        <f>_xll.BQL("LUV US Equity", "WAGES_SALARIES_BENEFITS/1M", "FPT=A", "FPO=-4A", "ACT_EST_MAPPING=PRECISE", "FS=MRC", "CURRENCY=USD", "XLFILL=b")</f>
        <v>8293</v>
      </c>
    </row>
    <row r="136" spans="1:14" x14ac:dyDescent="0.2">
      <c r="A136" s="8" t="s">
        <v>21</v>
      </c>
      <c r="B136" s="4" t="s">
        <v>125</v>
      </c>
      <c r="C136" s="4" t="s">
        <v>126</v>
      </c>
      <c r="D136" s="4"/>
      <c r="E136" s="9">
        <f>_xll.BQL("LUV US Equity", "FA_GROWTH(WAGES_SALARIES_BENEFITS, YOY)", "FPT=A", "FPO=5A", "ACT_EST_MAPPING=PRECISE", "FS=MRC", "CURRENCY=USD", "XLFILL=b")</f>
        <v>2.5001018076990165</v>
      </c>
      <c r="F136" s="9">
        <f>_xll.BQL("LUV US Equity", "FA_GROWTH(WAGES_SALARIES_BENEFITS, YOY)", "FPT=A", "FPO=4A", "ACT_EST_MAPPING=PRECISE", "FS=MRC", "CURRENCY=USD", "XLFILL=b")</f>
        <v>6.3516842223111114</v>
      </c>
      <c r="G136" s="9">
        <f>_xll.BQL("LUV US Equity", "FA_GROWTH(WAGES_SALARIES_BENEFITS, YOY)", "FPT=A", "FPO=3A", "ACT_EST_MAPPING=PRECISE", "FS=MRC", "CURRENCY=USD", "XLFILL=b")</f>
        <v>4.090601034945955</v>
      </c>
      <c r="H136" s="9">
        <f>_xll.BQL("LUV US Equity", "FA_GROWTH(WAGES_SALARIES_BENEFITS, YOY)", "FPT=A", "FPO=2A", "ACT_EST_MAPPING=PRECISE", "FS=MRC", "CURRENCY=USD", "XLFILL=b")</f>
        <v>4.2410418981886657</v>
      </c>
      <c r="I136" s="9">
        <f>_xll.BQL("LUV US Equity", "FA_GROWTH(WAGES_SALARIES_BENEFITS, YOY)", "FPT=A", "FPO=1A", "ACT_EST_MAPPING=PRECISE", "FS=MRC", "CURRENCY=USD", "XLFILL=b")</f>
        <v>7.5023003291244148</v>
      </c>
      <c r="J136" s="9">
        <f>_xll.BQL("LUV US Equity", "FA_GROWTH(WAGES_SALARIES_BENEFITS, YOY)", "FPT=A", "FPO=0A", "ACT_EST_MAPPING=PRECISE", "FS=MRC", "CURRENCY=USD", "XLFILL=b")</f>
        <v>18.941979522184301</v>
      </c>
      <c r="K136" s="9">
        <f>_xll.BQL("LUV US Equity", "FA_GROWTH(WAGES_SALARIES_BENEFITS, YOY)", "FPT=A", "FPO=-1A", "ACT_EST_MAPPING=PRECISE", "FS=MRC", "CURRENCY=USD", "XLFILL=b")</f>
        <v>21.090016789358131</v>
      </c>
      <c r="L136" s="9">
        <f>_xll.BQL("LUV US Equity", "FA_GROWTH(WAGES_SALARIES_BENEFITS, YOY)", "FPT=A", "FPO=-2A", "ACT_EST_MAPPING=PRECISE", "FS=MRC", "CURRENCY=USD", "XLFILL=b")</f>
        <v>13.683746880046982</v>
      </c>
      <c r="M136" s="9">
        <f>_xll.BQL("LUV US Equity", "FA_GROWTH(WAGES_SALARIES_BENEFITS, YOY)", "FPT=A", "FPO=-3A", "ACT_EST_MAPPING=PRECISE", "FS=MRC", "CURRENCY=USD", "XLFILL=b")</f>
        <v>-17.8704931870252</v>
      </c>
      <c r="N136" s="9">
        <f>_xll.BQL("LUV US Equity", "FA_GROWTH(WAGES_SALARIES_BENEFITS, YOY)", "FPT=A", "FPO=-4A", "ACT_EST_MAPPING=PRECISE", "FS=MRC", "CURRENCY=USD", "XLFILL=b")</f>
        <v>8.4194012289188134</v>
      </c>
    </row>
    <row r="137" spans="1:14" x14ac:dyDescent="0.2">
      <c r="A137" s="8" t="s">
        <v>127</v>
      </c>
      <c r="B137" s="4" t="s">
        <v>128</v>
      </c>
      <c r="C137" s="4"/>
      <c r="D137" s="4"/>
      <c r="E137" s="9">
        <f>_xll.BQL("LUV US Equity", "PERSONNEL_EXPN_PCT_SALES", "FPT=A", "FPO=5A", "ACT_EST_MAPPING=PRECISE", "FS=MRC", "CURRENCY=USD", "XLFILL=b")</f>
        <v>42.379347160274499</v>
      </c>
      <c r="F137" s="9">
        <f>_xll.BQL("LUV US Equity", "PERSONNEL_EXPN_PCT_SALES", "FPT=A", "FPO=4A", "ACT_EST_MAPPING=PRECISE", "FS=MRC", "CURRENCY=USD", "XLFILL=b")</f>
        <v>41.63529085061343</v>
      </c>
      <c r="G137" s="9">
        <f>_xll.BQL("LUV US Equity", "PERSONNEL_EXPN_PCT_SALES", "FPT=A", "FPO=3A", "ACT_EST_MAPPING=PRECISE", "FS=MRC", "CURRENCY=USD", "XLFILL=b")</f>
        <v>42.168259584704437</v>
      </c>
      <c r="H137" s="9">
        <f>_xll.BQL("LUV US Equity", "PERSONNEL_EXPN_PCT_SALES", "FPT=A", "FPO=2A", "ACT_EST_MAPPING=PRECISE", "FS=MRC", "CURRENCY=USD", "XLFILL=b")</f>
        <v>43.096705578722307</v>
      </c>
      <c r="I137" s="9">
        <f>_xll.BQL("LUV US Equity", "PERSONNEL_EXPN_PCT_SALES", "FPT=A", "FPO=1A", "ACT_EST_MAPPING=PRECISE", "FS=MRC", "CURRENCY=USD", "XLFILL=b")</f>
        <v>44.460101956973404</v>
      </c>
      <c r="J137" s="9">
        <f>_xll.BQL("LUV US Equity", "PERSONNEL_EXPN_PCT_SALES", "FPT=A", "FPO=0A", "ACT_EST_MAPPING=PRECISE", "FS=MRC", "CURRENCY=USD", "XLFILL=b")</f>
        <v>42.742708213560235</v>
      </c>
      <c r="K137" s="9">
        <f>_xll.BQL("LUV US Equity", "PERSONNEL_EXPN_PCT_SALES", "FPT=A", "FPO=-1A", "ACT_EST_MAPPING=PRECISE", "FS=MRC", "CURRENCY=USD", "XLFILL=b")</f>
        <v>39.371798101956834</v>
      </c>
      <c r="L137" s="9">
        <f>_xll.BQL("LUV US Equity", "PERSONNEL_EXPN_PCT_SALES", "FPT=A", "FPO=-2A", "ACT_EST_MAPPING=PRECISE", "FS=MRC", "CURRENCY=USD", "XLFILL=b")</f>
        <v>49.037365421152629</v>
      </c>
      <c r="M137" s="9">
        <f>_xll.BQL("LUV US Equity", "PERSONNEL_EXPN_PCT_SALES", "FPT=A", "FPO=-3A", "ACT_EST_MAPPING=PRECISE", "FS=MRC", "CURRENCY=USD", "XLFILL=b")</f>
        <v>75.276304155614497</v>
      </c>
      <c r="N137" s="9">
        <f>_xll.BQL("LUV US Equity", "PERSONNEL_EXPN_PCT_SALES", "FPT=A", "FPO=-4A", "ACT_EST_MAPPING=PRECISE", "FS=MRC", "CURRENCY=USD", "XLFILL=b")</f>
        <v>36.976101301943999</v>
      </c>
    </row>
    <row r="138" spans="1:14" x14ac:dyDescent="0.2">
      <c r="A138" s="8" t="s">
        <v>111</v>
      </c>
      <c r="B138" s="4" t="s">
        <v>128</v>
      </c>
      <c r="C138" s="4"/>
      <c r="D138" s="4"/>
      <c r="E138" s="9">
        <f>_xll.BQL("LUV US Equity", "FA_GROWTH(PERSONNEL_EXPN_PCT_SALES, YOY)", "FPT=A", "FPO=5A", "ACT_EST_MAPPING=PRECISE", "FS=MRC", "CURRENCY=USD", "XLFILL=b")</f>
        <v>1.7870808500671405</v>
      </c>
      <c r="F138" s="9">
        <f>_xll.BQL("LUV US Equity", "FA_GROWTH(PERSONNEL_EXPN_PCT_SALES, YOY)", "FPT=A", "FPO=4A", "ACT_EST_MAPPING=PRECISE", "FS=MRC", "CURRENCY=USD", "XLFILL=b")</f>
        <v>-1.2639097257984275</v>
      </c>
      <c r="G138" s="9">
        <f>_xll.BQL("LUV US Equity", "FA_GROWTH(PERSONNEL_EXPN_PCT_SALES, YOY)", "FPT=A", "FPO=3A", "ACT_EST_MAPPING=PRECISE", "FS=MRC", "CURRENCY=USD", "XLFILL=b")</f>
        <v>-2.1543317094665877</v>
      </c>
      <c r="H138" s="9">
        <f>_xll.BQL("LUV US Equity", "FA_GROWTH(PERSONNEL_EXPN_PCT_SALES, YOY)", "FPT=A", "FPO=2A", "ACT_EST_MAPPING=PRECISE", "FS=MRC", "CURRENCY=USD", "XLFILL=b")</f>
        <v>-3.0665615197431015</v>
      </c>
      <c r="I138" s="9">
        <f>_xll.BQL("LUV US Equity", "FA_GROWTH(PERSONNEL_EXPN_PCT_SALES, YOY)", "FPT=A", "FPO=1A", "ACT_EST_MAPPING=PRECISE", "FS=MRC", "CURRENCY=USD", "XLFILL=b")</f>
        <v>4.017980645569672</v>
      </c>
      <c r="J138" s="9">
        <f>_xll.BQL("LUV US Equity", "FA_GROWTH(PERSONNEL_EXPN_PCT_SALES, YOY)", "FPT=A", "FPO=0A", "ACT_EST_MAPPING=PRECISE", "FS=MRC", "CURRENCY=USD", "XLFILL=b")</f>
        <v>8.5617377770609391</v>
      </c>
      <c r="K138" s="9">
        <f>_xll.BQL("LUV US Equity", "FA_GROWTH(PERSONNEL_EXPN_PCT_SALES, YOY)", "FPT=A", "FPO=-1A", "ACT_EST_MAPPING=PRECISE", "FS=MRC", "CURRENCY=USD", "XLFILL=b")</f>
        <v>-19.710617069624384</v>
      </c>
      <c r="L138" s="9">
        <f>_xll.BQL("LUV US Equity", "FA_GROWTH(PERSONNEL_EXPN_PCT_SALES, YOY)", "FPT=A", "FPO=-2A", "ACT_EST_MAPPING=PRECISE", "FS=MRC", "CURRENCY=USD", "XLFILL=b")</f>
        <v>-34.85683712662032</v>
      </c>
      <c r="M138" s="9">
        <f>_xll.BQL("LUV US Equity", "FA_GROWTH(PERSONNEL_EXPN_PCT_SALES, YOY)", "FPT=A", "FPO=-3A", "ACT_EST_MAPPING=PRECISE", "FS=MRC", "CURRENCY=USD", "XLFILL=b")</f>
        <v>103.58096582685661</v>
      </c>
      <c r="N138" s="9">
        <f>_xll.BQL("LUV US Equity", "FA_GROWTH(PERSONNEL_EXPN_PCT_SALES, YOY)", "FPT=A", "FPO=-4A", "ACT_EST_MAPPING=PRECISE", "FS=MRC", "CURRENCY=USD", "XLFILL=b")</f>
        <v>6.1812086674336557</v>
      </c>
    </row>
    <row r="139" spans="1:14" x14ac:dyDescent="0.2">
      <c r="A139" s="8" t="s">
        <v>129</v>
      </c>
      <c r="B139" s="4" t="s">
        <v>130</v>
      </c>
      <c r="C139" s="4" t="s">
        <v>131</v>
      </c>
      <c r="D139" s="4"/>
      <c r="E139" s="9">
        <f>_xll.BQL("LUV US Equity", "IS_FUEL_COST/1M", "FPT=A", "FPO=5A", "ACT_EST_MAPPING=PRECISE", "FS=MRC", "CURRENCY=USD", "XLFILL=b")</f>
        <v>5744.6938696276457</v>
      </c>
      <c r="F139" s="9">
        <f>_xll.BQL("LUV US Equity", "IS_FUEL_COST/1M", "FPT=A", "FPO=4A", "ACT_EST_MAPPING=PRECISE", "FS=MRC", "CURRENCY=USD", "XLFILL=b")</f>
        <v>5709.6570064808648</v>
      </c>
      <c r="G139" s="9">
        <f>_xll.BQL("LUV US Equity", "IS_FUEL_COST/1M", "FPT=A", "FPO=3A", "ACT_EST_MAPPING=PRECISE", "FS=MRC", "CURRENCY=USD", "XLFILL=b")</f>
        <v>5746.500112313538</v>
      </c>
      <c r="H139" s="9">
        <f>_xll.BQL("LUV US Equity", "IS_FUEL_COST/1M", "FPT=A", "FPO=2A", "ACT_EST_MAPPING=PRECISE", "FS=MRC", "CURRENCY=USD", "XLFILL=b")</f>
        <v>5732.8384268375476</v>
      </c>
      <c r="I139" s="9">
        <f>_xll.BQL("LUV US Equity", "IS_FUEL_COST/1M", "FPT=A", "FPO=1A", "ACT_EST_MAPPING=PRECISE", "FS=MRC", "CURRENCY=USD", "XLFILL=b")</f>
        <v>5973.7035759644241</v>
      </c>
      <c r="J139" s="9">
        <f>_xll.BQL("LUV US Equity", "IS_FUEL_COST/1M", "FPT=A", "FPO=0A", "ACT_EST_MAPPING=PRECISE", "FS=MRC", "CURRENCY=USD", "XLFILL=b")</f>
        <v>6217</v>
      </c>
      <c r="K139" s="9">
        <f>_xll.BQL("LUV US Equity", "IS_FUEL_COST/1M", "FPT=A", "FPO=-1A", "ACT_EST_MAPPING=PRECISE", "FS=MRC", "CURRENCY=USD", "XLFILL=b")</f>
        <v>5975</v>
      </c>
      <c r="L139" s="9">
        <f>_xll.BQL("LUV US Equity", "IS_FUEL_COST/1M", "FPT=A", "FPO=-2A", "ACT_EST_MAPPING=PRECISE", "FS=MRC", "CURRENCY=USD", "XLFILL=b")</f>
        <v>3310</v>
      </c>
      <c r="M139" s="9">
        <f>_xll.BQL("LUV US Equity", "IS_FUEL_COST/1M", "FPT=A", "FPO=-3A", "ACT_EST_MAPPING=PRECISE", "FS=MRC", "CURRENCY=USD", "XLFILL=b")</f>
        <v>1849</v>
      </c>
      <c r="N139" s="9">
        <f>_xll.BQL("LUV US Equity", "IS_FUEL_COST/1M", "FPT=A", "FPO=-4A", "ACT_EST_MAPPING=PRECISE", "FS=MRC", "CURRENCY=USD", "XLFILL=b")</f>
        <v>4347</v>
      </c>
    </row>
    <row r="140" spans="1:14" x14ac:dyDescent="0.2">
      <c r="A140" s="8" t="s">
        <v>21</v>
      </c>
      <c r="B140" s="4" t="s">
        <v>130</v>
      </c>
      <c r="C140" s="4" t="s">
        <v>131</v>
      </c>
      <c r="D140" s="4"/>
      <c r="E140" s="9">
        <f>_xll.BQL("LUV US Equity", "FA_GROWTH(IS_FUEL_COST, YOY)", "FPT=A", "FPO=5A", "ACT_EST_MAPPING=PRECISE", "FS=MRC", "CURRENCY=USD", "XLFILL=b")</f>
        <v>0.61364216987135389</v>
      </c>
      <c r="F140" s="9">
        <f>_xll.BQL("LUV US Equity", "FA_GROWTH(IS_FUEL_COST, YOY)", "FPT=A", "FPO=4A", "ACT_EST_MAPPING=PRECISE", "FS=MRC", "CURRENCY=USD", "XLFILL=b")</f>
        <v>-0.64113991320953889</v>
      </c>
      <c r="G140" s="9">
        <f>_xll.BQL("LUV US Equity", "FA_GROWTH(IS_FUEL_COST, YOY)", "FPT=A", "FPO=3A", "ACT_EST_MAPPING=PRECISE", "FS=MRC", "CURRENCY=USD", "XLFILL=b")</f>
        <v>0.23830578256025617</v>
      </c>
      <c r="H140" s="9">
        <f>_xll.BQL("LUV US Equity", "FA_GROWTH(IS_FUEL_COST, YOY)", "FPT=A", "FPO=2A", "ACT_EST_MAPPING=PRECISE", "FS=MRC", "CURRENCY=USD", "XLFILL=b")</f>
        <v>-4.0320907467858476</v>
      </c>
      <c r="I140" s="9">
        <f>_xll.BQL("LUV US Equity", "FA_GROWTH(IS_FUEL_COST, YOY)", "FPT=A", "FPO=1A", "ACT_EST_MAPPING=PRECISE", "FS=MRC", "CURRENCY=USD", "XLFILL=b")</f>
        <v>-3.9134055659574694</v>
      </c>
      <c r="J140" s="9">
        <f>_xll.BQL("LUV US Equity", "FA_GROWTH(IS_FUEL_COST, YOY)", "FPT=A", "FPO=0A", "ACT_EST_MAPPING=PRECISE", "FS=MRC", "CURRENCY=USD", "XLFILL=b")</f>
        <v>4.0502092050209209</v>
      </c>
      <c r="K140" s="9">
        <f>_xll.BQL("LUV US Equity", "FA_GROWTH(IS_FUEL_COST, YOY)", "FPT=A", "FPO=-1A", "ACT_EST_MAPPING=PRECISE", "FS=MRC", "CURRENCY=USD", "XLFILL=b")</f>
        <v>80.513595166163142</v>
      </c>
      <c r="L140" s="9">
        <f>_xll.BQL("LUV US Equity", "FA_GROWTH(IS_FUEL_COST, YOY)", "FPT=A", "FPO=-2A", "ACT_EST_MAPPING=PRECISE", "FS=MRC", "CURRENCY=USD", "XLFILL=b")</f>
        <v>79.015684153596538</v>
      </c>
      <c r="M140" s="9">
        <f>_xll.BQL("LUV US Equity", "FA_GROWTH(IS_FUEL_COST, YOY)", "FPT=A", "FPO=-3A", "ACT_EST_MAPPING=PRECISE", "FS=MRC", "CURRENCY=USD", "XLFILL=b")</f>
        <v>-57.464918334483549</v>
      </c>
      <c r="N140" s="9">
        <f>_xll.BQL("LUV US Equity", "FA_GROWTH(IS_FUEL_COST, YOY)", "FPT=A", "FPO=-4A", "ACT_EST_MAPPING=PRECISE", "FS=MRC", "CURRENCY=USD", "XLFILL=b")</f>
        <v>-5.8275563258232239</v>
      </c>
    </row>
    <row r="141" spans="1:14" x14ac:dyDescent="0.2">
      <c r="A141" s="8" t="s">
        <v>127</v>
      </c>
      <c r="B141" s="4" t="s">
        <v>132</v>
      </c>
      <c r="C141" s="4"/>
      <c r="D141" s="4"/>
      <c r="E141" s="9">
        <f>_xll.BQL("LUV US Equity", "AIRLINE_FUEL_PCT_SALES", "FPT=A", "FPO=5A", "ACT_EST_MAPPING=PRECISE", "FS=MRC", "CURRENCY=USD", "XLFILL=b")</f>
        <v>18.410647906214276</v>
      </c>
      <c r="F141" s="9">
        <f>_xll.BQL("LUV US Equity", "AIRLINE_FUEL_PCT_SALES", "FPT=A", "FPO=4A", "ACT_EST_MAPPING=PRECISE", "FS=MRC", "CURRENCY=USD", "XLFILL=b")</f>
        <v>18.418223798532594</v>
      </c>
      <c r="G141" s="9">
        <f>_xll.BQL("LUV US Equity", "AIRLINE_FUEL_PCT_SALES", "FPT=A", "FPO=3A", "ACT_EST_MAPPING=PRECISE", "FS=MRC", "CURRENCY=USD", "XLFILL=b")</f>
        <v>19.522189811805841</v>
      </c>
      <c r="H141" s="9">
        <f>_xll.BQL("LUV US Equity", "AIRLINE_FUEL_PCT_SALES", "FPT=A", "FPO=2A", "ACT_EST_MAPPING=PRECISE", "FS=MRC", "CURRENCY=USD", "XLFILL=b")</f>
        <v>20.30978638073076</v>
      </c>
      <c r="I141" s="9">
        <f>_xll.BQL("LUV US Equity", "AIRLINE_FUEL_PCT_SALES", "FPT=A", "FPO=1A", "ACT_EST_MAPPING=PRECISE", "FS=MRC", "CURRENCY=USD", "XLFILL=b")</f>
        <v>22.092128493894815</v>
      </c>
      <c r="J141" s="9">
        <f>_xll.BQL("LUV US Equity", "AIRLINE_FUEL_PCT_SALES", "FPT=A", "FPO=0A", "ACT_EST_MAPPING=PRECISE", "FS=MRC", "CURRENCY=USD", "XLFILL=b")</f>
        <v>23.828139971637729</v>
      </c>
      <c r="K141" s="9">
        <f>_xll.BQL("LUV US Equity", "AIRLINE_FUEL_PCT_SALES", "FPT=A", "FPO=-1A", "ACT_EST_MAPPING=PRECISE", "FS=MRC", "CURRENCY=USD", "XLFILL=b")</f>
        <v>24.804736709498616</v>
      </c>
      <c r="L141" s="9">
        <f>_xll.BQL("LUV US Equity", "AIRLINE_FUEL_PCT_SALES", "FPT=A", "FPO=-2A", "ACT_EST_MAPPING=PRECISE", "FS=MRC", "CURRENCY=USD", "XLFILL=b")</f>
        <v>21.28562381253958</v>
      </c>
      <c r="M141" s="9">
        <f>_xll.BQL("LUV US Equity", "AIRLINE_FUEL_PCT_SALES", "FPT=A", "FPO=-3A", "ACT_EST_MAPPING=PRECISE", "FS=MRC", "CURRENCY=USD", "XLFILL=b")</f>
        <v>21.087533156498676</v>
      </c>
      <c r="N141" s="9">
        <f>_xll.BQL("LUV US Equity", "AIRLINE_FUEL_PCT_SALES", "FPT=A", "FPO=-4A", "ACT_EST_MAPPING=PRECISE", "FS=MRC", "CURRENCY=USD", "XLFILL=b")</f>
        <v>19.382022471910112</v>
      </c>
    </row>
    <row r="142" spans="1:14" x14ac:dyDescent="0.2">
      <c r="A142" s="8" t="s">
        <v>111</v>
      </c>
      <c r="B142" s="4" t="s">
        <v>132</v>
      </c>
      <c r="C142" s="4"/>
      <c r="D142" s="4"/>
      <c r="E142" s="9">
        <f>_xll.BQL("LUV US Equity", "FA_GROWTH(AIRLINE_FUEL_PCT_SALES, YOY)", "FPT=A", "FPO=5A", "ACT_EST_MAPPING=PRECISE", "FS=MRC", "CURRENCY=USD", "XLFILL=b")</f>
        <v>-4.1132589120355861E-2</v>
      </c>
      <c r="F142" s="9">
        <f>_xll.BQL("LUV US Equity", "FA_GROWTH(AIRLINE_FUEL_PCT_SALES, YOY)", "FPT=A", "FPO=4A", "ACT_EST_MAPPING=PRECISE", "FS=MRC", "CURRENCY=USD", "XLFILL=b")</f>
        <v>-5.6549292057678651</v>
      </c>
      <c r="G142" s="9">
        <f>_xll.BQL("LUV US Equity", "FA_GROWTH(AIRLINE_FUEL_PCT_SALES, YOY)", "FPT=A", "FPO=3A", "ACT_EST_MAPPING=PRECISE", "FS=MRC", "CURRENCY=USD", "XLFILL=b")</f>
        <v>-3.8779165578627826</v>
      </c>
      <c r="H142" s="9">
        <f>_xll.BQL("LUV US Equity", "FA_GROWTH(AIRLINE_FUEL_PCT_SALES, YOY)", "FPT=A", "FPO=2A", "ACT_EST_MAPPING=PRECISE", "FS=MRC", "CURRENCY=USD", "XLFILL=b")</f>
        <v>-8.0677699917262746</v>
      </c>
      <c r="I142" s="9">
        <f>_xll.BQL("LUV US Equity", "FA_GROWTH(AIRLINE_FUEL_PCT_SALES, YOY)", "FPT=A", "FPO=1A", "ACT_EST_MAPPING=PRECISE", "FS=MRC", "CURRENCY=USD", "XLFILL=b")</f>
        <v>-7.2855517879669209</v>
      </c>
      <c r="J142" s="9">
        <f>_xll.BQL("LUV US Equity", "FA_GROWTH(AIRLINE_FUEL_PCT_SALES, YOY)", "FPT=A", "FPO=0A", "ACT_EST_MAPPING=PRECISE", "FS=MRC", "CURRENCY=USD", "XLFILL=b")</f>
        <v>-3.9371380930115421</v>
      </c>
      <c r="K142" s="9">
        <f>_xll.BQL("LUV US Equity", "FA_GROWTH(AIRLINE_FUEL_PCT_SALES, YOY)", "FPT=A", "FPO=-1A", "ACT_EST_MAPPING=PRECISE", "FS=MRC", "CURRENCY=USD", "XLFILL=b")</f>
        <v>16.532815424868549</v>
      </c>
      <c r="L142" s="9">
        <f>_xll.BQL("LUV US Equity", "FA_GROWTH(AIRLINE_FUEL_PCT_SALES, YOY)", "FPT=A", "FPO=-2A", "ACT_EST_MAPPING=PRECISE", "FS=MRC", "CURRENCY=USD", "XLFILL=b")</f>
        <v>0.9393732997159846</v>
      </c>
      <c r="M142" s="9">
        <f>_xll.BQL("LUV US Equity", "FA_GROWTH(AIRLINE_FUEL_PCT_SALES, YOY)", "FPT=A", "FPO=-3A", "ACT_EST_MAPPING=PRECISE", "FS=MRC", "CURRENCY=USD", "XLFILL=b")</f>
        <v>8.7994464306308515</v>
      </c>
      <c r="N142" s="9">
        <f>_xll.BQL("LUV US Equity", "FA_GROWTH(AIRLINE_FUEL_PCT_SALES, YOY)", "FPT=A", "FPO=-4A", "ACT_EST_MAPPING=PRECISE", "FS=MRC", "CURRENCY=USD", "XLFILL=b")</f>
        <v>-7.7716370027067621</v>
      </c>
    </row>
    <row r="143" spans="1:14" x14ac:dyDescent="0.2">
      <c r="A143" s="8" t="s">
        <v>133</v>
      </c>
      <c r="B143" s="4" t="s">
        <v>134</v>
      </c>
      <c r="C143" s="4" t="s">
        <v>135</v>
      </c>
      <c r="D143" s="4"/>
      <c r="E143" s="9">
        <f>_xll.BQL("LUV US Equity", "CB_IS_OTHER_OPEX/1M", "FPT=A", "FPO=5A", "ACT_EST_MAPPING=PRECISE", "FS=MRC", "CURRENCY=USD", "XLFILL=b")</f>
        <v>4497.9591547509563</v>
      </c>
      <c r="F143" s="9">
        <f>_xll.BQL("LUV US Equity", "CB_IS_OTHER_OPEX/1M", "FPT=A", "FPO=4A", "ACT_EST_MAPPING=PRECISE", "FS=MRC", "CURRENCY=USD", "XLFILL=b")</f>
        <v>4334.830770598388</v>
      </c>
      <c r="G143" s="9">
        <f>_xll.BQL("LUV US Equity", "CB_IS_OTHER_OPEX/1M", "FPT=A", "FPO=3A", "ACT_EST_MAPPING=PRECISE", "FS=MRC", "CURRENCY=USD", "XLFILL=b")</f>
        <v>4411.6597481904291</v>
      </c>
      <c r="H143" s="9">
        <f>_xll.BQL("LUV US Equity", "CB_IS_OTHER_OPEX/1M", "FPT=A", "FPO=2A", "ACT_EST_MAPPING=PRECISE", "FS=MRC", "CURRENCY=USD", "XLFILL=b")</f>
        <v>4244.013547255925</v>
      </c>
      <c r="I143" s="9">
        <f>_xll.BQL("LUV US Equity", "CB_IS_OTHER_OPEX/1M", "FPT=A", "FPO=1A", "ACT_EST_MAPPING=PRECISE", "FS=MRC", "CURRENCY=USD", "XLFILL=b")</f>
        <v>4222.4050259206151</v>
      </c>
      <c r="J143" s="9">
        <f>_xll.BQL("LUV US Equity", "CB_IS_OTHER_OPEX/1M", "FPT=A", "FPO=0A", "ACT_EST_MAPPING=PRECISE", "FS=MRC", "CURRENCY=USD", "XLFILL=b")</f>
        <v>3999</v>
      </c>
      <c r="K143" s="9">
        <f>_xll.BQL("LUV US Equity", "CB_IS_OTHER_OPEX/1M", "FPT=A", "FPO=-1A", "ACT_EST_MAPPING=PRECISE", "FS=MRC", "CURRENCY=USD", "XLFILL=b")</f>
        <v>3735</v>
      </c>
      <c r="L143" s="9">
        <f>_xll.BQL("LUV US Equity", "CB_IS_OTHER_OPEX/1M", "FPT=A", "FPO=-2A", "ACT_EST_MAPPING=PRECISE", "FS=MRC", "CURRENCY=USD", "XLFILL=b")</f>
        <v>2394</v>
      </c>
      <c r="M143" s="9">
        <f>_xll.BQL("LUV US Equity", "CB_IS_OTHER_OPEX/1M", "FPT=A", "FPO=-3A", "ACT_EST_MAPPING=PRECISE", "FS=MRC", "CURRENCY=USD", "XLFILL=b")</f>
        <v>1926</v>
      </c>
      <c r="N143" s="9">
        <f>_xll.BQL("LUV US Equity", "CB_IS_OTHER_OPEX/1M", "FPT=A", "FPO=-4A", "ACT_EST_MAPPING=PRECISE", "FS=MRC", "CURRENCY=USD", "XLFILL=b")</f>
        <v>3026</v>
      </c>
    </row>
    <row r="144" spans="1:14" x14ac:dyDescent="0.2">
      <c r="A144" s="8" t="s">
        <v>21</v>
      </c>
      <c r="B144" s="4" t="s">
        <v>134</v>
      </c>
      <c r="C144" s="4" t="s">
        <v>135</v>
      </c>
      <c r="D144" s="4"/>
      <c r="E144" s="9">
        <f>_xll.BQL("LUV US Equity", "FA_GROWTH(CB_IS_OTHER_OPEX, YOY)", "FPT=A", "FPO=5A", "ACT_EST_MAPPING=PRECISE", "FS=MRC", "CURRENCY=USD", "XLFILL=b")</f>
        <v>3.7632007518957953</v>
      </c>
      <c r="F144" s="9">
        <f>_xll.BQL("LUV US Equity", "FA_GROWTH(CB_IS_OTHER_OPEX, YOY)", "FPT=A", "FPO=4A", "ACT_EST_MAPPING=PRECISE", "FS=MRC", "CURRENCY=USD", "XLFILL=b")</f>
        <v>-1.7414982563774251</v>
      </c>
      <c r="G144" s="9">
        <f>_xll.BQL("LUV US Equity", "FA_GROWTH(CB_IS_OTHER_OPEX, YOY)", "FPT=A", "FPO=3A", "ACT_EST_MAPPING=PRECISE", "FS=MRC", "CURRENCY=USD", "XLFILL=b")</f>
        <v>3.9501806266122776</v>
      </c>
      <c r="H144" s="9">
        <f>_xll.BQL("LUV US Equity", "FA_GROWTH(CB_IS_OTHER_OPEX, YOY)", "FPT=A", "FPO=2A", "ACT_EST_MAPPING=PRECISE", "FS=MRC", "CURRENCY=USD", "XLFILL=b")</f>
        <v>0.51175861156517499</v>
      </c>
      <c r="I144" s="9">
        <f>_xll.BQL("LUV US Equity", "FA_GROWTH(CB_IS_OTHER_OPEX, YOY)", "FPT=A", "FPO=1A", "ACT_EST_MAPPING=PRECISE", "FS=MRC", "CURRENCY=USD", "XLFILL=b")</f>
        <v>5.5865222785850266</v>
      </c>
      <c r="J144" s="9">
        <f>_xll.BQL("LUV US Equity", "FA_GROWTH(CB_IS_OTHER_OPEX, YOY)", "FPT=A", "FPO=0A", "ACT_EST_MAPPING=PRECISE", "FS=MRC", "CURRENCY=USD", "XLFILL=b")</f>
        <v>7.0682730923694779</v>
      </c>
      <c r="K144" s="9">
        <f>_xll.BQL("LUV US Equity", "FA_GROWTH(CB_IS_OTHER_OPEX, YOY)", "FPT=A", "FPO=-1A", "ACT_EST_MAPPING=PRECISE", "FS=MRC", "CURRENCY=USD", "XLFILL=b")</f>
        <v>56.015037593984964</v>
      </c>
      <c r="L144" s="9">
        <f>_xll.BQL("LUV US Equity", "FA_GROWTH(CB_IS_OTHER_OPEX, YOY)", "FPT=A", "FPO=-2A", "ACT_EST_MAPPING=PRECISE", "FS=MRC", "CURRENCY=USD", "XLFILL=b")</f>
        <v>24.299065420560748</v>
      </c>
      <c r="M144" s="9">
        <f>_xll.BQL("LUV US Equity", "FA_GROWTH(CB_IS_OTHER_OPEX, YOY)", "FPT=A", "FPO=-3A", "ACT_EST_MAPPING=PRECISE", "FS=MRC", "CURRENCY=USD", "XLFILL=b")</f>
        <v>-36.351619299405158</v>
      </c>
      <c r="N144" s="9">
        <f>_xll.BQL("LUV US Equity", "FA_GROWTH(CB_IS_OTHER_OPEX, YOY)", "FPT=A", "FPO=-4A", "ACT_EST_MAPPING=PRECISE", "FS=MRC", "CURRENCY=USD", "XLFILL=b")</f>
        <v>6.1009817671809259</v>
      </c>
    </row>
    <row r="145" spans="1:14" x14ac:dyDescent="0.2">
      <c r="A145" s="8" t="s">
        <v>136</v>
      </c>
      <c r="B145" s="4" t="s">
        <v>137</v>
      </c>
      <c r="C145" s="4" t="s">
        <v>138</v>
      </c>
      <c r="D145" s="4"/>
      <c r="E145" s="9">
        <f>_xll.BQL("LUV US Equity", "OTHER_RENTALS_LANDING_FEES/1M", "FPT=A", "FPO=5A", "ACT_EST_MAPPING=PRECISE", "FS=MRC", "CURRENCY=USD", "XLFILL=b")</f>
        <v>2374.0635636183792</v>
      </c>
      <c r="F145" s="9">
        <f>_xll.BQL("LUV US Equity", "OTHER_RENTALS_LANDING_FEES/1M", "FPT=A", "FPO=4A", "ACT_EST_MAPPING=PRECISE", "FS=MRC", "CURRENCY=USD", "XLFILL=b")</f>
        <v>2213.8850442923681</v>
      </c>
      <c r="G145" s="9">
        <f>_xll.BQL("LUV US Equity", "OTHER_RENTALS_LANDING_FEES/1M", "FPT=A", "FPO=3A", "ACT_EST_MAPPING=PRECISE", "FS=MRC", "CURRENCY=USD", "XLFILL=b")</f>
        <v>2094.3099962320457</v>
      </c>
      <c r="H145" s="9">
        <f>_xll.BQL("LUV US Equity", "OTHER_RENTALS_LANDING_FEES/1M", "FPT=A", "FPO=2A", "ACT_EST_MAPPING=PRECISE", "FS=MRC", "CURRENCY=USD", "XLFILL=b")</f>
        <v>2018.6038715944983</v>
      </c>
      <c r="I145" s="9">
        <f>_xll.BQL("LUV US Equity", "OTHER_RENTALS_LANDING_FEES/1M", "FPT=A", "FPO=1A", "ACT_EST_MAPPING=PRECISE", "FS=MRC", "CURRENCY=USD", "XLFILL=b")</f>
        <v>1936.6285746544449</v>
      </c>
      <c r="J145" s="9">
        <f>_xll.BQL("LUV US Equity", "OTHER_RENTALS_LANDING_FEES/1M", "FPT=A", "FPO=0A", "ACT_EST_MAPPING=PRECISE", "FS=MRC", "CURRENCY=USD", "XLFILL=b")</f>
        <v>1789</v>
      </c>
      <c r="K145" s="9">
        <f>_xll.BQL("LUV US Equity", "OTHER_RENTALS_LANDING_FEES/1M", "FPT=A", "FPO=-1A", "ACT_EST_MAPPING=PRECISE", "FS=MRC", "CURRENCY=USD", "XLFILL=b")</f>
        <v>1508</v>
      </c>
      <c r="L145" s="9">
        <f>_xll.BQL("LUV US Equity", "OTHER_RENTALS_LANDING_FEES/1M", "FPT=A", "FPO=-2A", "ACT_EST_MAPPING=PRECISE", "FS=MRC", "CURRENCY=USD", "XLFILL=b")</f>
        <v>1456</v>
      </c>
      <c r="M145" s="9">
        <f>_xll.BQL("LUV US Equity", "OTHER_RENTALS_LANDING_FEES/1M", "FPT=A", "FPO=-3A", "ACT_EST_MAPPING=PRECISE", "FS=MRC", "CURRENCY=USD", "XLFILL=b")</f>
        <v>1240</v>
      </c>
      <c r="N145" s="9">
        <f>_xll.BQL("LUV US Equity", "OTHER_RENTALS_LANDING_FEES/1M", "FPT=A", "FPO=-4A", "ACT_EST_MAPPING=PRECISE", "FS=MRC", "CURRENCY=USD", "XLFILL=b")</f>
        <v>1363</v>
      </c>
    </row>
    <row r="146" spans="1:14" x14ac:dyDescent="0.2">
      <c r="A146" s="8" t="s">
        <v>21</v>
      </c>
      <c r="B146" s="4" t="s">
        <v>137</v>
      </c>
      <c r="C146" s="4" t="s">
        <v>138</v>
      </c>
      <c r="D146" s="4"/>
      <c r="E146" s="9">
        <f>_xll.BQL("LUV US Equity", "FA_GROWTH(OTHER_RENTALS_LANDING_FEES, YOY)", "FPT=A", "FPO=5A", "ACT_EST_MAPPING=PRECISE", "FS=MRC", "CURRENCY=USD", "XLFILL=b")</f>
        <v>7.2351778037874421</v>
      </c>
      <c r="F146" s="9">
        <f>_xll.BQL("LUV US Equity", "FA_GROWTH(OTHER_RENTALS_LANDING_FEES, YOY)", "FPT=A", "FPO=4A", "ACT_EST_MAPPING=PRECISE", "FS=MRC", "CURRENCY=USD", "XLFILL=b")</f>
        <v>5.7095199982549927</v>
      </c>
      <c r="G146" s="9">
        <f>_xll.BQL("LUV US Equity", "FA_GROWTH(OTHER_RENTALS_LANDING_FEES, YOY)", "FPT=A", "FPO=3A", "ACT_EST_MAPPING=PRECISE", "FS=MRC", "CURRENCY=USD", "XLFILL=b")</f>
        <v>3.7504200652180018</v>
      </c>
      <c r="H146" s="9">
        <f>_xll.BQL("LUV US Equity", "FA_GROWTH(OTHER_RENTALS_LANDING_FEES, YOY)", "FPT=A", "FPO=2A", "ACT_EST_MAPPING=PRECISE", "FS=MRC", "CURRENCY=USD", "XLFILL=b")</f>
        <v>4.2328868846046239</v>
      </c>
      <c r="I146" s="9">
        <f>_xll.BQL("LUV US Equity", "FA_GROWTH(OTHER_RENTALS_LANDING_FEES, YOY)", "FPT=A", "FPO=1A", "ACT_EST_MAPPING=PRECISE", "FS=MRC", "CURRENCY=USD", "XLFILL=b")</f>
        <v>8.2520164703434844</v>
      </c>
      <c r="J146" s="9">
        <f>_xll.BQL("LUV US Equity", "FA_GROWTH(OTHER_RENTALS_LANDING_FEES, YOY)", "FPT=A", "FPO=0A", "ACT_EST_MAPPING=PRECISE", "FS=MRC", "CURRENCY=USD", "XLFILL=b")</f>
        <v>18.633952254641908</v>
      </c>
      <c r="K146" s="9">
        <f>_xll.BQL("LUV US Equity", "FA_GROWTH(OTHER_RENTALS_LANDING_FEES, YOY)", "FPT=A", "FPO=-1A", "ACT_EST_MAPPING=PRECISE", "FS=MRC", "CURRENCY=USD", "XLFILL=b")</f>
        <v>3.5714285714285716</v>
      </c>
      <c r="L146" s="9">
        <f>_xll.BQL("LUV US Equity", "FA_GROWTH(OTHER_RENTALS_LANDING_FEES, YOY)", "FPT=A", "FPO=-2A", "ACT_EST_MAPPING=PRECISE", "FS=MRC", "CURRENCY=USD", "XLFILL=b")</f>
        <v>17.419354838709676</v>
      </c>
      <c r="M146" s="9">
        <f>_xll.BQL("LUV US Equity", "FA_GROWTH(OTHER_RENTALS_LANDING_FEES, YOY)", "FPT=A", "FPO=-3A", "ACT_EST_MAPPING=PRECISE", "FS=MRC", "CURRENCY=USD", "XLFILL=b")</f>
        <v>-9.0242112986060157</v>
      </c>
      <c r="N146" s="9">
        <f>_xll.BQL("LUV US Equity", "FA_GROWTH(OTHER_RENTALS_LANDING_FEES, YOY)", "FPT=A", "FPO=-4A", "ACT_EST_MAPPING=PRECISE", "FS=MRC", "CURRENCY=USD", "XLFILL=b")</f>
        <v>2.1739130434782608</v>
      </c>
    </row>
    <row r="147" spans="1:14" x14ac:dyDescent="0.2">
      <c r="A147" s="8" t="s">
        <v>127</v>
      </c>
      <c r="B147" s="4" t="s">
        <v>139</v>
      </c>
      <c r="C147" s="4"/>
      <c r="D147" s="4"/>
      <c r="E147" s="9">
        <f>_xll.BQL("LUV US Equity", "AIRLINE_LANDING_FEES_PCT_SALES", "FPT=A", "FPO=5A", "ACT_EST_MAPPING=PRECISE", "FS=MRC", "CURRENCY=USD", "XLFILL=b")</f>
        <v>7.0587782799822794</v>
      </c>
      <c r="F147" s="9">
        <f>_xll.BQL("LUV US Equity", "AIRLINE_LANDING_FEES_PCT_SALES", "FPT=A", "FPO=4A", "ACT_EST_MAPPING=PRECISE", "FS=MRC", "CURRENCY=USD", "XLFILL=b")</f>
        <v>6.9624878897355771</v>
      </c>
      <c r="G147" s="9">
        <f>_xll.BQL("LUV US Equity", "AIRLINE_LANDING_FEES_PCT_SALES", "FPT=A", "FPO=3A", "ACT_EST_MAPPING=PRECISE", "FS=MRC", "CURRENCY=USD", "XLFILL=b")</f>
        <v>7.0317988760947632</v>
      </c>
      <c r="H147" s="9">
        <f>_xll.BQL("LUV US Equity", "AIRLINE_LANDING_FEES_PCT_SALES", "FPT=A", "FPO=2A", "ACT_EST_MAPPING=PRECISE", "FS=MRC", "CURRENCY=USD", "XLFILL=b")</f>
        <v>7.1809654181059592</v>
      </c>
      <c r="I147" s="9">
        <f>_xll.BQL("LUV US Equity", "AIRLINE_LANDING_FEES_PCT_SALES", "FPT=A", "FPO=1A", "ACT_EST_MAPPING=PRECISE", "FS=MRC", "CURRENCY=USD", "XLFILL=b")</f>
        <v>7.3127341128013859</v>
      </c>
      <c r="J147" s="9">
        <f>_xll.BQL("LUV US Equity", "AIRLINE_LANDING_FEES_PCT_SALES", "FPT=A", "FPO=0A", "ACT_EST_MAPPING=PRECISE", "FS=MRC", "CURRENCY=USD", "XLFILL=b")</f>
        <v>6.8567705339005789</v>
      </c>
      <c r="K147" s="9">
        <f>_xll.BQL("LUV US Equity", "AIRLINE_LANDING_FEES_PCT_SALES", "FPT=A", "FPO=-1A", "ACT_EST_MAPPING=PRECISE", "FS=MRC", "CURRENCY=USD", "XLFILL=b")</f>
        <v>6.3324095070126818</v>
      </c>
      <c r="L147" s="9">
        <f>_xll.BQL("LUV US Equity", "AIRLINE_LANDING_FEES_PCT_SALES", "FPT=A", "FPO=-2A", "ACT_EST_MAPPING=PRECISE", "FS=MRC", "CURRENCY=USD", "XLFILL=b")</f>
        <v>9.2210259658011395</v>
      </c>
      <c r="M147" s="9">
        <f>_xll.BQL("LUV US Equity", "AIRLINE_LANDING_FEES_PCT_SALES", "FPT=A", "FPO=-3A", "ACT_EST_MAPPING=PRECISE", "FS=MRC", "CURRENCY=USD", "XLFILL=b")</f>
        <v>13.704686118479223</v>
      </c>
      <c r="N147" s="9">
        <f>_xll.BQL("LUV US Equity", "AIRLINE_LANDING_FEES_PCT_SALES", "FPT=A", "FPO=-4A", "ACT_EST_MAPPING=PRECISE", "FS=MRC", "CURRENCY=USD", "XLFILL=b")</f>
        <v>6.0772248974496161</v>
      </c>
    </row>
    <row r="148" spans="1:14" x14ac:dyDescent="0.2">
      <c r="A148" s="8" t="s">
        <v>111</v>
      </c>
      <c r="B148" s="4" t="s">
        <v>139</v>
      </c>
      <c r="C148" s="4"/>
      <c r="D148" s="4"/>
      <c r="E148" s="9">
        <f>_xll.BQL("LUV US Equity", "FA_GROWTH(AIRLINE_LANDING_FEES_PCT_SALES, YOY)", "FPT=A", "FPO=5A", "ACT_EST_MAPPING=PRECISE", "FS=MRC", "CURRENCY=USD", "XLFILL=b")</f>
        <v>1.382988261834653</v>
      </c>
      <c r="F148" s="9">
        <f>_xll.BQL("LUV US Equity", "FA_GROWTH(AIRLINE_LANDING_FEES_PCT_SALES, YOY)", "FPT=A", "FPO=4A", "ACT_EST_MAPPING=PRECISE", "FS=MRC", "CURRENCY=USD", "XLFILL=b")</f>
        <v>-0.98567930597126518</v>
      </c>
      <c r="G148" s="9">
        <f>_xll.BQL("LUV US Equity", "FA_GROWTH(AIRLINE_LANDING_FEES_PCT_SALES, YOY)", "FPT=A", "FPO=3A", "ACT_EST_MAPPING=PRECISE", "FS=MRC", "CURRENCY=USD", "XLFILL=b")</f>
        <v>-2.077249134706737</v>
      </c>
      <c r="H148" s="9">
        <f>_xll.BQL("LUV US Equity", "FA_GROWTH(AIRLINE_LANDING_FEES_PCT_SALES, YOY)", "FPT=A", "FPO=2A", "ACT_EST_MAPPING=PRECISE", "FS=MRC", "CURRENCY=USD", "XLFILL=b")</f>
        <v>-1.8019073668322976</v>
      </c>
      <c r="I148" s="9">
        <f>_xll.BQL("LUV US Equity", "FA_GROWTH(AIRLINE_LANDING_FEES_PCT_SALES, YOY)", "FPT=A", "FPO=1A", "ACT_EST_MAPPING=PRECISE", "FS=MRC", "CURRENCY=USD", "XLFILL=b")</f>
        <v>6.6498299257132221</v>
      </c>
      <c r="J148" s="9">
        <f>_xll.BQL("LUV US Equity", "FA_GROWTH(AIRLINE_LANDING_FEES_PCT_SALES, YOY)", "FPT=A", "FPO=0A", "ACT_EST_MAPPING=PRECISE", "FS=MRC", "CURRENCY=USD", "XLFILL=b")</f>
        <v>8.2805925028570169</v>
      </c>
      <c r="K148" s="9">
        <f>_xll.BQL("LUV US Equity", "FA_GROWTH(AIRLINE_LANDING_FEES_PCT_SALES, YOY)", "FPT=A", "FPO=-1A", "ACT_EST_MAPPING=PRECISE", "FS=MRC", "CURRENCY=USD", "XLFILL=b")</f>
        <v>-31.326410634800652</v>
      </c>
      <c r="L148" s="9">
        <f>_xll.BQL("LUV US Equity", "FA_GROWTH(AIRLINE_LANDING_FEES_PCT_SALES, YOY)", "FPT=A", "FPO=-2A", "ACT_EST_MAPPING=PRECISE", "FS=MRC", "CURRENCY=USD", "XLFILL=b")</f>
        <v>-32.71625569470266</v>
      </c>
      <c r="M148" s="9">
        <f>_xll.BQL("LUV US Equity", "FA_GROWTH(AIRLINE_LANDING_FEES_PCT_SALES, YOY)", "FPT=A", "FPO=-3A", "ACT_EST_MAPPING=PRECISE", "FS=MRC", "CURRENCY=USD", "XLFILL=b")</f>
        <v>125.50895103833605</v>
      </c>
      <c r="N148" s="9">
        <f>_xll.BQL("LUV US Equity", "FA_GROWTH(AIRLINE_LANDING_FEES_PCT_SALES, YOY)", "FPT=A", "FPO=-4A", "ACT_EST_MAPPING=PRECISE", "FS=MRC", "CURRENCY=USD", "XLFILL=b")</f>
        <v>6.4651328696269911E-2</v>
      </c>
    </row>
    <row r="149" spans="1:14" x14ac:dyDescent="0.2">
      <c r="A149" s="8" t="s">
        <v>140</v>
      </c>
      <c r="B149" s="4" t="s">
        <v>141</v>
      </c>
      <c r="C149" s="4"/>
      <c r="D149" s="4"/>
      <c r="E149" s="9">
        <f>_xll.BQL("LUV US Equity", "AIRCRAFT_RENTALS/1M", "FPT=A", "FPO=5A", "ACT_EST_MAPPING=PRECISE", "FS=MRC", "CURRENCY=USD", "XLFILL=b")</f>
        <v>234.34480292042042</v>
      </c>
      <c r="F149" s="9">
        <f>_xll.BQL("LUV US Equity", "AIRCRAFT_RENTALS/1M", "FPT=A", "FPO=4A", "ACT_EST_MAPPING=PRECISE", "FS=MRC", "CURRENCY=USD", "XLFILL=b")</f>
        <v>230.89157832589791</v>
      </c>
      <c r="G149" s="9">
        <f>_xll.BQL("LUV US Equity", "AIRCRAFT_RENTALS/1M", "FPT=A", "FPO=3A", "ACT_EST_MAPPING=PRECISE", "FS=MRC", "CURRENCY=USD", "XLFILL=b")</f>
        <v>223.57274661625706</v>
      </c>
      <c r="H149" s="9">
        <f>_xll.BQL("LUV US Equity", "AIRCRAFT_RENTALS/1M", "FPT=A", "FPO=2A", "ACT_EST_MAPPING=PRECISE", "FS=MRC", "CURRENCY=USD", "XLFILL=b")</f>
        <v>223.17861711017014</v>
      </c>
      <c r="I149" s="9">
        <f>_xll.BQL("LUV US Equity", "AIRCRAFT_RENTALS/1M", "FPT=A", "FPO=1A", "ACT_EST_MAPPING=PRECISE", "FS=MRC", "CURRENCY=USD", "XLFILL=b")</f>
        <v>203.50831486578446</v>
      </c>
      <c r="J149" s="9">
        <f>_xll.BQL("LUV US Equity", "AIRCRAFT_RENTALS/1M", "FPT=A", "FPO=0A", "ACT_EST_MAPPING=PRECISE", "FS=MRC", "CURRENCY=USD", "XLFILL=b")</f>
        <v>186</v>
      </c>
      <c r="K149" s="9">
        <f>_xll.BQL("LUV US Equity", "AIRCRAFT_RENTALS/1M", "FPT=A", "FPO=-1A", "ACT_EST_MAPPING=PRECISE", "FS=MRC", "CURRENCY=USD", "XLFILL=b")</f>
        <v>188</v>
      </c>
      <c r="L149" s="9">
        <f>_xll.BQL("LUV US Equity", "AIRCRAFT_RENTALS/1M", "FPT=A", "FPO=-2A", "ACT_EST_MAPPING=PRECISE", "FS=MRC", "CURRENCY=USD", "XLFILL=b")</f>
        <v>204</v>
      </c>
      <c r="M149" s="9">
        <f>_xll.BQL("LUV US Equity", "AIRCRAFT_RENTALS/1M", "FPT=A", "FPO=-3A", "ACT_EST_MAPPING=PRECISE", "FS=MRC", "CURRENCY=USD", "XLFILL=b")</f>
        <v>216</v>
      </c>
      <c r="N149" s="9">
        <f>_xll.BQL("LUV US Equity", "AIRCRAFT_RENTALS/1M", "FPT=A", "FPO=-4A", "ACT_EST_MAPPING=PRECISE", "FS=MRC", "CURRENCY=USD", "XLFILL=b")</f>
        <v>182</v>
      </c>
    </row>
    <row r="150" spans="1:14" x14ac:dyDescent="0.2">
      <c r="A150" s="8" t="s">
        <v>21</v>
      </c>
      <c r="B150" s="4" t="s">
        <v>141</v>
      </c>
      <c r="C150" s="4"/>
      <c r="D150" s="4"/>
      <c r="E150" s="9">
        <f>_xll.BQL("LUV US Equity", "FA_GROWTH(AIRCRAFT_RENTALS, YOY)", "FPT=A", "FPO=5A", "ACT_EST_MAPPING=PRECISE", "FS=MRC", "CURRENCY=USD", "XLFILL=b")</f>
        <v>1.4956043956044003</v>
      </c>
      <c r="F150" s="9">
        <f>_xll.BQL("LUV US Equity", "FA_GROWTH(AIRCRAFT_RENTALS, YOY)", "FPT=A", "FPO=4A", "ACT_EST_MAPPING=PRECISE", "FS=MRC", "CURRENCY=USD", "XLFILL=b")</f>
        <v>3.2735795486750274</v>
      </c>
      <c r="G150" s="9">
        <f>_xll.BQL("LUV US Equity", "FA_GROWTH(AIRCRAFT_RENTALS, YOY)", "FPT=A", "FPO=3A", "ACT_EST_MAPPING=PRECISE", "FS=MRC", "CURRENCY=USD", "XLFILL=b")</f>
        <v>0.17659823830362165</v>
      </c>
      <c r="H150" s="9">
        <f>_xll.BQL("LUV US Equity", "FA_GROWTH(AIRCRAFT_RENTALS, YOY)", "FPT=A", "FPO=2A", "ACT_EST_MAPPING=PRECISE", "FS=MRC", "CURRENCY=USD", "XLFILL=b")</f>
        <v>9.6656012592696268</v>
      </c>
      <c r="I150" s="9">
        <f>_xll.BQL("LUV US Equity", "FA_GROWTH(AIRCRAFT_RENTALS, YOY)", "FPT=A", "FPO=1A", "ACT_EST_MAPPING=PRECISE", "FS=MRC", "CURRENCY=USD", "XLFILL=b")</f>
        <v>9.4130725084862714</v>
      </c>
      <c r="J150" s="9">
        <f>_xll.BQL("LUV US Equity", "FA_GROWTH(AIRCRAFT_RENTALS, YOY)", "FPT=A", "FPO=0A", "ACT_EST_MAPPING=PRECISE", "FS=MRC", "CURRENCY=USD", "XLFILL=b")</f>
        <v>-1.0638297872340425</v>
      </c>
      <c r="K150" s="9">
        <f>_xll.BQL("LUV US Equity", "FA_GROWTH(AIRCRAFT_RENTALS, YOY)", "FPT=A", "FPO=-1A", "ACT_EST_MAPPING=PRECISE", "FS=MRC", "CURRENCY=USD", "XLFILL=b")</f>
        <v>-7.8431372549019605</v>
      </c>
      <c r="L150" s="9">
        <f>_xll.BQL("LUV US Equity", "FA_GROWTH(AIRCRAFT_RENTALS, YOY)", "FPT=A", "FPO=-2A", "ACT_EST_MAPPING=PRECISE", "FS=MRC", "CURRENCY=USD", "XLFILL=b")</f>
        <v>-5.5555555555555554</v>
      </c>
      <c r="M150" s="9">
        <f>_xll.BQL("LUV US Equity", "FA_GROWTH(AIRCRAFT_RENTALS, YOY)", "FPT=A", "FPO=-3A", "ACT_EST_MAPPING=PRECISE", "FS=MRC", "CURRENCY=USD", "XLFILL=b")</f>
        <v>18.681318681318682</v>
      </c>
      <c r="N150" s="9">
        <f>_xll.BQL("LUV US Equity", "FA_GROWTH(AIRCRAFT_RENTALS, YOY)", "FPT=A", "FPO=-4A", "ACT_EST_MAPPING=PRECISE", "FS=MRC", "CURRENCY=USD", "XLFILL=b")</f>
        <v>13.043478260869565</v>
      </c>
    </row>
    <row r="151" spans="1:14" x14ac:dyDescent="0.2">
      <c r="A151" s="8" t="s">
        <v>142</v>
      </c>
      <c r="B151" s="4" t="s">
        <v>143</v>
      </c>
      <c r="C151" s="4" t="s">
        <v>144</v>
      </c>
      <c r="D151" s="4"/>
      <c r="E151" s="9">
        <f>_xll.BQL("LUV US Equity", "MAINTENANCE_MATERIALS_REPAIRS/1M", "FPT=A", "FPO=5A", "ACT_EST_MAPPING=PRECISE", "FS=MRC", "CURRENCY=USD", "XLFILL=b")</f>
        <v>1744.1823441212825</v>
      </c>
      <c r="F151" s="9">
        <f>_xll.BQL("LUV US Equity", "MAINTENANCE_MATERIALS_REPAIRS/1M", "FPT=A", "FPO=4A", "ACT_EST_MAPPING=PRECISE", "FS=MRC", "CURRENCY=USD", "XLFILL=b")</f>
        <v>1652.2132567405768</v>
      </c>
      <c r="G151" s="9">
        <f>_xll.BQL("LUV US Equity", "MAINTENANCE_MATERIALS_REPAIRS/1M", "FPT=A", "FPO=3A", "ACT_EST_MAPPING=PRECISE", "FS=MRC", "CURRENCY=USD", "XLFILL=b")</f>
        <v>1597.6127298826032</v>
      </c>
      <c r="H151" s="9">
        <f>_xll.BQL("LUV US Equity", "MAINTENANCE_MATERIALS_REPAIRS/1M", "FPT=A", "FPO=2A", "ACT_EST_MAPPING=PRECISE", "FS=MRC", "CURRENCY=USD", "XLFILL=b")</f>
        <v>1548.2876084346337</v>
      </c>
      <c r="I151" s="9">
        <f>_xll.BQL("LUV US Equity", "MAINTENANCE_MATERIALS_REPAIRS/1M", "FPT=A", "FPO=1A", "ACT_EST_MAPPING=PRECISE", "FS=MRC", "CURRENCY=USD", "XLFILL=b")</f>
        <v>1450.466608338199</v>
      </c>
      <c r="J151" s="9">
        <f>_xll.BQL("LUV US Equity", "MAINTENANCE_MATERIALS_REPAIRS/1M", "FPT=A", "FPO=0A", "ACT_EST_MAPPING=PRECISE", "FS=MRC", "CURRENCY=USD", "XLFILL=b")</f>
        <v>1188</v>
      </c>
      <c r="K151" s="9">
        <f>_xll.BQL("LUV US Equity", "MAINTENANCE_MATERIALS_REPAIRS/1M", "FPT=A", "FPO=-1A", "ACT_EST_MAPPING=PRECISE", "FS=MRC", "CURRENCY=USD", "XLFILL=b")</f>
        <v>852</v>
      </c>
      <c r="L151" s="9">
        <f>_xll.BQL("LUV US Equity", "MAINTENANCE_MATERIALS_REPAIRS/1M", "FPT=A", "FPO=-2A", "ACT_EST_MAPPING=PRECISE", "FS=MRC", "CURRENCY=USD", "XLFILL=b")</f>
        <v>854</v>
      </c>
      <c r="M151" s="9">
        <f>_xll.BQL("LUV US Equity", "MAINTENANCE_MATERIALS_REPAIRS/1M", "FPT=A", "FPO=-3A", "ACT_EST_MAPPING=PRECISE", "FS=MRC", "CURRENCY=USD", "XLFILL=b")</f>
        <v>750</v>
      </c>
      <c r="N151" s="9">
        <f>_xll.BQL("LUV US Equity", "MAINTENANCE_MATERIALS_REPAIRS/1M", "FPT=A", "FPO=-4A", "ACT_EST_MAPPING=PRECISE", "FS=MRC", "CURRENCY=USD", "XLFILL=b")</f>
        <v>1223</v>
      </c>
    </row>
    <row r="152" spans="1:14" x14ac:dyDescent="0.2">
      <c r="A152" s="8" t="s">
        <v>21</v>
      </c>
      <c r="B152" s="4" t="s">
        <v>143</v>
      </c>
      <c r="C152" s="4" t="s">
        <v>144</v>
      </c>
      <c r="D152" s="4"/>
      <c r="E152" s="9">
        <f>_xll.BQL("LUV US Equity", "FA_GROWTH(MAINTENANCE_MATERIALS_REPAIRS, YOY)", "FPT=A", "FPO=5A", "ACT_EST_MAPPING=PRECISE", "FS=MRC", "CURRENCY=USD", "XLFILL=b")</f>
        <v>5.5664174709588599</v>
      </c>
      <c r="F152" s="9">
        <f>_xll.BQL("LUV US Equity", "FA_GROWTH(MAINTENANCE_MATERIALS_REPAIRS, YOY)", "FPT=A", "FPO=4A", "ACT_EST_MAPPING=PRECISE", "FS=MRC", "CURRENCY=USD", "XLFILL=b")</f>
        <v>3.4176321856164584</v>
      </c>
      <c r="G152" s="9">
        <f>_xll.BQL("LUV US Equity", "FA_GROWTH(MAINTENANCE_MATERIALS_REPAIRS, YOY)", "FPT=A", "FPO=3A", "ACT_EST_MAPPING=PRECISE", "FS=MRC", "CURRENCY=USD", "XLFILL=b")</f>
        <v>3.1857854560909811</v>
      </c>
      <c r="H152" s="9">
        <f>_xll.BQL("LUV US Equity", "FA_GROWTH(MAINTENANCE_MATERIALS_REPAIRS, YOY)", "FPT=A", "FPO=2A", "ACT_EST_MAPPING=PRECISE", "FS=MRC", "CURRENCY=USD", "XLFILL=b")</f>
        <v>6.7441056232592933</v>
      </c>
      <c r="I152" s="9">
        <f>_xll.BQL("LUV US Equity", "FA_GROWTH(MAINTENANCE_MATERIALS_REPAIRS, YOY)", "FPT=A", "FPO=1A", "ACT_EST_MAPPING=PRECISE", "FS=MRC", "CURRENCY=USD", "XLFILL=b")</f>
        <v>22.093148850016743</v>
      </c>
      <c r="J152" s="9">
        <f>_xll.BQL("LUV US Equity", "FA_GROWTH(MAINTENANCE_MATERIALS_REPAIRS, YOY)", "FPT=A", "FPO=0A", "ACT_EST_MAPPING=PRECISE", "FS=MRC", "CURRENCY=USD", "XLFILL=b")</f>
        <v>39.436619718309856</v>
      </c>
      <c r="K152" s="9">
        <f>_xll.BQL("LUV US Equity", "FA_GROWTH(MAINTENANCE_MATERIALS_REPAIRS, YOY)", "FPT=A", "FPO=-1A", "ACT_EST_MAPPING=PRECISE", "FS=MRC", "CURRENCY=USD", "XLFILL=b")</f>
        <v>-0.23419203747072601</v>
      </c>
      <c r="L152" s="9">
        <f>_xll.BQL("LUV US Equity", "FA_GROWTH(MAINTENANCE_MATERIALS_REPAIRS, YOY)", "FPT=A", "FPO=-2A", "ACT_EST_MAPPING=PRECISE", "FS=MRC", "CURRENCY=USD", "XLFILL=b")</f>
        <v>13.866666666666667</v>
      </c>
      <c r="M152" s="9">
        <f>_xll.BQL("LUV US Equity", "FA_GROWTH(MAINTENANCE_MATERIALS_REPAIRS, YOY)", "FPT=A", "FPO=-3A", "ACT_EST_MAPPING=PRECISE", "FS=MRC", "CURRENCY=USD", "XLFILL=b")</f>
        <v>-38.675388389206866</v>
      </c>
      <c r="N152" s="9">
        <f>_xll.BQL("LUV US Equity", "FA_GROWTH(MAINTENANCE_MATERIALS_REPAIRS, YOY)", "FPT=A", "FPO=-4A", "ACT_EST_MAPPING=PRECISE", "FS=MRC", "CURRENCY=USD", "XLFILL=b")</f>
        <v>10.47877145438121</v>
      </c>
    </row>
    <row r="153" spans="1:14" x14ac:dyDescent="0.2">
      <c r="A153" s="8" t="s">
        <v>127</v>
      </c>
      <c r="B153" s="4" t="s">
        <v>145</v>
      </c>
      <c r="C153" s="4"/>
      <c r="D153" s="4"/>
      <c r="E153" s="9">
        <f>_xll.BQL("LUV US Equity", "AIRLINE_MAINTENANCE_PCT_SALES", "FPT=A", "FPO=5A", "ACT_EST_MAPPING=PRECISE", "FS=MRC", "CURRENCY=USD", "XLFILL=b")</f>
        <v>5.3607548138626573</v>
      </c>
      <c r="F153" s="9">
        <f>_xll.BQL("LUV US Equity", "AIRLINE_MAINTENANCE_PCT_SALES", "FPT=A", "FPO=4A", "ACT_EST_MAPPING=PRECISE", "FS=MRC", "CURRENCY=USD", "XLFILL=b")</f>
        <v>5.2918024085441573</v>
      </c>
      <c r="G153" s="9">
        <f>_xll.BQL("LUV US Equity", "AIRLINE_MAINTENANCE_PCT_SALES", "FPT=A", "FPO=3A", "ACT_EST_MAPPING=PRECISE", "FS=MRC", "CURRENCY=USD", "XLFILL=b")</f>
        <v>5.8822096657599738</v>
      </c>
      <c r="H153" s="9">
        <f>_xll.BQL("LUV US Equity", "AIRLINE_MAINTENANCE_PCT_SALES", "FPT=A", "FPO=2A", "ACT_EST_MAPPING=PRECISE", "FS=MRC", "CURRENCY=USD", "XLFILL=b")</f>
        <v>5.7332352012614587</v>
      </c>
      <c r="I153" s="9">
        <f>_xll.BQL("LUV US Equity", "AIRLINE_MAINTENANCE_PCT_SALES", "FPT=A", "FPO=1A", "ACT_EST_MAPPING=PRECISE", "FS=MRC", "CURRENCY=USD", "XLFILL=b")</f>
        <v>5.5030960121448063</v>
      </c>
      <c r="J153" s="9">
        <f>_xll.BQL("LUV US Equity", "AIRLINE_MAINTENANCE_PCT_SALES", "FPT=A", "FPO=0A", "ACT_EST_MAPPING=PRECISE", "FS=MRC", "CURRENCY=USD", "XLFILL=b")</f>
        <v>4.5532942393928941</v>
      </c>
      <c r="K153" s="9">
        <f>_xll.BQL("LUV US Equity", "AIRLINE_MAINTENANCE_PCT_SALES", "FPT=A", "FPO=-1A", "ACT_EST_MAPPING=PRECISE", "FS=MRC", "CURRENCY=USD", "XLFILL=b")</f>
        <v>3.5777273872511972</v>
      </c>
      <c r="L153" s="9">
        <f>_xll.BQL("LUV US Equity", "AIRLINE_MAINTENANCE_PCT_SALES", "FPT=A", "FPO=-2A", "ACT_EST_MAPPING=PRECISE", "FS=MRC", "CURRENCY=USD", "XLFILL=b")</f>
        <v>5.4084863837872073</v>
      </c>
      <c r="M153" s="9">
        <f>_xll.BQL("LUV US Equity", "AIRLINE_MAINTENANCE_PCT_SALES", "FPT=A", "FPO=-3A", "ACT_EST_MAPPING=PRECISE", "FS=MRC", "CURRENCY=USD", "XLFILL=b")</f>
        <v>8.2891246684350133</v>
      </c>
      <c r="N153" s="9">
        <f>_xll.BQL("LUV US Equity", "AIRLINE_MAINTENANCE_PCT_SALES", "FPT=A", "FPO=-4A", "ACT_EST_MAPPING=PRECISE", "FS=MRC", "CURRENCY=USD", "XLFILL=b")</f>
        <v>5.4530051721062955</v>
      </c>
    </row>
    <row r="154" spans="1:14" x14ac:dyDescent="0.2">
      <c r="A154" s="8" t="s">
        <v>111</v>
      </c>
      <c r="B154" s="4" t="s">
        <v>145</v>
      </c>
      <c r="C154" s="4"/>
      <c r="D154" s="4"/>
      <c r="E154" s="9">
        <f>_xll.BQL("LUV US Equity", "FA_GROWTH(AIRLINE_MAINTENANCE_PCT_SALES, YOY)", "FPT=A", "FPO=5A", "ACT_EST_MAPPING=PRECISE", "FS=MRC", "CURRENCY=USD", "XLFILL=b")</f>
        <v>1.3030041561485606</v>
      </c>
      <c r="F154" s="9">
        <f>_xll.BQL("LUV US Equity", "FA_GROWTH(AIRLINE_MAINTENANCE_PCT_SALES, YOY)", "FPT=A", "FPO=4A", "ACT_EST_MAPPING=PRECISE", "FS=MRC", "CURRENCY=USD", "XLFILL=b")</f>
        <v>-10.037167846167494</v>
      </c>
      <c r="G154" s="9">
        <f>_xll.BQL("LUV US Equity", "FA_GROWTH(AIRLINE_MAINTENANCE_PCT_SALES, YOY)", "FPT=A", "FPO=3A", "ACT_EST_MAPPING=PRECISE", "FS=MRC", "CURRENCY=USD", "XLFILL=b")</f>
        <v>2.5984362976376225</v>
      </c>
      <c r="H154" s="9">
        <f>_xll.BQL("LUV US Equity", "FA_GROWTH(AIRLINE_MAINTENANCE_PCT_SALES, YOY)", "FPT=A", "FPO=2A", "ACT_EST_MAPPING=PRECISE", "FS=MRC", "CURRENCY=USD", "XLFILL=b")</f>
        <v>4.1819948009040235</v>
      </c>
      <c r="I154" s="9">
        <f>_xll.BQL("LUV US Equity", "FA_GROWTH(AIRLINE_MAINTENANCE_PCT_SALES, YOY)", "FPT=A", "FPO=1A", "ACT_EST_MAPPING=PRECISE", "FS=MRC", "CURRENCY=USD", "XLFILL=b")</f>
        <v>20.8596616606651</v>
      </c>
      <c r="J154" s="9">
        <f>_xll.BQL("LUV US Equity", "FA_GROWTH(AIRLINE_MAINTENANCE_PCT_SALES, YOY)", "FPT=A", "FPO=0A", "ACT_EST_MAPPING=PRECISE", "FS=MRC", "CURRENCY=USD", "XLFILL=b")</f>
        <v>27.267780536270383</v>
      </c>
      <c r="K154" s="9">
        <f>_xll.BQL("LUV US Equity", "FA_GROWTH(AIRLINE_MAINTENANCE_PCT_SALES, YOY)", "FPT=A", "FPO=-1A", "ACT_EST_MAPPING=PRECISE", "FS=MRC", "CURRENCY=USD", "XLFILL=b")</f>
        <v>-33.849747722837932</v>
      </c>
      <c r="L154" s="9">
        <f>_xll.BQL("LUV US Equity", "FA_GROWTH(AIRLINE_MAINTENANCE_PCT_SALES, YOY)", "FPT=A", "FPO=-2A", "ACT_EST_MAPPING=PRECISE", "FS=MRC", "CURRENCY=USD", "XLFILL=b")</f>
        <v>-34.752020265991135</v>
      </c>
      <c r="M154" s="9">
        <f>_xll.BQL("LUV US Equity", "FA_GROWTH(AIRLINE_MAINTENANCE_PCT_SALES, YOY)", "FPT=A", "FPO=-3A", "ACT_EST_MAPPING=PRECISE", "FS=MRC", "CURRENCY=USD", "XLFILL=b")</f>
        <v>52.010211008716666</v>
      </c>
      <c r="N154" s="9">
        <f>_xll.BQL("LUV US Equity", "FA_GROWTH(AIRLINE_MAINTENANCE_PCT_SALES, YOY)", "FPT=A", "FPO=-4A", "ACT_EST_MAPPING=PRECISE", "FS=MRC", "CURRENCY=USD", "XLFILL=b")</f>
        <v>8.1980655874568988</v>
      </c>
    </row>
    <row r="155" spans="1:14" x14ac:dyDescent="0.2">
      <c r="A155" s="8" t="s">
        <v>146</v>
      </c>
      <c r="B155" s="4" t="s">
        <v>147</v>
      </c>
      <c r="C155" s="4" t="s">
        <v>148</v>
      </c>
      <c r="D155" s="4"/>
      <c r="E155" s="9">
        <f>_xll.BQL("LUV US Equity", "IS_D_AND_A_GAAP/1M", "FPT=A", "FPO=5A", "ACT_EST_MAPPING=PRECISE", "FS=MRC", "CURRENCY=USD", "XLFILL=b")</f>
        <v>2086.7862173265876</v>
      </c>
      <c r="F155" s="9">
        <f>_xll.BQL("LUV US Equity", "IS_D_AND_A_GAAP/1M", "FPT=A", "FPO=4A", "ACT_EST_MAPPING=PRECISE", "FS=MRC", "CURRENCY=USD", "XLFILL=b")</f>
        <v>2007.0839231744724</v>
      </c>
      <c r="G155" s="9">
        <f>_xll.BQL("LUV US Equity", "IS_D_AND_A_GAAP/1M", "FPT=A", "FPO=3A", "ACT_EST_MAPPING=PRECISE", "FS=MRC", "CURRENCY=USD", "XLFILL=b")</f>
        <v>1804.1198522728766</v>
      </c>
      <c r="H155" s="9">
        <f>_xll.BQL("LUV US Equity", "IS_D_AND_A_GAAP/1M", "FPT=A", "FPO=2A", "ACT_EST_MAPPING=PRECISE", "FS=MRC", "CURRENCY=USD", "XLFILL=b")</f>
        <v>1691.0980246538586</v>
      </c>
      <c r="I155" s="9">
        <f>_xll.BQL("LUV US Equity", "IS_D_AND_A_GAAP/1M", "FPT=A", "FPO=1A", "ACT_EST_MAPPING=PRECISE", "FS=MRC", "CURRENCY=USD", "XLFILL=b")</f>
        <v>1620.2654360088097</v>
      </c>
      <c r="J155" s="9">
        <f>_xll.BQL("LUV US Equity", "IS_D_AND_A_GAAP/1M", "FPT=A", "FPO=0A", "ACT_EST_MAPPING=PRECISE", "FS=MRC", "CURRENCY=USD", "XLFILL=b")</f>
        <v>1522</v>
      </c>
      <c r="K155" s="9">
        <f>_xll.BQL("LUV US Equity", "IS_D_AND_A_GAAP/1M", "FPT=A", "FPO=-1A", "ACT_EST_MAPPING=PRECISE", "FS=MRC", "CURRENCY=USD", "XLFILL=b")</f>
        <v>1351</v>
      </c>
      <c r="L155" s="9">
        <f>_xll.BQL("LUV US Equity", "IS_D_AND_A_GAAP/1M", "FPT=A", "FPO=-2A", "ACT_EST_MAPPING=PRECISE", "FS=MRC", "CURRENCY=USD", "XLFILL=b")</f>
        <v>1272</v>
      </c>
      <c r="M155" s="9">
        <f>_xll.BQL("LUV US Equity", "IS_D_AND_A_GAAP/1M", "FPT=A", "FPO=-3A", "ACT_EST_MAPPING=PRECISE", "FS=MRC", "CURRENCY=USD", "XLFILL=b")</f>
        <v>1255</v>
      </c>
      <c r="N155" s="9">
        <f>_xll.BQL("LUV US Equity", "IS_D_AND_A_GAAP/1M", "FPT=A", "FPO=-4A", "ACT_EST_MAPPING=PRECISE", "FS=MRC", "CURRENCY=USD", "XLFILL=b")</f>
        <v>1219</v>
      </c>
    </row>
    <row r="156" spans="1:14" x14ac:dyDescent="0.2">
      <c r="A156" s="8" t="s">
        <v>21</v>
      </c>
      <c r="B156" s="4" t="s">
        <v>147</v>
      </c>
      <c r="C156" s="4" t="s">
        <v>148</v>
      </c>
      <c r="D156" s="4"/>
      <c r="E156" s="9">
        <f>_xll.BQL("LUV US Equity", "FA_GROWTH(IS_D_AND_A_GAAP, YOY)", "FPT=A", "FPO=5A", "ACT_EST_MAPPING=PRECISE", "FS=MRC", "CURRENCY=USD", "XLFILL=b")</f>
        <v>3.9710494031587498</v>
      </c>
      <c r="F156" s="9">
        <f>_xll.BQL("LUV US Equity", "FA_GROWTH(IS_D_AND_A_GAAP, YOY)", "FPT=A", "FPO=4A", "ACT_EST_MAPPING=PRECISE", "FS=MRC", "CURRENCY=USD", "XLFILL=b")</f>
        <v>11.250032565513662</v>
      </c>
      <c r="G156" s="9">
        <f>_xll.BQL("LUV US Equity", "FA_GROWTH(IS_D_AND_A_GAAP, YOY)", "FPT=A", "FPO=3A", "ACT_EST_MAPPING=PRECISE", "FS=MRC", "CURRENCY=USD", "XLFILL=b")</f>
        <v>6.6833398165757947</v>
      </c>
      <c r="H156" s="9">
        <f>_xll.BQL("LUV US Equity", "FA_GROWTH(IS_D_AND_A_GAAP, YOY)", "FPT=A", "FPO=2A", "ACT_EST_MAPPING=PRECISE", "FS=MRC", "CURRENCY=USD", "XLFILL=b")</f>
        <v>4.3716657203729747</v>
      </c>
      <c r="I156" s="9">
        <f>_xll.BQL("LUV US Equity", "FA_GROWTH(IS_D_AND_A_GAAP, YOY)", "FPT=A", "FPO=1A", "ACT_EST_MAPPING=PRECISE", "FS=MRC", "CURRENCY=USD", "XLFILL=b")</f>
        <v>6.4563361372411183</v>
      </c>
      <c r="J156" s="9">
        <f>_xll.BQL("LUV US Equity", "FA_GROWTH(IS_D_AND_A_GAAP, YOY)", "FPT=A", "FPO=0A", "ACT_EST_MAPPING=PRECISE", "FS=MRC", "CURRENCY=USD", "XLFILL=b")</f>
        <v>12.657290895632865</v>
      </c>
      <c r="K156" s="9">
        <f>_xll.BQL("LUV US Equity", "FA_GROWTH(IS_D_AND_A_GAAP, YOY)", "FPT=A", "FPO=-1A", "ACT_EST_MAPPING=PRECISE", "FS=MRC", "CURRENCY=USD", "XLFILL=b")</f>
        <v>6.2106918238993707</v>
      </c>
      <c r="L156" s="9">
        <f>_xll.BQL("LUV US Equity", "FA_GROWTH(IS_D_AND_A_GAAP, YOY)", "FPT=A", "FPO=-2A", "ACT_EST_MAPPING=PRECISE", "FS=MRC", "CURRENCY=USD", "XLFILL=b")</f>
        <v>1.3545816733067728</v>
      </c>
      <c r="M156" s="9">
        <f>_xll.BQL("LUV US Equity", "FA_GROWTH(IS_D_AND_A_GAAP, YOY)", "FPT=A", "FPO=-3A", "ACT_EST_MAPPING=PRECISE", "FS=MRC", "CURRENCY=USD", "XLFILL=b")</f>
        <v>2.9532403609515998</v>
      </c>
      <c r="N156" s="9">
        <f>_xll.BQL("LUV US Equity", "FA_GROWTH(IS_D_AND_A_GAAP, YOY)", "FPT=A", "FPO=-4A", "ACT_EST_MAPPING=PRECISE", "FS=MRC", "CURRENCY=USD", "XLFILL=b")</f>
        <v>1.4987510407993339</v>
      </c>
    </row>
    <row r="157" spans="1:14" x14ac:dyDescent="0.2">
      <c r="A157" s="8" t="s">
        <v>127</v>
      </c>
      <c r="B157" s="4" t="s">
        <v>149</v>
      </c>
      <c r="C157" s="4"/>
      <c r="D157" s="4"/>
      <c r="E157" s="9">
        <f>_xll.BQL("LUV US Equity", "D_AND_A_TO_SALES", "FPT=A", "FPO=5A", "ACT_EST_MAPPING=PRECISE", "FS=MRC", "CURRENCY=USD", "XLFILL=b")</f>
        <v>6.535199268984166</v>
      </c>
      <c r="F157" s="9">
        <f>_xll.BQL("LUV US Equity", "D_AND_A_TO_SALES", "FPT=A", "FPO=4A", "ACT_EST_MAPPING=PRECISE", "FS=MRC", "CURRENCY=USD", "XLFILL=b")</f>
        <v>6.2355379037050573</v>
      </c>
      <c r="G157" s="9">
        <f>_xll.BQL("LUV US Equity", "D_AND_A_TO_SALES", "FPT=A", "FPO=3A", "ACT_EST_MAPPING=PRECISE", "FS=MRC", "CURRENCY=USD", "XLFILL=b")</f>
        <v>5.9554729240016711</v>
      </c>
      <c r="H157" s="9">
        <f>_xll.BQL("LUV US Equity", "D_AND_A_TO_SALES", "FPT=A", "FPO=2A", "ACT_EST_MAPPING=PRECISE", "FS=MRC", "CURRENCY=USD", "XLFILL=b")</f>
        <v>5.9741319921534197</v>
      </c>
      <c r="I157" s="9">
        <f>_xll.BQL("LUV US Equity", "D_AND_A_TO_SALES", "FPT=A", "FPO=1A", "ACT_EST_MAPPING=PRECISE", "FS=MRC", "CURRENCY=USD", "XLFILL=b")</f>
        <v>6.0330638712399765</v>
      </c>
      <c r="J157" s="9">
        <f>_xll.BQL("LUV US Equity", "D_AND_A_TO_SALES", "FPT=A", "FPO=0A", "ACT_EST_MAPPING=PRECISE", "FS=MRC", "CURRENCY=USD", "XLFILL=b")</f>
        <v>5.8334291518148023</v>
      </c>
      <c r="K157" s="9">
        <f>_xll.BQL("LUV US Equity", "D_AND_A_TO_SALES", "FPT=A", "FPO=-1A", "ACT_EST_MAPPING=PRECISE", "FS=MRC", "CURRENCY=USD", "XLFILL=b")</f>
        <v>5.6731334509112292</v>
      </c>
      <c r="L157" s="9">
        <f>_xll.BQL("LUV US Equity", "D_AND_A_TO_SALES", "FPT=A", "FPO=-2A", "ACT_EST_MAPPING=PRECISE", "FS=MRC", "CURRENCY=USD", "XLFILL=b")</f>
        <v>8.0557314756174794</v>
      </c>
      <c r="M157" s="9">
        <f>_xll.BQL("LUV US Equity", "D_AND_A_TO_SALES", "FPT=A", "FPO=-3A", "ACT_EST_MAPPING=PRECISE", "FS=MRC", "CURRENCY=USD", "XLFILL=b")</f>
        <v>13.870468611847922</v>
      </c>
      <c r="N157" s="9">
        <f>_xll.BQL("LUV US Equity", "D_AND_A_TO_SALES", "FPT=A", "FPO=-4A", "ACT_EST_MAPPING=PRECISE", "FS=MRC", "CURRENCY=USD", "XLFILL=b")</f>
        <v>5.4351703228107722</v>
      </c>
    </row>
    <row r="158" spans="1:14" x14ac:dyDescent="0.2">
      <c r="A158" s="8" t="s">
        <v>111</v>
      </c>
      <c r="B158" s="4" t="s">
        <v>149</v>
      </c>
      <c r="C158" s="4"/>
      <c r="D158" s="4"/>
      <c r="E158" s="9">
        <f>_xll.BQL("LUV US Equity", "FA_GROWTH(D_AND_A_TO_SALES, YOY)", "FPT=A", "FPO=5A", "ACT_EST_MAPPING=PRECISE", "FS=MRC", "CURRENCY=USD", "XLFILL=b")</f>
        <v>4.8057019283140701</v>
      </c>
      <c r="F158" s="9">
        <f>_xll.BQL("LUV US Equity", "FA_GROWTH(D_AND_A_TO_SALES, YOY)", "FPT=A", "FPO=4A", "ACT_EST_MAPPING=PRECISE", "FS=MRC", "CURRENCY=USD", "XLFILL=b")</f>
        <v>4.7026488622703999</v>
      </c>
      <c r="G158" s="9">
        <f>_xll.BQL("LUV US Equity", "FA_GROWTH(D_AND_A_TO_SALES, YOY)", "FPT=A", "FPO=3A", "ACT_EST_MAPPING=PRECISE", "FS=MRC", "CURRENCY=USD", "XLFILL=b")</f>
        <v>-0.31233103279699836</v>
      </c>
      <c r="H158" s="9">
        <f>_xll.BQL("LUV US Equity", "FA_GROWTH(D_AND_A_TO_SALES, YOY)", "FPT=A", "FPO=2A", "ACT_EST_MAPPING=PRECISE", "FS=MRC", "CURRENCY=USD", "XLFILL=b")</f>
        <v>-0.97681510330909938</v>
      </c>
      <c r="I158" s="9">
        <f>_xll.BQL("LUV US Equity", "FA_GROWTH(D_AND_A_TO_SALES, YOY)", "FPT=A", "FPO=1A", "ACT_EST_MAPPING=PRECISE", "FS=MRC", "CURRENCY=USD", "XLFILL=b")</f>
        <v>3.422253261841143</v>
      </c>
      <c r="J158" s="9">
        <f>_xll.BQL("LUV US Equity", "FA_GROWTH(D_AND_A_TO_SALES, YOY)", "FPT=A", "FPO=0A", "ACT_EST_MAPPING=PRECISE", "FS=MRC", "CURRENCY=USD", "XLFILL=b")</f>
        <v>2.8255231838028778</v>
      </c>
      <c r="K158" s="9">
        <f>_xll.BQL("LUV US Equity", "FA_GROWTH(D_AND_A_TO_SALES, YOY)", "FPT=A", "FPO=-1A", "ACT_EST_MAPPING=PRECISE", "FS=MRC", "CURRENCY=USD", "XLFILL=b")</f>
        <v>-29.576433026817366</v>
      </c>
      <c r="L158" s="9">
        <f>_xll.BQL("LUV US Equity", "FA_GROWTH(D_AND_A_TO_SALES, YOY)", "FPT=A", "FPO=-2A", "ACT_EST_MAPPING=PRECISE", "FS=MRC", "CURRENCY=USD", "XLFILL=b")</f>
        <v>-41.921706461046256</v>
      </c>
      <c r="M158" s="9">
        <f>_xll.BQL("LUV US Equity", "FA_GROWTH(D_AND_A_TO_SALES, YOY)", "FPT=A", "FPO=-3A", "ACT_EST_MAPPING=PRECISE", "FS=MRC", "CURRENCY=USD", "XLFILL=b")</f>
        <v>155.1984167567885</v>
      </c>
      <c r="N158" s="9">
        <f>_xll.BQL("LUV US Equity", "FA_GROWTH(D_AND_A_TO_SALES, YOY)", "FPT=A", "FPO=-4A", "ACT_EST_MAPPING=PRECISE", "FS=MRC", "CURRENCY=USD", "XLFILL=b")</f>
        <v>-0.59657273893537832</v>
      </c>
    </row>
    <row r="159" spans="1:14" x14ac:dyDescent="0.2">
      <c r="A159" s="8" t="s">
        <v>150</v>
      </c>
      <c r="B159" s="4" t="s">
        <v>151</v>
      </c>
      <c r="C159" s="4" t="s">
        <v>152</v>
      </c>
      <c r="D159" s="4"/>
      <c r="E159" s="9">
        <f>_xll.BQL("LUV US Equity", "CB_PROFIT_SHARING_COST/1M", "FPT=A", "FPO=5A", "ACT_EST_MAPPING=PRECISE", "FS=MRC", "CURRENCY=USD", "XLFILL=b")</f>
        <v>377.55104691281264</v>
      </c>
      <c r="F159" s="9">
        <f>_xll.BQL("LUV US Equity", "CB_PROFIT_SHARING_COST/1M", "FPT=A", "FPO=4A", "ACT_EST_MAPPING=PRECISE", "FS=MRC", "CURRENCY=USD", "XLFILL=b")</f>
        <v>317.90832685449794</v>
      </c>
      <c r="G159" s="9">
        <f>_xll.BQL("LUV US Equity", "CB_PROFIT_SHARING_COST/1M", "FPT=A", "FPO=3A", "ACT_EST_MAPPING=PRECISE", "FS=MRC", "CURRENCY=USD", "XLFILL=b")</f>
        <v>295.91318443742244</v>
      </c>
      <c r="H159" s="9">
        <f>_xll.BQL("LUV US Equity", "CB_PROFIT_SHARING_COST/1M", "FPT=A", "FPO=2A", "ACT_EST_MAPPING=PRECISE", "FS=MRC", "CURRENCY=USD", "XLFILL=b")</f>
        <v>190.24865222273417</v>
      </c>
      <c r="I159" s="9">
        <f>_xll.BQL("LUV US Equity", "CB_PROFIT_SHARING_COST/1M", "FPT=A", "FPO=1A", "ACT_EST_MAPPING=PRECISE", "FS=MRC", "CURRENCY=USD", "XLFILL=b")</f>
        <v>66.872439292892821</v>
      </c>
      <c r="J159" s="9">
        <f>_xll.BQL("LUV US Equity", "CB_PROFIT_SHARING_COST/1M", "FPT=A", "FPO=0A", "ACT_EST_MAPPING=PRECISE", "FS=MRC", "CURRENCY=USD", "XLFILL=b")</f>
        <v>110</v>
      </c>
      <c r="K159" s="9">
        <f>_xll.BQL("LUV US Equity", "CB_PROFIT_SHARING_COST/1M", "FPT=A", "FPO=-1A", "ACT_EST_MAPPING=PRECISE", "FS=MRC", "CURRENCY=USD", "XLFILL=b")</f>
        <v>127</v>
      </c>
      <c r="L159" s="9">
        <f>_xll.BQL("LUV US Equity", "CB_PROFIT_SHARING_COST/1M", "FPT=A", "FPO=-2A", "ACT_EST_MAPPING=PRECISE", "FS=MRC", "CURRENCY=USD", "XLFILL=b")</f>
        <v>230</v>
      </c>
      <c r="M159" s="9">
        <f>_xll.BQL("LUV US Equity", "CB_PROFIT_SHARING_COST/1M", "FPT=A", "FPO=-3A", "ACT_EST_MAPPING=PRECISE", "FS=MRC", "CURRENCY=USD", "XLFILL=b")</f>
        <v>0</v>
      </c>
      <c r="N159" s="9">
        <f>_xll.BQL("LUV US Equity", "CB_PROFIT_SHARING_COST/1M", "FPT=A", "FPO=-4A", "ACT_EST_MAPPING=PRECISE", "FS=MRC", "CURRENCY=USD", "XLFILL=b")</f>
        <v>667</v>
      </c>
    </row>
    <row r="160" spans="1:14" x14ac:dyDescent="0.2">
      <c r="A160" s="8" t="s">
        <v>21</v>
      </c>
      <c r="B160" s="4" t="s">
        <v>151</v>
      </c>
      <c r="C160" s="4" t="s">
        <v>152</v>
      </c>
      <c r="D160" s="4"/>
      <c r="E160" s="9">
        <f>_xll.BQL("LUV US Equity", "FA_GROWTH(CB_PROFIT_SHARING_COST, YOY)", "FPT=A", "FPO=5A", "ACT_EST_MAPPING=PRECISE", "FS=MRC", "CURRENCY=USD", "XLFILL=b")</f>
        <v>18.76098076714181</v>
      </c>
      <c r="F160" s="9">
        <f>_xll.BQL("LUV US Equity", "FA_GROWTH(CB_PROFIT_SHARING_COST, YOY)", "FPT=A", "FPO=4A", "ACT_EST_MAPPING=PRECISE", "FS=MRC", "CURRENCY=USD", "XLFILL=b")</f>
        <v>7.4329714165631868</v>
      </c>
      <c r="G160" s="9">
        <f>_xll.BQL("LUV US Equity", "FA_GROWTH(CB_PROFIT_SHARING_COST, YOY)", "FPT=A", "FPO=3A", "ACT_EST_MAPPING=PRECISE", "FS=MRC", "CURRENCY=USD", "XLFILL=b")</f>
        <v>55.540226424827047</v>
      </c>
      <c r="H160" s="9">
        <f>_xll.BQL("LUV US Equity", "FA_GROWTH(CB_PROFIT_SHARING_COST, YOY)", "FPT=A", "FPO=2A", "ACT_EST_MAPPING=PRECISE", "FS=MRC", "CURRENCY=USD", "XLFILL=b")</f>
        <v>184.49485951823763</v>
      </c>
      <c r="I160" s="9">
        <f>_xll.BQL("LUV US Equity", "FA_GROWTH(CB_PROFIT_SHARING_COST, YOY)", "FPT=A", "FPO=1A", "ACT_EST_MAPPING=PRECISE", "FS=MRC", "CURRENCY=USD", "XLFILL=b")</f>
        <v>-39.206873370097441</v>
      </c>
      <c r="J160" s="9">
        <f>_xll.BQL("LUV US Equity", "FA_GROWTH(CB_PROFIT_SHARING_COST, YOY)", "FPT=A", "FPO=0A", "ACT_EST_MAPPING=PRECISE", "FS=MRC", "CURRENCY=USD", "XLFILL=b")</f>
        <v>-13.385826771653543</v>
      </c>
      <c r="K160" s="9">
        <f>_xll.BQL("LUV US Equity", "FA_GROWTH(CB_PROFIT_SHARING_COST, YOY)", "FPT=A", "FPO=-1A", "ACT_EST_MAPPING=PRECISE", "FS=MRC", "CURRENCY=USD", "XLFILL=b")</f>
        <v>-44.782608695652172</v>
      </c>
      <c r="L160" s="9" t="str">
        <f>_xll.BQL("LUV US Equity", "FA_GROWTH(CB_PROFIT_SHARING_COST, YOY)", "FPT=A", "FPO=-2A", "ACT_EST_MAPPING=PRECISE", "FS=MRC", "CURRENCY=USD", "XLFILL=b")</f>
        <v/>
      </c>
      <c r="M160" s="9">
        <f>_xll.BQL("LUV US Equity", "FA_GROWTH(CB_PROFIT_SHARING_COST, YOY)", "FPT=A", "FPO=-3A", "ACT_EST_MAPPING=PRECISE", "FS=MRC", "CURRENCY=USD", "XLFILL=b")</f>
        <v>-100</v>
      </c>
      <c r="N160" s="9">
        <f>_xll.BQL("LUV US Equity", "FA_GROWTH(CB_PROFIT_SHARING_COST, YOY)", "FPT=A", "FPO=-4A", "ACT_EST_MAPPING=PRECISE", "FS=MRC", "CURRENCY=USD", "XLFILL=b")</f>
        <v>22.610294117647058</v>
      </c>
    </row>
    <row r="161" spans="1:14" x14ac:dyDescent="0.2">
      <c r="A161" s="8" t="s">
        <v>16</v>
      </c>
      <c r="B161" s="4"/>
      <c r="C161" s="4"/>
      <c r="D161" s="4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1:14" x14ac:dyDescent="0.2">
      <c r="A162" s="8" t="s">
        <v>153</v>
      </c>
      <c r="B162" s="4" t="s">
        <v>154</v>
      </c>
      <c r="C162" s="4" t="s">
        <v>155</v>
      </c>
      <c r="D162" s="4"/>
      <c r="E162" s="9">
        <f>_xll.BQL("LUV US Equity", "IS_EBIT_AS_REPORTED/1M", "FPT=A", "FPO=5A", "ACT_EST_MAPPING=PRECISE", "FS=MRC", "CURRENCY=USD", "XLFILL=b")</f>
        <v>2762.6063457131977</v>
      </c>
      <c r="F162" s="9">
        <f>_xll.BQL("LUV US Equity", "IS_EBIT_AS_REPORTED/1M", "FPT=A", "FPO=4A", "ACT_EST_MAPPING=PRECISE", "FS=MRC", "CURRENCY=USD", "XLFILL=b")</f>
        <v>2632.8465063466174</v>
      </c>
      <c r="G162" s="9">
        <f>_xll.BQL("LUV US Equity", "IS_EBIT_AS_REPORTED/1M", "FPT=A", "FPO=3A", "ACT_EST_MAPPING=PRECISE", "FS=MRC", "CURRENCY=USD", "XLFILL=b")</f>
        <v>1395.4220973144677</v>
      </c>
      <c r="H162" s="9">
        <f>_xll.BQL("LUV US Equity", "IS_EBIT_AS_REPORTED/1M", "FPT=A", "FPO=2A", "ACT_EST_MAPPING=PRECISE", "FS=MRC", "CURRENCY=USD", "XLFILL=b")</f>
        <v>798.78783206020387</v>
      </c>
      <c r="I162" s="9">
        <f>_xll.BQL("LUV US Equity", "IS_EBIT_AS_REPORTED/1M", "FPT=A", "FPO=1A", "ACT_EST_MAPPING=PRECISE", "FS=MRC", "CURRENCY=USD", "XLFILL=b")</f>
        <v>-278.78893532122976</v>
      </c>
      <c r="J162" s="9">
        <f>_xll.BQL("LUV US Equity", "IS_EBIT_AS_REPORTED/1M", "FPT=A", "FPO=0A", "ACT_EST_MAPPING=PRECISE", "FS=MRC", "CURRENCY=USD", "XLFILL=b")</f>
        <v>224</v>
      </c>
      <c r="K162" s="9">
        <f>_xll.BQL("LUV US Equity", "IS_EBIT_AS_REPORTED/1M", "FPT=A", "FPO=-1A", "ACT_EST_MAPPING=PRECISE", "FS=MRC", "CURRENCY=USD", "XLFILL=b")</f>
        <v>1017</v>
      </c>
      <c r="L162" s="9">
        <f>_xll.BQL("LUV US Equity", "IS_EBIT_AS_REPORTED/1M", "FPT=A", "FPO=-2A", "ACT_EST_MAPPING=PRECISE", "FS=MRC", "CURRENCY=USD", "XLFILL=b")</f>
        <v>1721</v>
      </c>
      <c r="M162" s="9">
        <f>_xll.BQL("LUV US Equity", "IS_EBIT_AS_REPORTED/1M", "FPT=A", "FPO=-3A", "ACT_EST_MAPPING=PRECISE", "FS=MRC", "CURRENCY=USD", "XLFILL=b")</f>
        <v>-3816</v>
      </c>
      <c r="N162" s="9">
        <f>_xll.BQL("LUV US Equity", "IS_EBIT_AS_REPORTED/1M", "FPT=A", "FPO=-4A", "ACT_EST_MAPPING=PRECISE", "FS=MRC", "CURRENCY=USD", "XLFILL=b")</f>
        <v>2957</v>
      </c>
    </row>
    <row r="163" spans="1:14" x14ac:dyDescent="0.2">
      <c r="A163" s="8" t="s">
        <v>12</v>
      </c>
      <c r="B163" s="4" t="s">
        <v>154</v>
      </c>
      <c r="C163" s="4" t="s">
        <v>155</v>
      </c>
      <c r="D163" s="4"/>
      <c r="E163" s="9">
        <f>_xll.BQL("LUV US Equity", "FA_GROWTH(IS_EBIT_AS_REPORTED, YOY)", "FPT=A", "FPO=5A", "ACT_EST_MAPPING=PRECISE", "FS=MRC", "CURRENCY=USD", "XLFILL=b")</f>
        <v>4.9284999734617063</v>
      </c>
      <c r="F163" s="9">
        <f>_xll.BQL("LUV US Equity", "FA_GROWTH(IS_EBIT_AS_REPORTED, YOY)", "FPT=A", "FPO=4A", "ACT_EST_MAPPING=PRECISE", "FS=MRC", "CURRENCY=USD", "XLFILL=b")</f>
        <v>88.677426809680782</v>
      </c>
      <c r="G163" s="9">
        <f>_xll.BQL("LUV US Equity", "FA_GROWTH(IS_EBIT_AS_REPORTED, YOY)", "FPT=A", "FPO=3A", "ACT_EST_MAPPING=PRECISE", "FS=MRC", "CURRENCY=USD", "XLFILL=b")</f>
        <v>74.692457910312285</v>
      </c>
      <c r="H163" s="9">
        <f>_xll.BQL("LUV US Equity", "FA_GROWTH(IS_EBIT_AS_REPORTED, YOY)", "FPT=A", "FPO=2A", "ACT_EST_MAPPING=PRECISE", "FS=MRC", "CURRENCY=USD", "XLFILL=b")</f>
        <v>386.52063653093495</v>
      </c>
      <c r="I163" s="9">
        <f>_xll.BQL("LUV US Equity", "FA_GROWTH(IS_EBIT_AS_REPORTED, YOY)", "FPT=A", "FPO=1A", "ACT_EST_MAPPING=PRECISE", "FS=MRC", "CURRENCY=USD", "XLFILL=b")</f>
        <v>-224.45934612554902</v>
      </c>
      <c r="J163" s="9">
        <f>_xll.BQL("LUV US Equity", "FA_GROWTH(IS_EBIT_AS_REPORTED, YOY)", "FPT=A", "FPO=0A", "ACT_EST_MAPPING=PRECISE", "FS=MRC", "CURRENCY=USD", "XLFILL=b")</f>
        <v>-77.97443461160276</v>
      </c>
      <c r="K163" s="9">
        <f>_xll.BQL("LUV US Equity", "FA_GROWTH(IS_EBIT_AS_REPORTED, YOY)", "FPT=A", "FPO=-1A", "ACT_EST_MAPPING=PRECISE", "FS=MRC", "CURRENCY=USD", "XLFILL=b")</f>
        <v>-40.906449738524117</v>
      </c>
      <c r="L163" s="9">
        <f>_xll.BQL("LUV US Equity", "FA_GROWTH(IS_EBIT_AS_REPORTED, YOY)", "FPT=A", "FPO=-2A", "ACT_EST_MAPPING=PRECISE", "FS=MRC", "CURRENCY=USD", "XLFILL=b")</f>
        <v>145.09958071278825</v>
      </c>
      <c r="M163" s="9">
        <f>_xll.BQL("LUV US Equity", "FA_GROWTH(IS_EBIT_AS_REPORTED, YOY)", "FPT=A", "FPO=-3A", "ACT_EST_MAPPING=PRECISE", "FS=MRC", "CURRENCY=USD", "XLFILL=b")</f>
        <v>-229.04971254649982</v>
      </c>
      <c r="N163" s="9">
        <f>_xll.BQL("LUV US Equity", "FA_GROWTH(IS_EBIT_AS_REPORTED, YOY)", "FPT=A", "FPO=-4A", "ACT_EST_MAPPING=PRECISE", "FS=MRC", "CURRENCY=USD", "XLFILL=b")</f>
        <v>-7.7666874610106049</v>
      </c>
    </row>
    <row r="164" spans="1:14" x14ac:dyDescent="0.2">
      <c r="A164" s="8" t="s">
        <v>53</v>
      </c>
      <c r="B164" s="4" t="s">
        <v>156</v>
      </c>
      <c r="C164" s="4" t="s">
        <v>55</v>
      </c>
      <c r="D164" s="4"/>
      <c r="E164" s="9">
        <f>_xll.BQL("LUV US Equity", "OPER_MARGIN", "FPT=A", "FPO=5A", "ACT_EST_MAPPING=PRECISE", "FS=MRC", "CURRENCY=USD", "XLFILL=b")</f>
        <v>8.1908205823126625</v>
      </c>
      <c r="F164" s="9">
        <f>_xll.BQL("LUV US Equity", "OPER_MARGIN", "FPT=A", "FPO=4A", "ACT_EST_MAPPING=PRECISE", "FS=MRC", "CURRENCY=USD", "XLFILL=b")</f>
        <v>8.0087515876508082</v>
      </c>
      <c r="G164" s="9">
        <f>_xll.BQL("LUV US Equity", "OPER_MARGIN", "FPT=A", "FPO=3A", "ACT_EST_MAPPING=PRECISE", "FS=MRC", "CURRENCY=USD", "XLFILL=b")</f>
        <v>4.510273830243964</v>
      </c>
      <c r="H164" s="9">
        <f>_xll.BQL("LUV US Equity", "OPER_MARGIN", "FPT=A", "FPO=2A", "ACT_EST_MAPPING=PRECISE", "FS=MRC", "CURRENCY=USD", "XLFILL=b")</f>
        <v>2.7400163084047549</v>
      </c>
      <c r="I164" s="9">
        <f>_xll.BQL("LUV US Equity", "OPER_MARGIN", "FPT=A", "FPO=1A", "ACT_EST_MAPPING=PRECISE", "FS=MRC", "CURRENCY=USD", "XLFILL=b")</f>
        <v>-1.0414022956476918</v>
      </c>
      <c r="J164" s="9">
        <f>_xll.BQL("LUV US Equity", "OPER_MARGIN", "FPT=A", "FPO=0A", "ACT_EST_MAPPING=PRECISE", "FS=MRC", "CURRENCY=USD", "XLFILL=b")</f>
        <v>0.85853359395960294</v>
      </c>
      <c r="K164" s="9">
        <f>_xll.BQL("LUV US Equity", "OPER_MARGIN", "FPT=A", "FPO=-1A", "ACT_EST_MAPPING=PRECISE", "FS=MRC", "CURRENCY=USD", "XLFILL=b")</f>
        <v>4.2705971277399852</v>
      </c>
      <c r="L164" s="9">
        <f>_xll.BQL("LUV US Equity", "OPER_MARGIN", "FPT=A", "FPO=-2A", "ACT_EST_MAPPING=PRECISE", "FS=MRC", "CURRENCY=USD", "XLFILL=b")</f>
        <v>10.899303356554782</v>
      </c>
      <c r="M164" s="9">
        <f>_xll.BQL("LUV US Equity", "OPER_MARGIN", "FPT=A", "FPO=-3A", "ACT_EST_MAPPING=PRECISE", "FS=MRC", "CURRENCY=USD", "XLFILL=b")</f>
        <v>-42.175066312997352</v>
      </c>
      <c r="N164" s="9">
        <f>_xll.BQL("LUV US Equity", "OPER_MARGIN", "FPT=A", "FPO=-4A", "ACT_EST_MAPPING=PRECISE", "FS=MRC", "CURRENCY=USD", "XLFILL=b")</f>
        <v>13.184412341715712</v>
      </c>
    </row>
    <row r="165" spans="1:14" x14ac:dyDescent="0.2">
      <c r="A165" s="8" t="s">
        <v>21</v>
      </c>
      <c r="B165" s="4" t="s">
        <v>156</v>
      </c>
      <c r="C165" s="4" t="s">
        <v>55</v>
      </c>
      <c r="D165" s="4"/>
      <c r="E165" s="9">
        <f>_xll.BQL("LUV US Equity", "FA_GROWTH(OPER_MARGIN, YOY)", "FPT=A", "FPO=5A", "ACT_EST_MAPPING=PRECISE", "FS=MRC", "CURRENCY=USD", "XLFILL=b")</f>
        <v>2.2733754776786661</v>
      </c>
      <c r="F165" s="9">
        <f>_xll.BQL("LUV US Equity", "FA_GROWTH(OPER_MARGIN, YOY)", "FPT=A", "FPO=4A", "ACT_EST_MAPPING=PRECISE", "FS=MRC", "CURRENCY=USD", "XLFILL=b")</f>
        <v>77.566859332299316</v>
      </c>
      <c r="G165" s="9">
        <f>_xll.BQL("LUV US Equity", "FA_GROWTH(OPER_MARGIN, YOY)", "FPT=A", "FPO=3A", "ACT_EST_MAPPING=PRECISE", "FS=MRC", "CURRENCY=USD", "XLFILL=b")</f>
        <v>64.607554210867391</v>
      </c>
      <c r="H165" s="9">
        <f>_xll.BQL("LUV US Equity", "FA_GROWTH(OPER_MARGIN, YOY)", "FPT=A", "FPO=2A", "ACT_EST_MAPPING=PRECISE", "FS=MRC", "CURRENCY=USD", "XLFILL=b")</f>
        <v>363.10834149838547</v>
      </c>
      <c r="I165" s="9">
        <f>_xll.BQL("LUV US Equity", "FA_GROWTH(OPER_MARGIN, YOY)", "FPT=A", "FPO=1A", "ACT_EST_MAPPING=PRECISE", "FS=MRC", "CURRENCY=USD", "XLFILL=b")</f>
        <v>-221.30012185599966</v>
      </c>
      <c r="J165" s="9">
        <f>_xll.BQL("LUV US Equity", "FA_GROWTH(OPER_MARGIN, YOY)", "FPT=A", "FPO=0A", "ACT_EST_MAPPING=PRECISE", "FS=MRC", "CURRENCY=USD", "XLFILL=b")</f>
        <v>-79.896638144981338</v>
      </c>
      <c r="K165" s="9">
        <f>_xll.BQL("LUV US Equity", "FA_GROWTH(OPER_MARGIN, YOY)", "FPT=A", "FPO=-1A", "ACT_EST_MAPPING=PRECISE", "FS=MRC", "CURRENCY=USD", "XLFILL=b")</f>
        <v>-60.817705608939939</v>
      </c>
      <c r="L165" s="9">
        <f>_xll.BQL("LUV US Equity", "FA_GROWTH(OPER_MARGIN, YOY)", "FPT=A", "FPO=-2A", "ACT_EST_MAPPING=PRECISE", "FS=MRC", "CURRENCY=USD", "XLFILL=b")</f>
        <v>125.84300229824625</v>
      </c>
      <c r="M165" s="9">
        <f>_xll.BQL("LUV US Equity", "FA_GROWTH(OPER_MARGIN, YOY)", "FPT=A", "FPO=-3A", "ACT_EST_MAPPING=PRECISE", "FS=MRC", "CURRENCY=USD", "XLFILL=b")</f>
        <v>-419.88582592759712</v>
      </c>
      <c r="N165" s="9">
        <f>_xll.BQL("LUV US Equity", "FA_GROWTH(OPER_MARGIN, YOY)", "FPT=A", "FPO=-4A", "ACT_EST_MAPPING=PRECISE", "FS=MRC", "CURRENCY=USD", "XLFILL=b")</f>
        <v>-9.6707370287630656</v>
      </c>
    </row>
    <row r="166" spans="1:14" x14ac:dyDescent="0.2">
      <c r="A166" s="8" t="s">
        <v>157</v>
      </c>
      <c r="B166" s="4" t="s">
        <v>158</v>
      </c>
      <c r="C166" s="4"/>
      <c r="D166" s="4"/>
      <c r="E166" s="9">
        <f>_xll.BQL("LUV US Equity", "IS_INT_EXPENSE/1M", "FPT=A", "FPO=5A", "ACT_EST_MAPPING=PRECISE", "FS=MRC", "CURRENCY=USD", "XLFILL=b")</f>
        <v>180.55625000000003</v>
      </c>
      <c r="F166" s="9">
        <f>_xll.BQL("LUV US Equity", "IS_INT_EXPENSE/1M", "FPT=A", "FPO=4A", "ACT_EST_MAPPING=PRECISE", "FS=MRC", "CURRENCY=USD", "XLFILL=b")</f>
        <v>171.203125</v>
      </c>
      <c r="G166" s="9">
        <f>_xll.BQL("LUV US Equity", "IS_INT_EXPENSE/1M", "FPT=A", "FPO=3A", "ACT_EST_MAPPING=PRECISE", "FS=MRC", "CURRENCY=USD", "XLFILL=b")</f>
        <v>232.5625</v>
      </c>
      <c r="H166" s="9">
        <f>_xll.BQL("LUV US Equity", "IS_INT_EXPENSE/1M", "FPT=A", "FPO=2A", "ACT_EST_MAPPING=PRECISE", "FS=MRC", "CURRENCY=USD", "XLFILL=b")</f>
        <v>251.95171875</v>
      </c>
      <c r="I166" s="9">
        <f>_xll.BQL("LUV US Equity", "IS_INT_EXPENSE/1M", "FPT=A", "FPO=1A", "ACT_EST_MAPPING=PRECISE", "FS=MRC", "CURRENCY=USD", "XLFILL=b")</f>
        <v>243.8815625</v>
      </c>
      <c r="J166" s="9">
        <f>_xll.BQL("LUV US Equity", "IS_INT_EXPENSE/1M", "FPT=A", "FPO=0A", "ACT_EST_MAPPING=PRECISE", "FS=MRC", "CURRENCY=USD", "XLFILL=b")</f>
        <v>236</v>
      </c>
      <c r="K166" s="9">
        <f>_xll.BQL("LUV US Equity", "IS_INT_EXPENSE/1M", "FPT=A", "FPO=-1A", "ACT_EST_MAPPING=PRECISE", "FS=MRC", "CURRENCY=USD", "XLFILL=b")</f>
        <v>301</v>
      </c>
      <c r="L166" s="9">
        <f>_xll.BQL("LUV US Equity", "IS_INT_EXPENSE/1M", "FPT=A", "FPO=-2A", "ACT_EST_MAPPING=PRECISE", "FS=MRC", "CURRENCY=USD", "XLFILL=b")</f>
        <v>431</v>
      </c>
      <c r="M166" s="9">
        <f>_xll.BQL("LUV US Equity", "IS_INT_EXPENSE/1M", "FPT=A", "FPO=-3A", "ACT_EST_MAPPING=PRECISE", "FS=MRC", "CURRENCY=USD", "XLFILL=b")</f>
        <v>314</v>
      </c>
      <c r="N166" s="9">
        <f>_xll.BQL("LUV US Equity", "IS_INT_EXPENSE/1M", "FPT=A", "FPO=-4A", "ACT_EST_MAPPING=PRECISE", "FS=MRC", "CURRENCY=USD", "XLFILL=b")</f>
        <v>82</v>
      </c>
    </row>
    <row r="167" spans="1:14" x14ac:dyDescent="0.2">
      <c r="A167" s="8" t="s">
        <v>12</v>
      </c>
      <c r="B167" s="4" t="s">
        <v>158</v>
      </c>
      <c r="C167" s="4"/>
      <c r="D167" s="4"/>
      <c r="E167" s="9">
        <f>_xll.BQL("LUV US Equity", "FA_GROWTH(IS_INT_EXPENSE, YOY)", "FPT=A", "FPO=5A", "ACT_EST_MAPPING=PRECISE", "FS=MRC", "CURRENCY=USD", "XLFILL=b")</f>
        <v>5.4631742265218755</v>
      </c>
      <c r="F167" s="9">
        <f>_xll.BQL("LUV US Equity", "FA_GROWTH(IS_INT_EXPENSE, YOY)", "FPT=A", "FPO=4A", "ACT_EST_MAPPING=PRECISE", "FS=MRC", "CURRENCY=USD", "XLFILL=b")</f>
        <v>-26.3840365493147</v>
      </c>
      <c r="G167" s="9">
        <f>_xll.BQL("LUV US Equity", "FA_GROWTH(IS_INT_EXPENSE, YOY)", "FPT=A", "FPO=3A", "ACT_EST_MAPPING=PRECISE", "FS=MRC", "CURRENCY=USD", "XLFILL=b")</f>
        <v>-7.6956088437082748</v>
      </c>
      <c r="H167" s="9">
        <f>_xll.BQL("LUV US Equity", "FA_GROWTH(IS_INT_EXPENSE, YOY)", "FPT=A", "FPO=2A", "ACT_EST_MAPPING=PRECISE", "FS=MRC", "CURRENCY=USD", "XLFILL=b")</f>
        <v>3.309047296267015</v>
      </c>
      <c r="I167" s="9">
        <f>_xll.BQL("LUV US Equity", "FA_GROWTH(IS_INT_EXPENSE, YOY)", "FPT=A", "FPO=1A", "ACT_EST_MAPPING=PRECISE", "FS=MRC", "CURRENCY=USD", "XLFILL=b")</f>
        <v>3.339645127118644</v>
      </c>
      <c r="J167" s="9">
        <f>_xll.BQL("LUV US Equity", "FA_GROWTH(IS_INT_EXPENSE, YOY)", "FPT=A", "FPO=0A", "ACT_EST_MAPPING=PRECISE", "FS=MRC", "CURRENCY=USD", "XLFILL=b")</f>
        <v>-21.59468438538206</v>
      </c>
      <c r="K167" s="9">
        <f>_xll.BQL("LUV US Equity", "FA_GROWTH(IS_INT_EXPENSE, YOY)", "FPT=A", "FPO=-1A", "ACT_EST_MAPPING=PRECISE", "FS=MRC", "CURRENCY=USD", "XLFILL=b")</f>
        <v>-30.162412993039442</v>
      </c>
      <c r="L167" s="9">
        <f>_xll.BQL("LUV US Equity", "FA_GROWTH(IS_INT_EXPENSE, YOY)", "FPT=A", "FPO=-2A", "ACT_EST_MAPPING=PRECISE", "FS=MRC", "CURRENCY=USD", "XLFILL=b")</f>
        <v>37.261146496815286</v>
      </c>
      <c r="M167" s="9">
        <f>_xll.BQL("LUV US Equity", "FA_GROWTH(IS_INT_EXPENSE, YOY)", "FPT=A", "FPO=-3A", "ACT_EST_MAPPING=PRECISE", "FS=MRC", "CURRENCY=USD", "XLFILL=b")</f>
        <v>282.92682926829269</v>
      </c>
      <c r="N167" s="9">
        <f>_xll.BQL("LUV US Equity", "FA_GROWTH(IS_INT_EXPENSE, YOY)", "FPT=A", "FPO=-4A", "ACT_EST_MAPPING=PRECISE", "FS=MRC", "CURRENCY=USD", "XLFILL=b")</f>
        <v>-11.827956989247312</v>
      </c>
    </row>
    <row r="168" spans="1:14" x14ac:dyDescent="0.2">
      <c r="A168" s="8" t="s">
        <v>16</v>
      </c>
      <c r="B168" s="4"/>
      <c r="C168" s="4"/>
      <c r="D168" s="4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1:14" x14ac:dyDescent="0.2">
      <c r="A169" s="8" t="s">
        <v>159</v>
      </c>
      <c r="B169" s="4" t="s">
        <v>160</v>
      </c>
      <c r="C169" s="4"/>
      <c r="D169" s="4"/>
      <c r="E169" s="9">
        <f>_xll.BQL("LUV US Equity", "EBITDA/1M", "FPT=A", "FPO=5A", "ACT_EST_MAPPING=PRECISE", "FS=MRC", "CURRENCY=USD", "XLFILL=b")</f>
        <v>5247.6140751920466</v>
      </c>
      <c r="F169" s="9">
        <f>_xll.BQL("LUV US Equity", "EBITDA/1M", "FPT=A", "FPO=4A", "ACT_EST_MAPPING=PRECISE", "FS=MRC", "CURRENCY=USD", "XLFILL=b")</f>
        <v>4592.9584039125793</v>
      </c>
      <c r="G169" s="9">
        <f>_xll.BQL("LUV US Equity", "EBITDA/1M", "FPT=A", "FPO=3A", "ACT_EST_MAPPING=PRECISE", "FS=MRC", "CURRENCY=USD", "XLFILL=b")</f>
        <v>3150.5358443883401</v>
      </c>
      <c r="H169" s="9">
        <f>_xll.BQL("LUV US Equity", "EBITDA/1M", "FPT=A", "FPO=2A", "ACT_EST_MAPPING=PRECISE", "FS=MRC", "CURRENCY=USD", "XLFILL=b")</f>
        <v>2493.8205397007541</v>
      </c>
      <c r="I169" s="9">
        <f>_xll.BQL("LUV US Equity", "EBITDA/1M", "FPT=A", "FPO=1A", "ACT_EST_MAPPING=PRECISE", "FS=MRC", "CURRENCY=USD", "XLFILL=b")</f>
        <v>1351.7948913494135</v>
      </c>
      <c r="J169" s="9">
        <f>_xll.BQL("LUV US Equity", "EBITDA/1M", "FPT=A", "FPO=0A", "ACT_EST_MAPPING=PRECISE", "FS=MRC", "CURRENCY=USD", "XLFILL=b")</f>
        <v>2014</v>
      </c>
      <c r="K169" s="9">
        <f>_xll.BQL("LUV US Equity", "EBITDA/1M", "FPT=A", "FPO=-1A", "ACT_EST_MAPPING=PRECISE", "FS=MRC", "CURRENCY=USD", "XLFILL=b")</f>
        <v>2623</v>
      </c>
      <c r="L169" s="9">
        <f>_xll.BQL("LUV US Equity", "EBITDA/1M", "FPT=A", "FPO=-2A", "ACT_EST_MAPPING=PRECISE", "FS=MRC", "CURRENCY=USD", "XLFILL=b")</f>
        <v>3237</v>
      </c>
      <c r="M169" s="9">
        <f>_xll.BQL("LUV US Equity", "EBITDA/1M", "FPT=A", "FPO=-3A", "ACT_EST_MAPPING=PRECISE", "FS=MRC", "CURRENCY=USD", "XLFILL=b")</f>
        <v>-2334</v>
      </c>
      <c r="N169" s="9">
        <f>_xll.BQL("LUV US Equity", "EBITDA/1M", "FPT=A", "FPO=-4A", "ACT_EST_MAPPING=PRECISE", "FS=MRC", "CURRENCY=USD", "XLFILL=b")</f>
        <v>4350</v>
      </c>
    </row>
    <row r="170" spans="1:14" x14ac:dyDescent="0.2">
      <c r="A170" s="8" t="s">
        <v>12</v>
      </c>
      <c r="B170" s="4" t="s">
        <v>160</v>
      </c>
      <c r="C170" s="4"/>
      <c r="D170" s="4"/>
      <c r="E170" s="9">
        <f>_xll.BQL("LUV US Equity", "FA_GROWTH(EBITDA, YOY)", "FPT=A", "FPO=5A", "ACT_EST_MAPPING=PRECISE", "FS=MRC", "CURRENCY=USD", "XLFILL=b")</f>
        <v>14.25346397045069</v>
      </c>
      <c r="F170" s="9">
        <f>_xll.BQL("LUV US Equity", "FA_GROWTH(EBITDA, YOY)", "FPT=A", "FPO=4A", "ACT_EST_MAPPING=PRECISE", "FS=MRC", "CURRENCY=USD", "XLFILL=b")</f>
        <v>45.783404181655271</v>
      </c>
      <c r="G170" s="9">
        <f>_xll.BQL("LUV US Equity", "FA_GROWTH(EBITDA, YOY)", "FPT=A", "FPO=3A", "ACT_EST_MAPPING=PRECISE", "FS=MRC", "CURRENCY=USD", "XLFILL=b")</f>
        <v>26.333703417423465</v>
      </c>
      <c r="H170" s="9">
        <f>_xll.BQL("LUV US Equity", "FA_GROWTH(EBITDA, YOY)", "FPT=A", "FPO=2A", "ACT_EST_MAPPING=PRECISE", "FS=MRC", "CURRENCY=USD", "XLFILL=b")</f>
        <v>84.482169274313989</v>
      </c>
      <c r="I170" s="9">
        <f>_xll.BQL("LUV US Equity", "FA_GROWTH(EBITDA, YOY)", "FPT=A", "FPO=1A", "ACT_EST_MAPPING=PRECISE", "FS=MRC", "CURRENCY=USD", "XLFILL=b")</f>
        <v>-32.880094769145302</v>
      </c>
      <c r="J170" s="9">
        <f>_xll.BQL("LUV US Equity", "FA_GROWTH(EBITDA, YOY)", "FPT=A", "FPO=0A", "ACT_EST_MAPPING=PRECISE", "FS=MRC", "CURRENCY=USD", "XLFILL=b")</f>
        <v>-23.217689668318719</v>
      </c>
      <c r="K170" s="9">
        <f>_xll.BQL("LUV US Equity", "FA_GROWTH(EBITDA, YOY)", "FPT=A", "FPO=-1A", "ACT_EST_MAPPING=PRECISE", "FS=MRC", "CURRENCY=USD", "XLFILL=b")</f>
        <v>-18.968180413963548</v>
      </c>
      <c r="L170" s="9">
        <f>_xll.BQL("LUV US Equity", "FA_GROWTH(EBITDA, YOY)", "FPT=A", "FPO=-2A", "ACT_EST_MAPPING=PRECISE", "FS=MRC", "CURRENCY=USD", "XLFILL=b")</f>
        <v>238.68894601542416</v>
      </c>
      <c r="M170" s="9">
        <f>_xll.BQL("LUV US Equity", "FA_GROWTH(EBITDA, YOY)", "FPT=A", "FPO=-3A", "ACT_EST_MAPPING=PRECISE", "FS=MRC", "CURRENCY=USD", "XLFILL=b")</f>
        <v>-153.65517241379311</v>
      </c>
      <c r="N170" s="9">
        <f>_xll.BQL("LUV US Equity", "FA_GROWTH(EBITDA, YOY)", "FPT=A", "FPO=-4A", "ACT_EST_MAPPING=PRECISE", "FS=MRC", "CURRENCY=USD", "XLFILL=b")</f>
        <v>-1.2933968686181077</v>
      </c>
    </row>
    <row r="171" spans="1:14" x14ac:dyDescent="0.2">
      <c r="A171" s="8" t="s">
        <v>161</v>
      </c>
      <c r="B171" s="4" t="s">
        <v>162</v>
      </c>
      <c r="C171" s="4"/>
      <c r="D171" s="4"/>
      <c r="E171" s="9" t="str">
        <f>_xll.BQL("LUV US Equity", "AIRLINES_EBITDAR_RATIO/1M", "FPT=A", "FPO=5A", "ACT_EST_MAPPING=PRECISE", "FS=MRC", "CURRENCY=USD", "XLFILL=b")</f>
        <v/>
      </c>
      <c r="F171" s="9">
        <f>_xll.BQL("LUV US Equity", "AIRLINES_EBITDAR_RATIO/1M", "FPT=A", "FPO=4A", "ACT_EST_MAPPING=PRECISE", "FS=MRC", "CURRENCY=USD", "XLFILL=b")</f>
        <v>3817.7328278163604</v>
      </c>
      <c r="G171" s="9">
        <f>_xll.BQL("LUV US Equity", "AIRLINES_EBITDAR_RATIO/1M", "FPT=A", "FPO=3A", "ACT_EST_MAPPING=PRECISE", "FS=MRC", "CURRENCY=USD", "XLFILL=b")</f>
        <v>3187.0976980006794</v>
      </c>
      <c r="H171" s="9">
        <f>_xll.BQL("LUV US Equity", "AIRLINES_EBITDAR_RATIO/1M", "FPT=A", "FPO=2A", "ACT_EST_MAPPING=PRECISE", "FS=MRC", "CURRENCY=USD", "XLFILL=b")</f>
        <v>2469.8565660553368</v>
      </c>
      <c r="I171" s="9">
        <f>_xll.BQL("LUV US Equity", "AIRLINES_EBITDAR_RATIO/1M", "FPT=A", "FPO=1A", "ACT_EST_MAPPING=PRECISE", "FS=MRC", "CURRENCY=USD", "XLFILL=b")</f>
        <v>1514.4309925711625</v>
      </c>
      <c r="J171" s="9">
        <f>_xll.BQL("LUV US Equity", "AIRLINES_EBITDAR_RATIO/1M", "FPT=A", "FPO=0A", "ACT_EST_MAPPING=PRECISE", "FS=MRC", "CURRENCY=USD", "XLFILL=b")</f>
        <v>2014</v>
      </c>
      <c r="K171" s="9">
        <f>_xll.BQL("LUV US Equity", "AIRLINES_EBITDAR_RATIO/1M", "FPT=A", "FPO=-1A", "ACT_EST_MAPPING=PRECISE", "FS=MRC", "CURRENCY=USD", "XLFILL=b")</f>
        <v>2623</v>
      </c>
      <c r="L171" s="9">
        <f>_xll.BQL("LUV US Equity", "AIRLINES_EBITDAR_RATIO/1M", "FPT=A", "FPO=-2A", "ACT_EST_MAPPING=PRECISE", "FS=MRC", "CURRENCY=USD", "XLFILL=b")</f>
        <v>3237</v>
      </c>
      <c r="M171" s="9">
        <f>_xll.BQL("LUV US Equity", "AIRLINES_EBITDAR_RATIO/1M", "FPT=A", "FPO=-3A", "ACT_EST_MAPPING=PRECISE", "FS=MRC", "CURRENCY=USD", "XLFILL=b")</f>
        <v>-2334</v>
      </c>
      <c r="N171" s="9">
        <f>_xll.BQL("LUV US Equity", "AIRLINES_EBITDAR_RATIO/1M", "FPT=A", "FPO=-4A", "ACT_EST_MAPPING=PRECISE", "FS=MRC", "CURRENCY=USD", "XLFILL=b")</f>
        <v>4350</v>
      </c>
    </row>
    <row r="172" spans="1:14" x14ac:dyDescent="0.2">
      <c r="A172" s="8" t="s">
        <v>12</v>
      </c>
      <c r="B172" s="4" t="s">
        <v>162</v>
      </c>
      <c r="C172" s="4"/>
      <c r="D172" s="4"/>
      <c r="E172" s="9" t="str">
        <f>_xll.BQL("LUV US Equity", "FA_GROWTH(AIRLINES_EBITDAR_RATIO, YOY)", "FPT=A", "FPO=5A", "ACT_EST_MAPPING=PRECISE", "FS=MRC", "CURRENCY=USD", "XLFILL=b")</f>
        <v/>
      </c>
      <c r="F172" s="9">
        <f>_xll.BQL("LUV US Equity", "FA_GROWTH(AIRLINES_EBITDAR_RATIO, YOY)", "FPT=A", "FPO=4A", "ACT_EST_MAPPING=PRECISE", "FS=MRC", "CURRENCY=USD", "XLFILL=b")</f>
        <v>19.787128904497944</v>
      </c>
      <c r="G172" s="9">
        <f>_xll.BQL("LUV US Equity", "FA_GROWTH(AIRLINES_EBITDAR_RATIO, YOY)", "FPT=A", "FPO=3A", "ACT_EST_MAPPING=PRECISE", "FS=MRC", "CURRENCY=USD", "XLFILL=b")</f>
        <v>29.03978886072985</v>
      </c>
      <c r="H172" s="9">
        <f>_xll.BQL("LUV US Equity", "FA_GROWTH(AIRLINES_EBITDAR_RATIO, YOY)", "FPT=A", "FPO=2A", "ACT_EST_MAPPING=PRECISE", "FS=MRC", "CURRENCY=USD", "XLFILL=b")</f>
        <v>63.088089069154428</v>
      </c>
      <c r="I172" s="9">
        <f>_xll.BQL("LUV US Equity", "FA_GROWTH(AIRLINES_EBITDAR_RATIO, YOY)", "FPT=A", "FPO=1A", "ACT_EST_MAPPING=PRECISE", "FS=MRC", "CURRENCY=USD", "XLFILL=b")</f>
        <v>-24.80481665485787</v>
      </c>
      <c r="J172" s="9">
        <f>_xll.BQL("LUV US Equity", "FA_GROWTH(AIRLINES_EBITDAR_RATIO, YOY)", "FPT=A", "FPO=0A", "ACT_EST_MAPPING=PRECISE", "FS=MRC", "CURRENCY=USD", "XLFILL=b")</f>
        <v>-23.217689668318719</v>
      </c>
      <c r="K172" s="9">
        <f>_xll.BQL("LUV US Equity", "FA_GROWTH(AIRLINES_EBITDAR_RATIO, YOY)", "FPT=A", "FPO=-1A", "ACT_EST_MAPPING=PRECISE", "FS=MRC", "CURRENCY=USD", "XLFILL=b")</f>
        <v>-18.968180413963548</v>
      </c>
      <c r="L172" s="9">
        <f>_xll.BQL("LUV US Equity", "FA_GROWTH(AIRLINES_EBITDAR_RATIO, YOY)", "FPT=A", "FPO=-2A", "ACT_EST_MAPPING=PRECISE", "FS=MRC", "CURRENCY=USD", "XLFILL=b")</f>
        <v>238.68894601542416</v>
      </c>
      <c r="M172" s="9">
        <f>_xll.BQL("LUV US Equity", "FA_GROWTH(AIRLINES_EBITDAR_RATIO, YOY)", "FPT=A", "FPO=-3A", "ACT_EST_MAPPING=PRECISE", "FS=MRC", "CURRENCY=USD", "XLFILL=b")</f>
        <v>-153.65517241379311</v>
      </c>
      <c r="N172" s="9">
        <f>_xll.BQL("LUV US Equity", "FA_GROWTH(AIRLINES_EBITDAR_RATIO, YOY)", "FPT=A", "FPO=-4A", "ACT_EST_MAPPING=PRECISE", "FS=MRC", "CURRENCY=USD", "XLFILL=b")</f>
        <v>-1.2933968686181077</v>
      </c>
    </row>
    <row r="173" spans="1:14" x14ac:dyDescent="0.2">
      <c r="A173" s="8" t="s">
        <v>16</v>
      </c>
      <c r="B173" s="4"/>
      <c r="C173" s="4"/>
      <c r="D173" s="4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1:14" x14ac:dyDescent="0.2">
      <c r="A174" s="8" t="s">
        <v>163</v>
      </c>
      <c r="B174" s="4" t="s">
        <v>164</v>
      </c>
      <c r="C174" s="4" t="s">
        <v>165</v>
      </c>
      <c r="D174" s="4"/>
      <c r="E174" s="9">
        <f>_xll.BQL("LUV US Equity", "IS_NON_OPERATING_INC_LOSS_GAAP/1M", "FPT=A", "FPO=5A", "ACT_EST_MAPPING=PRECISE", "FS=MRC", "CURRENCY=USD", "XLFILL=b")</f>
        <v>11.998980454112486</v>
      </c>
      <c r="F174" s="9">
        <f>_xll.BQL("LUV US Equity", "IS_NON_OPERATING_INC_LOSS_GAAP/1M", "FPT=A", "FPO=4A", "ACT_EST_MAPPING=PRECISE", "FS=MRC", "CURRENCY=USD", "XLFILL=b")</f>
        <v>-22.106249348058522</v>
      </c>
      <c r="G174" s="9">
        <f>_xll.BQL("LUV US Equity", "IS_NON_OPERATING_INC_LOSS_GAAP/1M", "FPT=A", "FPO=3A", "ACT_EST_MAPPING=PRECISE", "FS=MRC", "CURRENCY=USD", "XLFILL=b")</f>
        <v>-125.32981852647876</v>
      </c>
      <c r="H174" s="9">
        <f>_xll.BQL("LUV US Equity", "IS_NON_OPERATING_INC_LOSS_GAAP/1M", "FPT=A", "FPO=2A", "ACT_EST_MAPPING=PRECISE", "FS=MRC", "CURRENCY=USD", "XLFILL=b")</f>
        <v>-133.8002184910826</v>
      </c>
      <c r="I174" s="9">
        <f>_xll.BQL("LUV US Equity", "IS_NON_OPERATING_INC_LOSS_GAAP/1M", "FPT=A", "FPO=1A", "ACT_EST_MAPPING=PRECISE", "FS=MRC", "CURRENCY=USD", "XLFILL=b")</f>
        <v>-171.95970527706228</v>
      </c>
      <c r="J174" s="9">
        <f>_xll.BQL("LUV US Equity", "IS_NON_OPERATING_INC_LOSS_GAAP/1M", "FPT=A", "FPO=0A", "ACT_EST_MAPPING=PRECISE", "FS=MRC", "CURRENCY=USD", "XLFILL=b")</f>
        <v>-409</v>
      </c>
      <c r="K174" s="9">
        <f>_xll.BQL("LUV US Equity", "IS_NON_OPERATING_INC_LOSS_GAAP/1M", "FPT=A", "FPO=-1A", "ACT_EST_MAPPING=PRECISE", "FS=MRC", "CURRENCY=USD", "XLFILL=b")</f>
        <v>289</v>
      </c>
      <c r="L174" s="9">
        <f>_xll.BQL("LUV US Equity", "IS_NON_OPERATING_INC_LOSS_GAAP/1M", "FPT=A", "FPO=-2A", "ACT_EST_MAPPING=PRECISE", "FS=MRC", "CURRENCY=USD", "XLFILL=b")</f>
        <v>396</v>
      </c>
      <c r="M174" s="9">
        <f>_xll.BQL("LUV US Equity", "IS_NON_OPERATING_INC_LOSS_GAAP/1M", "FPT=A", "FPO=-3A", "ACT_EST_MAPPING=PRECISE", "FS=MRC", "CURRENCY=USD", "XLFILL=b")</f>
        <v>440</v>
      </c>
      <c r="N174" s="9">
        <f>_xll.BQL("LUV US Equity", "IS_NON_OPERATING_INC_LOSS_GAAP/1M", "FPT=A", "FPO=-4A", "ACT_EST_MAPPING=PRECISE", "FS=MRC", "CURRENCY=USD", "XLFILL=b")</f>
        <v>0</v>
      </c>
    </row>
    <row r="175" spans="1:14" x14ac:dyDescent="0.2">
      <c r="A175" s="8" t="s">
        <v>12</v>
      </c>
      <c r="B175" s="4" t="s">
        <v>164</v>
      </c>
      <c r="C175" s="4" t="s">
        <v>165</v>
      </c>
      <c r="D175" s="4"/>
      <c r="E175" s="9">
        <f>_xll.BQL("LUV US Equity", "FA_GROWTH(IS_NON_OPERATING_INC_LOSS_GAAP, YOY)", "FPT=A", "FPO=5A", "ACT_EST_MAPPING=PRECISE", "FS=MRC", "CURRENCY=USD", "XLFILL=b")</f>
        <v>154.27868049975783</v>
      </c>
      <c r="F175" s="9">
        <f>_xll.BQL("LUV US Equity", "FA_GROWTH(IS_NON_OPERATING_INC_LOSS_GAAP, YOY)", "FPT=A", "FPO=4A", "ACT_EST_MAPPING=PRECISE", "FS=MRC", "CURRENCY=USD", "XLFILL=b")</f>
        <v>82.361540447464961</v>
      </c>
      <c r="G175" s="9">
        <f>_xll.BQL("LUV US Equity", "FA_GROWTH(IS_NON_OPERATING_INC_LOSS_GAAP, YOY)", "FPT=A", "FPO=3A", "ACT_EST_MAPPING=PRECISE", "FS=MRC", "CURRENCY=USD", "XLFILL=b")</f>
        <v>6.3306323862007412</v>
      </c>
      <c r="H175" s="9">
        <f>_xll.BQL("LUV US Equity", "FA_GROWTH(IS_NON_OPERATING_INC_LOSS_GAAP, YOY)", "FPT=A", "FPO=2A", "ACT_EST_MAPPING=PRECISE", "FS=MRC", "CURRENCY=USD", "XLFILL=b")</f>
        <v>22.190946841003804</v>
      </c>
      <c r="I175" s="9">
        <f>_xll.BQL("LUV US Equity", "FA_GROWTH(IS_NON_OPERATING_INC_LOSS_GAAP, YOY)", "FPT=A", "FPO=1A", "ACT_EST_MAPPING=PRECISE", "FS=MRC", "CURRENCY=USD", "XLFILL=b")</f>
        <v>57.956062279446869</v>
      </c>
      <c r="J175" s="9">
        <f>_xll.BQL("LUV US Equity", "FA_GROWTH(IS_NON_OPERATING_INC_LOSS_GAAP, YOY)", "FPT=A", "FPO=0A", "ACT_EST_MAPPING=PRECISE", "FS=MRC", "CURRENCY=USD", "XLFILL=b")</f>
        <v>-241.52249134948096</v>
      </c>
      <c r="K175" s="9">
        <f>_xll.BQL("LUV US Equity", "FA_GROWTH(IS_NON_OPERATING_INC_LOSS_GAAP, YOY)", "FPT=A", "FPO=-1A", "ACT_EST_MAPPING=PRECISE", "FS=MRC", "CURRENCY=USD", "XLFILL=b")</f>
        <v>-27.020202020202021</v>
      </c>
      <c r="L175" s="9">
        <f>_xll.BQL("LUV US Equity", "FA_GROWTH(IS_NON_OPERATING_INC_LOSS_GAAP, YOY)", "FPT=A", "FPO=-2A", "ACT_EST_MAPPING=PRECISE", "FS=MRC", "CURRENCY=USD", "XLFILL=b")</f>
        <v>-10</v>
      </c>
      <c r="M175" s="9" t="str">
        <f>_xll.BQL("LUV US Equity", "FA_GROWTH(IS_NON_OPERATING_INC_LOSS_GAAP, YOY)", "FPT=A", "FPO=-3A", "ACT_EST_MAPPING=PRECISE", "FS=MRC", "CURRENCY=USD", "XLFILL=b")</f>
        <v/>
      </c>
      <c r="N175" s="9">
        <f>_xll.BQL("LUV US Equity", "FA_GROWTH(IS_NON_OPERATING_INC_LOSS_GAAP, YOY)", "FPT=A", "FPO=-4A", "ACT_EST_MAPPING=PRECISE", "FS=MRC", "CURRENCY=USD", "XLFILL=b")</f>
        <v>-100</v>
      </c>
    </row>
    <row r="176" spans="1:14" x14ac:dyDescent="0.2">
      <c r="A176" s="8" t="s">
        <v>166</v>
      </c>
      <c r="B176" s="4" t="s">
        <v>167</v>
      </c>
      <c r="C176" s="4" t="s">
        <v>168</v>
      </c>
      <c r="D176" s="4"/>
      <c r="E176" s="9">
        <f>_xll.BQL("LUV US Equity", "TOT_INT_EXP/1M", "FPT=A", "FPO=5A", "ACT_EST_MAPPING=PRECISE", "FS=MRC", "CURRENCY=USD", "XLFILL=b")</f>
        <v>273.27331561121611</v>
      </c>
      <c r="F176" s="9">
        <f>_xll.BQL("LUV US Equity", "TOT_INT_EXP/1M", "FPT=A", "FPO=4A", "ACT_EST_MAPPING=PRECISE", "FS=MRC", "CURRENCY=USD", "XLFILL=b")</f>
        <v>278.64069959042223</v>
      </c>
      <c r="G176" s="9">
        <f>_xll.BQL("LUV US Equity", "TOT_INT_EXP/1M", "FPT=A", "FPO=3A", "ACT_EST_MAPPING=PRECISE", "FS=MRC", "CURRENCY=USD", "XLFILL=b")</f>
        <v>247.18370468488149</v>
      </c>
      <c r="H176" s="9">
        <f>_xll.BQL("LUV US Equity", "TOT_INT_EXP/1M", "FPT=A", "FPO=2A", "ACT_EST_MAPPING=PRECISE", "FS=MRC", "CURRENCY=USD", "XLFILL=b")</f>
        <v>247.85368914275884</v>
      </c>
      <c r="I176" s="9">
        <f>_xll.BQL("LUV US Equity", "TOT_INT_EXP/1M", "FPT=A", "FPO=1A", "ACT_EST_MAPPING=PRECISE", "FS=MRC", "CURRENCY=USD", "XLFILL=b")</f>
        <v>251.98774131536103</v>
      </c>
      <c r="J176" s="9">
        <f>_xll.BQL("LUV US Equity", "TOT_INT_EXP/1M", "FPT=A", "FPO=0A", "ACT_EST_MAPPING=PRECISE", "FS=MRC", "CURRENCY=USD", "XLFILL=b")</f>
        <v>259</v>
      </c>
      <c r="K176" s="9">
        <f>_xll.BQL("LUV US Equity", "TOT_INT_EXP/1M", "FPT=A", "FPO=-1A", "ACT_EST_MAPPING=PRECISE", "FS=MRC", "CURRENCY=USD", "XLFILL=b")</f>
        <v>340</v>
      </c>
      <c r="L176" s="9">
        <f>_xll.BQL("LUV US Equity", "TOT_INT_EXP/1M", "FPT=A", "FPO=-2A", "ACT_EST_MAPPING=PRECISE", "FS=MRC", "CURRENCY=USD", "XLFILL=b")</f>
        <v>467</v>
      </c>
      <c r="M176" s="9">
        <f>_xll.BQL("LUV US Equity", "TOT_INT_EXP/1M", "FPT=A", "FPO=-3A", "ACT_EST_MAPPING=PRECISE", "FS=MRC", "CURRENCY=USD", "XLFILL=b")</f>
        <v>349</v>
      </c>
      <c r="N176" s="9">
        <f>_xll.BQL("LUV US Equity", "TOT_INT_EXP/1M", "FPT=A", "FPO=-4A", "ACT_EST_MAPPING=PRECISE", "FS=MRC", "CURRENCY=USD", "XLFILL=b")</f>
        <v>118</v>
      </c>
    </row>
    <row r="177" spans="1:14" x14ac:dyDescent="0.2">
      <c r="A177" s="8" t="s">
        <v>21</v>
      </c>
      <c r="B177" s="4" t="s">
        <v>167</v>
      </c>
      <c r="C177" s="4" t="s">
        <v>168</v>
      </c>
      <c r="D177" s="4"/>
      <c r="E177" s="9">
        <f>_xll.BQL("LUV US Equity", "FA_GROWTH(TOT_INT_EXP, YOY)", "FPT=A", "FPO=5A", "ACT_EST_MAPPING=PRECISE", "FS=MRC", "CURRENCY=USD", "XLFILL=b")</f>
        <v>-1.9262742259460577</v>
      </c>
      <c r="F177" s="9">
        <f>_xll.BQL("LUV US Equity", "FA_GROWTH(TOT_INT_EXP, YOY)", "FPT=A", "FPO=4A", "ACT_EST_MAPPING=PRECISE", "FS=MRC", "CURRENCY=USD", "XLFILL=b")</f>
        <v>12.726160466622677</v>
      </c>
      <c r="G177" s="9">
        <f>_xll.BQL("LUV US Equity", "FA_GROWTH(TOT_INT_EXP, YOY)", "FPT=A", "FPO=3A", "ACT_EST_MAPPING=PRECISE", "FS=MRC", "CURRENCY=USD", "XLFILL=b")</f>
        <v>-0.27031449892661064</v>
      </c>
      <c r="H177" s="9">
        <f>_xll.BQL("LUV US Equity", "FA_GROWTH(TOT_INT_EXP, YOY)", "FPT=A", "FPO=2A", "ACT_EST_MAPPING=PRECISE", "FS=MRC", "CURRENCY=USD", "XLFILL=b")</f>
        <v>-1.6405767006849898</v>
      </c>
      <c r="I177" s="9">
        <f>_xll.BQL("LUV US Equity", "FA_GROWTH(TOT_INT_EXP, YOY)", "FPT=A", "FPO=1A", "ACT_EST_MAPPING=PRECISE", "FS=MRC", "CURRENCY=USD", "XLFILL=b")</f>
        <v>-2.7074357855748947</v>
      </c>
      <c r="J177" s="9">
        <f>_xll.BQL("LUV US Equity", "FA_GROWTH(TOT_INT_EXP, YOY)", "FPT=A", "FPO=0A", "ACT_EST_MAPPING=PRECISE", "FS=MRC", "CURRENCY=USD", "XLFILL=b")</f>
        <v>-23.823529411764707</v>
      </c>
      <c r="K177" s="9">
        <f>_xll.BQL("LUV US Equity", "FA_GROWTH(TOT_INT_EXP, YOY)", "FPT=A", "FPO=-1A", "ACT_EST_MAPPING=PRECISE", "FS=MRC", "CURRENCY=USD", "XLFILL=b")</f>
        <v>-27.194860813704498</v>
      </c>
      <c r="L177" s="9">
        <f>_xll.BQL("LUV US Equity", "FA_GROWTH(TOT_INT_EXP, YOY)", "FPT=A", "FPO=-2A", "ACT_EST_MAPPING=PRECISE", "FS=MRC", "CURRENCY=USD", "XLFILL=b")</f>
        <v>33.810888252148999</v>
      </c>
      <c r="M177" s="9">
        <f>_xll.BQL("LUV US Equity", "FA_GROWTH(TOT_INT_EXP, YOY)", "FPT=A", "FPO=-3A", "ACT_EST_MAPPING=PRECISE", "FS=MRC", "CURRENCY=USD", "XLFILL=b")</f>
        <v>195.76271186440678</v>
      </c>
      <c r="N177" s="9">
        <f>_xll.BQL("LUV US Equity", "FA_GROWTH(TOT_INT_EXP, YOY)", "FPT=A", "FPO=-4A", "ACT_EST_MAPPING=PRECISE", "FS=MRC", "CURRENCY=USD", "XLFILL=b")</f>
        <v>-9.9236641221374047</v>
      </c>
    </row>
    <row r="178" spans="1:14" x14ac:dyDescent="0.2">
      <c r="A178" s="8" t="s">
        <v>169</v>
      </c>
      <c r="B178" s="4" t="s">
        <v>170</v>
      </c>
      <c r="C178" s="4"/>
      <c r="D178" s="4"/>
      <c r="E178" s="9">
        <f>_xll.BQL("LUV US Equity", "IS_CAP_INT_EXP/1M", "FPT=A", "FPO=5A", "ACT_EST_MAPPING=PRECISE", "FS=MRC", "CURRENCY=USD", "XLFILL=b")</f>
        <v>22.922775166470821</v>
      </c>
      <c r="F178" s="9">
        <f>_xll.BQL("LUV US Equity", "IS_CAP_INT_EXP/1M", "FPT=A", "FPO=4A", "ACT_EST_MAPPING=PRECISE", "FS=MRC", "CURRENCY=USD", "XLFILL=b")</f>
        <v>26.002837538137928</v>
      </c>
      <c r="G178" s="9">
        <f>_xll.BQL("LUV US Equity", "IS_CAP_INT_EXP/1M", "FPT=A", "FPO=3A", "ACT_EST_MAPPING=PRECISE", "FS=MRC", "CURRENCY=USD", "XLFILL=b")</f>
        <v>28.790996948420361</v>
      </c>
      <c r="H178" s="9">
        <f>_xll.BQL("LUV US Equity", "IS_CAP_INT_EXP/1M", "FPT=A", "FPO=2A", "ACT_EST_MAPPING=PRECISE", "FS=MRC", "CURRENCY=USD", "XLFILL=b")</f>
        <v>27.590446956255555</v>
      </c>
      <c r="I178" s="9">
        <f>_xll.BQL("LUV US Equity", "IS_CAP_INT_EXP/1M", "FPT=A", "FPO=1A", "ACT_EST_MAPPING=PRECISE", "FS=MRC", "CURRENCY=USD", "XLFILL=b")</f>
        <v>26.740165199608729</v>
      </c>
      <c r="J178" s="9">
        <f>_xll.BQL("LUV US Equity", "IS_CAP_INT_EXP/1M", "FPT=A", "FPO=0A", "ACT_EST_MAPPING=PRECISE", "FS=MRC", "CURRENCY=USD", "XLFILL=b")</f>
        <v>23</v>
      </c>
      <c r="K178" s="9">
        <f>_xll.BQL("LUV US Equity", "IS_CAP_INT_EXP/1M", "FPT=A", "FPO=-1A", "ACT_EST_MAPPING=PRECISE", "FS=MRC", "CURRENCY=USD", "XLFILL=b")</f>
        <v>39</v>
      </c>
      <c r="L178" s="9">
        <f>_xll.BQL("LUV US Equity", "IS_CAP_INT_EXP/1M", "FPT=A", "FPO=-2A", "ACT_EST_MAPPING=PRECISE", "FS=MRC", "CURRENCY=USD", "XLFILL=b")</f>
        <v>36</v>
      </c>
      <c r="M178" s="9">
        <f>_xll.BQL("LUV US Equity", "IS_CAP_INT_EXP/1M", "FPT=A", "FPO=-3A", "ACT_EST_MAPPING=PRECISE", "FS=MRC", "CURRENCY=USD", "XLFILL=b")</f>
        <v>35</v>
      </c>
      <c r="N178" s="9">
        <f>_xll.BQL("LUV US Equity", "IS_CAP_INT_EXP/1M", "FPT=A", "FPO=-4A", "ACT_EST_MAPPING=PRECISE", "FS=MRC", "CURRENCY=USD", "XLFILL=b")</f>
        <v>36</v>
      </c>
    </row>
    <row r="179" spans="1:14" x14ac:dyDescent="0.2">
      <c r="A179" s="8" t="s">
        <v>21</v>
      </c>
      <c r="B179" s="4" t="s">
        <v>170</v>
      </c>
      <c r="C179" s="4"/>
      <c r="D179" s="4"/>
      <c r="E179" s="9">
        <f>_xll.BQL("LUV US Equity", "FA_GROWTH(IS_CAP_INT_EXP, YOY)", "FPT=A", "FPO=5A", "ACT_EST_MAPPING=PRECISE", "FS=MRC", "CURRENCY=USD", "XLFILL=b")</f>
        <v>-11.845101009263429</v>
      </c>
      <c r="F179" s="9">
        <f>_xll.BQL("LUV US Equity", "FA_GROWTH(IS_CAP_INT_EXP, YOY)", "FPT=A", "FPO=4A", "ACT_EST_MAPPING=PRECISE", "FS=MRC", "CURRENCY=USD", "XLFILL=b")</f>
        <v>-9.684136382208214</v>
      </c>
      <c r="G179" s="9">
        <f>_xll.BQL("LUV US Equity", "FA_GROWTH(IS_CAP_INT_EXP, YOY)", "FPT=A", "FPO=3A", "ACT_EST_MAPPING=PRECISE", "FS=MRC", "CURRENCY=USD", "XLFILL=b")</f>
        <v>4.3513249135407932</v>
      </c>
      <c r="H179" s="9">
        <f>_xll.BQL("LUV US Equity", "FA_GROWTH(IS_CAP_INT_EXP, YOY)", "FPT=A", "FPO=2A", "ACT_EST_MAPPING=PRECISE", "FS=MRC", "CURRENCY=USD", "XLFILL=b")</f>
        <v>3.1797924593946356</v>
      </c>
      <c r="I179" s="9">
        <f>_xll.BQL("LUV US Equity", "FA_GROWTH(IS_CAP_INT_EXP, YOY)", "FPT=A", "FPO=1A", "ACT_EST_MAPPING=PRECISE", "FS=MRC", "CURRENCY=USD", "XLFILL=b")</f>
        <v>16.261587824385774</v>
      </c>
      <c r="J179" s="9">
        <f>_xll.BQL("LUV US Equity", "FA_GROWTH(IS_CAP_INT_EXP, YOY)", "FPT=A", "FPO=0A", "ACT_EST_MAPPING=PRECISE", "FS=MRC", "CURRENCY=USD", "XLFILL=b")</f>
        <v>-41.025641025641029</v>
      </c>
      <c r="K179" s="9">
        <f>_xll.BQL("LUV US Equity", "FA_GROWTH(IS_CAP_INT_EXP, YOY)", "FPT=A", "FPO=-1A", "ACT_EST_MAPPING=PRECISE", "FS=MRC", "CURRENCY=USD", "XLFILL=b")</f>
        <v>8.3333333333333339</v>
      </c>
      <c r="L179" s="9">
        <f>_xll.BQL("LUV US Equity", "FA_GROWTH(IS_CAP_INT_EXP, YOY)", "FPT=A", "FPO=-2A", "ACT_EST_MAPPING=PRECISE", "FS=MRC", "CURRENCY=USD", "XLFILL=b")</f>
        <v>2.8571428571428572</v>
      </c>
      <c r="M179" s="9">
        <f>_xll.BQL("LUV US Equity", "FA_GROWTH(IS_CAP_INT_EXP, YOY)", "FPT=A", "FPO=-3A", "ACT_EST_MAPPING=PRECISE", "FS=MRC", "CURRENCY=USD", "XLFILL=b")</f>
        <v>-2.7777777777777777</v>
      </c>
      <c r="N179" s="9">
        <f>_xll.BQL("LUV US Equity", "FA_GROWTH(IS_CAP_INT_EXP, YOY)", "FPT=A", "FPO=-4A", "ACT_EST_MAPPING=PRECISE", "FS=MRC", "CURRENCY=USD", "XLFILL=b")</f>
        <v>-5.2631578947368425</v>
      </c>
    </row>
    <row r="180" spans="1:14" x14ac:dyDescent="0.2">
      <c r="A180" s="8" t="s">
        <v>171</v>
      </c>
      <c r="B180" s="4" t="s">
        <v>172</v>
      </c>
      <c r="C180" s="4" t="s">
        <v>173</v>
      </c>
      <c r="D180" s="4"/>
      <c r="E180" s="9">
        <f>_xll.BQL("LUV US Equity", "IS_INT_INC/1M", "FPT=A", "FPO=5A", "ACT_EST_MAPPING=PRECISE", "FS=MRC", "CURRENCY=USD", "XLFILL=b")</f>
        <v>264.69439070766089</v>
      </c>
      <c r="F180" s="9">
        <f>_xll.BQL("LUV US Equity", "IS_INT_INC/1M", "FPT=A", "FPO=4A", "ACT_EST_MAPPING=PRECISE", "FS=MRC", "CURRENCY=USD", "XLFILL=b")</f>
        <v>301.52123191029648</v>
      </c>
      <c r="G180" s="9">
        <f>_xll.BQL("LUV US Equity", "IS_INT_INC/1M", "FPT=A", "FPO=3A", "ACT_EST_MAPPING=PRECISE", "FS=MRC", "CURRENCY=USD", "XLFILL=b")</f>
        <v>400.12262834091291</v>
      </c>
      <c r="H180" s="9">
        <f>_xll.BQL("LUV US Equity", "IS_INT_INC/1M", "FPT=A", "FPO=2A", "ACT_EST_MAPPING=PRECISE", "FS=MRC", "CURRENCY=USD", "XLFILL=b")</f>
        <v>434.90302616855411</v>
      </c>
      <c r="I180" s="9">
        <f>_xll.BQL("LUV US Equity", "IS_INT_INC/1M", "FPT=A", "FPO=1A", "ACT_EST_MAPPING=PRECISE", "FS=MRC", "CURRENCY=USD", "XLFILL=b")</f>
        <v>497.63428791070248</v>
      </c>
      <c r="J180" s="9">
        <f>_xll.BQL("LUV US Equity", "IS_INT_INC/1M", "FPT=A", "FPO=0A", "ACT_EST_MAPPING=PRECISE", "FS=MRC", "CURRENCY=USD", "XLFILL=b")</f>
        <v>583</v>
      </c>
      <c r="K180" s="9">
        <f>_xll.BQL("LUV US Equity", "IS_INT_INC/1M", "FPT=A", "FPO=-1A", "ACT_EST_MAPPING=PRECISE", "FS=MRC", "CURRENCY=USD", "XLFILL=b")</f>
        <v>217</v>
      </c>
      <c r="L180" s="9">
        <f>_xll.BQL("LUV US Equity", "IS_INT_INC/1M", "FPT=A", "FPO=-2A", "ACT_EST_MAPPING=PRECISE", "FS=MRC", "CURRENCY=USD", "XLFILL=b")</f>
        <v>13</v>
      </c>
      <c r="M180" s="9">
        <f>_xll.BQL("LUV US Equity", "IS_INT_INC/1M", "FPT=A", "FPO=-3A", "ACT_EST_MAPPING=PRECISE", "FS=MRC", "CURRENCY=USD", "XLFILL=b")</f>
        <v>32</v>
      </c>
      <c r="N180" s="9">
        <f>_xll.BQL("LUV US Equity", "IS_INT_INC/1M", "FPT=A", "FPO=-4A", "ACT_EST_MAPPING=PRECISE", "FS=MRC", "CURRENCY=USD", "XLFILL=b")</f>
        <v>90</v>
      </c>
    </row>
    <row r="181" spans="1:14" x14ac:dyDescent="0.2">
      <c r="A181" s="8" t="s">
        <v>21</v>
      </c>
      <c r="B181" s="4" t="s">
        <v>172</v>
      </c>
      <c r="C181" s="4" t="s">
        <v>173</v>
      </c>
      <c r="D181" s="4"/>
      <c r="E181" s="9">
        <f>_xll.BQL("LUV US Equity", "FA_GROWTH(IS_INT_INC, YOY)", "FPT=A", "FPO=5A", "ACT_EST_MAPPING=PRECISE", "FS=MRC", "CURRENCY=USD", "XLFILL=b")</f>
        <v>-12.213680930300685</v>
      </c>
      <c r="F181" s="9">
        <f>_xll.BQL("LUV US Equity", "FA_GROWTH(IS_INT_INC, YOY)", "FPT=A", "FPO=4A", "ACT_EST_MAPPING=PRECISE", "FS=MRC", "CURRENCY=USD", "XLFILL=b")</f>
        <v>-24.642794345189085</v>
      </c>
      <c r="G181" s="9">
        <f>_xll.BQL("LUV US Equity", "FA_GROWTH(IS_INT_INC, YOY)", "FPT=A", "FPO=3A", "ACT_EST_MAPPING=PRECISE", "FS=MRC", "CURRENCY=USD", "XLFILL=b")</f>
        <v>-7.9972765731368929</v>
      </c>
      <c r="H181" s="9">
        <f>_xll.BQL("LUV US Equity", "FA_GROWTH(IS_INT_INC, YOY)", "FPT=A", "FPO=2A", "ACT_EST_MAPPING=PRECISE", "FS=MRC", "CURRENCY=USD", "XLFILL=b")</f>
        <v>-12.605896190458061</v>
      </c>
      <c r="I181" s="9">
        <f>_xll.BQL("LUV US Equity", "FA_GROWTH(IS_INT_INC, YOY)", "FPT=A", "FPO=1A", "ACT_EST_MAPPING=PRECISE", "FS=MRC", "CURRENCY=USD", "XLFILL=b")</f>
        <v>-14.642489209141944</v>
      </c>
      <c r="J181" s="9">
        <f>_xll.BQL("LUV US Equity", "FA_GROWTH(IS_INT_INC, YOY)", "FPT=A", "FPO=0A", "ACT_EST_MAPPING=PRECISE", "FS=MRC", "CURRENCY=USD", "XLFILL=b")</f>
        <v>168.66359447004609</v>
      </c>
      <c r="K181" s="9">
        <f>_xll.BQL("LUV US Equity", "FA_GROWTH(IS_INT_INC, YOY)", "FPT=A", "FPO=-1A", "ACT_EST_MAPPING=PRECISE", "FS=MRC", "CURRENCY=USD", "XLFILL=b")</f>
        <v>1569.2307692307693</v>
      </c>
      <c r="L181" s="9">
        <f>_xll.BQL("LUV US Equity", "FA_GROWTH(IS_INT_INC, YOY)", "FPT=A", "FPO=-2A", "ACT_EST_MAPPING=PRECISE", "FS=MRC", "CURRENCY=USD", "XLFILL=b")</f>
        <v>-59.375</v>
      </c>
      <c r="M181" s="9">
        <f>_xll.BQL("LUV US Equity", "FA_GROWTH(IS_INT_INC, YOY)", "FPT=A", "FPO=-3A", "ACT_EST_MAPPING=PRECISE", "FS=MRC", "CURRENCY=USD", "XLFILL=b")</f>
        <v>-64.444444444444443</v>
      </c>
      <c r="N181" s="9">
        <f>_xll.BQL("LUV US Equity", "FA_GROWTH(IS_INT_INC, YOY)", "FPT=A", "FPO=-4A", "ACT_EST_MAPPING=PRECISE", "FS=MRC", "CURRENCY=USD", "XLFILL=b")</f>
        <v>30.434782608695652</v>
      </c>
    </row>
    <row r="182" spans="1:14" x14ac:dyDescent="0.2">
      <c r="A182" s="8" t="s">
        <v>174</v>
      </c>
      <c r="B182" s="4" t="s">
        <v>175</v>
      </c>
      <c r="C182" s="4" t="s">
        <v>176</v>
      </c>
      <c r="D182" s="4"/>
      <c r="E182" s="9">
        <f>_xll.BQL("LUV US Equity", "CB_IS_ADJ_NONOP_INC_EXPN/1M", "FPT=A", "FPO=5A", "ACT_EST_MAPPING=PRECISE", "FS=MRC", "CURRENCY=USD", "XLFILL=b")</f>
        <v>-32</v>
      </c>
      <c r="F182" s="9">
        <f>_xll.BQL("LUV US Equity", "CB_IS_ADJ_NONOP_INC_EXPN/1M", "FPT=A", "FPO=4A", "ACT_EST_MAPPING=PRECISE", "FS=MRC", "CURRENCY=USD", "XLFILL=b")</f>
        <v>-60</v>
      </c>
      <c r="G182" s="9">
        <f>_xll.BQL("LUV US Equity", "CB_IS_ADJ_NONOP_INC_EXPN/1M", "FPT=A", "FPO=3A", "ACT_EST_MAPPING=PRECISE", "FS=MRC", "CURRENCY=USD", "XLFILL=b")</f>
        <v>-9.6943247906394152</v>
      </c>
      <c r="H182" s="9">
        <f>_xll.BQL("LUV US Equity", "CB_IS_ADJ_NONOP_INC_EXPN/1M", "FPT=A", "FPO=2A", "ACT_EST_MAPPING=PRECISE", "FS=MRC", "CURRENCY=USD", "XLFILL=b")</f>
        <v>6.1652365950931056</v>
      </c>
      <c r="I182" s="9">
        <f>_xll.BQL("LUV US Equity", "CB_IS_ADJ_NONOP_INC_EXPN/1M", "FPT=A", "FPO=1A", "ACT_EST_MAPPING=PRECISE", "FS=MRC", "CURRENCY=USD", "XLFILL=b")</f>
        <v>-29.150791362459966</v>
      </c>
      <c r="J182" s="9">
        <f>_xll.BQL("LUV US Equity", "CB_IS_ADJ_NONOP_INC_EXPN/1M", "FPT=A", "FPO=0A", "ACT_EST_MAPPING=PRECISE", "FS=MRC", "CURRENCY=USD", "XLFILL=b")</f>
        <v>-41</v>
      </c>
      <c r="K182" s="9">
        <f>_xll.BQL("LUV US Equity", "CB_IS_ADJ_NONOP_INC_EXPN/1M", "FPT=A", "FPO=-1A", "ACT_EST_MAPPING=PRECISE", "FS=MRC", "CURRENCY=USD", "XLFILL=b")</f>
        <v>77</v>
      </c>
      <c r="L182" s="9">
        <f>_xll.BQL("LUV US Equity", "CB_IS_ADJ_NONOP_INC_EXPN/1M", "FPT=A", "FPO=-2A", "ACT_EST_MAPPING=PRECISE", "FS=MRC", "CURRENCY=USD", "XLFILL=b")</f>
        <v>-86</v>
      </c>
      <c r="M182" s="9">
        <f>_xll.BQL("LUV US Equity", "CB_IS_ADJ_NONOP_INC_EXPN/1M", "FPT=A", "FPO=-3A", "ACT_EST_MAPPING=PRECISE", "FS=MRC", "CURRENCY=USD", "XLFILL=b")</f>
        <v>3</v>
      </c>
      <c r="N182" s="9">
        <f>_xll.BQL("LUV US Equity", "CB_IS_ADJ_NONOP_INC_EXPN/1M", "FPT=A", "FPO=-4A", "ACT_EST_MAPPING=PRECISE", "FS=MRC", "CURRENCY=USD", "XLFILL=b")</f>
        <v>8</v>
      </c>
    </row>
    <row r="183" spans="1:14" x14ac:dyDescent="0.2">
      <c r="A183" s="8" t="s">
        <v>21</v>
      </c>
      <c r="B183" s="4" t="s">
        <v>175</v>
      </c>
      <c r="C183" s="4" t="s">
        <v>176</v>
      </c>
      <c r="D183" s="4"/>
      <c r="E183" s="9">
        <f>_xll.BQL("LUV US Equity", "FA_GROWTH(CB_IS_ADJ_NONOP_INC_EXPN, YOY)", "FPT=A", "FPO=5A", "ACT_EST_MAPPING=PRECISE", "FS=MRC", "CURRENCY=USD", "XLFILL=b")</f>
        <v>46.666666666666664</v>
      </c>
      <c r="F183" s="9">
        <f>_xll.BQL("LUV US Equity", "FA_GROWTH(CB_IS_ADJ_NONOP_INC_EXPN, YOY)", "FPT=A", "FPO=4A", "ACT_EST_MAPPING=PRECISE", "FS=MRC", "CURRENCY=USD", "XLFILL=b")</f>
        <v>-518.91881379850622</v>
      </c>
      <c r="G183" s="9">
        <f>_xll.BQL("LUV US Equity", "FA_GROWTH(CB_IS_ADJ_NONOP_INC_EXPN, YOY)", "FPT=A", "FPO=3A", "ACT_EST_MAPPING=PRECISE", "FS=MRC", "CURRENCY=USD", "XLFILL=b")</f>
        <v>-257.24173178293108</v>
      </c>
      <c r="H183" s="9">
        <f>_xll.BQL("LUV US Equity", "FA_GROWTH(CB_IS_ADJ_NONOP_INC_EXPN, YOY)", "FPT=A", "FPO=2A", "ACT_EST_MAPPING=PRECISE", "FS=MRC", "CURRENCY=USD", "XLFILL=b")</f>
        <v>121.14946561290485</v>
      </c>
      <c r="I183" s="9">
        <f>_xll.BQL("LUV US Equity", "FA_GROWTH(CB_IS_ADJ_NONOP_INC_EXPN, YOY)", "FPT=A", "FPO=1A", "ACT_EST_MAPPING=PRECISE", "FS=MRC", "CURRENCY=USD", "XLFILL=b")</f>
        <v>28.900508872048867</v>
      </c>
      <c r="J183" s="9">
        <f>_xll.BQL("LUV US Equity", "FA_GROWTH(CB_IS_ADJ_NONOP_INC_EXPN, YOY)", "FPT=A", "FPO=0A", "ACT_EST_MAPPING=PRECISE", "FS=MRC", "CURRENCY=USD", "XLFILL=b")</f>
        <v>-153.24675324675326</v>
      </c>
      <c r="K183" s="9">
        <f>_xll.BQL("LUV US Equity", "FA_GROWTH(CB_IS_ADJ_NONOP_INC_EXPN, YOY)", "FPT=A", "FPO=-1A", "ACT_EST_MAPPING=PRECISE", "FS=MRC", "CURRENCY=USD", "XLFILL=b")</f>
        <v>189.53488372093022</v>
      </c>
      <c r="L183" s="9">
        <f>_xll.BQL("LUV US Equity", "FA_GROWTH(CB_IS_ADJ_NONOP_INC_EXPN, YOY)", "FPT=A", "FPO=-2A", "ACT_EST_MAPPING=PRECISE", "FS=MRC", "CURRENCY=USD", "XLFILL=b")</f>
        <v>-2966.6666666666665</v>
      </c>
      <c r="M183" s="9">
        <f>_xll.BQL("LUV US Equity", "FA_GROWTH(CB_IS_ADJ_NONOP_INC_EXPN, YOY)", "FPT=A", "FPO=-3A", "ACT_EST_MAPPING=PRECISE", "FS=MRC", "CURRENCY=USD", "XLFILL=b")</f>
        <v>-62.5</v>
      </c>
      <c r="N183" s="9">
        <f>_xll.BQL("LUV US Equity", "FA_GROWTH(CB_IS_ADJ_NONOP_INC_EXPN, YOY)", "FPT=A", "FPO=-4A", "ACT_EST_MAPPING=PRECISE", "FS=MRC", "CURRENCY=USD", "XLFILL=b")</f>
        <v>-55.555555555555557</v>
      </c>
    </row>
    <row r="184" spans="1:14" x14ac:dyDescent="0.2">
      <c r="A184" s="8" t="s">
        <v>177</v>
      </c>
      <c r="B184" s="4" t="s">
        <v>178</v>
      </c>
      <c r="C184" s="4"/>
      <c r="D184" s="4"/>
      <c r="E184" s="9" t="str">
        <f>_xll.BQL("LUV US Equity", "IS_OTHER_NONOP_INC_LOSS_GAAP/1M", "FPT=A", "FPO=5A", "ACT_EST_MAPPING=PRECISE", "FS=MRC", "CURRENCY=USD", "XLFILL=b")</f>
        <v/>
      </c>
      <c r="F184" s="9">
        <f>_xll.BQL("LUV US Equity", "IS_OTHER_NONOP_INC_LOSS_GAAP/1M", "FPT=A", "FPO=4A", "ACT_EST_MAPPING=PRECISE", "FS=MRC", "CURRENCY=USD", "XLFILL=b")</f>
        <v>11</v>
      </c>
      <c r="G184" s="9">
        <f>_xll.BQL("LUV US Equity", "IS_OTHER_NONOP_INC_LOSS_GAAP/1M", "FPT=A", "FPO=3A", "ACT_EST_MAPPING=PRECISE", "FS=MRC", "CURRENCY=USD", "XLFILL=b")</f>
        <v>-23</v>
      </c>
      <c r="H184" s="9">
        <f>_xll.BQL("LUV US Equity", "IS_OTHER_NONOP_INC_LOSS_GAAP/1M", "FPT=A", "FPO=2A", "ACT_EST_MAPPING=PRECISE", "FS=MRC", "CURRENCY=USD", "XLFILL=b")</f>
        <v>-15.5</v>
      </c>
      <c r="I184" s="9">
        <f>_xll.BQL("LUV US Equity", "IS_OTHER_NONOP_INC_LOSS_GAAP/1M", "FPT=A", "FPO=1A", "ACT_EST_MAPPING=PRECISE", "FS=MRC", "CURRENCY=USD", "XLFILL=b")</f>
        <v>-16.899999999999999</v>
      </c>
      <c r="J184" s="9">
        <f>_xll.BQL("LUV US Equity", "IS_OTHER_NONOP_INC_LOSS_GAAP/1M", "FPT=A", "FPO=0A", "ACT_EST_MAPPING=PRECISE", "FS=MRC", "CURRENCY=USD", "XLFILL=b")</f>
        <v>-62</v>
      </c>
      <c r="K184" s="9">
        <f>_xll.BQL("LUV US Equity", "IS_OTHER_NONOP_INC_LOSS_GAAP/1M", "FPT=A", "FPO=-1A", "ACT_EST_MAPPING=PRECISE", "FS=MRC", "CURRENCY=USD", "XLFILL=b")</f>
        <v>205</v>
      </c>
      <c r="L184" s="9">
        <f>_xll.BQL("LUV US Equity", "IS_OTHER_NONOP_INC_LOSS_GAAP/1M", "FPT=A", "FPO=-2A", "ACT_EST_MAPPING=PRECISE", "FS=MRC", "CURRENCY=USD", "XLFILL=b")</f>
        <v>-22</v>
      </c>
      <c r="M184" s="9">
        <f>_xll.BQL("LUV US Equity", "IS_OTHER_NONOP_INC_LOSS_GAAP/1M", "FPT=A", "FPO=-3A", "ACT_EST_MAPPING=PRECISE", "FS=MRC", "CURRENCY=USD", "XLFILL=b")</f>
        <v>158</v>
      </c>
      <c r="N184" s="9">
        <f>_xll.BQL("LUV US Equity", "IS_OTHER_NONOP_INC_LOSS_GAAP/1M", "FPT=A", "FPO=-4A", "ACT_EST_MAPPING=PRECISE", "FS=MRC", "CURRENCY=USD", "XLFILL=b")</f>
        <v>8</v>
      </c>
    </row>
    <row r="185" spans="1:14" x14ac:dyDescent="0.2">
      <c r="A185" s="8" t="s">
        <v>21</v>
      </c>
      <c r="B185" s="4" t="s">
        <v>178</v>
      </c>
      <c r="C185" s="4"/>
      <c r="D185" s="4"/>
      <c r="E185" s="9" t="str">
        <f>_xll.BQL("LUV US Equity", "FA_GROWTH(IS_OTHER_NONOP_INC_LOSS_GAAP, YOY)", "FPT=A", "FPO=5A", "ACT_EST_MAPPING=PRECISE", "FS=MRC", "CURRENCY=USD", "XLFILL=b")</f>
        <v/>
      </c>
      <c r="F185" s="9">
        <f>_xll.BQL("LUV US Equity", "FA_GROWTH(IS_OTHER_NONOP_INC_LOSS_GAAP, YOY)", "FPT=A", "FPO=4A", "ACT_EST_MAPPING=PRECISE", "FS=MRC", "CURRENCY=USD", "XLFILL=b")</f>
        <v>147.82608695652175</v>
      </c>
      <c r="G185" s="9">
        <f>_xll.BQL("LUV US Equity", "FA_GROWTH(IS_OTHER_NONOP_INC_LOSS_GAAP, YOY)", "FPT=A", "FPO=3A", "ACT_EST_MAPPING=PRECISE", "FS=MRC", "CURRENCY=USD", "XLFILL=b")</f>
        <v>-48.387096774193552</v>
      </c>
      <c r="H185" s="9">
        <f>_xll.BQL("LUV US Equity", "FA_GROWTH(IS_OTHER_NONOP_INC_LOSS_GAAP, YOY)", "FPT=A", "FPO=2A", "ACT_EST_MAPPING=PRECISE", "FS=MRC", "CURRENCY=USD", "XLFILL=b")</f>
        <v>8.2840236686390529</v>
      </c>
      <c r="I185" s="9">
        <f>_xll.BQL("LUV US Equity", "FA_GROWTH(IS_OTHER_NONOP_INC_LOSS_GAAP, YOY)", "FPT=A", "FPO=1A", "ACT_EST_MAPPING=PRECISE", "FS=MRC", "CURRENCY=USD", "XLFILL=b")</f>
        <v>72.741935483870961</v>
      </c>
      <c r="J185" s="9">
        <f>_xll.BQL("LUV US Equity", "FA_GROWTH(IS_OTHER_NONOP_INC_LOSS_GAAP, YOY)", "FPT=A", "FPO=0A", "ACT_EST_MAPPING=PRECISE", "FS=MRC", "CURRENCY=USD", "XLFILL=b")</f>
        <v>-130.2439024390244</v>
      </c>
      <c r="K185" s="9">
        <f>_xll.BQL("LUV US Equity", "FA_GROWTH(IS_OTHER_NONOP_INC_LOSS_GAAP, YOY)", "FPT=A", "FPO=-1A", "ACT_EST_MAPPING=PRECISE", "FS=MRC", "CURRENCY=USD", "XLFILL=b")</f>
        <v>1031.8181818181818</v>
      </c>
      <c r="L185" s="9">
        <f>_xll.BQL("LUV US Equity", "FA_GROWTH(IS_OTHER_NONOP_INC_LOSS_GAAP, YOY)", "FPT=A", "FPO=-2A", "ACT_EST_MAPPING=PRECISE", "FS=MRC", "CURRENCY=USD", "XLFILL=b")</f>
        <v>-113.92405063291139</v>
      </c>
      <c r="M185" s="9">
        <f>_xll.BQL("LUV US Equity", "FA_GROWTH(IS_OTHER_NONOP_INC_LOSS_GAAP, YOY)", "FPT=A", "FPO=-3A", "ACT_EST_MAPPING=PRECISE", "FS=MRC", "CURRENCY=USD", "XLFILL=b")</f>
        <v>1875</v>
      </c>
      <c r="N185" s="9">
        <f>_xll.BQL("LUV US Equity", "FA_GROWTH(IS_OTHER_NONOP_INC_LOSS_GAAP, YOY)", "FPT=A", "FPO=-4A", "ACT_EST_MAPPING=PRECISE", "FS=MRC", "CURRENCY=USD", "XLFILL=b")</f>
        <v>-55.555555555555557</v>
      </c>
    </row>
    <row r="186" spans="1:14" x14ac:dyDescent="0.2">
      <c r="A186" s="8" t="s">
        <v>16</v>
      </c>
      <c r="B186" s="4"/>
      <c r="C186" s="4"/>
      <c r="D186" s="4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1:14" x14ac:dyDescent="0.2">
      <c r="A187" s="8" t="s">
        <v>179</v>
      </c>
      <c r="B187" s="4" t="s">
        <v>180</v>
      </c>
      <c r="C187" s="4" t="s">
        <v>181</v>
      </c>
      <c r="D187" s="4"/>
      <c r="E187" s="9">
        <f>_xll.BQL("LUV US Equity", "PRETAX_INC/1M", "FPT=A", "FPO=5A", "ACT_EST_MAPPING=PRECISE", "FS=MRC", "CURRENCY=USD", "XLFILL=b")</f>
        <v>2582.3053401221723</v>
      </c>
      <c r="F187" s="9">
        <f>_xll.BQL("LUV US Equity", "PRETAX_INC/1M", "FPT=A", "FPO=4A", "ACT_EST_MAPPING=PRECISE", "FS=MRC", "CURRENCY=USD", "XLFILL=b")</f>
        <v>2045.2970609175779</v>
      </c>
      <c r="G187" s="9">
        <f>_xll.BQL("LUV US Equity", "PRETAX_INC/1M", "FPT=A", "FPO=3A", "ACT_EST_MAPPING=PRECISE", "FS=MRC", "CURRENCY=USD", "XLFILL=b")</f>
        <v>1312.1894940016948</v>
      </c>
      <c r="H187" s="9">
        <f>_xll.BQL("LUV US Equity", "PRETAX_INC/1M", "FPT=A", "FPO=2A", "ACT_EST_MAPPING=PRECISE", "FS=MRC", "CURRENCY=USD", "XLFILL=b")</f>
        <v>928.36732267119748</v>
      </c>
      <c r="I187" s="9">
        <f>_xll.BQL("LUV US Equity", "PRETAX_INC/1M", "FPT=A", "FPO=1A", "ACT_EST_MAPPING=PRECISE", "FS=MRC", "CURRENCY=USD", "XLFILL=b")</f>
        <v>192.68903198079406</v>
      </c>
      <c r="J187" s="9">
        <f>_xll.BQL("LUV US Equity", "PRETAX_INC/1M", "FPT=A", "FPO=0A", "ACT_EST_MAPPING=PRECISE", "FS=MRC", "CURRENCY=USD", "XLFILL=b")</f>
        <v>633</v>
      </c>
      <c r="K187" s="9">
        <f>_xll.BQL("LUV US Equity", "PRETAX_INC/1M", "FPT=A", "FPO=-1A", "ACT_EST_MAPPING=PRECISE", "FS=MRC", "CURRENCY=USD", "XLFILL=b")</f>
        <v>728</v>
      </c>
      <c r="L187" s="9">
        <f>_xll.BQL("LUV US Equity", "PRETAX_INC/1M", "FPT=A", "FPO=-2A", "ACT_EST_MAPPING=PRECISE", "FS=MRC", "CURRENCY=USD", "XLFILL=b")</f>
        <v>1325</v>
      </c>
      <c r="M187" s="9">
        <f>_xll.BQL("LUV US Equity", "PRETAX_INC/1M", "FPT=A", "FPO=-3A", "ACT_EST_MAPPING=PRECISE", "FS=MRC", "CURRENCY=USD", "XLFILL=b")</f>
        <v>-4256</v>
      </c>
      <c r="N187" s="9">
        <f>_xll.BQL("LUV US Equity", "PRETAX_INC/1M", "FPT=A", "FPO=-4A", "ACT_EST_MAPPING=PRECISE", "FS=MRC", "CURRENCY=USD", "XLFILL=b")</f>
        <v>2957</v>
      </c>
    </row>
    <row r="188" spans="1:14" x14ac:dyDescent="0.2">
      <c r="A188" s="8" t="s">
        <v>12</v>
      </c>
      <c r="B188" s="4" t="s">
        <v>180</v>
      </c>
      <c r="C188" s="4" t="s">
        <v>181</v>
      </c>
      <c r="D188" s="4"/>
      <c r="E188" s="9">
        <f>_xll.BQL("LUV US Equity", "FA_GROWTH(PRETAX_INC, YOY)", "FPT=A", "FPO=5A", "ACT_EST_MAPPING=PRECISE", "FS=MRC", "CURRENCY=USD", "XLFILL=b")</f>
        <v>26.255759589449429</v>
      </c>
      <c r="F188" s="9">
        <f>_xll.BQL("LUV US Equity", "FA_GROWTH(PRETAX_INC, YOY)", "FPT=A", "FPO=4A", "ACT_EST_MAPPING=PRECISE", "FS=MRC", "CURRENCY=USD", "XLFILL=b")</f>
        <v>55.86903189417977</v>
      </c>
      <c r="G188" s="9">
        <f>_xll.BQL("LUV US Equity", "FA_GROWTH(PRETAX_INC, YOY)", "FPT=A", "FPO=3A", "ACT_EST_MAPPING=PRECISE", "FS=MRC", "CURRENCY=USD", "XLFILL=b")</f>
        <v>41.343783000259343</v>
      </c>
      <c r="H188" s="9">
        <f>_xll.BQL("LUV US Equity", "FA_GROWTH(PRETAX_INC, YOY)", "FPT=A", "FPO=2A", "ACT_EST_MAPPING=PRECISE", "FS=MRC", "CURRENCY=USD", "XLFILL=b")</f>
        <v>381.79562330446026</v>
      </c>
      <c r="I188" s="9">
        <f>_xll.BQL("LUV US Equity", "FA_GROWTH(PRETAX_INC, YOY)", "FPT=A", "FPO=1A", "ACT_EST_MAPPING=PRECISE", "FS=MRC", "CURRENCY=USD", "XLFILL=b")</f>
        <v>-69.559394631786091</v>
      </c>
      <c r="J188" s="9">
        <f>_xll.BQL("LUV US Equity", "FA_GROWTH(PRETAX_INC, YOY)", "FPT=A", "FPO=0A", "ACT_EST_MAPPING=PRECISE", "FS=MRC", "CURRENCY=USD", "XLFILL=b")</f>
        <v>-13.049450549450549</v>
      </c>
      <c r="K188" s="9">
        <f>_xll.BQL("LUV US Equity", "FA_GROWTH(PRETAX_INC, YOY)", "FPT=A", "FPO=-1A", "ACT_EST_MAPPING=PRECISE", "FS=MRC", "CURRENCY=USD", "XLFILL=b")</f>
        <v>-45.056603773584904</v>
      </c>
      <c r="L188" s="9">
        <f>_xll.BQL("LUV US Equity", "FA_GROWTH(PRETAX_INC, YOY)", "FPT=A", "FPO=-2A", "ACT_EST_MAPPING=PRECISE", "FS=MRC", "CURRENCY=USD", "XLFILL=b")</f>
        <v>131.13251879699249</v>
      </c>
      <c r="M188" s="9">
        <f>_xll.BQL("LUV US Equity", "FA_GROWTH(PRETAX_INC, YOY)", "FPT=A", "FPO=-3A", "ACT_EST_MAPPING=PRECISE", "FS=MRC", "CURRENCY=USD", "XLFILL=b")</f>
        <v>-243.9296584376057</v>
      </c>
      <c r="N188" s="9">
        <f>_xll.BQL("LUV US Equity", "FA_GROWTH(PRETAX_INC, YOY)", "FPT=A", "FPO=-4A", "ACT_EST_MAPPING=PRECISE", "FS=MRC", "CURRENCY=USD", "XLFILL=b")</f>
        <v>-6.5423514538558782</v>
      </c>
    </row>
    <row r="189" spans="1:14" x14ac:dyDescent="0.2">
      <c r="A189" s="8" t="s">
        <v>182</v>
      </c>
      <c r="B189" s="4" t="s">
        <v>183</v>
      </c>
      <c r="C189" s="4"/>
      <c r="D189" s="4"/>
      <c r="E189" s="9" t="str">
        <f>_xll.BQL("LUV US Equity", "PRETAX_MARGIN", "FPT=A", "FPO=5A", "ACT_EST_MAPPING=PRECISE", "FS=MRC", "CURRENCY=USD", "XLFILL=b")</f>
        <v/>
      </c>
      <c r="F189" s="9" t="str">
        <f>_xll.BQL("LUV US Equity", "PRETAX_MARGIN", "FPT=A", "FPO=4A", "ACT_EST_MAPPING=PRECISE", "FS=MRC", "CURRENCY=USD", "XLFILL=b")</f>
        <v/>
      </c>
      <c r="G189" s="9">
        <f>_xll.BQL("LUV US Equity", "PRETAX_MARGIN", "FPT=A", "FPO=3A", "ACT_EST_MAPPING=PRECISE", "FS=MRC", "CURRENCY=USD", "XLFILL=b")</f>
        <v>4.0825034787323249</v>
      </c>
      <c r="H189" s="9">
        <f>_xll.BQL("LUV US Equity", "PRETAX_MARGIN", "FPT=A", "FPO=2A", "ACT_EST_MAPPING=PRECISE", "FS=MRC", "CURRENCY=USD", "XLFILL=b")</f>
        <v>3.319510072359094</v>
      </c>
      <c r="I189" s="9">
        <f>_xll.BQL("LUV US Equity", "PRETAX_MARGIN", "FPT=A", "FPO=1A", "ACT_EST_MAPPING=PRECISE", "FS=MRC", "CURRENCY=USD", "XLFILL=b")</f>
        <v>-0.18300965304137903</v>
      </c>
      <c r="J189" s="9">
        <f>_xll.BQL("LUV US Equity", "PRETAX_MARGIN", "FPT=A", "FPO=0A", "ACT_EST_MAPPING=PRECISE", "FS=MRC", "CURRENCY=USD", "XLFILL=b")</f>
        <v>2.4261239507876278</v>
      </c>
      <c r="K189" s="9">
        <f>_xll.BQL("LUV US Equity", "PRETAX_MARGIN", "FPT=A", "FPO=-1A", "ACT_EST_MAPPING=PRECISE", "FS=MRC", "CURRENCY=USD", "XLFILL=b")</f>
        <v>3.0570252792475014</v>
      </c>
      <c r="L189" s="9">
        <f>_xll.BQL("LUV US Equity", "PRETAX_MARGIN", "FPT=A", "FPO=-2A", "ACT_EST_MAPPING=PRECISE", "FS=MRC", "CURRENCY=USD", "XLFILL=b")</f>
        <v>8.3913869537682082</v>
      </c>
      <c r="M189" s="9">
        <f>_xll.BQL("LUV US Equity", "PRETAX_MARGIN", "FPT=A", "FPO=-3A", "ACT_EST_MAPPING=PRECISE", "FS=MRC", "CURRENCY=USD", "XLFILL=b")</f>
        <v>-47.038019451812552</v>
      </c>
      <c r="N189" s="9">
        <f>_xll.BQL("LUV US Equity", "PRETAX_MARGIN", "FPT=A", "FPO=-4A", "ACT_EST_MAPPING=PRECISE", "FS=MRC", "CURRENCY=USD", "XLFILL=b")</f>
        <v>13.184412341715712</v>
      </c>
    </row>
    <row r="190" spans="1:14" x14ac:dyDescent="0.2">
      <c r="A190" s="8" t="s">
        <v>21</v>
      </c>
      <c r="B190" s="4" t="s">
        <v>183</v>
      </c>
      <c r="C190" s="4"/>
      <c r="D190" s="4"/>
      <c r="E190" s="9" t="str">
        <f>_xll.BQL("LUV US Equity", "FA_GROWTH(PRETAX_MARGIN, YOY)", "FPT=A", "FPO=5A", "ACT_EST_MAPPING=PRECISE", "FS=MRC", "CURRENCY=USD", "XLFILL=b")</f>
        <v/>
      </c>
      <c r="F190" s="9" t="str">
        <f>_xll.BQL("LUV US Equity", "FA_GROWTH(PRETAX_MARGIN, YOY)", "FPT=A", "FPO=4A", "ACT_EST_MAPPING=PRECISE", "FS=MRC", "CURRENCY=USD", "XLFILL=b")</f>
        <v/>
      </c>
      <c r="G190" s="9">
        <f>_xll.BQL("LUV US Equity", "FA_GROWTH(PRETAX_MARGIN, YOY)", "FPT=A", "FPO=3A", "ACT_EST_MAPPING=PRECISE", "FS=MRC", "CURRENCY=USD", "XLFILL=b")</f>
        <v>22.985120988983482</v>
      </c>
      <c r="H190" s="9">
        <f>_xll.BQL("LUV US Equity", "FA_GROWTH(PRETAX_MARGIN, YOY)", "FPT=A", "FPO=2A", "ACT_EST_MAPPING=PRECISE", "FS=MRC", "CURRENCY=USD", "XLFILL=b")</f>
        <v>1913.8442520343681</v>
      </c>
      <c r="I190" s="9">
        <f>_xll.BQL("LUV US Equity", "FA_GROWTH(PRETAX_MARGIN, YOY)", "FPT=A", "FPO=1A", "ACT_EST_MAPPING=PRECISE", "FS=MRC", "CURRENCY=USD", "XLFILL=b")</f>
        <v>-107.54329361374822</v>
      </c>
      <c r="J190" s="9">
        <f>_xll.BQL("LUV US Equity", "FA_GROWTH(PRETAX_MARGIN, YOY)", "FPT=A", "FPO=0A", "ACT_EST_MAPPING=PRECISE", "FS=MRC", "CURRENCY=USD", "XLFILL=b")</f>
        <v>-20.637753071350868</v>
      </c>
      <c r="K190" s="9">
        <f>_xll.BQL("LUV US Equity", "FA_GROWTH(PRETAX_MARGIN, YOY)", "FPT=A", "FPO=-1A", "ACT_EST_MAPPING=PRECISE", "FS=MRC", "CURRENCY=USD", "XLFILL=b")</f>
        <v>-63.56948742692979</v>
      </c>
      <c r="L190" s="9">
        <f>_xll.BQL("LUV US Equity", "FA_GROWTH(PRETAX_MARGIN, YOY)", "FPT=A", "FPO=-2A", "ACT_EST_MAPPING=PRECISE", "FS=MRC", "CURRENCY=USD", "XLFILL=b")</f>
        <v>117.83958391863131</v>
      </c>
      <c r="M190" s="9">
        <f>_xll.BQL("LUV US Equity", "FA_GROWTH(PRETAX_MARGIN, YOY)", "FPT=A", "FPO=-3A", "ACT_EST_MAPPING=PRECISE", "FS=MRC", "CURRENCY=USD", "XLFILL=b")</f>
        <v>-456.76993583539127</v>
      </c>
      <c r="N190" s="9">
        <f>_xll.BQL("LUV US Equity", "FA_GROWTH(PRETAX_MARGIN, YOY)", "FPT=A", "FPO=-4A", "ACT_EST_MAPPING=PRECISE", "FS=MRC", "CURRENCY=USD", "XLFILL=b")</f>
        <v>-8.4716760158705391</v>
      </c>
    </row>
    <row r="191" spans="1:14" x14ac:dyDescent="0.2">
      <c r="A191" s="8" t="s">
        <v>16</v>
      </c>
      <c r="B191" s="4"/>
      <c r="C191" s="4"/>
      <c r="D191" s="4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4" x14ac:dyDescent="0.2">
      <c r="A192" s="8" t="s">
        <v>184</v>
      </c>
      <c r="B192" s="4" t="s">
        <v>185</v>
      </c>
      <c r="C192" s="4" t="s">
        <v>186</v>
      </c>
      <c r="D192" s="4"/>
      <c r="E192" s="9">
        <f>_xll.BQL("LUV US Equity", "IS_INC_TAX_EXP/1M", "FPT=A", "FPO=5A", "ACT_EST_MAPPING=PRECISE", "FS=MRC", "CURRENCY=USD", "XLFILL=b")</f>
        <v>674.74031461416018</v>
      </c>
      <c r="F192" s="9">
        <f>_xll.BQL("LUV US Equity", "IS_INC_TAX_EXP/1M", "FPT=A", "FPO=4A", "ACT_EST_MAPPING=PRECISE", "FS=MRC", "CURRENCY=USD", "XLFILL=b")</f>
        <v>646.89246502304593</v>
      </c>
      <c r="G192" s="9">
        <f>_xll.BQL("LUV US Equity", "IS_INC_TAX_EXP/1M", "FPT=A", "FPO=3A", "ACT_EST_MAPPING=PRECISE", "FS=MRC", "CURRENCY=USD", "XLFILL=b")</f>
        <v>368.31176704994755</v>
      </c>
      <c r="H192" s="9">
        <f>_xll.BQL("LUV US Equity", "IS_INC_TAX_EXP/1M", "FPT=A", "FPO=2A", "ACT_EST_MAPPING=PRECISE", "FS=MRC", "CURRENCY=USD", "XLFILL=b")</f>
        <v>225.92390901334048</v>
      </c>
      <c r="I192" s="9">
        <f>_xll.BQL("LUV US Equity", "IS_INC_TAX_EXP/1M", "FPT=A", "FPO=1A", "ACT_EST_MAPPING=PRECISE", "FS=MRC", "CURRENCY=USD", "XLFILL=b")</f>
        <v>0.70552564494497017</v>
      </c>
      <c r="J192" s="9">
        <f>_xll.BQL("LUV US Equity", "IS_INC_TAX_EXP/1M", "FPT=A", "FPO=0A", "ACT_EST_MAPPING=PRECISE", "FS=MRC", "CURRENCY=USD", "XLFILL=b")</f>
        <v>168</v>
      </c>
      <c r="K192" s="9">
        <f>_xll.BQL("LUV US Equity", "IS_INC_TAX_EXP/1M", "FPT=A", "FPO=-1A", "ACT_EST_MAPPING=PRECISE", "FS=MRC", "CURRENCY=USD", "XLFILL=b")</f>
        <v>189</v>
      </c>
      <c r="L192" s="9">
        <f>_xll.BQL("LUV US Equity", "IS_INC_TAX_EXP/1M", "FPT=A", "FPO=-2A", "ACT_EST_MAPPING=PRECISE", "FS=MRC", "CURRENCY=USD", "XLFILL=b")</f>
        <v>348</v>
      </c>
      <c r="M192" s="9">
        <f>_xll.BQL("LUV US Equity", "IS_INC_TAX_EXP/1M", "FPT=A", "FPO=-3A", "ACT_EST_MAPPING=PRECISE", "FS=MRC", "CURRENCY=USD", "XLFILL=b")</f>
        <v>-1182</v>
      </c>
      <c r="N192" s="9">
        <f>_xll.BQL("LUV US Equity", "IS_INC_TAX_EXP/1M", "FPT=A", "FPO=-4A", "ACT_EST_MAPPING=PRECISE", "FS=MRC", "CURRENCY=USD", "XLFILL=b")</f>
        <v>657</v>
      </c>
    </row>
    <row r="193" spans="1:14" x14ac:dyDescent="0.2">
      <c r="A193" s="8" t="s">
        <v>12</v>
      </c>
      <c r="B193" s="4" t="s">
        <v>185</v>
      </c>
      <c r="C193" s="4" t="s">
        <v>186</v>
      </c>
      <c r="D193" s="4"/>
      <c r="E193" s="9">
        <f>_xll.BQL("LUV US Equity", "FA_GROWTH(IS_INC_TAX_EXP, YOY)", "FPT=A", "FPO=5A", "ACT_EST_MAPPING=PRECISE", "FS=MRC", "CURRENCY=USD", "XLFILL=b")</f>
        <v>4.3048653519441116</v>
      </c>
      <c r="F193" s="9">
        <f>_xll.BQL("LUV US Equity", "FA_GROWTH(IS_INC_TAX_EXP, YOY)", "FPT=A", "FPO=4A", "ACT_EST_MAPPING=PRECISE", "FS=MRC", "CURRENCY=USD", "XLFILL=b")</f>
        <v>75.637197313687622</v>
      </c>
      <c r="G193" s="9">
        <f>_xll.BQL("LUV US Equity", "FA_GROWTH(IS_INC_TAX_EXP, YOY)", "FPT=A", "FPO=3A", "ACT_EST_MAPPING=PRECISE", "FS=MRC", "CURRENCY=USD", "XLFILL=b")</f>
        <v>63.024696526563417</v>
      </c>
      <c r="H193" s="9">
        <f>_xll.BQL("LUV US Equity", "FA_GROWTH(IS_INC_TAX_EXP, YOY)", "FPT=A", "FPO=2A", "ACT_EST_MAPPING=PRECISE", "FS=MRC", "CURRENCY=USD", "XLFILL=b")</f>
        <v>31922.069024997974</v>
      </c>
      <c r="I193" s="9">
        <f>_xll.BQL("LUV US Equity", "FA_GROWTH(IS_INC_TAX_EXP, YOY)", "FPT=A", "FPO=1A", "ACT_EST_MAPPING=PRECISE", "FS=MRC", "CURRENCY=USD", "XLFILL=b")</f>
        <v>-99.580044258961323</v>
      </c>
      <c r="J193" s="9">
        <f>_xll.BQL("LUV US Equity", "FA_GROWTH(IS_INC_TAX_EXP, YOY)", "FPT=A", "FPO=0A", "ACT_EST_MAPPING=PRECISE", "FS=MRC", "CURRENCY=USD", "XLFILL=b")</f>
        <v>-11.111111111111111</v>
      </c>
      <c r="K193" s="9">
        <f>_xll.BQL("LUV US Equity", "FA_GROWTH(IS_INC_TAX_EXP, YOY)", "FPT=A", "FPO=-1A", "ACT_EST_MAPPING=PRECISE", "FS=MRC", "CURRENCY=USD", "XLFILL=b")</f>
        <v>-45.689655172413794</v>
      </c>
      <c r="L193" s="9">
        <f>_xll.BQL("LUV US Equity", "FA_GROWTH(IS_INC_TAX_EXP, YOY)", "FPT=A", "FPO=-2A", "ACT_EST_MAPPING=PRECISE", "FS=MRC", "CURRENCY=USD", "XLFILL=b")</f>
        <v>129.44162436548223</v>
      </c>
      <c r="M193" s="9">
        <f>_xll.BQL("LUV US Equity", "FA_GROWTH(IS_INC_TAX_EXP, YOY)", "FPT=A", "FPO=-3A", "ACT_EST_MAPPING=PRECISE", "FS=MRC", "CURRENCY=USD", "XLFILL=b")</f>
        <v>-279.90867579908678</v>
      </c>
      <c r="N193" s="9">
        <f>_xll.BQL("LUV US Equity", "FA_GROWTH(IS_INC_TAX_EXP, YOY)", "FPT=A", "FPO=-4A", "ACT_EST_MAPPING=PRECISE", "FS=MRC", "CURRENCY=USD", "XLFILL=b")</f>
        <v>-6.0085836909871242</v>
      </c>
    </row>
    <row r="194" spans="1:14" x14ac:dyDescent="0.2">
      <c r="A194" s="8" t="s">
        <v>187</v>
      </c>
      <c r="B194" s="4" t="s">
        <v>188</v>
      </c>
      <c r="C194" s="4" t="s">
        <v>189</v>
      </c>
      <c r="D194" s="4"/>
      <c r="E194" s="9">
        <f>_xll.BQL("LUV US Equity", "EFF_TAX_RATE", "FPT=A", "FPO=5A", "ACT_EST_MAPPING=PRECISE", "FS=MRC", "CURRENCY=USD", "XLFILL=b")</f>
        <v>24.333333333333325</v>
      </c>
      <c r="F194" s="9">
        <f>_xll.BQL("LUV US Equity", "EFF_TAX_RATE", "FPT=A", "FPO=4A", "ACT_EST_MAPPING=PRECISE", "FS=MRC", "CURRENCY=USD", "XLFILL=b")</f>
        <v>24.125</v>
      </c>
      <c r="G194" s="9">
        <f>_xll.BQL("LUV US Equity", "EFF_TAX_RATE", "FPT=A", "FPO=3A", "ACT_EST_MAPPING=PRECISE", "FS=MRC", "CURRENCY=USD", "XLFILL=b")</f>
        <v>23.900000000000016</v>
      </c>
      <c r="H194" s="9">
        <f>_xll.BQL("LUV US Equity", "EFF_TAX_RATE", "FPT=A", "FPO=2A", "ACT_EST_MAPPING=PRECISE", "FS=MRC", "CURRENCY=USD", "XLFILL=b")</f>
        <v>23.92307692307692</v>
      </c>
      <c r="I194" s="9">
        <f>_xll.BQL("LUV US Equity", "EFF_TAX_RATE", "FPT=A", "FPO=1A", "ACT_EST_MAPPING=PRECISE", "FS=MRC", "CURRENCY=USD", "XLFILL=b")</f>
        <v>25.296970952012064</v>
      </c>
      <c r="J194" s="9">
        <f>_xll.BQL("LUV US Equity", "EFF_TAX_RATE", "FPT=A", "FPO=0A", "ACT_EST_MAPPING=PRECISE", "FS=MRC", "CURRENCY=USD", "XLFILL=b")</f>
        <v>26.540284360189574</v>
      </c>
      <c r="K194" s="9">
        <f>_xll.BQL("LUV US Equity", "EFF_TAX_RATE", "FPT=A", "FPO=-1A", "ACT_EST_MAPPING=PRECISE", "FS=MRC", "CURRENCY=USD", "XLFILL=b")</f>
        <v>25.96153846153846</v>
      </c>
      <c r="L194" s="9">
        <f>_xll.BQL("LUV US Equity", "EFF_TAX_RATE", "FPT=A", "FPO=-2A", "ACT_EST_MAPPING=PRECISE", "FS=MRC", "CURRENCY=USD", "XLFILL=b")</f>
        <v>26.264150943396228</v>
      </c>
      <c r="M194" s="9" t="str">
        <f>_xll.BQL("LUV US Equity", "EFF_TAX_RATE", "FPT=A", "FPO=-3A", "ACT_EST_MAPPING=PRECISE", "FS=MRC", "CURRENCY=USD", "XLFILL=b")</f>
        <v/>
      </c>
      <c r="N194" s="9">
        <f>_xll.BQL("LUV US Equity", "EFF_TAX_RATE", "FPT=A", "FPO=-4A", "ACT_EST_MAPPING=PRECISE", "FS=MRC", "CURRENCY=USD", "XLFILL=b")</f>
        <v>22.218464660128507</v>
      </c>
    </row>
    <row r="195" spans="1:14" x14ac:dyDescent="0.2">
      <c r="A195" s="8" t="s">
        <v>21</v>
      </c>
      <c r="B195" s="4" t="s">
        <v>188</v>
      </c>
      <c r="C195" s="4" t="s">
        <v>189</v>
      </c>
      <c r="D195" s="4"/>
      <c r="E195" s="9">
        <f>_xll.BQL("LUV US Equity", "FA_GROWTH(EFF_TAX_RATE, YOY)", "FPT=A", "FPO=5A", "ACT_EST_MAPPING=PRECISE", "FS=MRC", "CURRENCY=USD", "XLFILL=b")</f>
        <v>0.86355785837647692</v>
      </c>
      <c r="F195" s="9">
        <f>_xll.BQL("LUV US Equity", "FA_GROWTH(EFF_TAX_RATE, YOY)", "FPT=A", "FPO=4A", "ACT_EST_MAPPING=PRECISE", "FS=MRC", "CURRENCY=USD", "XLFILL=b")</f>
        <v>0.94142259414219043</v>
      </c>
      <c r="G195" s="9">
        <f>_xll.BQL("LUV US Equity", "FA_GROWTH(EFF_TAX_RATE, YOY)", "FPT=A", "FPO=3A", "ACT_EST_MAPPING=PRECISE", "FS=MRC", "CURRENCY=USD", "XLFILL=b")</f>
        <v>-9.6463022507956575E-2</v>
      </c>
      <c r="H195" s="9">
        <f>_xll.BQL("LUV US Equity", "FA_GROWTH(EFF_TAX_RATE, YOY)", "FPT=A", "FPO=2A", "ACT_EST_MAPPING=PRECISE", "FS=MRC", "CURRENCY=USD", "XLFILL=b")</f>
        <v>-5.4310614165680082</v>
      </c>
      <c r="I195" s="9">
        <f>_xll.BQL("LUV US Equity", "FA_GROWTH(EFF_TAX_RATE, YOY)", "FPT=A", "FPO=1A", "ACT_EST_MAPPING=PRECISE", "FS=MRC", "CURRENCY=USD", "XLFILL=b")</f>
        <v>-4.6846273058116896</v>
      </c>
      <c r="J195" s="9">
        <f>_xll.BQL("LUV US Equity", "FA_GROWTH(EFF_TAX_RATE, YOY)", "FPT=A", "FPO=0A", "ACT_EST_MAPPING=PRECISE", "FS=MRC", "CURRENCY=USD", "XLFILL=b")</f>
        <v>2.2292434614709578</v>
      </c>
      <c r="K195" s="9">
        <f>_xll.BQL("LUV US Equity", "FA_GROWTH(EFF_TAX_RATE, YOY)", "FPT=A", "FPO=-1A", "ACT_EST_MAPPING=PRECISE", "FS=MRC", "CURRENCY=USD", "XLFILL=b")</f>
        <v>-1.1521883289124779</v>
      </c>
      <c r="L195" s="9" t="str">
        <f>_xll.BQL("LUV US Equity", "FA_GROWTH(EFF_TAX_RATE, YOY)", "FPT=A", "FPO=-2A", "ACT_EST_MAPPING=PRECISE", "FS=MRC", "CURRENCY=USD", "XLFILL=b")</f>
        <v/>
      </c>
      <c r="M195" s="9" t="str">
        <f>_xll.BQL("LUV US Equity", "FA_GROWTH(EFF_TAX_RATE, YOY)", "FPT=A", "FPO=-3A", "ACT_EST_MAPPING=PRECISE", "FS=MRC", "CURRENCY=USD", "XLFILL=b")</f>
        <v/>
      </c>
      <c r="N195" s="9">
        <f>_xll.BQL("LUV US Equity", "FA_GROWTH(EFF_TAX_RATE, YOY)", "FPT=A", "FPO=-4A", "ACT_EST_MAPPING=PRECISE", "FS=MRC", "CURRENCY=USD", "XLFILL=b")</f>
        <v>0.57113331136852197</v>
      </c>
    </row>
    <row r="196" spans="1:14" x14ac:dyDescent="0.2">
      <c r="A196" s="8" t="s">
        <v>16</v>
      </c>
      <c r="B196" s="4"/>
      <c r="C196" s="4"/>
      <c r="D196" s="4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x14ac:dyDescent="0.2">
      <c r="A197" s="8" t="s">
        <v>190</v>
      </c>
      <c r="B197" s="4" t="s">
        <v>191</v>
      </c>
      <c r="C197" s="4" t="s">
        <v>192</v>
      </c>
      <c r="D197" s="4"/>
      <c r="E197" s="9">
        <f>_xll.BQL("LUV US Equity", "IS_COMP_NET_INCOME_GAAP/1M", "FPT=A", "FPO=5A", "ACT_EST_MAPPING=PRECISE", "FS=MRC", "CURRENCY=USD", "XLFILL=b")</f>
        <v>1785</v>
      </c>
      <c r="F197" s="9">
        <f>_xll.BQL("LUV US Equity", "IS_COMP_NET_INCOME_GAAP/1M", "FPT=A", "FPO=4A", "ACT_EST_MAPPING=PRECISE", "FS=MRC", "CURRENCY=USD", "XLFILL=b")</f>
        <v>1703.6</v>
      </c>
      <c r="G197" s="9">
        <f>_xll.BQL("LUV US Equity", "IS_COMP_NET_INCOME_GAAP/1M", "FPT=A", "FPO=3A", "ACT_EST_MAPPING=PRECISE", "FS=MRC", "CURRENCY=USD", "XLFILL=b")</f>
        <v>1121.8888888888889</v>
      </c>
      <c r="H197" s="9">
        <f>_xll.BQL("LUV US Equity", "IS_COMP_NET_INCOME_GAAP/1M", "FPT=A", "FPO=2A", "ACT_EST_MAPPING=PRECISE", "FS=MRC", "CURRENCY=USD", "XLFILL=b")</f>
        <v>728.15384615384619</v>
      </c>
      <c r="I197" s="9">
        <f>_xll.BQL("LUV US Equity", "IS_COMP_NET_INCOME_GAAP/1M", "FPT=A", "FPO=1A", "ACT_EST_MAPPING=PRECISE", "FS=MRC", "CURRENCY=USD", "XLFILL=b")</f>
        <v>161.12727272727273</v>
      </c>
      <c r="J197" s="9">
        <f>_xll.BQL("LUV US Equity", "IS_COMP_NET_INCOME_GAAP/1M", "FPT=A", "FPO=0A", "ACT_EST_MAPPING=PRECISE", "FS=MRC", "CURRENCY=USD", "XLFILL=b")</f>
        <v>498</v>
      </c>
      <c r="K197" s="9">
        <f>_xll.BQL("LUV US Equity", "IS_COMP_NET_INCOME_GAAP/1M", "FPT=A", "FPO=-1A", "ACT_EST_MAPPING=PRECISE", "FS=MRC", "CURRENCY=USD", "XLFILL=b")</f>
        <v>539</v>
      </c>
      <c r="L197" s="9">
        <f>_xll.BQL("LUV US Equity", "IS_COMP_NET_INCOME_GAAP/1M", "FPT=A", "FPO=-2A", "ACT_EST_MAPPING=PRECISE", "FS=MRC", "CURRENCY=USD", "XLFILL=b")</f>
        <v>977</v>
      </c>
      <c r="M197" s="9">
        <f>_xll.BQL("LUV US Equity", "IS_COMP_NET_INCOME_GAAP/1M", "FPT=A", "FPO=-3A", "ACT_EST_MAPPING=PRECISE", "FS=MRC", "CURRENCY=USD", "XLFILL=b")</f>
        <v>-3074</v>
      </c>
      <c r="N197" s="9">
        <f>_xll.BQL("LUV US Equity", "IS_COMP_NET_INCOME_GAAP/1M", "FPT=A", "FPO=-4A", "ACT_EST_MAPPING=PRECISE", "FS=MRC", "CURRENCY=USD", "XLFILL=b")</f>
        <v>2300</v>
      </c>
    </row>
    <row r="198" spans="1:14" x14ac:dyDescent="0.2">
      <c r="A198" s="8" t="s">
        <v>12</v>
      </c>
      <c r="B198" s="4" t="s">
        <v>191</v>
      </c>
      <c r="C198" s="4" t="s">
        <v>192</v>
      </c>
      <c r="D198" s="4"/>
      <c r="E198" s="9">
        <f>_xll.BQL("LUV US Equity", "FA_GROWTH(IS_COMP_NET_INCOME_GAAP, YOY)", "FPT=A", "FPO=5A", "ACT_EST_MAPPING=PRECISE", "FS=MRC", "CURRENCY=USD", "XLFILL=b")</f>
        <v>4.778116928856539</v>
      </c>
      <c r="F198" s="9">
        <f>_xll.BQL("LUV US Equity", "FA_GROWTH(IS_COMP_NET_INCOME_GAAP, YOY)", "FPT=A", "FPO=4A", "ACT_EST_MAPPING=PRECISE", "FS=MRC", "CURRENCY=USD", "XLFILL=b")</f>
        <v>51.851044864811335</v>
      </c>
      <c r="G198" s="9">
        <f>_xll.BQL("LUV US Equity", "FA_GROWTH(IS_COMP_NET_INCOME_GAAP, YOY)", "FPT=A", "FPO=3A", "ACT_EST_MAPPING=PRECISE", "FS=MRC", "CURRENCY=USD", "XLFILL=b")</f>
        <v>54.073056788036716</v>
      </c>
      <c r="H198" s="9">
        <f>_xll.BQL("LUV US Equity", "FA_GROWTH(IS_COMP_NET_INCOME_GAAP, YOY)", "FPT=A", "FPO=2A", "ACT_EST_MAPPING=PRECISE", "FS=MRC", "CURRENCY=USD", "XLFILL=b")</f>
        <v>351.9122267937434</v>
      </c>
      <c r="I198" s="9">
        <f>_xll.BQL("LUV US Equity", "FA_GROWTH(IS_COMP_NET_INCOME_GAAP, YOY)", "FPT=A", "FPO=1A", "ACT_EST_MAPPING=PRECISE", "FS=MRC", "CURRENCY=USD", "XLFILL=b")</f>
        <v>-67.645125958378969</v>
      </c>
      <c r="J198" s="9">
        <f>_xll.BQL("LUV US Equity", "FA_GROWTH(IS_COMP_NET_INCOME_GAAP, YOY)", "FPT=A", "FPO=0A", "ACT_EST_MAPPING=PRECISE", "FS=MRC", "CURRENCY=USD", "XLFILL=b")</f>
        <v>-7.6066790352504636</v>
      </c>
      <c r="K198" s="9">
        <f>_xll.BQL("LUV US Equity", "FA_GROWTH(IS_COMP_NET_INCOME_GAAP, YOY)", "FPT=A", "FPO=-1A", "ACT_EST_MAPPING=PRECISE", "FS=MRC", "CURRENCY=USD", "XLFILL=b")</f>
        <v>-44.831115660184238</v>
      </c>
      <c r="L198" s="9">
        <f>_xll.BQL("LUV US Equity", "FA_GROWTH(IS_COMP_NET_INCOME_GAAP, YOY)", "FPT=A", "FPO=-2A", "ACT_EST_MAPPING=PRECISE", "FS=MRC", "CURRENCY=USD", "XLFILL=b")</f>
        <v>131.78269355888094</v>
      </c>
      <c r="M198" s="9">
        <f>_xll.BQL("LUV US Equity", "FA_GROWTH(IS_COMP_NET_INCOME_GAAP, YOY)", "FPT=A", "FPO=-3A", "ACT_EST_MAPPING=PRECISE", "FS=MRC", "CURRENCY=USD", "XLFILL=b")</f>
        <v>-233.65217391304347</v>
      </c>
      <c r="N198" s="9">
        <f>_xll.BQL("LUV US Equity", "FA_GROWTH(IS_COMP_NET_INCOME_GAAP, YOY)", "FPT=A", "FPO=-4A", "ACT_EST_MAPPING=PRECISE", "FS=MRC", "CURRENCY=USD", "XLFILL=b")</f>
        <v>-6.6937119675456387</v>
      </c>
    </row>
    <row r="199" spans="1:14" x14ac:dyDescent="0.2">
      <c r="A199" s="8" t="s">
        <v>16</v>
      </c>
      <c r="B199" s="4"/>
      <c r="C199" s="4"/>
      <c r="D199" s="4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 x14ac:dyDescent="0.2">
      <c r="A200" s="8" t="s">
        <v>193</v>
      </c>
      <c r="B200" s="4" t="s">
        <v>194</v>
      </c>
      <c r="C200" s="4" t="s">
        <v>195</v>
      </c>
      <c r="D200" s="4"/>
      <c r="E200" s="9">
        <f>_xll.BQL("LUV US Equity", "IS_AVG_NUM_SH_FOR_EPS/1M", "FPT=A", "FPO=5A", "ACT_EST_MAPPING=PRECISE", "FS=MRC", "CURRENCY=USD", "XLFILL=b")</f>
        <v>643</v>
      </c>
      <c r="F200" s="9">
        <f>_xll.BQL("LUV US Equity", "IS_AVG_NUM_SH_FOR_EPS/1M", "FPT=A", "FPO=4A", "ACT_EST_MAPPING=PRECISE", "FS=MRC", "CURRENCY=USD", "XLFILL=b")</f>
        <v>618.5</v>
      </c>
      <c r="G200" s="9">
        <f>_xll.BQL("LUV US Equity", "IS_AVG_NUM_SH_FOR_EPS/1M", "FPT=A", "FPO=3A", "ACT_EST_MAPPING=PRECISE", "FS=MRC", "CURRENCY=USD", "XLFILL=b")</f>
        <v>598.14486257142858</v>
      </c>
      <c r="H200" s="9">
        <f>_xll.BQL("LUV US Equity", "IS_AVG_NUM_SH_FOR_EPS/1M", "FPT=A", "FPO=2A", "ACT_EST_MAPPING=PRECISE", "FS=MRC", "CURRENCY=USD", "XLFILL=b")</f>
        <v>598.50207516170315</v>
      </c>
      <c r="I200" s="9">
        <f>_xll.BQL("LUV US Equity", "IS_AVG_NUM_SH_FOR_EPS/1M", "FPT=A", "FPO=1A", "ACT_EST_MAPPING=PRECISE", "FS=MRC", "CURRENCY=USD", "XLFILL=b")</f>
        <v>601.85950316666663</v>
      </c>
      <c r="J200" s="9">
        <f>_xll.BQL("LUV US Equity", "IS_AVG_NUM_SH_FOR_EPS/1M", "FPT=A", "FPO=0A", "ACT_EST_MAPPING=PRECISE", "FS=MRC", "CURRENCY=USD", "XLFILL=b")</f>
        <v>595</v>
      </c>
      <c r="K200" s="9">
        <f>_xll.BQL("LUV US Equity", "IS_AVG_NUM_SH_FOR_EPS/1M", "FPT=A", "FPO=-1A", "ACT_EST_MAPPING=PRECISE", "FS=MRC", "CURRENCY=USD", "XLFILL=b")</f>
        <v>593</v>
      </c>
      <c r="L200" s="9">
        <f>_xll.BQL("LUV US Equity", "IS_AVG_NUM_SH_FOR_EPS/1M", "FPT=A", "FPO=-2A", "ACT_EST_MAPPING=PRECISE", "FS=MRC", "CURRENCY=USD", "XLFILL=b")</f>
        <v>609</v>
      </c>
      <c r="M200" s="9">
        <f>_xll.BQL("LUV US Equity", "IS_AVG_NUM_SH_FOR_EPS/1M", "FPT=A", "FPO=-3A", "ACT_EST_MAPPING=PRECISE", "FS=MRC", "CURRENCY=USD", "XLFILL=b")</f>
        <v>565</v>
      </c>
      <c r="N200" s="9">
        <f>_xll.BQL("LUV US Equity", "IS_AVG_NUM_SH_FOR_EPS/1M", "FPT=A", "FPO=-4A", "ACT_EST_MAPPING=PRECISE", "FS=MRC", "CURRENCY=USD", "XLFILL=b")</f>
        <v>538</v>
      </c>
    </row>
    <row r="201" spans="1:14" x14ac:dyDescent="0.2">
      <c r="A201" s="8" t="s">
        <v>12</v>
      </c>
      <c r="B201" s="4" t="s">
        <v>194</v>
      </c>
      <c r="C201" s="4" t="s">
        <v>195</v>
      </c>
      <c r="D201" s="4"/>
      <c r="E201" s="9">
        <f>_xll.BQL("LUV US Equity", "FA_GROWTH(IS_AVG_NUM_SH_FOR_EPS, YOY)", "FPT=A", "FPO=5A", "ACT_EST_MAPPING=PRECISE", "FS=MRC", "CURRENCY=USD", "XLFILL=b")</f>
        <v>3.9611964430072755</v>
      </c>
      <c r="F201" s="9">
        <f>_xll.BQL("LUV US Equity", "FA_GROWTH(IS_AVG_NUM_SH_FOR_EPS, YOY)", "FPT=A", "FPO=4A", "ACT_EST_MAPPING=PRECISE", "FS=MRC", "CURRENCY=USD", "XLFILL=b")</f>
        <v>3.4030447642841231</v>
      </c>
      <c r="G201" s="9">
        <f>_xll.BQL("LUV US Equity", "FA_GROWTH(IS_AVG_NUM_SH_FOR_EPS, YOY)", "FPT=A", "FPO=3A", "ACT_EST_MAPPING=PRECISE", "FS=MRC", "CURRENCY=USD", "XLFILL=b")</f>
        <v>-5.9684436378614189E-2</v>
      </c>
      <c r="H201" s="9">
        <f>_xll.BQL("LUV US Equity", "FA_GROWTH(IS_AVG_NUM_SH_FOR_EPS, YOY)", "FPT=A", "FPO=2A", "ACT_EST_MAPPING=PRECISE", "FS=MRC", "CURRENCY=USD", "XLFILL=b")</f>
        <v>-0.55784248438356554</v>
      </c>
      <c r="I201" s="9">
        <f>_xll.BQL("LUV US Equity", "FA_GROWTH(IS_AVG_NUM_SH_FOR_EPS, YOY)", "FPT=A", "FPO=1A", "ACT_EST_MAPPING=PRECISE", "FS=MRC", "CURRENCY=USD", "XLFILL=b")</f>
        <v>1.1528576750700212</v>
      </c>
      <c r="J201" s="9">
        <f>_xll.BQL("LUV US Equity", "FA_GROWTH(IS_AVG_NUM_SH_FOR_EPS, YOY)", "FPT=A", "FPO=0A", "ACT_EST_MAPPING=PRECISE", "FS=MRC", "CURRENCY=USD", "XLFILL=b")</f>
        <v>0.33726812816188873</v>
      </c>
      <c r="K201" s="9">
        <f>_xll.BQL("LUV US Equity", "FA_GROWTH(IS_AVG_NUM_SH_FOR_EPS, YOY)", "FPT=A", "FPO=-1A", "ACT_EST_MAPPING=PRECISE", "FS=MRC", "CURRENCY=USD", "XLFILL=b")</f>
        <v>-2.6272577996715927</v>
      </c>
      <c r="L201" s="9">
        <f>_xll.BQL("LUV US Equity", "FA_GROWTH(IS_AVG_NUM_SH_FOR_EPS, YOY)", "FPT=A", "FPO=-2A", "ACT_EST_MAPPING=PRECISE", "FS=MRC", "CURRENCY=USD", "XLFILL=b")</f>
        <v>7.7876106194690262</v>
      </c>
      <c r="M201" s="9">
        <f>_xll.BQL("LUV US Equity", "FA_GROWTH(IS_AVG_NUM_SH_FOR_EPS, YOY)", "FPT=A", "FPO=-3A", "ACT_EST_MAPPING=PRECISE", "FS=MRC", "CURRENCY=USD", "XLFILL=b")</f>
        <v>5.0185873605947959</v>
      </c>
      <c r="N201" s="9">
        <f>_xll.BQL("LUV US Equity", "FA_GROWTH(IS_AVG_NUM_SH_FOR_EPS, YOY)", "FPT=A", "FPO=-4A", "ACT_EST_MAPPING=PRECISE", "FS=MRC", "CURRENCY=USD", "XLFILL=b")</f>
        <v>-6.1082024432809776</v>
      </c>
    </row>
    <row r="202" spans="1:14" x14ac:dyDescent="0.2">
      <c r="A202" s="8" t="s">
        <v>196</v>
      </c>
      <c r="B202" s="4" t="s">
        <v>197</v>
      </c>
      <c r="C202" s="4"/>
      <c r="D202" s="4"/>
      <c r="E202" s="9" t="str">
        <f>_xll.BQL("LUV US Equity", "IS_EPS", "FPT=A", "FPO=5A", "ACT_EST_MAPPING=PRECISE", "FS=MRC", "CURRENCY=USD", "XLFILL=b")</f>
        <v/>
      </c>
      <c r="F202" s="9">
        <f>_xll.BQL("LUV US Equity", "IS_EPS", "FPT=A", "FPO=4A", "ACT_EST_MAPPING=PRECISE", "FS=MRC", "CURRENCY=USD", "XLFILL=b")</f>
        <v>2.4807714881789065</v>
      </c>
      <c r="G202" s="9">
        <f>_xll.BQL("LUV US Equity", "IS_EPS", "FPT=A", "FPO=3A", "ACT_EST_MAPPING=PRECISE", "FS=MRC", "CURRENCY=USD", "XLFILL=b")</f>
        <v>1.8594655111916012</v>
      </c>
      <c r="H202" s="9">
        <f>_xll.BQL("LUV US Equity", "IS_EPS", "FPT=A", "FPO=2A", "ACT_EST_MAPPING=PRECISE", "FS=MRC", "CURRENCY=USD", "XLFILL=b")</f>
        <v>1.1459391500429028</v>
      </c>
      <c r="I202" s="9">
        <f>_xll.BQL("LUV US Equity", "IS_EPS", "FPT=A", "FPO=1A", "ACT_EST_MAPPING=PRECISE", "FS=MRC", "CURRENCY=USD", "XLFILL=b")</f>
        <v>0.32123895903609195</v>
      </c>
      <c r="J202" s="9">
        <f>_xll.BQL("LUV US Equity", "IS_EPS", "FPT=A", "FPO=0A", "ACT_EST_MAPPING=PRECISE", "FS=MRC", "CURRENCY=USD", "XLFILL=b")</f>
        <v>0.78</v>
      </c>
      <c r="K202" s="9">
        <f>_xll.BQL("LUV US Equity", "IS_EPS", "FPT=A", "FPO=-1A", "ACT_EST_MAPPING=PRECISE", "FS=MRC", "CURRENCY=USD", "XLFILL=b")</f>
        <v>0.91</v>
      </c>
      <c r="L202" s="9">
        <f>_xll.BQL("LUV US Equity", "IS_EPS", "FPT=A", "FPO=-2A", "ACT_EST_MAPPING=PRECISE", "FS=MRC", "CURRENCY=USD", "XLFILL=b")</f>
        <v>1.6042689999999999</v>
      </c>
      <c r="M202" s="9">
        <f>_xll.BQL("LUV US Equity", "IS_EPS", "FPT=A", "FPO=-3A", "ACT_EST_MAPPING=PRECISE", "FS=MRC", "CURRENCY=USD", "XLFILL=b")</f>
        <v>-5.44</v>
      </c>
      <c r="N202" s="9">
        <f>_xll.BQL("LUV US Equity", "IS_EPS", "FPT=A", "FPO=-4A", "ACT_EST_MAPPING=PRECISE", "FS=MRC", "CURRENCY=USD", "XLFILL=b")</f>
        <v>4.28</v>
      </c>
    </row>
    <row r="203" spans="1:14" x14ac:dyDescent="0.2">
      <c r="A203" s="8" t="s">
        <v>12</v>
      </c>
      <c r="B203" s="4" t="s">
        <v>197</v>
      </c>
      <c r="C203" s="4"/>
      <c r="D203" s="4"/>
      <c r="E203" s="9" t="str">
        <f>_xll.BQL("LUV US Equity", "FA_GROWTH(IS_EPS, YOY)", "FPT=A", "FPO=5A", "ACT_EST_MAPPING=PRECISE", "FS=MRC", "CURRENCY=USD", "XLFILL=b")</f>
        <v/>
      </c>
      <c r="F203" s="9">
        <f>_xll.BQL("LUV US Equity", "FA_GROWTH(IS_EPS, YOY)", "FPT=A", "FPO=4A", "ACT_EST_MAPPING=PRECISE", "FS=MRC", "CURRENCY=USD", "XLFILL=b")</f>
        <v>33.413148738056123</v>
      </c>
      <c r="G203" s="9">
        <f>_xll.BQL("LUV US Equity", "FA_GROWTH(IS_EPS, YOY)", "FPT=A", "FPO=3A", "ACT_EST_MAPPING=PRECISE", "FS=MRC", "CURRENCY=USD", "XLFILL=b")</f>
        <v>62.26564134072779</v>
      </c>
      <c r="H203" s="9">
        <f>_xll.BQL("LUV US Equity", "FA_GROWTH(IS_EPS, YOY)", "FPT=A", "FPO=2A", "ACT_EST_MAPPING=PRECISE", "FS=MRC", "CURRENCY=USD", "XLFILL=b")</f>
        <v>256.72483607884988</v>
      </c>
      <c r="I203" s="9">
        <f>_xll.BQL("LUV US Equity", "FA_GROWTH(IS_EPS, YOY)", "FPT=A", "FPO=1A", "ACT_EST_MAPPING=PRECISE", "FS=MRC", "CURRENCY=USD", "XLFILL=b")</f>
        <v>-58.815518072295902</v>
      </c>
      <c r="J203" s="9">
        <f>_xll.BQL("LUV US Equity", "FA_GROWTH(IS_EPS, YOY)", "FPT=A", "FPO=0A", "ACT_EST_MAPPING=PRECISE", "FS=MRC", "CURRENCY=USD", "XLFILL=b")</f>
        <v>-14.285714285714285</v>
      </c>
      <c r="K203" s="9">
        <f>_xll.BQL("LUV US Equity", "FA_GROWTH(IS_EPS, YOY)", "FPT=A", "FPO=-1A", "ACT_EST_MAPPING=PRECISE", "FS=MRC", "CURRENCY=USD", "XLFILL=b")</f>
        <v>-43.276345799862739</v>
      </c>
      <c r="L203" s="9">
        <f>_xll.BQL("LUV US Equity", "FA_GROWTH(IS_EPS, YOY)", "FPT=A", "FPO=-2A", "ACT_EST_MAPPING=PRECISE", "FS=MRC", "CURRENCY=USD", "XLFILL=b")</f>
        <v>129.49023897058822</v>
      </c>
      <c r="M203" s="9">
        <f>_xll.BQL("LUV US Equity", "FA_GROWTH(IS_EPS, YOY)", "FPT=A", "FPO=-3A", "ACT_EST_MAPPING=PRECISE", "FS=MRC", "CURRENCY=USD", "XLFILL=b")</f>
        <v>-227.10280373831776</v>
      </c>
      <c r="N203" s="9">
        <f>_xll.BQL("LUV US Equity", "FA_GROWTH(IS_EPS, YOY)", "FPT=A", "FPO=-4A", "ACT_EST_MAPPING=PRECISE", "FS=MRC", "CURRENCY=USD", "XLFILL=b")</f>
        <v>-0.46511627906975755</v>
      </c>
    </row>
    <row r="204" spans="1:14" x14ac:dyDescent="0.2">
      <c r="A204" s="8" t="s">
        <v>16</v>
      </c>
      <c r="B204" s="4"/>
      <c r="C204" s="4"/>
      <c r="D204" s="4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 x14ac:dyDescent="0.2">
      <c r="A205" s="8" t="s">
        <v>198</v>
      </c>
      <c r="B205" s="4" t="s">
        <v>199</v>
      </c>
      <c r="C205" s="4" t="s">
        <v>200</v>
      </c>
      <c r="D205" s="4"/>
      <c r="E205" s="9">
        <f>_xll.BQL("LUV US Equity", "IS_SH_FOR_DILUTED_EPS/1M", "FPT=A", "FPO=5A", "ACT_EST_MAPPING=PRECISE", "FS=MRC", "CURRENCY=USD", "XLFILL=b")</f>
        <v>637.41176470588243</v>
      </c>
      <c r="F205" s="9">
        <f>_xll.BQL("LUV US Equity", "IS_SH_FOR_DILUTED_EPS/1M", "FPT=A", "FPO=4A", "ACT_EST_MAPPING=PRECISE", "FS=MRC", "CURRENCY=USD", "XLFILL=b")</f>
        <v>640.5</v>
      </c>
      <c r="G205" s="9">
        <f>_xll.BQL("LUV US Equity", "IS_SH_FOR_DILUTED_EPS/1M", "FPT=A", "FPO=3A", "ACT_EST_MAPPING=PRECISE", "FS=MRC", "CURRENCY=USD", "XLFILL=b")</f>
        <v>632.59607846781716</v>
      </c>
      <c r="H205" s="9">
        <f>_xll.BQL("LUV US Equity", "IS_SH_FOR_DILUTED_EPS/1M", "FPT=A", "FPO=2A", "ACT_EST_MAPPING=PRECISE", "FS=MRC", "CURRENCY=USD", "XLFILL=b")</f>
        <v>628.19278589402415</v>
      </c>
      <c r="I205" s="9">
        <f>_xll.BQL("LUV US Equity", "IS_SH_FOR_DILUTED_EPS/1M", "FPT=A", "FPO=1A", "ACT_EST_MAPPING=PRECISE", "FS=MRC", "CURRENCY=USD", "XLFILL=b")</f>
        <v>625.82287320310263</v>
      </c>
      <c r="J205" s="9">
        <f>_xll.BQL("LUV US Equity", "IS_SH_FOR_DILUTED_EPS/1M", "FPT=A", "FPO=0A", "ACT_EST_MAPPING=PRECISE", "FS=MRC", "CURRENCY=USD", "XLFILL=b")</f>
        <v>640</v>
      </c>
      <c r="K205" s="9">
        <f>_xll.BQL("LUV US Equity", "IS_SH_FOR_DILUTED_EPS/1M", "FPT=A", "FPO=-1A", "ACT_EST_MAPPING=PRECISE", "FS=MRC", "CURRENCY=USD", "XLFILL=b")</f>
        <v>642</v>
      </c>
      <c r="L205" s="9">
        <f>_xll.BQL("LUV US Equity", "IS_SH_FOR_DILUTED_EPS/1M", "FPT=A", "FPO=-2A", "ACT_EST_MAPPING=PRECISE", "FS=MRC", "CURRENCY=USD", "XLFILL=b")</f>
        <v>609</v>
      </c>
      <c r="M205" s="9">
        <f>_xll.BQL("LUV US Equity", "IS_SH_FOR_DILUTED_EPS/1M", "FPT=A", "FPO=-3A", "ACT_EST_MAPPING=PRECISE", "FS=MRC", "CURRENCY=USD", "XLFILL=b")</f>
        <v>565</v>
      </c>
      <c r="N205" s="9">
        <f>_xll.BQL("LUV US Equity", "IS_SH_FOR_DILUTED_EPS/1M", "FPT=A", "FPO=-4A", "ACT_EST_MAPPING=PRECISE", "FS=MRC", "CURRENCY=USD", "XLFILL=b")</f>
        <v>539</v>
      </c>
    </row>
    <row r="206" spans="1:14" x14ac:dyDescent="0.2">
      <c r="A206" s="8" t="s">
        <v>12</v>
      </c>
      <c r="B206" s="4" t="s">
        <v>199</v>
      </c>
      <c r="C206" s="4" t="s">
        <v>200</v>
      </c>
      <c r="D206" s="4"/>
      <c r="E206" s="9">
        <f>_xll.BQL("LUV US Equity", "FA_GROWTH(IS_SH_FOR_DILUTED_EPS, YOY)", "FPT=A", "FPO=5A", "ACT_EST_MAPPING=PRECISE", "FS=MRC", "CURRENCY=USD", "XLFILL=b")</f>
        <v>-0.48216007714560027</v>
      </c>
      <c r="F206" s="9">
        <f>_xll.BQL("LUV US Equity", "FA_GROWTH(IS_SH_FOR_DILUTED_EPS, YOY)", "FPT=A", "FPO=4A", "ACT_EST_MAPPING=PRECISE", "FS=MRC", "CURRENCY=USD", "XLFILL=b")</f>
        <v>1.2494420691520172</v>
      </c>
      <c r="G206" s="9">
        <f>_xll.BQL("LUV US Equity", "FA_GROWTH(IS_SH_FOR_DILUTED_EPS, YOY)", "FPT=A", "FPO=3A", "ACT_EST_MAPPING=PRECISE", "FS=MRC", "CURRENCY=USD", "XLFILL=b")</f>
        <v>0.70094605870496052</v>
      </c>
      <c r="H206" s="9">
        <f>_xll.BQL("LUV US Equity", "FA_GROWTH(IS_SH_FOR_DILUTED_EPS, YOY)", "FPT=A", "FPO=2A", "ACT_EST_MAPPING=PRECISE", "FS=MRC", "CURRENCY=USD", "XLFILL=b")</f>
        <v>0.37868745173722995</v>
      </c>
      <c r="I206" s="9">
        <f>_xll.BQL("LUV US Equity", "FA_GROWTH(IS_SH_FOR_DILUTED_EPS, YOY)", "FPT=A", "FPO=1A", "ACT_EST_MAPPING=PRECISE", "FS=MRC", "CURRENCY=USD", "XLFILL=b")</f>
        <v>-2.2151760620152205</v>
      </c>
      <c r="J206" s="9">
        <f>_xll.BQL("LUV US Equity", "FA_GROWTH(IS_SH_FOR_DILUTED_EPS, YOY)", "FPT=A", "FPO=0A", "ACT_EST_MAPPING=PRECISE", "FS=MRC", "CURRENCY=USD", "XLFILL=b")</f>
        <v>-0.3115264797507788</v>
      </c>
      <c r="K206" s="9">
        <f>_xll.BQL("LUV US Equity", "FA_GROWTH(IS_SH_FOR_DILUTED_EPS, YOY)", "FPT=A", "FPO=-1A", "ACT_EST_MAPPING=PRECISE", "FS=MRC", "CURRENCY=USD", "XLFILL=b")</f>
        <v>5.4187192118226601</v>
      </c>
      <c r="L206" s="9">
        <f>_xll.BQL("LUV US Equity", "FA_GROWTH(IS_SH_FOR_DILUTED_EPS, YOY)", "FPT=A", "FPO=-2A", "ACT_EST_MAPPING=PRECISE", "FS=MRC", "CURRENCY=USD", "XLFILL=b")</f>
        <v>7.7876106194690262</v>
      </c>
      <c r="M206" s="9">
        <f>_xll.BQL("LUV US Equity", "FA_GROWTH(IS_SH_FOR_DILUTED_EPS, YOY)", "FPT=A", "FPO=-3A", "ACT_EST_MAPPING=PRECISE", "FS=MRC", "CURRENCY=USD", "XLFILL=b")</f>
        <v>4.8237476808905377</v>
      </c>
      <c r="N206" s="9">
        <f>_xll.BQL("LUV US Equity", "FA_GROWTH(IS_SH_FOR_DILUTED_EPS, YOY)", "FPT=A", "FPO=-4A", "ACT_EST_MAPPING=PRECISE", "FS=MRC", "CURRENCY=USD", "XLFILL=b")</f>
        <v>-6.0975609756097562</v>
      </c>
    </row>
    <row r="207" spans="1:14" x14ac:dyDescent="0.2">
      <c r="A207" s="8" t="s">
        <v>201</v>
      </c>
      <c r="B207" s="4" t="s">
        <v>202</v>
      </c>
      <c r="C207" s="4" t="s">
        <v>203</v>
      </c>
      <c r="D207" s="4"/>
      <c r="E207" s="9">
        <f>_xll.BQL("LUV US Equity", "IS_COMP_EPS_GAAP", "FPT=A", "FPO=5A", "ACT_EST_MAPPING=PRECISE", "FS=MRC", "CURRENCY=USD", "XLFILL=b")</f>
        <v>3.0166666666666662</v>
      </c>
      <c r="F207" s="9">
        <f>_xll.BQL("LUV US Equity", "IS_COMP_EPS_GAAP", "FPT=A", "FPO=4A", "ACT_EST_MAPPING=PRECISE", "FS=MRC", "CURRENCY=USD", "XLFILL=b")</f>
        <v>2.7519999999999998</v>
      </c>
      <c r="G207" s="9">
        <f>_xll.BQL("LUV US Equity", "IS_COMP_EPS_GAAP", "FPT=A", "FPO=3A", "ACT_EST_MAPPING=PRECISE", "FS=MRC", "CURRENCY=USD", "XLFILL=b")</f>
        <v>2.1066666666666665</v>
      </c>
      <c r="H207" s="9">
        <f>_xll.BQL("LUV US Equity", "IS_COMP_EPS_GAAP", "FPT=A", "FPO=2A", "ACT_EST_MAPPING=PRECISE", "FS=MRC", "CURRENCY=USD", "XLFILL=b")</f>
        <v>1.3750000000000002</v>
      </c>
      <c r="I207" s="9">
        <f>_xll.BQL("LUV US Equity", "IS_COMP_EPS_GAAP", "FPT=A", "FPO=1A", "ACT_EST_MAPPING=PRECISE", "FS=MRC", "CURRENCY=USD", "XLFILL=b")</f>
        <v>0.32538461538461533</v>
      </c>
      <c r="J207" s="9">
        <f>_xll.BQL("LUV US Equity", "IS_COMP_EPS_GAAP", "FPT=A", "FPO=0A", "ACT_EST_MAPPING=PRECISE", "FS=MRC", "CURRENCY=USD", "XLFILL=b")</f>
        <v>0.81</v>
      </c>
      <c r="K207" s="9">
        <f>_xll.BQL("LUV US Equity", "IS_COMP_EPS_GAAP", "FPT=A", "FPO=-1A", "ACT_EST_MAPPING=PRECISE", "FS=MRC", "CURRENCY=USD", "XLFILL=b")</f>
        <v>0.87</v>
      </c>
      <c r="L207" s="9">
        <f>_xll.BQL("LUV US Equity", "IS_COMP_EPS_GAAP", "FPT=A", "FPO=-2A", "ACT_EST_MAPPING=PRECISE", "FS=MRC", "CURRENCY=USD", "XLFILL=b")</f>
        <v>1.61</v>
      </c>
      <c r="M207" s="9">
        <f>_xll.BQL("LUV US Equity", "IS_COMP_EPS_GAAP", "FPT=A", "FPO=-3A", "ACT_EST_MAPPING=PRECISE", "FS=MRC", "CURRENCY=USD", "XLFILL=b")</f>
        <v>-5.44</v>
      </c>
      <c r="N207" s="9">
        <f>_xll.BQL("LUV US Equity", "IS_COMP_EPS_GAAP", "FPT=A", "FPO=-4A", "ACT_EST_MAPPING=PRECISE", "FS=MRC", "CURRENCY=USD", "XLFILL=b")</f>
        <v>4.2699999999999996</v>
      </c>
    </row>
    <row r="208" spans="1:14" x14ac:dyDescent="0.2">
      <c r="A208" s="8" t="s">
        <v>12</v>
      </c>
      <c r="B208" s="4" t="s">
        <v>202</v>
      </c>
      <c r="C208" s="4" t="s">
        <v>203</v>
      </c>
      <c r="D208" s="4"/>
      <c r="E208" s="9">
        <f>_xll.BQL("LUV US Equity", "FA_GROWTH(IS_COMP_EPS_GAAP, YOY)", "FPT=A", "FPO=5A", "ACT_EST_MAPPING=PRECISE", "FS=MRC", "CURRENCY=USD", "XLFILL=b")</f>
        <v>9.617248062015495</v>
      </c>
      <c r="F208" s="9">
        <f>_xll.BQL("LUV US Equity", "FA_GROWTH(IS_COMP_EPS_GAAP, YOY)", "FPT=A", "FPO=4A", "ACT_EST_MAPPING=PRECISE", "FS=MRC", "CURRENCY=USD", "XLFILL=b")</f>
        <v>30.632911392405067</v>
      </c>
      <c r="G208" s="9">
        <f>_xll.BQL("LUV US Equity", "FA_GROWTH(IS_COMP_EPS_GAAP, YOY)", "FPT=A", "FPO=3A", "ACT_EST_MAPPING=PRECISE", "FS=MRC", "CURRENCY=USD", "XLFILL=b")</f>
        <v>53.212121212121176</v>
      </c>
      <c r="H208" s="9">
        <f>_xll.BQL("LUV US Equity", "FA_GROWTH(IS_COMP_EPS_GAAP, YOY)", "FPT=A", "FPO=2A", "ACT_EST_MAPPING=PRECISE", "FS=MRC", "CURRENCY=USD", "XLFILL=b")</f>
        <v>322.57683215130038</v>
      </c>
      <c r="I208" s="9">
        <f>_xll.BQL("LUV US Equity", "FA_GROWTH(IS_COMP_EPS_GAAP, YOY)", "FPT=A", "FPO=1A", "ACT_EST_MAPPING=PRECISE", "FS=MRC", "CURRENCY=USD", "XLFILL=b")</f>
        <v>-59.829059829059844</v>
      </c>
      <c r="J208" s="9">
        <f>_xll.BQL("LUV US Equity", "FA_GROWTH(IS_COMP_EPS_GAAP, YOY)", "FPT=A", "FPO=0A", "ACT_EST_MAPPING=PRECISE", "FS=MRC", "CURRENCY=USD", "XLFILL=b")</f>
        <v>-6.8965517241379253</v>
      </c>
      <c r="K208" s="9">
        <f>_xll.BQL("LUV US Equity", "FA_GROWTH(IS_COMP_EPS_GAAP, YOY)", "FPT=A", "FPO=-1A", "ACT_EST_MAPPING=PRECISE", "FS=MRC", "CURRENCY=USD", "XLFILL=b")</f>
        <v>-45.962732919254663</v>
      </c>
      <c r="L208" s="9">
        <f>_xll.BQL("LUV US Equity", "FA_GROWTH(IS_COMP_EPS_GAAP, YOY)", "FPT=A", "FPO=-2A", "ACT_EST_MAPPING=PRECISE", "FS=MRC", "CURRENCY=USD", "XLFILL=b")</f>
        <v>129.59558823529412</v>
      </c>
      <c r="M208" s="9">
        <f>_xll.BQL("LUV US Equity", "FA_GROWTH(IS_COMP_EPS_GAAP, YOY)", "FPT=A", "FPO=-3A", "ACT_EST_MAPPING=PRECISE", "FS=MRC", "CURRENCY=USD", "XLFILL=b")</f>
        <v>-227.400468384075</v>
      </c>
      <c r="N208" s="9">
        <f>_xll.BQL("LUV US Equity", "FA_GROWTH(IS_COMP_EPS_GAAP, YOY)", "FPT=A", "FPO=-4A", "ACT_EST_MAPPING=PRECISE", "FS=MRC", "CURRENCY=USD", "XLFILL=b")</f>
        <v>-0.46620046620047695</v>
      </c>
    </row>
    <row r="209" spans="1:14" x14ac:dyDescent="0.2">
      <c r="A209" s="8" t="s">
        <v>16</v>
      </c>
      <c r="B209" s="4"/>
      <c r="C209" s="4"/>
      <c r="D209" s="4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x14ac:dyDescent="0.2">
      <c r="A210" s="8" t="s">
        <v>204</v>
      </c>
      <c r="B210" s="4" t="s">
        <v>205</v>
      </c>
      <c r="C210" s="4" t="s">
        <v>206</v>
      </c>
      <c r="D210" s="4"/>
      <c r="E210" s="9">
        <f>_xll.BQL("LUV US Equity", "HEADLINE_DPS", "FPT=A", "FPO=5A", "ACT_EST_MAPPING=PRECISE", "FS=MRC", "CURRENCY=USD", "XLFILL=b")</f>
        <v>0.92500000000000004</v>
      </c>
      <c r="F210" s="9">
        <f>_xll.BQL("LUV US Equity", "HEADLINE_DPS", "FPT=A", "FPO=4A", "ACT_EST_MAPPING=PRECISE", "FS=MRC", "CURRENCY=USD", "XLFILL=b")</f>
        <v>0.875</v>
      </c>
      <c r="G210" s="9">
        <f>_xll.BQL("LUV US Equity", "HEADLINE_DPS", "FPT=A", "FPO=3A", "ACT_EST_MAPPING=PRECISE", "FS=MRC", "CURRENCY=USD", "XLFILL=b")</f>
        <v>0.7466666666666667</v>
      </c>
      <c r="H210" s="9">
        <f>_xll.BQL("LUV US Equity", "HEADLINE_DPS", "FPT=A", "FPO=2A", "ACT_EST_MAPPING=PRECISE", "FS=MRC", "CURRENCY=USD", "XLFILL=b")</f>
        <v>0.71249999999999991</v>
      </c>
      <c r="I210" s="9">
        <f>_xll.BQL("LUV US Equity", "HEADLINE_DPS", "FPT=A", "FPO=1A", "ACT_EST_MAPPING=PRECISE", "FS=MRC", "CURRENCY=USD", "XLFILL=b")</f>
        <v>0.7242857142857142</v>
      </c>
      <c r="J210" s="9">
        <f>_xll.BQL("LUV US Equity", "HEADLINE_DPS", "FPT=A", "FPO=0A", "ACT_EST_MAPPING=PRECISE", "FS=MRC", "CURRENCY=USD", "XLFILL=b")</f>
        <v>0.72</v>
      </c>
      <c r="K210" s="9">
        <f>_xll.BQL("LUV US Equity", "HEADLINE_DPS", "FPT=A", "FPO=-1A", "ACT_EST_MAPPING=PRECISE", "FS=MRC", "CURRENCY=USD", "XLFILL=b")</f>
        <v>0</v>
      </c>
      <c r="L210" s="9">
        <f>_xll.BQL("LUV US Equity", "HEADLINE_DPS", "FPT=A", "FPO=-2A", "ACT_EST_MAPPING=PRECISE", "FS=MRC", "CURRENCY=USD", "XLFILL=b")</f>
        <v>0</v>
      </c>
      <c r="M210" s="9">
        <f>_xll.BQL("LUV US Equity", "HEADLINE_DPS", "FPT=A", "FPO=-3A", "ACT_EST_MAPPING=PRECISE", "FS=MRC", "CURRENCY=USD", "XLFILL=b")</f>
        <v>0.18</v>
      </c>
      <c r="N210" s="9">
        <f>_xll.BQL("LUV US Equity", "HEADLINE_DPS", "FPT=A", "FPO=-4A", "ACT_EST_MAPPING=PRECISE", "FS=MRC", "CURRENCY=USD", "XLFILL=b")</f>
        <v>0.7</v>
      </c>
    </row>
    <row r="211" spans="1:14" x14ac:dyDescent="0.2">
      <c r="A211" s="8" t="s">
        <v>12</v>
      </c>
      <c r="B211" s="4" t="s">
        <v>205</v>
      </c>
      <c r="C211" s="4" t="s">
        <v>206</v>
      </c>
      <c r="D211" s="4"/>
      <c r="E211" s="9">
        <f>_xll.BQL("LUV US Equity", "FA_GROWTH(HEADLINE_DPS, YOY)", "FPT=A", "FPO=5A", "ACT_EST_MAPPING=PRECISE", "FS=MRC", "CURRENCY=USD", "XLFILL=b")</f>
        <v>5.7142857142857197</v>
      </c>
      <c r="F211" s="9">
        <f>_xll.BQL("LUV US Equity", "FA_GROWTH(HEADLINE_DPS, YOY)", "FPT=A", "FPO=4A", "ACT_EST_MAPPING=PRECISE", "FS=MRC", "CURRENCY=USD", "XLFILL=b")</f>
        <v>17.187499999999996</v>
      </c>
      <c r="G211" s="9">
        <f>_xll.BQL("LUV US Equity", "FA_GROWTH(HEADLINE_DPS, YOY)", "FPT=A", "FPO=3A", "ACT_EST_MAPPING=PRECISE", "FS=MRC", "CURRENCY=USD", "XLFILL=b")</f>
        <v>4.7953216374269187</v>
      </c>
      <c r="H211" s="9">
        <f>_xll.BQL("LUV US Equity", "FA_GROWTH(HEADLINE_DPS, YOY)", "FPT=A", "FPO=2A", "ACT_EST_MAPPING=PRECISE", "FS=MRC", "CURRENCY=USD", "XLFILL=b")</f>
        <v>-1.6272189349112431</v>
      </c>
      <c r="I211" s="9">
        <f>_xll.BQL("LUV US Equity", "FA_GROWTH(HEADLINE_DPS, YOY)", "FPT=A", "FPO=1A", "ACT_EST_MAPPING=PRECISE", "FS=MRC", "CURRENCY=USD", "XLFILL=b")</f>
        <v>0.59523809523808702</v>
      </c>
      <c r="J211" s="9" t="str">
        <f>_xll.BQL("LUV US Equity", "FA_GROWTH(HEADLINE_DPS, YOY)", "FPT=A", "FPO=0A", "ACT_EST_MAPPING=PRECISE", "FS=MRC", "CURRENCY=USD", "XLFILL=b")</f>
        <v/>
      </c>
      <c r="K211" s="9" t="str">
        <f>_xll.BQL("LUV US Equity", "FA_GROWTH(HEADLINE_DPS, YOY)", "FPT=A", "FPO=-1A", "ACT_EST_MAPPING=PRECISE", "FS=MRC", "CURRENCY=USD", "XLFILL=b")</f>
        <v/>
      </c>
      <c r="L211" s="9">
        <f>_xll.BQL("LUV US Equity", "FA_GROWTH(HEADLINE_DPS, YOY)", "FPT=A", "FPO=-2A", "ACT_EST_MAPPING=PRECISE", "FS=MRC", "CURRENCY=USD", "XLFILL=b")</f>
        <v>-100</v>
      </c>
      <c r="M211" s="9">
        <f>_xll.BQL("LUV US Equity", "FA_GROWTH(HEADLINE_DPS, YOY)", "FPT=A", "FPO=-3A", "ACT_EST_MAPPING=PRECISE", "FS=MRC", "CURRENCY=USD", "XLFILL=b")</f>
        <v>-74.285714285714292</v>
      </c>
      <c r="N211" s="9">
        <f>_xll.BQL("LUV US Equity", "FA_GROWTH(HEADLINE_DPS, YOY)", "FPT=A", "FPO=-4A", "ACT_EST_MAPPING=PRECISE", "FS=MRC", "CURRENCY=USD", "XLFILL=b")</f>
        <v>15.70247933884297</v>
      </c>
    </row>
    <row r="212" spans="1:14" x14ac:dyDescent="0.2">
      <c r="A212" s="8" t="s">
        <v>16</v>
      </c>
      <c r="B212" s="4"/>
      <c r="C212" s="4"/>
      <c r="D212" s="4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 x14ac:dyDescent="0.2">
      <c r="A213" s="8" t="s">
        <v>207</v>
      </c>
      <c r="B213" s="4"/>
      <c r="C213" s="4" t="s">
        <v>208</v>
      </c>
      <c r="D213" s="4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x14ac:dyDescent="0.2">
      <c r="A214" s="8" t="s">
        <v>209</v>
      </c>
      <c r="B214" s="4" t="s">
        <v>51</v>
      </c>
      <c r="C214" s="4" t="s">
        <v>155</v>
      </c>
      <c r="D214" s="4"/>
      <c r="E214" s="9">
        <f>_xll.BQL("LUV US Equity", "IS_COMPARABLE_EBIT/1M", "FPT=A", "FPO=5A", "ACT_EST_MAPPING=PRECISE", "FS=MRC", "CURRENCY=USD", "XLFILL=b")</f>
        <v>2397.6666666666665</v>
      </c>
      <c r="F214" s="9">
        <f>_xll.BQL("LUV US Equity", "IS_COMPARABLE_EBIT/1M", "FPT=A", "FPO=4A", "ACT_EST_MAPPING=PRECISE", "FS=MRC", "CURRENCY=USD", "XLFILL=b")</f>
        <v>2257.1999999999998</v>
      </c>
      <c r="G214" s="9">
        <f>_xll.BQL("LUV US Equity", "IS_COMPARABLE_EBIT/1M", "FPT=A", "FPO=3A", "ACT_EST_MAPPING=PRECISE", "FS=MRC", "CURRENCY=USD", "XLFILL=b")</f>
        <v>1521.7857142857144</v>
      </c>
      <c r="H214" s="9">
        <f>_xll.BQL("LUV US Equity", "IS_COMPARABLE_EBIT/1M", "FPT=A", "FPO=2A", "ACT_EST_MAPPING=PRECISE", "FS=MRC", "CURRENCY=USD", "XLFILL=b")</f>
        <v>867.6111111111112</v>
      </c>
      <c r="I214" s="9">
        <f>_xll.BQL("LUV US Equity", "IS_COMPARABLE_EBIT/1M", "FPT=A", "FPO=1A", "ACT_EST_MAPPING=PRECISE", "FS=MRC", "CURRENCY=USD", "XLFILL=b")</f>
        <v>-59.517647058823528</v>
      </c>
      <c r="J214" s="9">
        <f>_xll.BQL("LUV US Equity", "IS_COMPARABLE_EBIT/1M", "FPT=A", "FPO=0A", "ACT_EST_MAPPING=PRECISE", "FS=MRC", "CURRENCY=USD", "XLFILL=b")</f>
        <v>900</v>
      </c>
      <c r="K214" s="9">
        <f>_xll.BQL("LUV US Equity", "IS_COMPARABLE_EBIT/1M", "FPT=A", "FPO=-1A", "ACT_EST_MAPPING=PRECISE", "FS=MRC", "CURRENCY=USD", "XLFILL=b")</f>
        <v>1120</v>
      </c>
      <c r="L214" s="9">
        <f>_xll.BQL("LUV US Equity", "IS_COMPARABLE_EBIT/1M", "FPT=A", "FPO=-2A", "ACT_EST_MAPPING=PRECISE", "FS=MRC", "CURRENCY=USD", "XLFILL=b")</f>
        <v>-1281</v>
      </c>
      <c r="M214" s="9">
        <f>_xll.BQL("LUV US Equity", "IS_COMPARABLE_EBIT/1M", "FPT=A", "FPO=-3A", "ACT_EST_MAPPING=PRECISE", "FS=MRC", "CURRENCY=USD", "XLFILL=b")</f>
        <v>-5032</v>
      </c>
      <c r="N214" s="9">
        <f>_xll.BQL("LUV US Equity", "IS_COMPARABLE_EBIT/1M", "FPT=A", "FPO=-4A", "ACT_EST_MAPPING=PRECISE", "FS=MRC", "CURRENCY=USD", "XLFILL=b")</f>
        <v>2957</v>
      </c>
    </row>
    <row r="215" spans="1:14" x14ac:dyDescent="0.2">
      <c r="A215" s="8" t="s">
        <v>21</v>
      </c>
      <c r="B215" s="4" t="s">
        <v>51</v>
      </c>
      <c r="C215" s="4" t="s">
        <v>155</v>
      </c>
      <c r="D215" s="4"/>
      <c r="E215" s="9">
        <f>_xll.BQL("LUV US Equity", "FA_GROWTH(IS_COMPARABLE_EBIT, YOY)", "FPT=A", "FPO=5A", "ACT_EST_MAPPING=PRECISE", "FS=MRC", "CURRENCY=USD", "XLFILL=b")</f>
        <v>6.2230492055053386</v>
      </c>
      <c r="F215" s="9">
        <f>_xll.BQL("LUV US Equity", "FA_GROWTH(IS_COMPARABLE_EBIT, YOY)", "FPT=A", "FPO=4A", "ACT_EST_MAPPING=PRECISE", "FS=MRC", "CURRENCY=USD", "XLFILL=b")</f>
        <v>48.3257451302511</v>
      </c>
      <c r="G215" s="9">
        <f>_xll.BQL("LUV US Equity", "FA_GROWTH(IS_COMPARABLE_EBIT, YOY)", "FPT=A", "FPO=3A", "ACT_EST_MAPPING=PRECISE", "FS=MRC", "CURRENCY=USD", "XLFILL=b")</f>
        <v>75.399518839360042</v>
      </c>
      <c r="H215" s="9">
        <f>_xll.BQL("LUV US Equity", "FA_GROWTH(IS_COMPARABLE_EBIT, YOY)", "FPT=A", "FPO=2A", "ACT_EST_MAPPING=PRECISE", "FS=MRC", "CURRENCY=USD", "XLFILL=b")</f>
        <v>1557.7375853813887</v>
      </c>
      <c r="I215" s="9">
        <f>_xll.BQL("LUV US Equity", "FA_GROWTH(IS_COMPARABLE_EBIT, YOY)", "FPT=A", "FPO=1A", "ACT_EST_MAPPING=PRECISE", "FS=MRC", "CURRENCY=USD", "XLFILL=b")</f>
        <v>-106.61307189542484</v>
      </c>
      <c r="J215" s="9">
        <f>_xll.BQL("LUV US Equity", "FA_GROWTH(IS_COMPARABLE_EBIT, YOY)", "FPT=A", "FPO=0A", "ACT_EST_MAPPING=PRECISE", "FS=MRC", "CURRENCY=USD", "XLFILL=b")</f>
        <v>-19.642857142857142</v>
      </c>
      <c r="K215" s="9">
        <f>_xll.BQL("LUV US Equity", "FA_GROWTH(IS_COMPARABLE_EBIT, YOY)", "FPT=A", "FPO=-1A", "ACT_EST_MAPPING=PRECISE", "FS=MRC", "CURRENCY=USD", "XLFILL=b")</f>
        <v>187.43169398907105</v>
      </c>
      <c r="L215" s="9">
        <f>_xll.BQL("LUV US Equity", "FA_GROWTH(IS_COMPARABLE_EBIT, YOY)", "FPT=A", "FPO=-2A", "ACT_EST_MAPPING=PRECISE", "FS=MRC", "CURRENCY=USD", "XLFILL=b")</f>
        <v>74.5429252782194</v>
      </c>
      <c r="M215" s="9">
        <f>_xll.BQL("LUV US Equity", "FA_GROWTH(IS_COMPARABLE_EBIT, YOY)", "FPT=A", "FPO=-3A", "ACT_EST_MAPPING=PRECISE", "FS=MRC", "CURRENCY=USD", "XLFILL=b")</f>
        <v>-270.17247210010146</v>
      </c>
      <c r="N215" s="9">
        <f>_xll.BQL("LUV US Equity", "FA_GROWTH(IS_COMPARABLE_EBIT, YOY)", "FPT=A", "FPO=-4A", "ACT_EST_MAPPING=PRECISE", "FS=MRC", "CURRENCY=USD", "XLFILL=b")</f>
        <v>-6.630880959898958</v>
      </c>
    </row>
    <row r="216" spans="1:14" x14ac:dyDescent="0.2">
      <c r="A216" s="8" t="s">
        <v>210</v>
      </c>
      <c r="B216" s="4" t="s">
        <v>54</v>
      </c>
      <c r="C216" s="4" t="s">
        <v>55</v>
      </c>
      <c r="D216" s="4"/>
      <c r="E216" s="9">
        <f>_xll.BQL("LUV US Equity", "ADJ_OPERATING_MARGIN", "FPT=A", "FPO=5A", "ACT_EST_MAPPING=PRECISE", "FS=MRC", "CURRENCY=USD", "XLFILL=b")</f>
        <v>5.9242135528366884</v>
      </c>
      <c r="F216" s="9">
        <f>_xll.BQL("LUV US Equity", "ADJ_OPERATING_MARGIN", "FPT=A", "FPO=4A", "ACT_EST_MAPPING=PRECISE", "FS=MRC", "CURRENCY=USD", "XLFILL=b")</f>
        <v>5.4994882930105176</v>
      </c>
      <c r="G216" s="9">
        <f>_xll.BQL("LUV US Equity", "ADJ_OPERATING_MARGIN", "FPT=A", "FPO=3A", "ACT_EST_MAPPING=PRECISE", "FS=MRC", "CURRENCY=USD", "XLFILL=b")</f>
        <v>4.3872993792591073</v>
      </c>
      <c r="H216" s="9">
        <f>_xll.BQL("LUV US Equity", "ADJ_OPERATING_MARGIN", "FPT=A", "FPO=2A", "ACT_EST_MAPPING=PRECISE", "FS=MRC", "CURRENCY=USD", "XLFILL=b")</f>
        <v>2.9582979500695785</v>
      </c>
      <c r="I216" s="9">
        <f>_xll.BQL("LUV US Equity", "ADJ_OPERATING_MARGIN", "FPT=A", "FPO=1A", "ACT_EST_MAPPING=PRECISE", "FS=MRC", "CURRENCY=USD", "XLFILL=b")</f>
        <v>-0.58434426756686852</v>
      </c>
      <c r="J216" s="9">
        <f>_xll.BQL("LUV US Equity", "ADJ_OPERATING_MARGIN", "FPT=A", "FPO=0A", "ACT_EST_MAPPING=PRECISE", "FS=MRC", "CURRENCY=USD", "XLFILL=b")</f>
        <v>3.4494653328734048</v>
      </c>
      <c r="K216" s="9">
        <f>_xll.BQL("LUV US Equity", "ADJ_OPERATING_MARGIN", "FPT=A", "FPO=-1A", "ACT_EST_MAPPING=PRECISE", "FS=MRC", "CURRENCY=USD", "XLFILL=b")</f>
        <v>4.7031158142269254</v>
      </c>
      <c r="L216" s="9">
        <f>_xll.BQL("LUV US Equity", "ADJ_OPERATING_MARGIN", "FPT=A", "FPO=-2A", "ACT_EST_MAPPING=PRECISE", "FS=MRC", "CURRENCY=USD", "XLFILL=b")</f>
        <v>-8.1127295756808095</v>
      </c>
      <c r="M216" s="9">
        <f>_xll.BQL("LUV US Equity", "ADJ_OPERATING_MARGIN", "FPT=A", "FPO=-3A", "ACT_EST_MAPPING=PRECISE", "FS=MRC", "CURRENCY=USD", "XLFILL=b")</f>
        <v>-55.614500442086644</v>
      </c>
      <c r="N216" s="9">
        <f>_xll.BQL("LUV US Equity", "ADJ_OPERATING_MARGIN", "FPT=A", "FPO=-4A", "ACT_EST_MAPPING=PRECISE", "FS=MRC", "CURRENCY=USD", "XLFILL=b")</f>
        <v>13.184412341715712</v>
      </c>
    </row>
    <row r="217" spans="1:14" x14ac:dyDescent="0.2">
      <c r="A217" s="8" t="s">
        <v>111</v>
      </c>
      <c r="B217" s="4" t="s">
        <v>54</v>
      </c>
      <c r="C217" s="4" t="s">
        <v>55</v>
      </c>
      <c r="D217" s="4"/>
      <c r="E217" s="9">
        <f>_xll.BQL("LUV US Equity", "FA_GROWTH(ADJ_OPERATING_MARGIN, YOY)", "FPT=A", "FPO=5A", "ACT_EST_MAPPING=PRECISE", "FS=MRC", "CURRENCY=USD", "XLFILL=b")</f>
        <v>7.7229959806618425</v>
      </c>
      <c r="F217" s="9">
        <f>_xll.BQL("LUV US Equity", "FA_GROWTH(ADJ_OPERATING_MARGIN, YOY)", "FPT=A", "FPO=4A", "ACT_EST_MAPPING=PRECISE", "FS=MRC", "CURRENCY=USD", "XLFILL=b")</f>
        <v>25.350194222196617</v>
      </c>
      <c r="G217" s="9">
        <f>_xll.BQL("LUV US Equity", "FA_GROWTH(ADJ_OPERATING_MARGIN, YOY)", "FPT=A", "FPO=3A", "ACT_EST_MAPPING=PRECISE", "FS=MRC", "CURRENCY=USD", "XLFILL=b")</f>
        <v>48.304851414845444</v>
      </c>
      <c r="H217" s="9">
        <f>_xll.BQL("LUV US Equity", "FA_GROWTH(ADJ_OPERATING_MARGIN, YOY)", "FPT=A", "FPO=2A", "ACT_EST_MAPPING=PRECISE", "FS=MRC", "CURRENCY=USD", "XLFILL=b")</f>
        <v>606.25942860491057</v>
      </c>
      <c r="I217" s="9">
        <f>_xll.BQL("LUV US Equity", "FA_GROWTH(ADJ_OPERATING_MARGIN, YOY)", "FPT=A", "FPO=1A", "ACT_EST_MAPPING=PRECISE", "FS=MRC", "CURRENCY=USD", "XLFILL=b")</f>
        <v>-116.94014031676352</v>
      </c>
      <c r="J217" s="9">
        <f>_xll.BQL("LUV US Equity", "FA_GROWTH(ADJ_OPERATING_MARGIN, YOY)", "FPT=A", "FPO=0A", "ACT_EST_MAPPING=PRECISE", "FS=MRC", "CURRENCY=USD", "XLFILL=b")</f>
        <v>-26.65574335977923</v>
      </c>
      <c r="K217" s="9">
        <f>_xll.BQL("LUV US Equity", "FA_GROWTH(ADJ_OPERATING_MARGIN, YOY)", "FPT=A", "FPO=-1A", "ACT_EST_MAPPING=PRECISE", "FS=MRC", "CURRENCY=USD", "XLFILL=b")</f>
        <v>157.97205207388225</v>
      </c>
      <c r="L217" s="9">
        <f>_xll.BQL("LUV US Equity", "FA_GROWTH(ADJ_OPERATING_MARGIN, YOY)", "FPT=A", "FPO=-2A", "ACT_EST_MAPPING=PRECISE", "FS=MRC", "CURRENCY=USD", "XLFILL=b")</f>
        <v>85.412564149292535</v>
      </c>
      <c r="M217" s="9">
        <f>_xll.BQL("LUV US Equity", "FA_GROWTH(ADJ_OPERATING_MARGIN, YOY)", "FPT=A", "FPO=-3A", "ACT_EST_MAPPING=PRECISE", "FS=MRC", "CURRENCY=USD", "XLFILL=b")</f>
        <v>-521.82009330913741</v>
      </c>
      <c r="N217" s="9">
        <f>_xll.BQL("LUV US Equity", "FA_GROWTH(ADJ_OPERATING_MARGIN, YOY)", "FPT=A", "FPO=-4A", "ACT_EST_MAPPING=PRECISE", "FS=MRC", "CURRENCY=USD", "XLFILL=b")</f>
        <v>-8.5583779331273817</v>
      </c>
    </row>
    <row r="218" spans="1:14" x14ac:dyDescent="0.2">
      <c r="A218" s="8" t="s">
        <v>211</v>
      </c>
      <c r="B218" s="4" t="s">
        <v>212</v>
      </c>
      <c r="C218" s="4" t="s">
        <v>160</v>
      </c>
      <c r="D218" s="4"/>
      <c r="E218" s="9">
        <f>_xll.BQL("LUV US Equity", "IS_COMPARABLE_EBITDA/1M", "FPT=A", "FPO=5A", "ACT_EST_MAPPING=PRECISE", "FS=MRC", "CURRENCY=USD", "XLFILL=b")</f>
        <v>4408</v>
      </c>
      <c r="F218" s="9">
        <f>_xll.BQL("LUV US Equity", "IS_COMPARABLE_EBITDA/1M", "FPT=A", "FPO=4A", "ACT_EST_MAPPING=PRECISE", "FS=MRC", "CURRENCY=USD", "XLFILL=b")</f>
        <v>3759.5</v>
      </c>
      <c r="G218" s="9">
        <f>_xll.BQL("LUV US Equity", "IS_COMPARABLE_EBITDA/1M", "FPT=A", "FPO=3A", "ACT_EST_MAPPING=PRECISE", "FS=MRC", "CURRENCY=USD", "XLFILL=b")</f>
        <v>3359.9230769230771</v>
      </c>
      <c r="H218" s="9">
        <f>_xll.BQL("LUV US Equity", "IS_COMPARABLE_EBITDA/1M", "FPT=A", "FPO=2A", "ACT_EST_MAPPING=PRECISE", "FS=MRC", "CURRENCY=USD", "XLFILL=b")</f>
        <v>2644.125</v>
      </c>
      <c r="I218" s="9">
        <f>_xll.BQL("LUV US Equity", "IS_COMPARABLE_EBITDA/1M", "FPT=A", "FPO=1A", "ACT_EST_MAPPING=PRECISE", "FS=MRC", "CURRENCY=USD", "XLFILL=b")</f>
        <v>1614.1875</v>
      </c>
      <c r="J218" s="9">
        <f>_xll.BQL("LUV US Equity", "IS_COMPARABLE_EBITDA/1M", "FPT=A", "FPO=0A", "ACT_EST_MAPPING=PRECISE", "FS=MRC", "CURRENCY=USD", "XLFILL=b")</f>
        <v>2422</v>
      </c>
      <c r="K218" s="9">
        <f>_xll.BQL("LUV US Equity", "IS_COMPARABLE_EBITDA/1M", "FPT=A", "FPO=-1A", "ACT_EST_MAPPING=PRECISE", "FS=MRC", "CURRENCY=USD", "XLFILL=b")</f>
        <v>2471</v>
      </c>
      <c r="L218" s="9">
        <f>_xll.BQL("LUV US Equity", "IS_COMPARABLE_EBITDA/1M", "FPT=A", "FPO=-2A", "ACT_EST_MAPPING=PRECISE", "FS=MRC", "CURRENCY=USD", "XLFILL=b")</f>
        <v>-9</v>
      </c>
      <c r="M218" s="9">
        <f>_xll.BQL("LUV US Equity", "IS_COMPARABLE_EBITDA/1M", "FPT=A", "FPO=-3A", "ACT_EST_MAPPING=PRECISE", "FS=MRC", "CURRENCY=USD", "XLFILL=b")</f>
        <v>-3777</v>
      </c>
      <c r="N218" s="9">
        <f>_xll.BQL("LUV US Equity", "IS_COMPARABLE_EBITDA/1M", "FPT=A", "FPO=-4A", "ACT_EST_MAPPING=PRECISE", "FS=MRC", "CURRENCY=USD", "XLFILL=b")</f>
        <v>4176</v>
      </c>
    </row>
    <row r="219" spans="1:14" x14ac:dyDescent="0.2">
      <c r="A219" s="8" t="s">
        <v>21</v>
      </c>
      <c r="B219" s="4" t="s">
        <v>212</v>
      </c>
      <c r="C219" s="4" t="s">
        <v>160</v>
      </c>
      <c r="D219" s="4"/>
      <c r="E219" s="9">
        <f>_xll.BQL("LUV US Equity", "FA_GROWTH(IS_COMPARABLE_EBITDA, YOY)", "FPT=A", "FPO=5A", "ACT_EST_MAPPING=PRECISE", "FS=MRC", "CURRENCY=USD", "XLFILL=b")</f>
        <v>17.249634259874984</v>
      </c>
      <c r="F219" s="9">
        <f>_xll.BQL("LUV US Equity", "FA_GROWTH(IS_COMPARABLE_EBITDA, YOY)", "FPT=A", "FPO=4A", "ACT_EST_MAPPING=PRECISE", "FS=MRC", "CURRENCY=USD", "XLFILL=b")</f>
        <v>11.892442592550191</v>
      </c>
      <c r="G219" s="9">
        <f>_xll.BQL("LUV US Equity", "FA_GROWTH(IS_COMPARABLE_EBITDA, YOY)", "FPT=A", "FPO=3A", "ACT_EST_MAPPING=PRECISE", "FS=MRC", "CURRENCY=USD", "XLFILL=b")</f>
        <v>27.071264668768574</v>
      </c>
      <c r="H219" s="9">
        <f>_xll.BQL("LUV US Equity", "FA_GROWTH(IS_COMPARABLE_EBITDA, YOY)", "FPT=A", "FPO=2A", "ACT_EST_MAPPING=PRECISE", "FS=MRC", "CURRENCY=USD", "XLFILL=b")</f>
        <v>63.805320013938903</v>
      </c>
      <c r="I219" s="9">
        <f>_xll.BQL("LUV US Equity", "FA_GROWTH(IS_COMPARABLE_EBITDA, YOY)", "FPT=A", "FPO=1A", "ACT_EST_MAPPING=PRECISE", "FS=MRC", "CURRENCY=USD", "XLFILL=b")</f>
        <v>-33.353117258464081</v>
      </c>
      <c r="J219" s="9">
        <f>_xll.BQL("LUV US Equity", "FA_GROWTH(IS_COMPARABLE_EBITDA, YOY)", "FPT=A", "FPO=0A", "ACT_EST_MAPPING=PRECISE", "FS=MRC", "CURRENCY=USD", "XLFILL=b")</f>
        <v>-1.9830028328611897</v>
      </c>
      <c r="K219" s="9">
        <f>_xll.BQL("LUV US Equity", "FA_GROWTH(IS_COMPARABLE_EBITDA, YOY)", "FPT=A", "FPO=-1A", "ACT_EST_MAPPING=PRECISE", "FS=MRC", "CURRENCY=USD", "XLFILL=b")</f>
        <v>27555.555555555555</v>
      </c>
      <c r="L219" s="9">
        <f>_xll.BQL("LUV US Equity", "FA_GROWTH(IS_COMPARABLE_EBITDA, YOY)", "FPT=A", "FPO=-2A", "ACT_EST_MAPPING=PRECISE", "FS=MRC", "CURRENCY=USD", "XLFILL=b")</f>
        <v>99.761715647339159</v>
      </c>
      <c r="M219" s="9">
        <f>_xll.BQL("LUV US Equity", "FA_GROWTH(IS_COMPARABLE_EBITDA, YOY)", "FPT=A", "FPO=-3A", "ACT_EST_MAPPING=PRECISE", "FS=MRC", "CURRENCY=USD", "XLFILL=b")</f>
        <v>-190.44540229885058</v>
      </c>
      <c r="N219" s="9">
        <f>_xll.BQL("LUV US Equity", "FA_GROWTH(IS_COMPARABLE_EBITDA, YOY)", "FPT=A", "FPO=-4A", "ACT_EST_MAPPING=PRECISE", "FS=MRC", "CURRENCY=USD", "XLFILL=b")</f>
        <v>-4.395604395604396</v>
      </c>
    </row>
    <row r="220" spans="1:14" x14ac:dyDescent="0.2">
      <c r="A220" s="8" t="s">
        <v>213</v>
      </c>
      <c r="B220" s="4" t="s">
        <v>214</v>
      </c>
      <c r="C220" s="4" t="s">
        <v>181</v>
      </c>
      <c r="D220" s="4"/>
      <c r="E220" s="9">
        <f>_xll.BQL("LUV US Equity", "IS_COMP_PTP_EX_STK_BASED_COMP/1M", "FPT=A", "FPO=5A", "ACT_EST_MAPPING=PRECISE", "FS=MRC", "CURRENCY=USD", "XLFILL=b")</f>
        <v>1583</v>
      </c>
      <c r="F220" s="9">
        <f>_xll.BQL("LUV US Equity", "IS_COMP_PTP_EX_STK_BASED_COMP/1M", "FPT=A", "FPO=4A", "ACT_EST_MAPPING=PRECISE", "FS=MRC", "CURRENCY=USD", "XLFILL=b")</f>
        <v>1849.25</v>
      </c>
      <c r="G220" s="9">
        <f>_xll.BQL("LUV US Equity", "IS_COMP_PTP_EX_STK_BASED_COMP/1M", "FPT=A", "FPO=3A", "ACT_EST_MAPPING=PRECISE", "FS=MRC", "CURRENCY=USD", "XLFILL=b")</f>
        <v>1670.3636363636363</v>
      </c>
      <c r="H220" s="9">
        <f>_xll.BQL("LUV US Equity", "IS_COMP_PTP_EX_STK_BASED_COMP/1M", "FPT=A", "FPO=2A", "ACT_EST_MAPPING=PRECISE", "FS=MRC", "CURRENCY=USD", "XLFILL=b")</f>
        <v>1056.8</v>
      </c>
      <c r="I220" s="9">
        <f>_xll.BQL("LUV US Equity", "IS_COMP_PTP_EX_STK_BASED_COMP/1M", "FPT=A", "FPO=1A", "ACT_EST_MAPPING=PRECISE", "FS=MRC", "CURRENCY=USD", "XLFILL=b")</f>
        <v>312.60000000000002</v>
      </c>
      <c r="J220" s="9">
        <f>_xll.BQL("LUV US Equity", "IS_COMP_PTP_EX_STK_BASED_COMP/1M", "FPT=A", "FPO=0A", "ACT_EST_MAPPING=PRECISE", "FS=MRC", "CURRENCY=USD", "XLFILL=b")</f>
        <v>1288</v>
      </c>
      <c r="K220" s="9">
        <f>_xll.BQL("LUV US Equity", "IS_COMP_PTP_EX_STK_BASED_COMP/1M", "FPT=A", "FPO=-1A", "ACT_EST_MAPPING=PRECISE", "FS=MRC", "CURRENCY=USD", "XLFILL=b")</f>
        <v>959</v>
      </c>
      <c r="L220" s="9">
        <f>_xll.BQL("LUV US Equity", "IS_COMP_PTP_EX_STK_BASED_COMP/1M", "FPT=A", "FPO=-2A", "ACT_EST_MAPPING=PRECISE", "FS=MRC", "CURRENCY=USD", "XLFILL=b")</f>
        <v>-1613</v>
      </c>
      <c r="M220" s="9">
        <f>_xll.BQL("LUV US Equity", "IS_COMP_PTP_EX_STK_BASED_COMP/1M", "FPT=A", "FPO=-3A", "ACT_EST_MAPPING=PRECISE", "FS=MRC", "CURRENCY=USD", "XLFILL=b")</f>
        <v>-5317</v>
      </c>
      <c r="N220" s="9">
        <f>_xll.BQL("LUV US Equity", "IS_COMP_PTP_EX_STK_BASED_COMP/1M", "FPT=A", "FPO=-4A", "ACT_EST_MAPPING=PRECISE", "FS=MRC", "CURRENCY=USD", "XLFILL=b")</f>
        <v>2957</v>
      </c>
    </row>
    <row r="221" spans="1:14" x14ac:dyDescent="0.2">
      <c r="A221" s="8" t="s">
        <v>21</v>
      </c>
      <c r="B221" s="4" t="s">
        <v>214</v>
      </c>
      <c r="C221" s="4" t="s">
        <v>181</v>
      </c>
      <c r="D221" s="4"/>
      <c r="E221" s="9">
        <f>_xll.BQL("LUV US Equity", "FA_GROWTH(IS_COMP_PTP_EX_STK_BASED_COMP, YOY)", "FPT=A", "FPO=5A", "ACT_EST_MAPPING=PRECISE", "FS=MRC", "CURRENCY=USD", "XLFILL=b")</f>
        <v>-14.397728808976613</v>
      </c>
      <c r="F221" s="9">
        <f>_xll.BQL("LUV US Equity", "FA_GROWTH(IS_COMP_PTP_EX_STK_BASED_COMP, YOY)", "FPT=A", "FPO=4A", "ACT_EST_MAPPING=PRECISE", "FS=MRC", "CURRENCY=USD", "XLFILL=b")</f>
        <v>10.709426363339508</v>
      </c>
      <c r="G221" s="9">
        <f>_xll.BQL("LUV US Equity", "FA_GROWTH(IS_COMP_PTP_EX_STK_BASED_COMP, YOY)", "FPT=A", "FPO=3A", "ACT_EST_MAPPING=PRECISE", "FS=MRC", "CURRENCY=USD", "XLFILL=b")</f>
        <v>58.058633266808883</v>
      </c>
      <c r="H221" s="9">
        <f>_xll.BQL("LUV US Equity", "FA_GROWTH(IS_COMP_PTP_EX_STK_BASED_COMP, YOY)", "FPT=A", "FPO=2A", "ACT_EST_MAPPING=PRECISE", "FS=MRC", "CURRENCY=USD", "XLFILL=b")</f>
        <v>238.0678182981446</v>
      </c>
      <c r="I221" s="9">
        <f>_xll.BQL("LUV US Equity", "FA_GROWTH(IS_COMP_PTP_EX_STK_BASED_COMP, YOY)", "FPT=A", "FPO=1A", "ACT_EST_MAPPING=PRECISE", "FS=MRC", "CURRENCY=USD", "XLFILL=b")</f>
        <v>-75.729813664596278</v>
      </c>
      <c r="J221" s="9">
        <f>_xll.BQL("LUV US Equity", "FA_GROWTH(IS_COMP_PTP_EX_STK_BASED_COMP, YOY)", "FPT=A", "FPO=0A", "ACT_EST_MAPPING=PRECISE", "FS=MRC", "CURRENCY=USD", "XLFILL=b")</f>
        <v>34.306569343065696</v>
      </c>
      <c r="K221" s="9">
        <f>_xll.BQL("LUV US Equity", "FA_GROWTH(IS_COMP_PTP_EX_STK_BASED_COMP, YOY)", "FPT=A", "FPO=-1A", "ACT_EST_MAPPING=PRECISE", "FS=MRC", "CURRENCY=USD", "XLFILL=b")</f>
        <v>159.45443273403595</v>
      </c>
      <c r="L221" s="9">
        <f>_xll.BQL("LUV US Equity", "FA_GROWTH(IS_COMP_PTP_EX_STK_BASED_COMP, YOY)", "FPT=A", "FPO=-2A", "ACT_EST_MAPPING=PRECISE", "FS=MRC", "CURRENCY=USD", "XLFILL=b")</f>
        <v>69.663343990972351</v>
      </c>
      <c r="M221" s="9">
        <f>_xll.BQL("LUV US Equity", "FA_GROWTH(IS_COMP_PTP_EX_STK_BASED_COMP, YOY)", "FPT=A", "FPO=-3A", "ACT_EST_MAPPING=PRECISE", "FS=MRC", "CURRENCY=USD", "XLFILL=b")</f>
        <v>-279.81061887047684</v>
      </c>
      <c r="N221" s="9">
        <f>_xll.BQL("LUV US Equity", "FA_GROWTH(IS_COMP_PTP_EX_STK_BASED_COMP, YOY)", "FPT=A", "FPO=-4A", "ACT_EST_MAPPING=PRECISE", "FS=MRC", "CURRENCY=USD", "XLFILL=b")</f>
        <v>-5.3760000000000003</v>
      </c>
    </row>
    <row r="222" spans="1:14" x14ac:dyDescent="0.2">
      <c r="A222" s="8" t="s">
        <v>215</v>
      </c>
      <c r="B222" s="4" t="s">
        <v>216</v>
      </c>
      <c r="C222" s="4"/>
      <c r="D222" s="4"/>
      <c r="E222" s="9">
        <f>_xll.BQL("LUV US Equity", "CB_IS_ADJ_INC_TAX_EXPN/1M", "FPT=A", "FPO=5A", "ACT_EST_MAPPING=PRECISE", "FS=MRC", "CURRENCY=USD", "XLFILL=b")</f>
        <v>379.89951094488521</v>
      </c>
      <c r="F222" s="9">
        <f>_xll.BQL("LUV US Equity", "CB_IS_ADJ_INC_TAX_EXPN/1M", "FPT=A", "FPO=4A", "ACT_EST_MAPPING=PRECISE", "FS=MRC", "CURRENCY=USD", "XLFILL=b")</f>
        <v>375.04640160661415</v>
      </c>
      <c r="G222" s="9">
        <f>_xll.BQL("LUV US Equity", "CB_IS_ADJ_INC_TAX_EXPN/1M", "FPT=A", "FPO=3A", "ACT_EST_MAPPING=PRECISE", "FS=MRC", "CURRENCY=USD", "XLFILL=b")</f>
        <v>384.3703223582753</v>
      </c>
      <c r="H222" s="9">
        <f>_xll.BQL("LUV US Equity", "CB_IS_ADJ_INC_TAX_EXPN/1M", "FPT=A", "FPO=2A", "ACT_EST_MAPPING=PRECISE", "FS=MRC", "CURRENCY=USD", "XLFILL=b")</f>
        <v>244.0442911757205</v>
      </c>
      <c r="I222" s="9">
        <f>_xll.BQL("LUV US Equity", "CB_IS_ADJ_INC_TAX_EXPN/1M", "FPT=A", "FPO=1A", "ACT_EST_MAPPING=PRECISE", "FS=MRC", "CURRENCY=USD", "XLFILL=b")</f>
        <v>70.833188199930319</v>
      </c>
      <c r="J222" s="9">
        <f>_xll.BQL("LUV US Equity", "CB_IS_ADJ_INC_TAX_EXPN/1M", "FPT=A", "FPO=0A", "ACT_EST_MAPPING=PRECISE", "FS=MRC", "CURRENCY=USD", "XLFILL=b")</f>
        <v>302</v>
      </c>
      <c r="K222" s="9">
        <f>_xll.BQL("LUV US Equity", "CB_IS_ADJ_INC_TAX_EXPN/1M", "FPT=A", "FPO=-1A", "ACT_EST_MAPPING=PRECISE", "FS=MRC", "CURRENCY=USD", "XLFILL=b")</f>
        <v>236</v>
      </c>
      <c r="L222" s="9">
        <f>_xll.BQL("LUV US Equity", "CB_IS_ADJ_INC_TAX_EXPN/1M", "FPT=A", "FPO=-2A", "ACT_EST_MAPPING=PRECISE", "FS=MRC", "CURRENCY=USD", "XLFILL=b")</f>
        <v>-342</v>
      </c>
      <c r="M222" s="9">
        <f>_xll.BQL("LUV US Equity", "CB_IS_ADJ_INC_TAX_EXPN/1M", "FPT=A", "FPO=-3A", "ACT_EST_MAPPING=PRECISE", "FS=MRC", "CURRENCY=USD", "XLFILL=b")</f>
        <v>-1805</v>
      </c>
      <c r="N222" s="9">
        <f>_xll.BQL("LUV US Equity", "CB_IS_ADJ_INC_TAX_EXPN/1M", "FPT=A", "FPO=-4A", "ACT_EST_MAPPING=PRECISE", "FS=MRC", "CURRENCY=USD", "XLFILL=b")</f>
        <v>657</v>
      </c>
    </row>
    <row r="223" spans="1:14" x14ac:dyDescent="0.2">
      <c r="A223" s="8" t="s">
        <v>21</v>
      </c>
      <c r="B223" s="4" t="s">
        <v>216</v>
      </c>
      <c r="C223" s="4"/>
      <c r="D223" s="4"/>
      <c r="E223" s="9">
        <f>_xll.BQL("LUV US Equity", "FA_GROWTH(CB_IS_ADJ_INC_TAX_EXPN, YOY)", "FPT=A", "FPO=5A", "ACT_EST_MAPPING=PRECISE", "FS=MRC", "CURRENCY=USD", "XLFILL=b")</f>
        <v>1.2940023734346993</v>
      </c>
      <c r="F223" s="9">
        <f>_xll.BQL("LUV US Equity", "FA_GROWTH(CB_IS_ADJ_INC_TAX_EXPN, YOY)", "FPT=A", "FPO=4A", "ACT_EST_MAPPING=PRECISE", "FS=MRC", "CURRENCY=USD", "XLFILL=b")</f>
        <v>-2.4257650003920452</v>
      </c>
      <c r="G223" s="9">
        <f>_xll.BQL("LUV US Equity", "FA_GROWTH(CB_IS_ADJ_INC_TAX_EXPN, YOY)", "FPT=A", "FPO=3A", "ACT_EST_MAPPING=PRECISE", "FS=MRC", "CURRENCY=USD", "XLFILL=b")</f>
        <v>57.500231005819792</v>
      </c>
      <c r="H223" s="9">
        <f>_xll.BQL("LUV US Equity", "FA_GROWTH(CB_IS_ADJ_INC_TAX_EXPN, YOY)", "FPT=A", "FPO=2A", "ACT_EST_MAPPING=PRECISE", "FS=MRC", "CURRENCY=USD", "XLFILL=b")</f>
        <v>244.53382288383369</v>
      </c>
      <c r="I223" s="9">
        <f>_xll.BQL("LUV US Equity", "FA_GROWTH(CB_IS_ADJ_INC_TAX_EXPN, YOY)", "FPT=A", "FPO=1A", "ACT_EST_MAPPING=PRECISE", "FS=MRC", "CURRENCY=USD", "XLFILL=b")</f>
        <v>-76.545301920552873</v>
      </c>
      <c r="J223" s="9">
        <f>_xll.BQL("LUV US Equity", "FA_GROWTH(CB_IS_ADJ_INC_TAX_EXPN, YOY)", "FPT=A", "FPO=0A", "ACT_EST_MAPPING=PRECISE", "FS=MRC", "CURRENCY=USD", "XLFILL=b")</f>
        <v>27.966101694915253</v>
      </c>
      <c r="K223" s="9">
        <f>_xll.BQL("LUV US Equity", "FA_GROWTH(CB_IS_ADJ_INC_TAX_EXPN, YOY)", "FPT=A", "FPO=-1A", "ACT_EST_MAPPING=PRECISE", "FS=MRC", "CURRENCY=USD", "XLFILL=b")</f>
        <v>169.00584795321637</v>
      </c>
      <c r="L223" s="9">
        <f>_xll.BQL("LUV US Equity", "FA_GROWTH(CB_IS_ADJ_INC_TAX_EXPN, YOY)", "FPT=A", "FPO=-2A", "ACT_EST_MAPPING=PRECISE", "FS=MRC", "CURRENCY=USD", "XLFILL=b")</f>
        <v>81.05263157894737</v>
      </c>
      <c r="M223" s="9">
        <f>_xll.BQL("LUV US Equity", "FA_GROWTH(CB_IS_ADJ_INC_TAX_EXPN, YOY)", "FPT=A", "FPO=-3A", "ACT_EST_MAPPING=PRECISE", "FS=MRC", "CURRENCY=USD", "XLFILL=b")</f>
        <v>-374.73363774733639</v>
      </c>
      <c r="N223" s="9">
        <f>_xll.BQL("LUV US Equity", "FA_GROWTH(CB_IS_ADJ_INC_TAX_EXPN, YOY)", "FPT=A", "FPO=-4A", "ACT_EST_MAPPING=PRECISE", "FS=MRC", "CURRENCY=USD", "XLFILL=b")</f>
        <v>-4.7826086956521738</v>
      </c>
    </row>
    <row r="224" spans="1:14" x14ac:dyDescent="0.2">
      <c r="A224" s="8" t="s">
        <v>217</v>
      </c>
      <c r="B224" s="4" t="s">
        <v>49</v>
      </c>
      <c r="C224" s="4" t="s">
        <v>192</v>
      </c>
      <c r="D224" s="4"/>
      <c r="E224" s="9">
        <f>_xll.BQL("LUV US Equity", "IS_COMP_NET_INCOME_ADJUST_OLD/1M", "FPT=A", "FPO=5A", "ACT_EST_MAPPING=PRECISE", "FS=MRC", "CURRENCY=USD", "XLFILL=b")</f>
        <v>1785</v>
      </c>
      <c r="F224" s="9">
        <f>_xll.BQL("LUV US Equity", "IS_COMP_NET_INCOME_ADJUST_OLD/1M", "FPT=A", "FPO=4A", "ACT_EST_MAPPING=PRECISE", "FS=MRC", "CURRENCY=USD", "XLFILL=b")</f>
        <v>1703.6</v>
      </c>
      <c r="G224" s="9">
        <f>_xll.BQL("LUV US Equity", "IS_COMP_NET_INCOME_ADJUST_OLD/1M", "FPT=A", "FPO=3A", "ACT_EST_MAPPING=PRECISE", "FS=MRC", "CURRENCY=USD", "XLFILL=b")</f>
        <v>1293.4285714285716</v>
      </c>
      <c r="H224" s="9">
        <f>_xll.BQL("LUV US Equity", "IS_COMP_NET_INCOME_ADJUST_OLD/1M", "FPT=A", "FPO=2A", "ACT_EST_MAPPING=PRECISE", "FS=MRC", "CURRENCY=USD", "XLFILL=b")</f>
        <v>825.27777777777783</v>
      </c>
      <c r="I224" s="9">
        <f>_xll.BQL("LUV US Equity", "IS_COMP_NET_INCOME_ADJUST_OLD/1M", "FPT=A", "FPO=1A", "ACT_EST_MAPPING=PRECISE", "FS=MRC", "CURRENCY=USD", "XLFILL=b")</f>
        <v>240.25</v>
      </c>
      <c r="J224" s="9">
        <f>_xll.BQL("LUV US Equity", "IS_COMP_NET_INCOME_ADJUST_OLD/1M", "FPT=A", "FPO=0A", "ACT_EST_MAPPING=PRECISE", "FS=MRC", "CURRENCY=USD", "XLFILL=b")</f>
        <v>986</v>
      </c>
      <c r="K224" s="9">
        <f>_xll.BQL("LUV US Equity", "IS_COMP_NET_INCOME_ADJUST_OLD/1M", "FPT=A", "FPO=-1A", "ACT_EST_MAPPING=PRECISE", "FS=MRC", "CURRENCY=USD", "XLFILL=b")</f>
        <v>723</v>
      </c>
      <c r="L224" s="9">
        <f>_xll.BQL("LUV US Equity", "IS_COMP_NET_INCOME_ADJUST_OLD/1M", "FPT=A", "FPO=-2A", "ACT_EST_MAPPING=PRECISE", "FS=MRC", "CURRENCY=USD", "XLFILL=b")</f>
        <v>-1271</v>
      </c>
      <c r="M224" s="9">
        <f>_xll.BQL("LUV US Equity", "IS_COMP_NET_INCOME_ADJUST_OLD/1M", "FPT=A", "FPO=-3A", "ACT_EST_MAPPING=PRECISE", "FS=MRC", "CURRENCY=USD", "XLFILL=b")</f>
        <v>-3512</v>
      </c>
      <c r="N224" s="9">
        <f>_xll.BQL("LUV US Equity", "IS_COMP_NET_INCOME_ADJUST_OLD/1M", "FPT=A", "FPO=-4A", "ACT_EST_MAPPING=PRECISE", "FS=MRC", "CURRENCY=USD", "XLFILL=b")</f>
        <v>2300</v>
      </c>
    </row>
    <row r="225" spans="1:14" x14ac:dyDescent="0.2">
      <c r="A225" s="8" t="s">
        <v>21</v>
      </c>
      <c r="B225" s="4" t="s">
        <v>49</v>
      </c>
      <c r="C225" s="4" t="s">
        <v>192</v>
      </c>
      <c r="D225" s="4"/>
      <c r="E225" s="9">
        <f>_xll.BQL("LUV US Equity", "FA_GROWTH(IS_COMP_NET_INCOME_ADJUST_OLD, YOY)", "FPT=A", "FPO=5A", "ACT_EST_MAPPING=PRECISE", "FS=MRC", "CURRENCY=USD", "XLFILL=b")</f>
        <v>4.778116928856539</v>
      </c>
      <c r="F225" s="9">
        <f>_xll.BQL("LUV US Equity", "FA_GROWTH(IS_COMP_NET_INCOME_ADJUST_OLD, YOY)", "FPT=A", "FPO=4A", "ACT_EST_MAPPING=PRECISE", "FS=MRC", "CURRENCY=USD", "XLFILL=b")</f>
        <v>31.711950519107571</v>
      </c>
      <c r="G225" s="9">
        <f>_xll.BQL("LUV US Equity", "FA_GROWTH(IS_COMP_NET_INCOME_ADJUST_OLD, YOY)", "FPT=A", "FPO=3A", "ACT_EST_MAPPING=PRECISE", "FS=MRC", "CURRENCY=USD", "XLFILL=b")</f>
        <v>56.726450930422658</v>
      </c>
      <c r="H225" s="9">
        <f>_xll.BQL("LUV US Equity", "FA_GROWTH(IS_COMP_NET_INCOME_ADJUST_OLD, YOY)", "FPT=A", "FPO=2A", "ACT_EST_MAPPING=PRECISE", "FS=MRC", "CURRENCY=USD", "XLFILL=b")</f>
        <v>243.50791999075037</v>
      </c>
      <c r="I225" s="9">
        <f>_xll.BQL("LUV US Equity", "FA_GROWTH(IS_COMP_NET_INCOME_ADJUST_OLD, YOY)", "FPT=A", "FPO=1A", "ACT_EST_MAPPING=PRECISE", "FS=MRC", "CURRENCY=USD", "XLFILL=b")</f>
        <v>-75.633874239350916</v>
      </c>
      <c r="J225" s="9">
        <f>_xll.BQL("LUV US Equity", "FA_GROWTH(IS_COMP_NET_INCOME_ADJUST_OLD, YOY)", "FPT=A", "FPO=0A", "ACT_EST_MAPPING=PRECISE", "FS=MRC", "CURRENCY=USD", "XLFILL=b")</f>
        <v>36.376210235131396</v>
      </c>
      <c r="K225" s="9">
        <f>_xll.BQL("LUV US Equity", "FA_GROWTH(IS_COMP_NET_INCOME_ADJUST_OLD, YOY)", "FPT=A", "FPO=-1A", "ACT_EST_MAPPING=PRECISE", "FS=MRC", "CURRENCY=USD", "XLFILL=b")</f>
        <v>156.88434303697875</v>
      </c>
      <c r="L225" s="9">
        <f>_xll.BQL("LUV US Equity", "FA_GROWTH(IS_COMP_NET_INCOME_ADJUST_OLD, YOY)", "FPT=A", "FPO=-2A", "ACT_EST_MAPPING=PRECISE", "FS=MRC", "CURRENCY=USD", "XLFILL=b")</f>
        <v>63.809794988610477</v>
      </c>
      <c r="M225" s="9">
        <f>_xll.BQL("LUV US Equity", "FA_GROWTH(IS_COMP_NET_INCOME_ADJUST_OLD, YOY)", "FPT=A", "FPO=-3A", "ACT_EST_MAPPING=PRECISE", "FS=MRC", "CURRENCY=USD", "XLFILL=b")</f>
        <v>-252.69565217391303</v>
      </c>
      <c r="N225" s="9">
        <f>_xll.BQL("LUV US Equity", "FA_GROWTH(IS_COMP_NET_INCOME_ADJUST_OLD, YOY)", "FPT=A", "FPO=-4A", "ACT_EST_MAPPING=PRECISE", "FS=MRC", "CURRENCY=USD", "XLFILL=b")</f>
        <v>-5.5441478439425049</v>
      </c>
    </row>
    <row r="226" spans="1:14" x14ac:dyDescent="0.2">
      <c r="A226" s="8" t="s">
        <v>218</v>
      </c>
      <c r="B226" s="4" t="s">
        <v>10</v>
      </c>
      <c r="C226" s="4" t="s">
        <v>203</v>
      </c>
      <c r="D226" s="4"/>
      <c r="E226" s="9">
        <f>_xll.BQL("LUV US Equity", "IS_COMP_EPS_ADJUSTED_OLD", "FPT=A", "FPO=5A", "ACT_EST_MAPPING=PRECISE", "FS=MRC", "CURRENCY=USD", "XLFILL=b")</f>
        <v>2.9433333333333334</v>
      </c>
      <c r="F226" s="9">
        <f>_xll.BQL("LUV US Equity", "IS_COMP_EPS_ADJUSTED_OLD", "FPT=A", "FPO=4A", "ACT_EST_MAPPING=PRECISE", "FS=MRC", "CURRENCY=USD", "XLFILL=b")</f>
        <v>2.714</v>
      </c>
      <c r="G226" s="9">
        <f>_xll.BQL("LUV US Equity", "IS_COMP_EPS_ADJUSTED_OLD", "FPT=A", "FPO=3A", "ACT_EST_MAPPING=PRECISE", "FS=MRC", "CURRENCY=USD", "XLFILL=b")</f>
        <v>1.9899999999999998</v>
      </c>
      <c r="H226" s="9">
        <f>_xll.BQL("LUV US Equity", "IS_COMP_EPS_ADJUSTED_OLD", "FPT=A", "FPO=2A", "ACT_EST_MAPPING=PRECISE", "FS=MRC", "CURRENCY=USD", "XLFILL=b")</f>
        <v>1.2817647058823531</v>
      </c>
      <c r="I226" s="9">
        <f>_xll.BQL("LUV US Equity", "IS_COMP_EPS_ADJUSTED_OLD", "FPT=A", "FPO=1A", "ACT_EST_MAPPING=PRECISE", "FS=MRC", "CURRENCY=USD", "XLFILL=b")</f>
        <v>0.29799999999999999</v>
      </c>
      <c r="J226" s="9">
        <f>_xll.BQL("LUV US Equity", "IS_COMP_EPS_ADJUSTED_OLD", "FPT=A", "FPO=0A", "ACT_EST_MAPPING=PRECISE", "FS=MRC", "CURRENCY=USD", "XLFILL=b")</f>
        <v>1.57</v>
      </c>
      <c r="K226" s="9">
        <f>_xll.BQL("LUV US Equity", "IS_COMP_EPS_ADJUSTED_OLD", "FPT=A", "FPO=-1A", "ACT_EST_MAPPING=PRECISE", "FS=MRC", "CURRENCY=USD", "XLFILL=b")</f>
        <v>1.1599999999999999</v>
      </c>
      <c r="L226" s="9">
        <f>_xll.BQL("LUV US Equity", "IS_COMP_EPS_ADJUSTED_OLD", "FPT=A", "FPO=-2A", "ACT_EST_MAPPING=PRECISE", "FS=MRC", "CURRENCY=USD", "XLFILL=b")</f>
        <v>-2.15</v>
      </c>
      <c r="M226" s="9">
        <f>_xll.BQL("LUV US Equity", "IS_COMP_EPS_ADJUSTED_OLD", "FPT=A", "FPO=-3A", "ACT_EST_MAPPING=PRECISE", "FS=MRC", "CURRENCY=USD", "XLFILL=b")</f>
        <v>-6.22</v>
      </c>
      <c r="N226" s="9">
        <f>_xll.BQL("LUV US Equity", "IS_COMP_EPS_ADJUSTED_OLD", "FPT=A", "FPO=-4A", "ACT_EST_MAPPING=PRECISE", "FS=MRC", "CURRENCY=USD", "XLFILL=b")</f>
        <v>4.2699999999999996</v>
      </c>
    </row>
    <row r="227" spans="1:14" x14ac:dyDescent="0.2">
      <c r="A227" s="8" t="s">
        <v>21</v>
      </c>
      <c r="B227" s="4" t="s">
        <v>10</v>
      </c>
      <c r="C227" s="4" t="s">
        <v>203</v>
      </c>
      <c r="D227" s="4"/>
      <c r="E227" s="9">
        <f>_xll.BQL("LUV US Equity", "FA_GROWTH(IS_COMP_EPS_ADJUSTED_OLD, YOY)", "FPT=A", "FPO=5A", "ACT_EST_MAPPING=PRECISE", "FS=MRC", "CURRENCY=USD", "XLFILL=b")</f>
        <v>8.4500122819945975</v>
      </c>
      <c r="F227" s="9">
        <f>_xll.BQL("LUV US Equity", "FA_GROWTH(IS_COMP_EPS_ADJUSTED_OLD, YOY)", "FPT=A", "FPO=4A", "ACT_EST_MAPPING=PRECISE", "FS=MRC", "CURRENCY=USD", "XLFILL=b")</f>
        <v>36.381909547738708</v>
      </c>
      <c r="G227" s="9">
        <f>_xll.BQL("LUV US Equity", "FA_GROWTH(IS_COMP_EPS_ADJUSTED_OLD, YOY)", "FPT=A", "FPO=3A", "ACT_EST_MAPPING=PRECISE", "FS=MRC", "CURRENCY=USD", "XLFILL=b")</f>
        <v>55.254703992657141</v>
      </c>
      <c r="H227" s="9">
        <f>_xll.BQL("LUV US Equity", "FA_GROWTH(IS_COMP_EPS_ADJUSTED_OLD, YOY)", "FPT=A", "FPO=2A", "ACT_EST_MAPPING=PRECISE", "FS=MRC", "CURRENCY=USD", "XLFILL=b")</f>
        <v>330.1223845242796</v>
      </c>
      <c r="I227" s="9">
        <f>_xll.BQL("LUV US Equity", "FA_GROWTH(IS_COMP_EPS_ADJUSTED_OLD, YOY)", "FPT=A", "FPO=1A", "ACT_EST_MAPPING=PRECISE", "FS=MRC", "CURRENCY=USD", "XLFILL=b")</f>
        <v>-81.01910828025477</v>
      </c>
      <c r="J227" s="9">
        <f>_xll.BQL("LUV US Equity", "FA_GROWTH(IS_COMP_EPS_ADJUSTED_OLD, YOY)", "FPT=A", "FPO=0A", "ACT_EST_MAPPING=PRECISE", "FS=MRC", "CURRENCY=USD", "XLFILL=b")</f>
        <v>35.344827586206911</v>
      </c>
      <c r="K227" s="9">
        <f>_xll.BQL("LUV US Equity", "FA_GROWTH(IS_COMP_EPS_ADJUSTED_OLD, YOY)", "FPT=A", "FPO=-1A", "ACT_EST_MAPPING=PRECISE", "FS=MRC", "CURRENCY=USD", "XLFILL=b")</f>
        <v>153.95348837209301</v>
      </c>
      <c r="L227" s="9">
        <f>_xll.BQL("LUV US Equity", "FA_GROWTH(IS_COMP_EPS_ADJUSTED_OLD, YOY)", "FPT=A", "FPO=-2A", "ACT_EST_MAPPING=PRECISE", "FS=MRC", "CURRENCY=USD", "XLFILL=b")</f>
        <v>65.434083601286176</v>
      </c>
      <c r="M227" s="9">
        <f>_xll.BQL("LUV US Equity", "FA_GROWTH(IS_COMP_EPS_ADJUSTED_OLD, YOY)", "FPT=A", "FPO=-3A", "ACT_EST_MAPPING=PRECISE", "FS=MRC", "CURRENCY=USD", "XLFILL=b")</f>
        <v>-245.66744730679153</v>
      </c>
      <c r="N227" s="9">
        <f>_xll.BQL("LUV US Equity", "FA_GROWTH(IS_COMP_EPS_ADJUSTED_OLD, YOY)", "FPT=A", "FPO=-4A", "ACT_EST_MAPPING=PRECISE", "FS=MRC", "CURRENCY=USD", "XLFILL=b")</f>
        <v>0.70754716981130561</v>
      </c>
    </row>
    <row r="228" spans="1:14" x14ac:dyDescent="0.2">
      <c r="A228" s="8" t="s">
        <v>16</v>
      </c>
      <c r="B228" s="4"/>
      <c r="C228" s="4"/>
      <c r="D228" s="4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1:14" x14ac:dyDescent="0.2">
      <c r="A229" s="8" t="s">
        <v>219</v>
      </c>
      <c r="B229" s="4"/>
      <c r="C229" s="4" t="s">
        <v>220</v>
      </c>
      <c r="D229" s="4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1:14" x14ac:dyDescent="0.2">
      <c r="A230" s="8" t="s">
        <v>221</v>
      </c>
      <c r="B230" s="4"/>
      <c r="C230" s="4" t="s">
        <v>222</v>
      </c>
      <c r="D230" s="4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1:14" x14ac:dyDescent="0.2">
      <c r="A231" s="8" t="s">
        <v>223</v>
      </c>
      <c r="B231" s="4" t="s">
        <v>224</v>
      </c>
      <c r="C231" s="4" t="s">
        <v>225</v>
      </c>
      <c r="D231" s="4"/>
      <c r="E231" s="9">
        <f>_xll.BQL("LUV US Equity", "BS_CUR_ASSET_REPORT/1M", "FPT=A", "FPO=5A", "ACT_EST_MAPPING=PRECISE", "FS=MRC", "CURRENCY=USD", "XLFILL=b")</f>
        <v>10739.671795420136</v>
      </c>
      <c r="F231" s="9">
        <f>_xll.BQL("LUV US Equity", "BS_CUR_ASSET_REPORT/1M", "FPT=A", "FPO=4A", "ACT_EST_MAPPING=PRECISE", "FS=MRC", "CURRENCY=USD", "XLFILL=b")</f>
        <v>10416.905568424278</v>
      </c>
      <c r="G231" s="9">
        <f>_xll.BQL("LUV US Equity", "BS_CUR_ASSET_REPORT/1M", "FPT=A", "FPO=3A", "ACT_EST_MAPPING=PRECISE", "FS=MRC", "CURRENCY=USD", "XLFILL=b")</f>
        <v>10467.118069443353</v>
      </c>
      <c r="H231" s="9">
        <f>_xll.BQL("LUV US Equity", "BS_CUR_ASSET_REPORT/1M", "FPT=A", "FPO=2A", "ACT_EST_MAPPING=PRECISE", "FS=MRC", "CURRENCY=USD", "XLFILL=b")</f>
        <v>10763.795774121974</v>
      </c>
      <c r="I231" s="9">
        <f>_xll.BQL("LUV US Equity", "BS_CUR_ASSET_REPORT/1M", "FPT=A", "FPO=1A", "ACT_EST_MAPPING=PRECISE", "FS=MRC", "CURRENCY=USD", "XLFILL=b")</f>
        <v>12320.835273349248</v>
      </c>
      <c r="J231" s="9">
        <f>_xll.BQL("LUV US Equity", "BS_CUR_ASSET_REPORT/1M", "FPT=A", "FPO=0A", "ACT_EST_MAPPING=PRECISE", "FS=MRC", "CURRENCY=USD", "XLFILL=b")</f>
        <v>13955</v>
      </c>
      <c r="K231" s="9">
        <f>_xll.BQL("LUV US Equity", "BS_CUR_ASSET_REPORT/1M", "FPT=A", "FPO=-1A", "ACT_EST_MAPPING=PRECISE", "FS=MRC", "CURRENCY=USD", "XLFILL=b")</f>
        <v>14808</v>
      </c>
      <c r="L231" s="9">
        <f>_xll.BQL("LUV US Equity", "BS_CUR_ASSET_REPORT/1M", "FPT=A", "FPO=-2A", "ACT_EST_MAPPING=PRECISE", "FS=MRC", "CURRENCY=USD", "XLFILL=b")</f>
        <v>18036</v>
      </c>
      <c r="M231" s="9">
        <f>_xll.BQL("LUV US Equity", "BS_CUR_ASSET_REPORT/1M", "FPT=A", "FPO=-3A", "ACT_EST_MAPPING=PRECISE", "FS=MRC", "CURRENCY=USD", "XLFILL=b")</f>
        <v>15173</v>
      </c>
      <c r="N231" s="9">
        <f>_xll.BQL("LUV US Equity", "BS_CUR_ASSET_REPORT/1M", "FPT=A", "FPO=-4A", "ACT_EST_MAPPING=PRECISE", "FS=MRC", "CURRENCY=USD", "XLFILL=b")</f>
        <v>5974</v>
      </c>
    </row>
    <row r="232" spans="1:14" x14ac:dyDescent="0.2">
      <c r="A232" s="8" t="s">
        <v>21</v>
      </c>
      <c r="B232" s="4" t="s">
        <v>224</v>
      </c>
      <c r="C232" s="4" t="s">
        <v>225</v>
      </c>
      <c r="D232" s="4"/>
      <c r="E232" s="9">
        <f>_xll.BQL("LUV US Equity", "FA_GROWTH(BS_CUR_ASSET_REPORT, YOY)", "FPT=A", "FPO=5A", "ACT_EST_MAPPING=PRECISE", "FS=MRC", "CURRENCY=USD", "XLFILL=b")</f>
        <v>3.0984847167495322</v>
      </c>
      <c r="F232" s="9">
        <f>_xll.BQL("LUV US Equity", "FA_GROWTH(BS_CUR_ASSET_REPORT, YOY)", "FPT=A", "FPO=4A", "ACT_EST_MAPPING=PRECISE", "FS=MRC", "CURRENCY=USD", "XLFILL=b")</f>
        <v>-0.47971658183221122</v>
      </c>
      <c r="G232" s="9">
        <f>_xll.BQL("LUV US Equity", "FA_GROWTH(BS_CUR_ASSET_REPORT, YOY)", "FPT=A", "FPO=3A", "ACT_EST_MAPPING=PRECISE", "FS=MRC", "CURRENCY=USD", "XLFILL=b")</f>
        <v>-2.7562554223844136</v>
      </c>
      <c r="H232" s="9">
        <f>_xll.BQL("LUV US Equity", "FA_GROWTH(BS_CUR_ASSET_REPORT, YOY)", "FPT=A", "FPO=2A", "ACT_EST_MAPPING=PRECISE", "FS=MRC", "CURRENCY=USD", "XLFILL=b")</f>
        <v>-12.637450827666282</v>
      </c>
      <c r="I232" s="9">
        <f>_xll.BQL("LUV US Equity", "FA_GROWTH(BS_CUR_ASSET_REPORT, YOY)", "FPT=A", "FPO=1A", "ACT_EST_MAPPING=PRECISE", "FS=MRC", "CURRENCY=USD", "XLFILL=b")</f>
        <v>-11.710245264426737</v>
      </c>
      <c r="J232" s="9">
        <f>_xll.BQL("LUV US Equity", "FA_GROWTH(BS_CUR_ASSET_REPORT, YOY)", "FPT=A", "FPO=0A", "ACT_EST_MAPPING=PRECISE", "FS=MRC", "CURRENCY=USD", "XLFILL=b")</f>
        <v>-5.7603997839005947</v>
      </c>
      <c r="K232" s="9">
        <f>_xll.BQL("LUV US Equity", "FA_GROWTH(BS_CUR_ASSET_REPORT, YOY)", "FPT=A", "FPO=-1A", "ACT_EST_MAPPING=PRECISE", "FS=MRC", "CURRENCY=USD", "XLFILL=b")</f>
        <v>-17.897538256819693</v>
      </c>
      <c r="L232" s="9">
        <f>_xll.BQL("LUV US Equity", "FA_GROWTH(BS_CUR_ASSET_REPORT, YOY)", "FPT=A", "FPO=-2A", "ACT_EST_MAPPING=PRECISE", "FS=MRC", "CURRENCY=USD", "XLFILL=b")</f>
        <v>18.869043696039018</v>
      </c>
      <c r="M232" s="9">
        <f>_xll.BQL("LUV US Equity", "FA_GROWTH(BS_CUR_ASSET_REPORT, YOY)", "FPT=A", "FPO=-3A", "ACT_EST_MAPPING=PRECISE", "FS=MRC", "CURRENCY=USD", "XLFILL=b")</f>
        <v>153.98393036491464</v>
      </c>
      <c r="N232" s="9">
        <f>_xll.BQL("LUV US Equity", "FA_GROWTH(BS_CUR_ASSET_REPORT, YOY)", "FPT=A", "FPO=-4A", "ACT_EST_MAPPING=PRECISE", "FS=MRC", "CURRENCY=USD", "XLFILL=b")</f>
        <v>18.814638027048527</v>
      </c>
    </row>
    <row r="233" spans="1:14" x14ac:dyDescent="0.2">
      <c r="A233" s="8" t="s">
        <v>226</v>
      </c>
      <c r="B233" s="4" t="s">
        <v>227</v>
      </c>
      <c r="C233" s="4" t="s">
        <v>228</v>
      </c>
      <c r="D233" s="4"/>
      <c r="E233" s="9">
        <f>_xll.BQL("LUV US Equity", "BS_CASH_CASH_EQUIVALENTS_AND_STI/1M", "FPT=A", "FPO=5A", "ACT_EST_MAPPING=PRECISE", "FS=MRC", "CURRENCY=USD", "XLFILL=b")</f>
        <v>5650.7330027487806</v>
      </c>
      <c r="F233" s="9">
        <f>_xll.BQL("LUV US Equity", "BS_CASH_CASH_EQUIVALENTS_AND_STI/1M", "FPT=A", "FPO=4A", "ACT_EST_MAPPING=PRECISE", "FS=MRC", "CURRENCY=USD", "XLFILL=b")</f>
        <v>7581.0423147799756</v>
      </c>
      <c r="G233" s="9">
        <f>_xll.BQL("LUV US Equity", "BS_CASH_CASH_EQUIVALENTS_AND_STI/1M", "FPT=A", "FPO=3A", "ACT_EST_MAPPING=PRECISE", "FS=MRC", "CURRENCY=USD", "XLFILL=b")</f>
        <v>7052.8868051857271</v>
      </c>
      <c r="H233" s="9">
        <f>_xll.BQL("LUV US Equity", "BS_CASH_CASH_EQUIVALENTS_AND_STI/1M", "FPT=A", "FPO=2A", "ACT_EST_MAPPING=PRECISE", "FS=MRC", "CURRENCY=USD", "XLFILL=b")</f>
        <v>8163.4494396734572</v>
      </c>
      <c r="I233" s="9">
        <f>_xll.BQL("LUV US Equity", "BS_CASH_CASH_EQUIVALENTS_AND_STI/1M", "FPT=A", "FPO=1A", "ACT_EST_MAPPING=PRECISE", "FS=MRC", "CURRENCY=USD", "XLFILL=b")</f>
        <v>10122.609100612681</v>
      </c>
      <c r="J233" s="9">
        <f>_xll.BQL("LUV US Equity", "BS_CASH_CASH_EQUIVALENTS_AND_STI/1M", "FPT=A", "FPO=0A", "ACT_EST_MAPPING=PRECISE", "FS=MRC", "CURRENCY=USD", "XLFILL=b")</f>
        <v>11474</v>
      </c>
      <c r="K233" s="9">
        <f>_xll.BQL("LUV US Equity", "BS_CASH_CASH_EQUIVALENTS_AND_STI/1M", "FPT=A", "FPO=-1A", "ACT_EST_MAPPING=PRECISE", "FS=MRC", "CURRENCY=USD", "XLFILL=b")</f>
        <v>12292</v>
      </c>
      <c r="L233" s="9">
        <f>_xll.BQL("LUV US Equity", "BS_CASH_CASH_EQUIVALENTS_AND_STI/1M", "FPT=A", "FPO=-2A", "ACT_EST_MAPPING=PRECISE", "FS=MRC", "CURRENCY=USD", "XLFILL=b")</f>
        <v>15504</v>
      </c>
      <c r="M233" s="9">
        <f>_xll.BQL("LUV US Equity", "BS_CASH_CASH_EQUIVALENTS_AND_STI/1M", "FPT=A", "FPO=-3A", "ACT_EST_MAPPING=PRECISE", "FS=MRC", "CURRENCY=USD", "XLFILL=b")</f>
        <v>13334</v>
      </c>
      <c r="N233" s="9">
        <f>_xll.BQL("LUV US Equity", "BS_CASH_CASH_EQUIVALENTS_AND_STI/1M", "FPT=A", "FPO=-4A", "ACT_EST_MAPPING=PRECISE", "FS=MRC", "CURRENCY=USD", "XLFILL=b")</f>
        <v>4072</v>
      </c>
    </row>
    <row r="234" spans="1:14" x14ac:dyDescent="0.2">
      <c r="A234" s="8" t="s">
        <v>111</v>
      </c>
      <c r="B234" s="4" t="s">
        <v>227</v>
      </c>
      <c r="C234" s="4" t="s">
        <v>228</v>
      </c>
      <c r="D234" s="4"/>
      <c r="E234" s="9">
        <f>_xll.BQL("LUV US Equity", "FA_GROWTH(BS_CASH_CASH_EQUIVALENTS_AND_STI, YOY)", "FPT=A", "FPO=5A", "ACT_EST_MAPPING=PRECISE", "FS=MRC", "CURRENCY=USD", "XLFILL=b")</f>
        <v>-25.462320771747585</v>
      </c>
      <c r="F234" s="9">
        <f>_xll.BQL("LUV US Equity", "FA_GROWTH(BS_CASH_CASH_EQUIVALENTS_AND_STI, YOY)", "FPT=A", "FPO=4A", "ACT_EST_MAPPING=PRECISE", "FS=MRC", "CURRENCY=USD", "XLFILL=b")</f>
        <v>7.4885011511302801</v>
      </c>
      <c r="G234" s="9">
        <f>_xll.BQL("LUV US Equity", "FA_GROWTH(BS_CASH_CASH_EQUIVALENTS_AND_STI, YOY)", "FPT=A", "FPO=3A", "ACT_EST_MAPPING=PRECISE", "FS=MRC", "CURRENCY=USD", "XLFILL=b")</f>
        <v>-13.604085413826649</v>
      </c>
      <c r="H234" s="9">
        <f>_xll.BQL("LUV US Equity", "FA_GROWTH(BS_CASH_CASH_EQUIVALENTS_AND_STI, YOY)", "FPT=A", "FPO=2A", "ACT_EST_MAPPING=PRECISE", "FS=MRC", "CURRENCY=USD", "XLFILL=b")</f>
        <v>-19.354295334990692</v>
      </c>
      <c r="I234" s="9">
        <f>_xll.BQL("LUV US Equity", "FA_GROWTH(BS_CASH_CASH_EQUIVALENTS_AND_STI, YOY)", "FPT=A", "FPO=1A", "ACT_EST_MAPPING=PRECISE", "FS=MRC", "CURRENCY=USD", "XLFILL=b")</f>
        <v>-11.777853402364647</v>
      </c>
      <c r="J234" s="9">
        <f>_xll.BQL("LUV US Equity", "FA_GROWTH(BS_CASH_CASH_EQUIVALENTS_AND_STI, YOY)", "FPT=A", "FPO=0A", "ACT_EST_MAPPING=PRECISE", "FS=MRC", "CURRENCY=USD", "XLFILL=b")</f>
        <v>-6.654734786853238</v>
      </c>
      <c r="K234" s="9">
        <f>_xll.BQL("LUV US Equity", "FA_GROWTH(BS_CASH_CASH_EQUIVALENTS_AND_STI, YOY)", "FPT=A", "FPO=-1A", "ACT_EST_MAPPING=PRECISE", "FS=MRC", "CURRENCY=USD", "XLFILL=b")</f>
        <v>-20.717234262125903</v>
      </c>
      <c r="L234" s="9">
        <f>_xll.BQL("LUV US Equity", "FA_GROWTH(BS_CASH_CASH_EQUIVALENTS_AND_STI, YOY)", "FPT=A", "FPO=-2A", "ACT_EST_MAPPING=PRECISE", "FS=MRC", "CURRENCY=USD", "XLFILL=b")</f>
        <v>16.274186290685467</v>
      </c>
      <c r="M234" s="9">
        <f>_xll.BQL("LUV US Equity", "FA_GROWTH(BS_CASH_CASH_EQUIVALENTS_AND_STI, YOY)", "FPT=A", "FPO=-3A", "ACT_EST_MAPPING=PRECISE", "FS=MRC", "CURRENCY=USD", "XLFILL=b")</f>
        <v>227.45579567779961</v>
      </c>
      <c r="N234" s="9">
        <f>_xll.BQL("LUV US Equity", "FA_GROWTH(BS_CASH_CASH_EQUIVALENTS_AND_STI, YOY)", "FPT=A", "FPO=-4A", "ACT_EST_MAPPING=PRECISE", "FS=MRC", "CURRENCY=USD", "XLFILL=b")</f>
        <v>10.382217403090268</v>
      </c>
    </row>
    <row r="235" spans="1:14" x14ac:dyDescent="0.2">
      <c r="A235" s="8" t="s">
        <v>229</v>
      </c>
      <c r="B235" s="4" t="s">
        <v>230</v>
      </c>
      <c r="C235" s="4" t="s">
        <v>231</v>
      </c>
      <c r="D235" s="4"/>
      <c r="E235" s="9">
        <f>_xll.BQL("LUV US Equity", "BS_CASH_NEAR_CASH_ITEM/1M", "FPT=A", "FPO=5A", "ACT_EST_MAPPING=PRECISE", "FS=MRC", "CURRENCY=USD", "XLFILL=b")</f>
        <v>5313.5609766243342</v>
      </c>
      <c r="F235" s="9">
        <f>_xll.BQL("LUV US Equity", "BS_CASH_NEAR_CASH_ITEM/1M", "FPT=A", "FPO=4A", "ACT_EST_MAPPING=PRECISE", "FS=MRC", "CURRENCY=USD", "XLFILL=b")</f>
        <v>5458.4605340446587</v>
      </c>
      <c r="G235" s="9">
        <f>_xll.BQL("LUV US Equity", "BS_CASH_NEAR_CASH_ITEM/1M", "FPT=A", "FPO=3A", "ACT_EST_MAPPING=PRECISE", "FS=MRC", "CURRENCY=USD", "XLFILL=b")</f>
        <v>5076.9318224181898</v>
      </c>
      <c r="H235" s="9">
        <f>_xll.BQL("LUV US Equity", "BS_CASH_NEAR_CASH_ITEM/1M", "FPT=A", "FPO=2A", "ACT_EST_MAPPING=PRECISE", "FS=MRC", "CURRENCY=USD", "XLFILL=b")</f>
        <v>6224.0864536347408</v>
      </c>
      <c r="I235" s="9">
        <f>_xll.BQL("LUV US Equity", "BS_CASH_NEAR_CASH_ITEM/1M", "FPT=A", "FPO=1A", "ACT_EST_MAPPING=PRECISE", "FS=MRC", "CURRENCY=USD", "XLFILL=b")</f>
        <v>8069.1584666599565</v>
      </c>
      <c r="J235" s="9">
        <f>_xll.BQL("LUV US Equity", "BS_CASH_NEAR_CASH_ITEM/1M", "FPT=A", "FPO=0A", "ACT_EST_MAPPING=PRECISE", "FS=MRC", "CURRENCY=USD", "XLFILL=b")</f>
        <v>9288</v>
      </c>
      <c r="K235" s="9">
        <f>_xll.BQL("LUV US Equity", "BS_CASH_NEAR_CASH_ITEM/1M", "FPT=A", "FPO=-1A", "ACT_EST_MAPPING=PRECISE", "FS=MRC", "CURRENCY=USD", "XLFILL=b")</f>
        <v>9492</v>
      </c>
      <c r="L235" s="9">
        <f>_xll.BQL("LUV US Equity", "BS_CASH_NEAR_CASH_ITEM/1M", "FPT=A", "FPO=-2A", "ACT_EST_MAPPING=PRECISE", "FS=MRC", "CURRENCY=USD", "XLFILL=b")</f>
        <v>12480</v>
      </c>
      <c r="M235" s="9">
        <f>_xll.BQL("LUV US Equity", "BS_CASH_NEAR_CASH_ITEM/1M", "FPT=A", "FPO=-3A", "ACT_EST_MAPPING=PRECISE", "FS=MRC", "CURRENCY=USD", "XLFILL=b")</f>
        <v>11063</v>
      </c>
      <c r="N235" s="9">
        <f>_xll.BQL("LUV US Equity", "BS_CASH_NEAR_CASH_ITEM/1M", "FPT=A", "FPO=-4A", "ACT_EST_MAPPING=PRECISE", "FS=MRC", "CURRENCY=USD", "XLFILL=b")</f>
        <v>2548</v>
      </c>
    </row>
    <row r="236" spans="1:14" x14ac:dyDescent="0.2">
      <c r="A236" s="8" t="s">
        <v>232</v>
      </c>
      <c r="B236" s="4" t="s">
        <v>230</v>
      </c>
      <c r="C236" s="4" t="s">
        <v>231</v>
      </c>
      <c r="D236" s="4"/>
      <c r="E236" s="9">
        <f>_xll.BQL("LUV US Equity", "FA_GROWTH(BS_CASH_NEAR_CASH_ITEM, YOY)", "FPT=A", "FPO=5A", "ACT_EST_MAPPING=PRECISE", "FS=MRC", "CURRENCY=USD", "XLFILL=b")</f>
        <v>-2.6545865178758628</v>
      </c>
      <c r="F236" s="9">
        <f>_xll.BQL("LUV US Equity", "FA_GROWTH(BS_CASH_NEAR_CASH_ITEM, YOY)", "FPT=A", "FPO=4A", "ACT_EST_MAPPING=PRECISE", "FS=MRC", "CURRENCY=USD", "XLFILL=b")</f>
        <v>7.5149465262021771</v>
      </c>
      <c r="G236" s="9">
        <f>_xll.BQL("LUV US Equity", "FA_GROWTH(BS_CASH_NEAR_CASH_ITEM, YOY)", "FPT=A", "FPO=3A", "ACT_EST_MAPPING=PRECISE", "FS=MRC", "CURRENCY=USD", "XLFILL=b")</f>
        <v>-18.430891661966484</v>
      </c>
      <c r="H236" s="9">
        <f>_xll.BQL("LUV US Equity", "FA_GROWTH(BS_CASH_NEAR_CASH_ITEM, YOY)", "FPT=A", "FPO=2A", "ACT_EST_MAPPING=PRECISE", "FS=MRC", "CURRENCY=USD", "XLFILL=b")</f>
        <v>-22.865730306929283</v>
      </c>
      <c r="I236" s="9">
        <f>_xll.BQL("LUV US Equity", "FA_GROWTH(BS_CASH_NEAR_CASH_ITEM, YOY)", "FPT=A", "FPO=1A", "ACT_EST_MAPPING=PRECISE", "FS=MRC", "CURRENCY=USD", "XLFILL=b")</f>
        <v>-13.122755526916915</v>
      </c>
      <c r="J236" s="9">
        <f>_xll.BQL("LUV US Equity", "FA_GROWTH(BS_CASH_NEAR_CASH_ITEM, YOY)", "FPT=A", "FPO=0A", "ACT_EST_MAPPING=PRECISE", "FS=MRC", "CURRENCY=USD", "XLFILL=b")</f>
        <v>-2.1491782553729455</v>
      </c>
      <c r="K236" s="9">
        <f>_xll.BQL("LUV US Equity", "FA_GROWTH(BS_CASH_NEAR_CASH_ITEM, YOY)", "FPT=A", "FPO=-1A", "ACT_EST_MAPPING=PRECISE", "FS=MRC", "CURRENCY=USD", "XLFILL=b")</f>
        <v>-23.942307692307693</v>
      </c>
      <c r="L236" s="9">
        <f>_xll.BQL("LUV US Equity", "FA_GROWTH(BS_CASH_NEAR_CASH_ITEM, YOY)", "FPT=A", "FPO=-2A", "ACT_EST_MAPPING=PRECISE", "FS=MRC", "CURRENCY=USD", "XLFILL=b")</f>
        <v>12.808460634547592</v>
      </c>
      <c r="M236" s="9">
        <f>_xll.BQL("LUV US Equity", "FA_GROWTH(BS_CASH_NEAR_CASH_ITEM, YOY)", "FPT=A", "FPO=-3A", "ACT_EST_MAPPING=PRECISE", "FS=MRC", "CURRENCY=USD", "XLFILL=b")</f>
        <v>334.18367346938777</v>
      </c>
      <c r="N236" s="9">
        <f>_xll.BQL("LUV US Equity", "FA_GROWTH(BS_CASH_NEAR_CASH_ITEM, YOY)", "FPT=A", "FPO=-4A", "ACT_EST_MAPPING=PRECISE", "FS=MRC", "CURRENCY=USD", "XLFILL=b")</f>
        <v>37.432578209277239</v>
      </c>
    </row>
    <row r="237" spans="1:14" x14ac:dyDescent="0.2">
      <c r="A237" s="8" t="s">
        <v>233</v>
      </c>
      <c r="B237" s="4" t="s">
        <v>234</v>
      </c>
      <c r="C237" s="4" t="s">
        <v>235</v>
      </c>
      <c r="D237" s="4"/>
      <c r="E237" s="9">
        <f>_xll.BQL("LUV US Equity", "BS_MKT_SEC_OTHER_ST_INVEST/1M", "FPT=A", "FPO=5A", "ACT_EST_MAPPING=PRECISE", "FS=MRC", "CURRENCY=USD", "XLFILL=b")</f>
        <v>2186</v>
      </c>
      <c r="F237" s="9">
        <f>_xll.BQL("LUV US Equity", "BS_MKT_SEC_OTHER_ST_INVEST/1M", "FPT=A", "FPO=4A", "ACT_EST_MAPPING=PRECISE", "FS=MRC", "CURRENCY=USD", "XLFILL=b")</f>
        <v>2023</v>
      </c>
      <c r="G237" s="9">
        <f>_xll.BQL("LUV US Equity", "BS_MKT_SEC_OTHER_ST_INVEST/1M", "FPT=A", "FPO=3A", "ACT_EST_MAPPING=PRECISE", "FS=MRC", "CURRENCY=USD", "XLFILL=b")</f>
        <v>1699.0396643333333</v>
      </c>
      <c r="H237" s="9">
        <f>_xll.BQL("LUV US Equity", "BS_MKT_SEC_OTHER_ST_INVEST/1M", "FPT=A", "FPO=2A", "ACT_EST_MAPPING=PRECISE", "FS=MRC", "CURRENCY=USD", "XLFILL=b")</f>
        <v>1941.9931777777776</v>
      </c>
      <c r="I237" s="9">
        <f>_xll.BQL("LUV US Equity", "BS_MKT_SEC_OTHER_ST_INVEST/1M", "FPT=A", "FPO=1A", "ACT_EST_MAPPING=PRECISE", "FS=MRC", "CURRENCY=USD", "XLFILL=b")</f>
        <v>1961.7622222222224</v>
      </c>
      <c r="J237" s="9">
        <f>_xll.BQL("LUV US Equity", "BS_MKT_SEC_OTHER_ST_INVEST/1M", "FPT=A", "FPO=0A", "ACT_EST_MAPPING=PRECISE", "FS=MRC", "CURRENCY=USD", "XLFILL=b")</f>
        <v>2186</v>
      </c>
      <c r="K237" s="9">
        <f>_xll.BQL("LUV US Equity", "BS_MKT_SEC_OTHER_ST_INVEST/1M", "FPT=A", "FPO=-1A", "ACT_EST_MAPPING=PRECISE", "FS=MRC", "CURRENCY=USD", "XLFILL=b")</f>
        <v>2800</v>
      </c>
      <c r="L237" s="9">
        <f>_xll.BQL("LUV US Equity", "BS_MKT_SEC_OTHER_ST_INVEST/1M", "FPT=A", "FPO=-2A", "ACT_EST_MAPPING=PRECISE", "FS=MRC", "CURRENCY=USD", "XLFILL=b")</f>
        <v>3024</v>
      </c>
      <c r="M237" s="9">
        <f>_xll.BQL("LUV US Equity", "BS_MKT_SEC_OTHER_ST_INVEST/1M", "FPT=A", "FPO=-3A", "ACT_EST_MAPPING=PRECISE", "FS=MRC", "CURRENCY=USD", "XLFILL=b")</f>
        <v>2271</v>
      </c>
      <c r="N237" s="9">
        <f>_xll.BQL("LUV US Equity", "BS_MKT_SEC_OTHER_ST_INVEST/1M", "FPT=A", "FPO=-4A", "ACT_EST_MAPPING=PRECISE", "FS=MRC", "CURRENCY=USD", "XLFILL=b")</f>
        <v>1524</v>
      </c>
    </row>
    <row r="238" spans="1:14" x14ac:dyDescent="0.2">
      <c r="A238" s="8" t="s">
        <v>232</v>
      </c>
      <c r="B238" s="4" t="s">
        <v>234</v>
      </c>
      <c r="C238" s="4" t="s">
        <v>235</v>
      </c>
      <c r="D238" s="4"/>
      <c r="E238" s="9">
        <f>_xll.BQL("LUV US Equity", "FA_GROWTH(BS_MKT_SEC_OTHER_ST_INVEST, YOY)", "FPT=A", "FPO=5A", "ACT_EST_MAPPING=PRECISE", "FS=MRC", "CURRENCY=USD", "XLFILL=b")</f>
        <v>8.0573405832921399</v>
      </c>
      <c r="F238" s="9">
        <f>_xll.BQL("LUV US Equity", "FA_GROWTH(BS_MKT_SEC_OTHER_ST_INVEST, YOY)", "FPT=A", "FPO=4A", "ACT_EST_MAPPING=PRECISE", "FS=MRC", "CURRENCY=USD", "XLFILL=b")</f>
        <v>19.067261492908223</v>
      </c>
      <c r="G238" s="9">
        <f>_xll.BQL("LUV US Equity", "FA_GROWTH(BS_MKT_SEC_OTHER_ST_INVEST, YOY)", "FPT=A", "FPO=3A", "ACT_EST_MAPPING=PRECISE", "FS=MRC", "CURRENCY=USD", "XLFILL=b")</f>
        <v>-12.510523529359464</v>
      </c>
      <c r="H238" s="9">
        <f>_xll.BQL("LUV US Equity", "FA_GROWTH(BS_MKT_SEC_OTHER_ST_INVEST, YOY)", "FPT=A", "FPO=2A", "ACT_EST_MAPPING=PRECISE", "FS=MRC", "CURRENCY=USD", "XLFILL=b")</f>
        <v>-1.0077186837684593</v>
      </c>
      <c r="I238" s="9">
        <f>_xll.BQL("LUV US Equity", "FA_GROWTH(BS_MKT_SEC_OTHER_ST_INVEST, YOY)", "FPT=A", "FPO=1A", "ACT_EST_MAPPING=PRECISE", "FS=MRC", "CURRENCY=USD", "XLFILL=b")</f>
        <v>-10.257903832469244</v>
      </c>
      <c r="J238" s="9">
        <f>_xll.BQL("LUV US Equity", "FA_GROWTH(BS_MKT_SEC_OTHER_ST_INVEST, YOY)", "FPT=A", "FPO=0A", "ACT_EST_MAPPING=PRECISE", "FS=MRC", "CURRENCY=USD", "XLFILL=b")</f>
        <v>-21.928571428571427</v>
      </c>
      <c r="K238" s="9">
        <f>_xll.BQL("LUV US Equity", "FA_GROWTH(BS_MKT_SEC_OTHER_ST_INVEST, YOY)", "FPT=A", "FPO=-1A", "ACT_EST_MAPPING=PRECISE", "FS=MRC", "CURRENCY=USD", "XLFILL=b")</f>
        <v>-7.4074074074074074</v>
      </c>
      <c r="L238" s="9">
        <f>_xll.BQL("LUV US Equity", "FA_GROWTH(BS_MKT_SEC_OTHER_ST_INVEST, YOY)", "FPT=A", "FPO=-2A", "ACT_EST_MAPPING=PRECISE", "FS=MRC", "CURRENCY=USD", "XLFILL=b")</f>
        <v>33.157199471598418</v>
      </c>
      <c r="M238" s="9">
        <f>_xll.BQL("LUV US Equity", "FA_GROWTH(BS_MKT_SEC_OTHER_ST_INVEST, YOY)", "FPT=A", "FPO=-3A", "ACT_EST_MAPPING=PRECISE", "FS=MRC", "CURRENCY=USD", "XLFILL=b")</f>
        <v>49.015748031496067</v>
      </c>
      <c r="N238" s="9">
        <f>_xll.BQL("LUV US Equity", "FA_GROWTH(BS_MKT_SEC_OTHER_ST_INVEST, YOY)", "FPT=A", "FPO=-4A", "ACT_EST_MAPPING=PRECISE", "FS=MRC", "CURRENCY=USD", "XLFILL=b")</f>
        <v>-16.948228882833789</v>
      </c>
    </row>
    <row r="239" spans="1:14" x14ac:dyDescent="0.2">
      <c r="A239" s="8" t="s">
        <v>236</v>
      </c>
      <c r="B239" s="4" t="s">
        <v>237</v>
      </c>
      <c r="C239" s="4" t="s">
        <v>238</v>
      </c>
      <c r="D239" s="4"/>
      <c r="E239" s="9">
        <f>_xll.BQL("LUV US Equity", "BS_ACCTS_REC_EXCL_NOTES_REC/1M", "FPT=A", "FPO=5A", "ACT_EST_MAPPING=PRECISE", "FS=MRC", "CURRENCY=USD", "XLFILL=b")</f>
        <v>1646.822738361501</v>
      </c>
      <c r="F239" s="9">
        <f>_xll.BQL("LUV US Equity", "BS_ACCTS_REC_EXCL_NOTES_REC/1M", "FPT=A", "FPO=4A", "ACT_EST_MAPPING=PRECISE", "FS=MRC", "CURRENCY=USD", "XLFILL=b")</f>
        <v>1395.4023400937535</v>
      </c>
      <c r="G239" s="9">
        <f>_xll.BQL("LUV US Equity", "BS_ACCTS_REC_EXCL_NOTES_REC/1M", "FPT=A", "FPO=3A", "ACT_EST_MAPPING=PRECISE", "FS=MRC", "CURRENCY=USD", "XLFILL=b")</f>
        <v>1381.7570584830964</v>
      </c>
      <c r="H239" s="9">
        <f>_xll.BQL("LUV US Equity", "BS_ACCTS_REC_EXCL_NOTES_REC/1M", "FPT=A", "FPO=2A", "ACT_EST_MAPPING=PRECISE", "FS=MRC", "CURRENCY=USD", "XLFILL=b")</f>
        <v>1300.7311058293228</v>
      </c>
      <c r="I239" s="9">
        <f>_xll.BQL("LUV US Equity", "BS_ACCTS_REC_EXCL_NOTES_REC/1M", "FPT=A", "FPO=1A", "ACT_EST_MAPPING=PRECISE", "FS=MRC", "CURRENCY=USD", "XLFILL=b")</f>
        <v>1202.7694106456584</v>
      </c>
      <c r="J239" s="9">
        <f>_xll.BQL("LUV US Equity", "BS_ACCTS_REC_EXCL_NOTES_REC/1M", "FPT=A", "FPO=0A", "ACT_EST_MAPPING=PRECISE", "FS=MRC", "CURRENCY=USD", "XLFILL=b")</f>
        <v>1154</v>
      </c>
      <c r="K239" s="9">
        <f>_xll.BQL("LUV US Equity", "BS_ACCTS_REC_EXCL_NOTES_REC/1M", "FPT=A", "FPO=-1A", "ACT_EST_MAPPING=PRECISE", "FS=MRC", "CURRENCY=USD", "XLFILL=b")</f>
        <v>1040</v>
      </c>
      <c r="L239" s="9">
        <f>_xll.BQL("LUV US Equity", "BS_ACCTS_REC_EXCL_NOTES_REC/1M", "FPT=A", "FPO=-2A", "ACT_EST_MAPPING=PRECISE", "FS=MRC", "CURRENCY=USD", "XLFILL=b")</f>
        <v>1357</v>
      </c>
      <c r="M239" s="9">
        <f>_xll.BQL("LUV US Equity", "BS_ACCTS_REC_EXCL_NOTES_REC/1M", "FPT=A", "FPO=-3A", "ACT_EST_MAPPING=PRECISE", "FS=MRC", "CURRENCY=USD", "XLFILL=b")</f>
        <v>1130</v>
      </c>
      <c r="N239" s="9">
        <f>_xll.BQL("LUV US Equity", "BS_ACCTS_REC_EXCL_NOTES_REC/1M", "FPT=A", "FPO=-4A", "ACT_EST_MAPPING=PRECISE", "FS=MRC", "CURRENCY=USD", "XLFILL=b")</f>
        <v>1086</v>
      </c>
    </row>
    <row r="240" spans="1:14" x14ac:dyDescent="0.2">
      <c r="A240" s="8" t="s">
        <v>111</v>
      </c>
      <c r="B240" s="4" t="s">
        <v>237</v>
      </c>
      <c r="C240" s="4" t="s">
        <v>238</v>
      </c>
      <c r="D240" s="4"/>
      <c r="E240" s="9">
        <f>_xll.BQL("LUV US Equity", "FA_GROWTH(BS_ACCTS_REC_EXCL_NOTES_REC, YOY)", "FPT=A", "FPO=5A", "ACT_EST_MAPPING=PRECISE", "FS=MRC", "CURRENCY=USD", "XLFILL=b")</f>
        <v>18.017771007239038</v>
      </c>
      <c r="F240" s="9">
        <f>_xll.BQL("LUV US Equity", "FA_GROWTH(BS_ACCTS_REC_EXCL_NOTES_REC, YOY)", "FPT=A", "FPO=4A", "ACT_EST_MAPPING=PRECISE", "FS=MRC", "CURRENCY=USD", "XLFILL=b")</f>
        <v>0.98753116742802183</v>
      </c>
      <c r="G240" s="9">
        <f>_xll.BQL("LUV US Equity", "FA_GROWTH(BS_ACCTS_REC_EXCL_NOTES_REC, YOY)", "FPT=A", "FPO=3A", "ACT_EST_MAPPING=PRECISE", "FS=MRC", "CURRENCY=USD", "XLFILL=b")</f>
        <v>6.2292623195255139</v>
      </c>
      <c r="H240" s="9">
        <f>_xll.BQL("LUV US Equity", "FA_GROWTH(BS_ACCTS_REC_EXCL_NOTES_REC, YOY)", "FPT=A", "FPO=2A", "ACT_EST_MAPPING=PRECISE", "FS=MRC", "CURRENCY=USD", "XLFILL=b")</f>
        <v>8.1446779670824654</v>
      </c>
      <c r="I240" s="9">
        <f>_xll.BQL("LUV US Equity", "FA_GROWTH(BS_ACCTS_REC_EXCL_NOTES_REC, YOY)", "FPT=A", "FPO=1A", "ACT_EST_MAPPING=PRECISE", "FS=MRC", "CURRENCY=USD", "XLFILL=b")</f>
        <v>4.2261187734539218</v>
      </c>
      <c r="J240" s="9">
        <f>_xll.BQL("LUV US Equity", "FA_GROWTH(BS_ACCTS_REC_EXCL_NOTES_REC, YOY)", "FPT=A", "FPO=0A", "ACT_EST_MAPPING=PRECISE", "FS=MRC", "CURRENCY=USD", "XLFILL=b")</f>
        <v>10.961538461538462</v>
      </c>
      <c r="K240" s="9">
        <f>_xll.BQL("LUV US Equity", "FA_GROWTH(BS_ACCTS_REC_EXCL_NOTES_REC, YOY)", "FPT=A", "FPO=-1A", "ACT_EST_MAPPING=PRECISE", "FS=MRC", "CURRENCY=USD", "XLFILL=b")</f>
        <v>-23.360353721444362</v>
      </c>
      <c r="L240" s="9">
        <f>_xll.BQL("LUV US Equity", "FA_GROWTH(BS_ACCTS_REC_EXCL_NOTES_REC, YOY)", "FPT=A", "FPO=-2A", "ACT_EST_MAPPING=PRECISE", "FS=MRC", "CURRENCY=USD", "XLFILL=b")</f>
        <v>20.088495575221238</v>
      </c>
      <c r="M240" s="9">
        <f>_xll.BQL("LUV US Equity", "FA_GROWTH(BS_ACCTS_REC_EXCL_NOTES_REC, YOY)", "FPT=A", "FPO=-3A", "ACT_EST_MAPPING=PRECISE", "FS=MRC", "CURRENCY=USD", "XLFILL=b")</f>
        <v>4.0515653775322287</v>
      </c>
      <c r="N240" s="9">
        <f>_xll.BQL("LUV US Equity", "FA_GROWTH(BS_ACCTS_REC_EXCL_NOTES_REC, YOY)", "FPT=A", "FPO=-4A", "ACT_EST_MAPPING=PRECISE", "FS=MRC", "CURRENCY=USD", "XLFILL=b")</f>
        <v>91.197183098591552</v>
      </c>
    </row>
    <row r="241" spans="1:14" x14ac:dyDescent="0.2">
      <c r="A241" s="8" t="s">
        <v>239</v>
      </c>
      <c r="B241" s="4" t="s">
        <v>240</v>
      </c>
      <c r="C241" s="4" t="s">
        <v>241</v>
      </c>
      <c r="D241" s="4"/>
      <c r="E241" s="9">
        <f>_xll.BQL("LUV US Equity", "BS_INVENTORIES/1M", "FPT=A", "FPO=5A", "ACT_EST_MAPPING=PRECISE", "FS=MRC", "CURRENCY=USD", "XLFILL=b")</f>
        <v>983.38447416903352</v>
      </c>
      <c r="F241" s="9">
        <f>_xll.BQL("LUV US Equity", "BS_INVENTORIES/1M", "FPT=A", "FPO=4A", "ACT_EST_MAPPING=PRECISE", "FS=MRC", "CURRENCY=USD", "XLFILL=b")</f>
        <v>929.40123406279645</v>
      </c>
      <c r="G241" s="9">
        <f>_xll.BQL("LUV US Equity", "BS_INVENTORIES/1M", "FPT=A", "FPO=3A", "ACT_EST_MAPPING=PRECISE", "FS=MRC", "CURRENCY=USD", "XLFILL=b")</f>
        <v>942.07079549591037</v>
      </c>
      <c r="H241" s="9">
        <f>_xll.BQL("LUV US Equity", "BS_INVENTORIES/1M", "FPT=A", "FPO=2A", "ACT_EST_MAPPING=PRECISE", "FS=MRC", "CURRENCY=USD", "XLFILL=b")</f>
        <v>865.65791052942234</v>
      </c>
      <c r="I241" s="9">
        <f>_xll.BQL("LUV US Equity", "BS_INVENTORIES/1M", "FPT=A", "FPO=1A", "ACT_EST_MAPPING=PRECISE", "FS=MRC", "CURRENCY=USD", "XLFILL=b")</f>
        <v>801.97033034175251</v>
      </c>
      <c r="J241" s="9">
        <f>_xll.BQL("LUV US Equity", "BS_INVENTORIES/1M", "FPT=A", "FPO=0A", "ACT_EST_MAPPING=PRECISE", "FS=MRC", "CURRENCY=USD", "XLFILL=b")</f>
        <v>807</v>
      </c>
      <c r="K241" s="9">
        <f>_xll.BQL("LUV US Equity", "BS_INVENTORIES/1M", "FPT=A", "FPO=-1A", "ACT_EST_MAPPING=PRECISE", "FS=MRC", "CURRENCY=USD", "XLFILL=b")</f>
        <v>790</v>
      </c>
      <c r="L241" s="9">
        <f>_xll.BQL("LUV US Equity", "BS_INVENTORIES/1M", "FPT=A", "FPO=-2A", "ACT_EST_MAPPING=PRECISE", "FS=MRC", "CURRENCY=USD", "XLFILL=b")</f>
        <v>537</v>
      </c>
      <c r="M241" s="9">
        <f>_xll.BQL("LUV US Equity", "BS_INVENTORIES/1M", "FPT=A", "FPO=-3A", "ACT_EST_MAPPING=PRECISE", "FS=MRC", "CURRENCY=USD", "XLFILL=b")</f>
        <v>414</v>
      </c>
      <c r="N241" s="9">
        <f>_xll.BQL("LUV US Equity", "BS_INVENTORIES/1M", "FPT=A", "FPO=-4A", "ACT_EST_MAPPING=PRECISE", "FS=MRC", "CURRENCY=USD", "XLFILL=b")</f>
        <v>529</v>
      </c>
    </row>
    <row r="242" spans="1:14" x14ac:dyDescent="0.2">
      <c r="A242" s="8" t="s">
        <v>111</v>
      </c>
      <c r="B242" s="4" t="s">
        <v>240</v>
      </c>
      <c r="C242" s="4" t="s">
        <v>241</v>
      </c>
      <c r="D242" s="4"/>
      <c r="E242" s="9">
        <f>_xll.BQL("LUV US Equity", "FA_GROWTH(BS_INVENTORIES, YOY)", "FPT=A", "FPO=5A", "ACT_EST_MAPPING=PRECISE", "FS=MRC", "CURRENCY=USD", "XLFILL=b")</f>
        <v>5.8083891141669808</v>
      </c>
      <c r="F242" s="9">
        <f>_xll.BQL("LUV US Equity", "FA_GROWTH(BS_INVENTORIES, YOY)", "FPT=A", "FPO=4A", "ACT_EST_MAPPING=PRECISE", "FS=MRC", "CURRENCY=USD", "XLFILL=b")</f>
        <v>-1.3448629862731938</v>
      </c>
      <c r="G242" s="9">
        <f>_xll.BQL("LUV US Equity", "FA_GROWTH(BS_INVENTORIES, YOY)", "FPT=A", "FPO=3A", "ACT_EST_MAPPING=PRECISE", "FS=MRC", "CURRENCY=USD", "XLFILL=b")</f>
        <v>8.8271456931243488</v>
      </c>
      <c r="H242" s="9">
        <f>_xll.BQL("LUV US Equity", "FA_GROWTH(BS_INVENTORIES, YOY)", "FPT=A", "FPO=2A", "ACT_EST_MAPPING=PRECISE", "FS=MRC", "CURRENCY=USD", "XLFILL=b")</f>
        <v>7.9413885748778084</v>
      </c>
      <c r="I242" s="9">
        <f>_xll.BQL("LUV US Equity", "FA_GROWTH(BS_INVENTORIES, YOY)", "FPT=A", "FPO=1A", "ACT_EST_MAPPING=PRECISE", "FS=MRC", "CURRENCY=USD", "XLFILL=b")</f>
        <v>-0.62325522407031853</v>
      </c>
      <c r="J242" s="9">
        <f>_xll.BQL("LUV US Equity", "FA_GROWTH(BS_INVENTORIES, YOY)", "FPT=A", "FPO=0A", "ACT_EST_MAPPING=PRECISE", "FS=MRC", "CURRENCY=USD", "XLFILL=b")</f>
        <v>2.1518987341772151</v>
      </c>
      <c r="K242" s="9">
        <f>_xll.BQL("LUV US Equity", "FA_GROWTH(BS_INVENTORIES, YOY)", "FPT=A", "FPO=-1A", "ACT_EST_MAPPING=PRECISE", "FS=MRC", "CURRENCY=USD", "XLFILL=b")</f>
        <v>47.113594040968344</v>
      </c>
      <c r="L242" s="9">
        <f>_xll.BQL("LUV US Equity", "FA_GROWTH(BS_INVENTORIES, YOY)", "FPT=A", "FPO=-2A", "ACT_EST_MAPPING=PRECISE", "FS=MRC", "CURRENCY=USD", "XLFILL=b")</f>
        <v>29.710144927536231</v>
      </c>
      <c r="M242" s="9">
        <f>_xll.BQL("LUV US Equity", "FA_GROWTH(BS_INVENTORIES, YOY)", "FPT=A", "FPO=-3A", "ACT_EST_MAPPING=PRECISE", "FS=MRC", "CURRENCY=USD", "XLFILL=b")</f>
        <v>-21.739130434782609</v>
      </c>
      <c r="N242" s="9">
        <f>_xll.BQL("LUV US Equity", "FA_GROWTH(BS_INVENTORIES, YOY)", "FPT=A", "FPO=-4A", "ACT_EST_MAPPING=PRECISE", "FS=MRC", "CURRENCY=USD", "XLFILL=b")</f>
        <v>14.750542299349242</v>
      </c>
    </row>
    <row r="243" spans="1:14" x14ac:dyDescent="0.2">
      <c r="A243" s="8" t="s">
        <v>242</v>
      </c>
      <c r="B243" s="4" t="s">
        <v>243</v>
      </c>
      <c r="C243" s="4" t="s">
        <v>244</v>
      </c>
      <c r="D243" s="4"/>
      <c r="E243" s="9">
        <f>_xll.BQL("LUV US Equity", "BS_OTHER_CUR_ASSET/1M", "FPT=A", "FPO=5A", "ACT_EST_MAPPING=PRECISE", "FS=MRC", "CURRENCY=USD", "XLFILL=b")</f>
        <v>588.79999999999995</v>
      </c>
      <c r="F243" s="9">
        <f>_xll.BQL("LUV US Equity", "BS_OTHER_CUR_ASSET/1M", "FPT=A", "FPO=4A", "ACT_EST_MAPPING=PRECISE", "FS=MRC", "CURRENCY=USD", "XLFILL=b")</f>
        <v>620.98083168171183</v>
      </c>
      <c r="G243" s="9">
        <f>_xll.BQL("LUV US Equity", "BS_OTHER_CUR_ASSET/1M", "FPT=A", "FPO=3A", "ACT_EST_MAPPING=PRECISE", "FS=MRC", "CURRENCY=USD", "XLFILL=b")</f>
        <v>630.64961833177324</v>
      </c>
      <c r="H243" s="9">
        <f>_xll.BQL("LUV US Equity", "BS_OTHER_CUR_ASSET/1M", "FPT=A", "FPO=2A", "ACT_EST_MAPPING=PRECISE", "FS=MRC", "CURRENCY=USD", "XLFILL=b")</f>
        <v>609.5674905248195</v>
      </c>
      <c r="I243" s="9">
        <f>_xll.BQL("LUV US Equity", "BS_OTHER_CUR_ASSET/1M", "FPT=A", "FPO=1A", "ACT_EST_MAPPING=PRECISE", "FS=MRC", "CURRENCY=USD", "XLFILL=b")</f>
        <v>581.30208202087863</v>
      </c>
      <c r="J243" s="9">
        <f>_xll.BQL("LUV US Equity", "BS_OTHER_CUR_ASSET/1M", "FPT=A", "FPO=0A", "ACT_EST_MAPPING=PRECISE", "FS=MRC", "CURRENCY=USD", "XLFILL=b")</f>
        <v>520</v>
      </c>
      <c r="K243" s="9">
        <f>_xll.BQL("LUV US Equity", "BS_OTHER_CUR_ASSET/1M", "FPT=A", "FPO=-1A", "ACT_EST_MAPPING=PRECISE", "FS=MRC", "CURRENCY=USD", "XLFILL=b")</f>
        <v>686</v>
      </c>
      <c r="L243" s="9">
        <f>_xll.BQL("LUV US Equity", "BS_OTHER_CUR_ASSET/1M", "FPT=A", "FPO=-2A", "ACT_EST_MAPPING=PRECISE", "FS=MRC", "CURRENCY=USD", "XLFILL=b")</f>
        <v>638</v>
      </c>
      <c r="M243" s="9">
        <f>_xll.BQL("LUV US Equity", "BS_OTHER_CUR_ASSET/1M", "FPT=A", "FPO=-3A", "ACT_EST_MAPPING=PRECISE", "FS=MRC", "CURRENCY=USD", "XLFILL=b")</f>
        <v>295</v>
      </c>
      <c r="N243" s="9">
        <f>_xll.BQL("LUV US Equity", "BS_OTHER_CUR_ASSET/1M", "FPT=A", "FPO=-4A", "ACT_EST_MAPPING=PRECISE", "FS=MRC", "CURRENCY=USD", "XLFILL=b")</f>
        <v>287</v>
      </c>
    </row>
    <row r="244" spans="1:14" x14ac:dyDescent="0.2">
      <c r="A244" s="8" t="s">
        <v>111</v>
      </c>
      <c r="B244" s="4" t="s">
        <v>243</v>
      </c>
      <c r="C244" s="4" t="s">
        <v>244</v>
      </c>
      <c r="D244" s="4"/>
      <c r="E244" s="9">
        <f>_xll.BQL("LUV US Equity", "FA_GROWTH(BS_OTHER_CUR_ASSET, YOY)", "FPT=A", "FPO=5A", "ACT_EST_MAPPING=PRECISE", "FS=MRC", "CURRENCY=USD", "XLFILL=b")</f>
        <v>-5.1822584595020658</v>
      </c>
      <c r="F244" s="9">
        <f>_xll.BQL("LUV US Equity", "FA_GROWTH(BS_OTHER_CUR_ASSET, YOY)", "FPT=A", "FPO=4A", "ACT_EST_MAPPING=PRECISE", "FS=MRC", "CURRENCY=USD", "XLFILL=b")</f>
        <v>-1.5331471500193496</v>
      </c>
      <c r="G244" s="9">
        <f>_xll.BQL("LUV US Equity", "FA_GROWTH(BS_OTHER_CUR_ASSET, YOY)", "FPT=A", "FPO=3A", "ACT_EST_MAPPING=PRECISE", "FS=MRC", "CURRENCY=USD", "XLFILL=b")</f>
        <v>3.4585387401159964</v>
      </c>
      <c r="H244" s="9">
        <f>_xll.BQL("LUV US Equity", "FA_GROWTH(BS_OTHER_CUR_ASSET, YOY)", "FPT=A", "FPO=2A", "ACT_EST_MAPPING=PRECISE", "FS=MRC", "CURRENCY=USD", "XLFILL=b")</f>
        <v>4.8624302885131607</v>
      </c>
      <c r="I244" s="9">
        <f>_xll.BQL("LUV US Equity", "FA_GROWTH(BS_OTHER_CUR_ASSET, YOY)", "FPT=A", "FPO=1A", "ACT_EST_MAPPING=PRECISE", "FS=MRC", "CURRENCY=USD", "XLFILL=b")</f>
        <v>11.788861927092054</v>
      </c>
      <c r="J244" s="9">
        <f>_xll.BQL("LUV US Equity", "FA_GROWTH(BS_OTHER_CUR_ASSET, YOY)", "FPT=A", "FPO=0A", "ACT_EST_MAPPING=PRECISE", "FS=MRC", "CURRENCY=USD", "XLFILL=b")</f>
        <v>-24.198250728862973</v>
      </c>
      <c r="K244" s="9">
        <f>_xll.BQL("LUV US Equity", "FA_GROWTH(BS_OTHER_CUR_ASSET, YOY)", "FPT=A", "FPO=-1A", "ACT_EST_MAPPING=PRECISE", "FS=MRC", "CURRENCY=USD", "XLFILL=b")</f>
        <v>7.523510971786834</v>
      </c>
      <c r="L244" s="9">
        <f>_xll.BQL("LUV US Equity", "FA_GROWTH(BS_OTHER_CUR_ASSET, YOY)", "FPT=A", "FPO=-2A", "ACT_EST_MAPPING=PRECISE", "FS=MRC", "CURRENCY=USD", "XLFILL=b")</f>
        <v>116.27118644067797</v>
      </c>
      <c r="M244" s="9">
        <f>_xll.BQL("LUV US Equity", "FA_GROWTH(BS_OTHER_CUR_ASSET, YOY)", "FPT=A", "FPO=-3A", "ACT_EST_MAPPING=PRECISE", "FS=MRC", "CURRENCY=USD", "XLFILL=b")</f>
        <v>2.7874564459930316</v>
      </c>
      <c r="N244" s="9">
        <f>_xll.BQL("LUV US Equity", "FA_GROWTH(BS_OTHER_CUR_ASSET, YOY)", "FPT=A", "FPO=-4A", "ACT_EST_MAPPING=PRECISE", "FS=MRC", "CURRENCY=USD", "XLFILL=b")</f>
        <v>-7.419354838709677</v>
      </c>
    </row>
    <row r="245" spans="1:14" x14ac:dyDescent="0.2">
      <c r="A245" s="8" t="s">
        <v>245</v>
      </c>
      <c r="B245" s="4" t="s">
        <v>246</v>
      </c>
      <c r="C245" s="4" t="s">
        <v>247</v>
      </c>
      <c r="D245" s="4"/>
      <c r="E245" s="9">
        <f>_xll.BQL("LUV US Equity", "BS_TOTAL_NON_CURRENT_ASSETS/1M", "FPT=A", "FPO=5A", "ACT_EST_MAPPING=PRECISE", "FS=MRC", "CURRENCY=USD", "XLFILL=b")</f>
        <v>29440.759440254551</v>
      </c>
      <c r="F245" s="9">
        <f>_xll.BQL("LUV US Equity", "BS_TOTAL_NON_CURRENT_ASSETS/1M", "FPT=A", "FPO=4A", "ACT_EST_MAPPING=PRECISE", "FS=MRC", "CURRENCY=USD", "XLFILL=b")</f>
        <v>28358.508365477137</v>
      </c>
      <c r="G245" s="9">
        <f>_xll.BQL("LUV US Equity", "BS_TOTAL_NON_CURRENT_ASSETS/1M", "FPT=A", "FPO=3A", "ACT_EST_MAPPING=PRECISE", "FS=MRC", "CURRENCY=USD", "XLFILL=b")</f>
        <v>27208.413268004202</v>
      </c>
      <c r="H245" s="9">
        <f>_xll.BQL("LUV US Equity", "BS_TOTAL_NON_CURRENT_ASSETS/1M", "FPT=A", "FPO=2A", "ACT_EST_MAPPING=PRECISE", "FS=MRC", "CURRENCY=USD", "XLFILL=b")</f>
        <v>25735.536278788953</v>
      </c>
      <c r="I245" s="9">
        <f>_xll.BQL("LUV US Equity", "BS_TOTAL_NON_CURRENT_ASSETS/1M", "FPT=A", "FPO=1A", "ACT_EST_MAPPING=PRECISE", "FS=MRC", "CURRENCY=USD", "XLFILL=b")</f>
        <v>23437.159395253584</v>
      </c>
      <c r="J245" s="9">
        <f>_xll.BQL("LUV US Equity", "BS_TOTAL_NON_CURRENT_ASSETS/1M", "FPT=A", "FPO=0A", "ACT_EST_MAPPING=PRECISE", "FS=MRC", "CURRENCY=USD", "XLFILL=b")</f>
        <v>22532</v>
      </c>
      <c r="K245" s="9">
        <f>_xll.BQL("LUV US Equity", "BS_TOTAL_NON_CURRENT_ASSETS/1M", "FPT=A", "FPO=-1A", "ACT_EST_MAPPING=PRECISE", "FS=MRC", "CURRENCY=USD", "XLFILL=b")</f>
        <v>20561</v>
      </c>
      <c r="L245" s="9">
        <f>_xll.BQL("LUV US Equity", "BS_TOTAL_NON_CURRENT_ASSETS/1M", "FPT=A", "FPO=-2A", "ACT_EST_MAPPING=PRECISE", "FS=MRC", "CURRENCY=USD", "XLFILL=b")</f>
        <v>18284</v>
      </c>
      <c r="M245" s="9">
        <f>_xll.BQL("LUV US Equity", "BS_TOTAL_NON_CURRENT_ASSETS/1M", "FPT=A", "FPO=-3A", "ACT_EST_MAPPING=PRECISE", "FS=MRC", "CURRENCY=USD", "XLFILL=b")</f>
        <v>19415</v>
      </c>
      <c r="N245" s="9">
        <f>_xll.BQL("LUV US Equity", "BS_TOTAL_NON_CURRENT_ASSETS/1M", "FPT=A", "FPO=-4A", "ACT_EST_MAPPING=PRECISE", "FS=MRC", "CURRENCY=USD", "XLFILL=b")</f>
        <v>19921</v>
      </c>
    </row>
    <row r="246" spans="1:14" x14ac:dyDescent="0.2">
      <c r="A246" s="8" t="s">
        <v>21</v>
      </c>
      <c r="B246" s="4" t="s">
        <v>246</v>
      </c>
      <c r="C246" s="4" t="s">
        <v>247</v>
      </c>
      <c r="D246" s="4"/>
      <c r="E246" s="9">
        <f>_xll.BQL("LUV US Equity", "FA_GROWTH(BS_TOTAL_NON_CURRENT_ASSETS, YOY)", "FPT=A", "FPO=5A", "ACT_EST_MAPPING=PRECISE", "FS=MRC", "CURRENCY=USD", "XLFILL=b")</f>
        <v>3.8163187598925861</v>
      </c>
      <c r="F246" s="9">
        <f>_xll.BQL("LUV US Equity", "FA_GROWTH(BS_TOTAL_NON_CURRENT_ASSETS, YOY)", "FPT=A", "FPO=4A", "ACT_EST_MAPPING=PRECISE", "FS=MRC", "CURRENCY=USD", "XLFILL=b")</f>
        <v>4.2269833457189936</v>
      </c>
      <c r="G246" s="9">
        <f>_xll.BQL("LUV US Equity", "FA_GROWTH(BS_TOTAL_NON_CURRENT_ASSETS, YOY)", "FPT=A", "FPO=3A", "ACT_EST_MAPPING=PRECISE", "FS=MRC", "CURRENCY=USD", "XLFILL=b")</f>
        <v>5.7231253052581108</v>
      </c>
      <c r="H246" s="9">
        <f>_xll.BQL("LUV US Equity", "FA_GROWTH(BS_TOTAL_NON_CURRENT_ASSETS, YOY)", "FPT=A", "FPO=2A", "ACT_EST_MAPPING=PRECISE", "FS=MRC", "CURRENCY=USD", "XLFILL=b")</f>
        <v>9.8065505498111936</v>
      </c>
      <c r="I246" s="9">
        <f>_xll.BQL("LUV US Equity", "FA_GROWTH(BS_TOTAL_NON_CURRENT_ASSETS, YOY)", "FPT=A", "FPO=1A", "ACT_EST_MAPPING=PRECISE", "FS=MRC", "CURRENCY=USD", "XLFILL=b")</f>
        <v>4.0172172698987474</v>
      </c>
      <c r="J246" s="9">
        <f>_xll.BQL("LUV US Equity", "FA_GROWTH(BS_TOTAL_NON_CURRENT_ASSETS, YOY)", "FPT=A", "FPO=0A", "ACT_EST_MAPPING=PRECISE", "FS=MRC", "CURRENCY=USD", "XLFILL=b")</f>
        <v>9.5861096250182385</v>
      </c>
      <c r="K246" s="9">
        <f>_xll.BQL("LUV US Equity", "FA_GROWTH(BS_TOTAL_NON_CURRENT_ASSETS, YOY)", "FPT=A", "FPO=-1A", "ACT_EST_MAPPING=PRECISE", "FS=MRC", "CURRENCY=USD", "XLFILL=b")</f>
        <v>12.453511266681252</v>
      </c>
      <c r="L246" s="9">
        <f>_xll.BQL("LUV US Equity", "FA_GROWTH(BS_TOTAL_NON_CURRENT_ASSETS, YOY)", "FPT=A", "FPO=-2A", "ACT_EST_MAPPING=PRECISE", "FS=MRC", "CURRENCY=USD", "XLFILL=b")</f>
        <v>-5.8253927375740409</v>
      </c>
      <c r="M246" s="9">
        <f>_xll.BQL("LUV US Equity", "FA_GROWTH(BS_TOTAL_NON_CURRENT_ASSETS, YOY)", "FPT=A", "FPO=-3A", "ACT_EST_MAPPING=PRECISE", "FS=MRC", "CURRENCY=USD", "XLFILL=b")</f>
        <v>-2.5400331308669242</v>
      </c>
      <c r="N246" s="9">
        <f>_xll.BQL("LUV US Equity", "FA_GROWTH(BS_TOTAL_NON_CURRENT_ASSETS, YOY)", "FPT=A", "FPO=-4A", "ACT_EST_MAPPING=PRECISE", "FS=MRC", "CURRENCY=USD", "XLFILL=b")</f>
        <v>-6.0994579307094039</v>
      </c>
    </row>
    <row r="247" spans="1:14" x14ac:dyDescent="0.2">
      <c r="A247" s="8" t="s">
        <v>248</v>
      </c>
      <c r="B247" s="4" t="s">
        <v>249</v>
      </c>
      <c r="C247" s="4" t="s">
        <v>250</v>
      </c>
      <c r="D247" s="4"/>
      <c r="E247" s="9">
        <f>_xll.BQL("LUV US Equity", "CB_BS_PP_AND_E_NET/1M", "FPT=A", "FPO=5A", "ACT_EST_MAPPING=PRECISE", "FS=MRC", "CURRENCY=USD", "XLFILL=b")</f>
        <v>26120.684876962077</v>
      </c>
      <c r="F247" s="9">
        <f>_xll.BQL("LUV US Equity", "CB_BS_PP_AND_E_NET/1M", "FPT=A", "FPO=4A", "ACT_EST_MAPPING=PRECISE", "FS=MRC", "CURRENCY=USD", "XLFILL=b")</f>
        <v>24632.444106012106</v>
      </c>
      <c r="G247" s="9">
        <f>_xll.BQL("LUV US Equity", "CB_BS_PP_AND_E_NET/1M", "FPT=A", "FPO=3A", "ACT_EST_MAPPING=PRECISE", "FS=MRC", "CURRENCY=USD", "XLFILL=b")</f>
        <v>23203.714225650136</v>
      </c>
      <c r="H247" s="9">
        <f>_xll.BQL("LUV US Equity", "CB_BS_PP_AND_E_NET/1M", "FPT=A", "FPO=2A", "ACT_EST_MAPPING=PRECISE", "FS=MRC", "CURRENCY=USD", "XLFILL=b")</f>
        <v>21693.344023356225</v>
      </c>
      <c r="I247" s="9">
        <f>_xll.BQL("LUV US Equity", "CB_BS_PP_AND_E_NET/1M", "FPT=A", "FPO=1A", "ACT_EST_MAPPING=PRECISE", "FS=MRC", "CURRENCY=USD", "XLFILL=b")</f>
        <v>20202.039314235928</v>
      </c>
      <c r="J247" s="9">
        <f>_xll.BQL("LUV US Equity", "CB_BS_PP_AND_E_NET/1M", "FPT=A", "FPO=0A", "ACT_EST_MAPPING=PRECISE", "FS=MRC", "CURRENCY=USD", "XLFILL=b")</f>
        <v>19375</v>
      </c>
      <c r="K247" s="9">
        <f>_xll.BQL("LUV US Equity", "CB_BS_PP_AND_E_NET/1M", "FPT=A", "FPO=-1A", "ACT_EST_MAPPING=PRECISE", "FS=MRC", "CURRENCY=USD", "XLFILL=b")</f>
        <v>17342</v>
      </c>
      <c r="L247" s="9">
        <f>_xll.BQL("LUV US Equity", "CB_BS_PP_AND_E_NET/1M", "FPT=A", "FPO=-2A", "ACT_EST_MAPPING=PRECISE", "FS=MRC", "CURRENCY=USD", "XLFILL=b")</f>
        <v>14842</v>
      </c>
      <c r="M247" s="9">
        <f>_xll.BQL("LUV US Equity", "CB_BS_PP_AND_E_NET/1M", "FPT=A", "FPO=-3A", "ACT_EST_MAPPING=PRECISE", "FS=MRC", "CURRENCY=USD", "XLFILL=b")</f>
        <v>15831</v>
      </c>
      <c r="N247" s="9">
        <f>_xll.BQL("LUV US Equity", "CB_BS_PP_AND_E_NET/1M", "FPT=A", "FPO=-4A", "ACT_EST_MAPPING=PRECISE", "FS=MRC", "CURRENCY=USD", "XLFILL=b")</f>
        <v>17025</v>
      </c>
    </row>
    <row r="248" spans="1:14" x14ac:dyDescent="0.2">
      <c r="A248" s="8" t="s">
        <v>111</v>
      </c>
      <c r="B248" s="4" t="s">
        <v>249</v>
      </c>
      <c r="C248" s="4" t="s">
        <v>250</v>
      </c>
      <c r="D248" s="4"/>
      <c r="E248" s="9">
        <f>_xll.BQL("LUV US Equity", "FA_GROWTH(CB_BS_PP_AND_E_NET, YOY)", "FPT=A", "FPO=5A", "ACT_EST_MAPPING=PRECISE", "FS=MRC", "CURRENCY=USD", "XLFILL=b")</f>
        <v>6.0417909182902845</v>
      </c>
      <c r="F248" s="9">
        <f>_xll.BQL("LUV US Equity", "FA_GROWTH(CB_BS_PP_AND_E_NET, YOY)", "FPT=A", "FPO=4A", "ACT_EST_MAPPING=PRECISE", "FS=MRC", "CURRENCY=USD", "XLFILL=b")</f>
        <v>6.1573326859137429</v>
      </c>
      <c r="G248" s="9">
        <f>_xll.BQL("LUV US Equity", "FA_GROWTH(CB_BS_PP_AND_E_NET, YOY)", "FPT=A", "FPO=3A", "ACT_EST_MAPPING=PRECISE", "FS=MRC", "CURRENCY=USD", "XLFILL=b")</f>
        <v>6.9623668931252141</v>
      </c>
      <c r="H248" s="9">
        <f>_xll.BQL("LUV US Equity", "FA_GROWTH(CB_BS_PP_AND_E_NET, YOY)", "FPT=A", "FPO=2A", "ACT_EST_MAPPING=PRECISE", "FS=MRC", "CURRENCY=USD", "XLFILL=b")</f>
        <v>7.38195132641588</v>
      </c>
      <c r="I248" s="9">
        <f>_xll.BQL("LUV US Equity", "FA_GROWTH(CB_BS_PP_AND_E_NET, YOY)", "FPT=A", "FPO=1A", "ACT_EST_MAPPING=PRECISE", "FS=MRC", "CURRENCY=USD", "XLFILL=b")</f>
        <v>4.2685900089596265</v>
      </c>
      <c r="J248" s="9">
        <f>_xll.BQL("LUV US Equity", "FA_GROWTH(CB_BS_PP_AND_E_NET, YOY)", "FPT=A", "FPO=0A", "ACT_EST_MAPPING=PRECISE", "FS=MRC", "CURRENCY=USD", "XLFILL=b")</f>
        <v>11.722984661515396</v>
      </c>
      <c r="K248" s="9">
        <f>_xll.BQL("LUV US Equity", "FA_GROWTH(CB_BS_PP_AND_E_NET, YOY)", "FPT=A", "FPO=-1A", "ACT_EST_MAPPING=PRECISE", "FS=MRC", "CURRENCY=USD", "XLFILL=b")</f>
        <v>16.844091092844629</v>
      </c>
      <c r="L248" s="9">
        <f>_xll.BQL("LUV US Equity", "FA_GROWTH(CB_BS_PP_AND_E_NET, YOY)", "FPT=A", "FPO=-2A", "ACT_EST_MAPPING=PRECISE", "FS=MRC", "CURRENCY=USD", "XLFILL=b")</f>
        <v>-6.2472364348430292</v>
      </c>
      <c r="M248" s="9">
        <f>_xll.BQL("LUV US Equity", "FA_GROWTH(CB_BS_PP_AND_E_NET, YOY)", "FPT=A", "FPO=-3A", "ACT_EST_MAPPING=PRECISE", "FS=MRC", "CURRENCY=USD", "XLFILL=b")</f>
        <v>-7.0132158590308373</v>
      </c>
      <c r="N248" s="9">
        <f>_xll.BQL("LUV US Equity", "FA_GROWTH(CB_BS_PP_AND_E_NET, YOY)", "FPT=A", "FPO=-4A", "ACT_EST_MAPPING=PRECISE", "FS=MRC", "CURRENCY=USD", "XLFILL=b")</f>
        <v>-12.804097311139564</v>
      </c>
    </row>
    <row r="249" spans="1:14" x14ac:dyDescent="0.2">
      <c r="A249" s="8" t="s">
        <v>251</v>
      </c>
      <c r="B249" s="4" t="s">
        <v>252</v>
      </c>
      <c r="C249" s="4"/>
      <c r="D249" s="4"/>
      <c r="E249" s="9">
        <f>_xll.BQL("LUV US Equity", "CB_BS_GROSS_FIXED_ASSETS/1M", "FPT=A", "FPO=5A", "ACT_EST_MAPPING=PRECISE", "FS=MRC", "CURRENCY=USD", "XLFILL=b")</f>
        <v>48843</v>
      </c>
      <c r="F249" s="9">
        <f>_xll.BQL("LUV US Equity", "CB_BS_GROSS_FIXED_ASSETS/1M", "FPT=A", "FPO=4A", "ACT_EST_MAPPING=PRECISE", "FS=MRC", "CURRENCY=USD", "XLFILL=b")</f>
        <v>45803.558826760214</v>
      </c>
      <c r="G249" s="9">
        <f>_xll.BQL("LUV US Equity", "CB_BS_GROSS_FIXED_ASSETS/1M", "FPT=A", "FPO=3A", "ACT_EST_MAPPING=PRECISE", "FS=MRC", "CURRENCY=USD", "XLFILL=b")</f>
        <v>42596.442837102426</v>
      </c>
      <c r="H249" s="9">
        <f>_xll.BQL("LUV US Equity", "CB_BS_GROSS_FIXED_ASSETS/1M", "FPT=A", "FPO=2A", "ACT_EST_MAPPING=PRECISE", "FS=MRC", "CURRENCY=USD", "XLFILL=b")</f>
        <v>39392.96466375576</v>
      </c>
      <c r="I249" s="9">
        <f>_xll.BQL("LUV US Equity", "CB_BS_GROSS_FIXED_ASSETS/1M", "FPT=A", "FPO=1A", "ACT_EST_MAPPING=PRECISE", "FS=MRC", "CURRENCY=USD", "XLFILL=b")</f>
        <v>36068.439872834017</v>
      </c>
      <c r="J249" s="9">
        <f>_xll.BQL("LUV US Equity", "CB_BS_GROSS_FIXED_ASSETS/1M", "FPT=A", "FPO=0A", "ACT_EST_MAPPING=PRECISE", "FS=MRC", "CURRENCY=USD", "XLFILL=b")</f>
        <v>33818</v>
      </c>
      <c r="K249" s="9">
        <f>_xll.BQL("LUV US Equity", "CB_BS_GROSS_FIXED_ASSETS/1M", "FPT=A", "FPO=-1A", "ACT_EST_MAPPING=PRECISE", "FS=MRC", "CURRENCY=USD", "XLFILL=b")</f>
        <v>30984</v>
      </c>
      <c r="L249" s="9">
        <f>_xll.BQL("LUV US Equity", "CB_BS_GROSS_FIXED_ASSETS/1M", "FPT=A", "FPO=-2A", "ACT_EST_MAPPING=PRECISE", "FS=MRC", "CURRENCY=USD", "XLFILL=b")</f>
        <v>27574</v>
      </c>
      <c r="M249" s="9">
        <f>_xll.BQL("LUV US Equity", "CB_BS_GROSS_FIXED_ASSETS/1M", "FPT=A", "FPO=-3A", "ACT_EST_MAPPING=PRECISE", "FS=MRC", "CURRENCY=USD", "XLFILL=b")</f>
        <v>27574</v>
      </c>
      <c r="N249" s="9">
        <f>_xll.BQL("LUV US Equity", "CB_BS_GROSS_FIXED_ASSETS/1M", "FPT=A", "FPO=-4A", "ACT_EST_MAPPING=PRECISE", "FS=MRC", "CURRENCY=USD", "XLFILL=b")</f>
        <v>27713</v>
      </c>
    </row>
    <row r="250" spans="1:14" x14ac:dyDescent="0.2">
      <c r="A250" s="8" t="s">
        <v>232</v>
      </c>
      <c r="B250" s="4" t="s">
        <v>252</v>
      </c>
      <c r="C250" s="4"/>
      <c r="D250" s="4"/>
      <c r="E250" s="9">
        <f>_xll.BQL("LUV US Equity", "FA_GROWTH(CB_BS_GROSS_FIXED_ASSETS, YOY)", "FPT=A", "FPO=5A", "ACT_EST_MAPPING=PRECISE", "FS=MRC", "CURRENCY=USD", "XLFILL=b")</f>
        <v>6.635818812105108</v>
      </c>
      <c r="F250" s="9">
        <f>_xll.BQL("LUV US Equity", "FA_GROWTH(CB_BS_GROSS_FIXED_ASSETS, YOY)", "FPT=A", "FPO=4A", "ACT_EST_MAPPING=PRECISE", "FS=MRC", "CURRENCY=USD", "XLFILL=b")</f>
        <v>7.5290699787361675</v>
      </c>
      <c r="G250" s="9">
        <f>_xll.BQL("LUV US Equity", "FA_GROWTH(CB_BS_GROSS_FIXED_ASSETS, YOY)", "FPT=A", "FPO=3A", "ACT_EST_MAPPING=PRECISE", "FS=MRC", "CURRENCY=USD", "XLFILL=b")</f>
        <v>8.1321073463000495</v>
      </c>
      <c r="H250" s="9">
        <f>_xll.BQL("LUV US Equity", "FA_GROWTH(CB_BS_GROSS_FIXED_ASSETS, YOY)", "FPT=A", "FPO=2A", "ACT_EST_MAPPING=PRECISE", "FS=MRC", "CURRENCY=USD", "XLFILL=b")</f>
        <v>9.2172680677150858</v>
      </c>
      <c r="I250" s="9">
        <f>_xll.BQL("LUV US Equity", "FA_GROWTH(CB_BS_GROSS_FIXED_ASSETS, YOY)", "FPT=A", "FPO=1A", "ACT_EST_MAPPING=PRECISE", "FS=MRC", "CURRENCY=USD", "XLFILL=b")</f>
        <v>6.6545622829085547</v>
      </c>
      <c r="J250" s="9">
        <f>_xll.BQL("LUV US Equity", "FA_GROWTH(CB_BS_GROSS_FIXED_ASSETS, YOY)", "FPT=A", "FPO=0A", "ACT_EST_MAPPING=PRECISE", "FS=MRC", "CURRENCY=USD", "XLFILL=b")</f>
        <v>9.146656338755486</v>
      </c>
      <c r="K250" s="9">
        <f>_xll.BQL("LUV US Equity", "FA_GROWTH(CB_BS_GROSS_FIXED_ASSETS, YOY)", "FPT=A", "FPO=-1A", "ACT_EST_MAPPING=PRECISE", "FS=MRC", "CURRENCY=USD", "XLFILL=b")</f>
        <v>12.366722274606513</v>
      </c>
      <c r="L250" s="9">
        <f>_xll.BQL("LUV US Equity", "FA_GROWTH(CB_BS_GROSS_FIXED_ASSETS, YOY)", "FPT=A", "FPO=-2A", "ACT_EST_MAPPING=PRECISE", "FS=MRC", "CURRENCY=USD", "XLFILL=b")</f>
        <v>0</v>
      </c>
      <c r="M250" s="9">
        <f>_xll.BQL("LUV US Equity", "FA_GROWTH(CB_BS_GROSS_FIXED_ASSETS, YOY)", "FPT=A", "FPO=-3A", "ACT_EST_MAPPING=PRECISE", "FS=MRC", "CURRENCY=USD", "XLFILL=b")</f>
        <v>-0.50156966044816509</v>
      </c>
      <c r="N250" s="9">
        <f>_xll.BQL("LUV US Equity", "FA_GROWTH(CB_BS_GROSS_FIXED_ASSETS, YOY)", "FPT=A", "FPO=-4A", "ACT_EST_MAPPING=PRECISE", "FS=MRC", "CURRENCY=USD", "XLFILL=b")</f>
        <v>-5.2741318020235166</v>
      </c>
    </row>
    <row r="251" spans="1:14" x14ac:dyDescent="0.2">
      <c r="A251" s="8" t="s">
        <v>253</v>
      </c>
      <c r="B251" s="4" t="s">
        <v>254</v>
      </c>
      <c r="C251" s="4"/>
      <c r="D251" s="4"/>
      <c r="E251" s="9" t="str">
        <f>_xll.BQL("LUV US Equity", "BS_FLIGHT_EQUIPMNT/1M", "FPT=A", "FPO=5A", "ACT_EST_MAPPING=PRECISE", "FS=MRC", "CURRENCY=USD", "XLFILL=b")</f>
        <v/>
      </c>
      <c r="F251" s="9" t="str">
        <f>_xll.BQL("LUV US Equity", "BS_FLIGHT_EQUIPMNT/1M", "FPT=A", "FPO=4A", "ACT_EST_MAPPING=PRECISE", "FS=MRC", "CURRENCY=USD", "XLFILL=b")</f>
        <v/>
      </c>
      <c r="G251" s="9">
        <f>_xll.BQL("LUV US Equity", "BS_FLIGHT_EQUIPMNT/1M", "FPT=A", "FPO=3A", "ACT_EST_MAPPING=PRECISE", "FS=MRC", "CURRENCY=USD", "XLFILL=b")</f>
        <v>32797</v>
      </c>
      <c r="H251" s="9">
        <f>_xll.BQL("LUV US Equity", "BS_FLIGHT_EQUIPMNT/1M", "FPT=A", "FPO=2A", "ACT_EST_MAPPING=PRECISE", "FS=MRC", "CURRENCY=USD", "XLFILL=b")</f>
        <v>30197</v>
      </c>
      <c r="I251" s="9">
        <f>_xll.BQL("LUV US Equity", "BS_FLIGHT_EQUIPMNT/1M", "FPT=A", "FPO=1A", "ACT_EST_MAPPING=PRECISE", "FS=MRC", "CURRENCY=USD", "XLFILL=b")</f>
        <v>27689</v>
      </c>
      <c r="J251" s="9">
        <f>_xll.BQL("LUV US Equity", "BS_FLIGHT_EQUIPMNT/1M", "FPT=A", "FPO=0A", "ACT_EST_MAPPING=PRECISE", "FS=MRC", "CURRENCY=USD", "XLFILL=b")</f>
        <v>26060</v>
      </c>
      <c r="K251" s="9">
        <f>_xll.BQL("LUV US Equity", "BS_FLIGHT_EQUIPMNT/1M", "FPT=A", "FPO=-1A", "ACT_EST_MAPPING=PRECISE", "FS=MRC", "CURRENCY=USD", "XLFILL=b")</f>
        <v>23725</v>
      </c>
      <c r="L251" s="9">
        <f>_xll.BQL("LUV US Equity", "BS_FLIGHT_EQUIPMNT/1M", "FPT=A", "FPO=-2A", "ACT_EST_MAPPING=PRECISE", "FS=MRC", "CURRENCY=USD", "XLFILL=b")</f>
        <v>21226</v>
      </c>
      <c r="M251" s="9">
        <f>_xll.BQL("LUV US Equity", "BS_FLIGHT_EQUIPMNT/1M", "FPT=A", "FPO=-3A", "ACT_EST_MAPPING=PRECISE", "FS=MRC", "CURRENCY=USD", "XLFILL=b")</f>
        <v>20877</v>
      </c>
      <c r="N251" s="9">
        <f>_xll.BQL("LUV US Equity", "BS_FLIGHT_EQUIPMNT/1M", "FPT=A", "FPO=-4A", "ACT_EST_MAPPING=PRECISE", "FS=MRC", "CURRENCY=USD", "XLFILL=b")</f>
        <v>21629</v>
      </c>
    </row>
    <row r="252" spans="1:14" x14ac:dyDescent="0.2">
      <c r="A252" s="8" t="s">
        <v>255</v>
      </c>
      <c r="B252" s="4" t="s">
        <v>254</v>
      </c>
      <c r="C252" s="4"/>
      <c r="D252" s="4"/>
      <c r="E252" s="9" t="str">
        <f>_xll.BQL("LUV US Equity", "FA_GROWTH(BS_FLIGHT_EQUIPMNT, YOY)", "FPT=A", "FPO=5A", "ACT_EST_MAPPING=PRECISE", "FS=MRC", "CURRENCY=USD", "XLFILL=b")</f>
        <v/>
      </c>
      <c r="F252" s="9" t="str">
        <f>_xll.BQL("LUV US Equity", "FA_GROWTH(BS_FLIGHT_EQUIPMNT, YOY)", "FPT=A", "FPO=4A", "ACT_EST_MAPPING=PRECISE", "FS=MRC", "CURRENCY=USD", "XLFILL=b")</f>
        <v/>
      </c>
      <c r="G252" s="9">
        <f>_xll.BQL("LUV US Equity", "FA_GROWTH(BS_FLIGHT_EQUIPMNT, YOY)", "FPT=A", "FPO=3A", "ACT_EST_MAPPING=PRECISE", "FS=MRC", "CURRENCY=USD", "XLFILL=b")</f>
        <v>8.610126833791437</v>
      </c>
      <c r="H252" s="9">
        <f>_xll.BQL("LUV US Equity", "FA_GROWTH(BS_FLIGHT_EQUIPMNT, YOY)", "FPT=A", "FPO=2A", "ACT_EST_MAPPING=PRECISE", "FS=MRC", "CURRENCY=USD", "XLFILL=b")</f>
        <v>9.0577485644118596</v>
      </c>
      <c r="I252" s="9">
        <f>_xll.BQL("LUV US Equity", "FA_GROWTH(BS_FLIGHT_EQUIPMNT, YOY)", "FPT=A", "FPO=1A", "ACT_EST_MAPPING=PRECISE", "FS=MRC", "CURRENCY=USD", "XLFILL=b")</f>
        <v>6.2509593246354562</v>
      </c>
      <c r="J252" s="9">
        <f>_xll.BQL("LUV US Equity", "FA_GROWTH(BS_FLIGHT_EQUIPMNT, YOY)", "FPT=A", "FPO=0A", "ACT_EST_MAPPING=PRECISE", "FS=MRC", "CURRENCY=USD", "XLFILL=b")</f>
        <v>9.8419388830347732</v>
      </c>
      <c r="K252" s="9">
        <f>_xll.BQL("LUV US Equity", "FA_GROWTH(BS_FLIGHT_EQUIPMNT, YOY)", "FPT=A", "FPO=-1A", "ACT_EST_MAPPING=PRECISE", "FS=MRC", "CURRENCY=USD", "XLFILL=b")</f>
        <v>11.773296900028267</v>
      </c>
      <c r="L252" s="9">
        <f>_xll.BQL("LUV US Equity", "FA_GROWTH(BS_FLIGHT_EQUIPMNT, YOY)", "FPT=A", "FPO=-2A", "ACT_EST_MAPPING=PRECISE", "FS=MRC", "CURRENCY=USD", "XLFILL=b")</f>
        <v>1.6716961249221631</v>
      </c>
      <c r="M252" s="9">
        <f>_xll.BQL("LUV US Equity", "FA_GROWTH(BS_FLIGHT_EQUIPMNT, YOY)", "FPT=A", "FPO=-3A", "ACT_EST_MAPPING=PRECISE", "FS=MRC", "CURRENCY=USD", "XLFILL=b")</f>
        <v>-3.476813537380369</v>
      </c>
      <c r="N252" s="9">
        <f>_xll.BQL("LUV US Equity", "FA_GROWTH(BS_FLIGHT_EQUIPMNT, YOY)", "FPT=A", "FPO=-4A", "ACT_EST_MAPPING=PRECISE", "FS=MRC", "CURRENCY=USD", "XLFILL=b")</f>
        <v>-0.57003631682986255</v>
      </c>
    </row>
    <row r="253" spans="1:14" x14ac:dyDescent="0.2">
      <c r="A253" s="8" t="s">
        <v>256</v>
      </c>
      <c r="B253" s="4" t="s">
        <v>257</v>
      </c>
      <c r="C253" s="4"/>
      <c r="D253" s="4"/>
      <c r="E253" s="9" t="str">
        <f>_xll.BQL("LUV US Equity", "BS_MACHINERY_EQUIPMENT_NET/1M", "FPT=A", "FPO=5A", "ACT_EST_MAPPING=PRECISE", "FS=MRC", "CURRENCY=USD", "XLFILL=b")</f>
        <v/>
      </c>
      <c r="F253" s="9" t="str">
        <f>_xll.BQL("LUV US Equity", "BS_MACHINERY_EQUIPMENT_NET/1M", "FPT=A", "FPO=4A", "ACT_EST_MAPPING=PRECISE", "FS=MRC", "CURRENCY=USD", "XLFILL=b")</f>
        <v/>
      </c>
      <c r="G253" s="9">
        <f>_xll.BQL("LUV US Equity", "BS_MACHINERY_EQUIPMENT_NET/1M", "FPT=A", "FPO=3A", "ACT_EST_MAPPING=PRECISE", "FS=MRC", "CURRENCY=USD", "XLFILL=b")</f>
        <v>7859.4741417876694</v>
      </c>
      <c r="H253" s="9">
        <f>_xll.BQL("LUV US Equity", "BS_MACHINERY_EQUIPMENT_NET/1M", "FPT=A", "FPO=2A", "ACT_EST_MAPPING=PRECISE", "FS=MRC", "CURRENCY=USD", "XLFILL=b")</f>
        <v>7796.91147449044</v>
      </c>
      <c r="I253" s="9">
        <f>_xll.BQL("LUV US Equity", "BS_MACHINERY_EQUIPMENT_NET/1M", "FPT=A", "FPO=1A", "ACT_EST_MAPPING=PRECISE", "FS=MRC", "CURRENCY=USD", "XLFILL=b")</f>
        <v>7711.4234079999997</v>
      </c>
      <c r="J253" s="9">
        <f>_xll.BQL("LUV US Equity", "BS_MACHINERY_EQUIPMENT_NET/1M", "FPT=A", "FPO=0A", "ACT_EST_MAPPING=PRECISE", "FS=MRC", "CURRENCY=USD", "XLFILL=b")</f>
        <v>7460</v>
      </c>
      <c r="K253" s="9">
        <f>_xll.BQL("LUV US Equity", "BS_MACHINERY_EQUIPMENT_NET/1M", "FPT=A", "FPO=-1A", "ACT_EST_MAPPING=PRECISE", "FS=MRC", "CURRENCY=USD", "XLFILL=b")</f>
        <v>6855</v>
      </c>
      <c r="L253" s="9">
        <f>_xll.BQL("LUV US Equity", "BS_MACHINERY_EQUIPMENT_NET/1M", "FPT=A", "FPO=-2A", "ACT_EST_MAPPING=PRECISE", "FS=MRC", "CURRENCY=USD", "XLFILL=b")</f>
        <v>6342</v>
      </c>
      <c r="M253" s="9">
        <f>_xll.BQL("LUV US Equity", "BS_MACHINERY_EQUIPMENT_NET/1M", "FPT=A", "FPO=-3A", "ACT_EST_MAPPING=PRECISE", "FS=MRC", "CURRENCY=USD", "XLFILL=b")</f>
        <v>6083</v>
      </c>
      <c r="N253" s="9">
        <f>_xll.BQL("LUV US Equity", "BS_MACHINERY_EQUIPMENT_NET/1M", "FPT=A", "FPO=-4A", "ACT_EST_MAPPING=PRECISE", "FS=MRC", "CURRENCY=USD", "XLFILL=b")</f>
        <v>5672</v>
      </c>
    </row>
    <row r="254" spans="1:14" x14ac:dyDescent="0.2">
      <c r="A254" s="8" t="s">
        <v>255</v>
      </c>
      <c r="B254" s="4" t="s">
        <v>257</v>
      </c>
      <c r="C254" s="4"/>
      <c r="D254" s="4"/>
      <c r="E254" s="9" t="str">
        <f>_xll.BQL("LUV US Equity", "FA_GROWTH(BS_MACHINERY_EQUIPMENT_NET, YOY)", "FPT=A", "FPO=5A", "ACT_EST_MAPPING=PRECISE", "FS=MRC", "CURRENCY=USD", "XLFILL=b")</f>
        <v/>
      </c>
      <c r="F254" s="9" t="str">
        <f>_xll.BQL("LUV US Equity", "FA_GROWTH(BS_MACHINERY_EQUIPMENT_NET, YOY)", "FPT=A", "FPO=4A", "ACT_EST_MAPPING=PRECISE", "FS=MRC", "CURRENCY=USD", "XLFILL=b")</f>
        <v/>
      </c>
      <c r="G254" s="9">
        <f>_xll.BQL("LUV US Equity", "FA_GROWTH(BS_MACHINERY_EQUIPMENT_NET, YOY)", "FPT=A", "FPO=3A", "ACT_EST_MAPPING=PRECISE", "FS=MRC", "CURRENCY=USD", "XLFILL=b")</f>
        <v>0.80240320159999678</v>
      </c>
      <c r="H254" s="9">
        <f>_xll.BQL("LUV US Equity", "FA_GROWTH(BS_MACHINERY_EQUIPMENT_NET, YOY)", "FPT=A", "FPO=2A", "ACT_EST_MAPPING=PRECISE", "FS=MRC", "CURRENCY=USD", "XLFILL=b")</f>
        <v>1.1085899705851086</v>
      </c>
      <c r="I254" s="9">
        <f>_xll.BQL("LUV US Equity", "FA_GROWTH(BS_MACHINERY_EQUIPMENT_NET, YOY)", "FPT=A", "FPO=1A", "ACT_EST_MAPPING=PRECISE", "FS=MRC", "CURRENCY=USD", "XLFILL=b")</f>
        <v>3.3702869705093832</v>
      </c>
      <c r="J254" s="9">
        <f>_xll.BQL("LUV US Equity", "FA_GROWTH(BS_MACHINERY_EQUIPMENT_NET, YOY)", "FPT=A", "FPO=0A", "ACT_EST_MAPPING=PRECISE", "FS=MRC", "CURRENCY=USD", "XLFILL=b")</f>
        <v>8.8256746900072933</v>
      </c>
      <c r="K254" s="9">
        <f>_xll.BQL("LUV US Equity", "FA_GROWTH(BS_MACHINERY_EQUIPMENT_NET, YOY)", "FPT=A", "FPO=-1A", "ACT_EST_MAPPING=PRECISE", "FS=MRC", "CURRENCY=USD", "XLFILL=b")</f>
        <v>8.0889309366130551</v>
      </c>
      <c r="L254" s="9">
        <f>_xll.BQL("LUV US Equity", "FA_GROWTH(BS_MACHINERY_EQUIPMENT_NET, YOY)", "FPT=A", "FPO=-2A", "ACT_EST_MAPPING=PRECISE", "FS=MRC", "CURRENCY=USD", "XLFILL=b")</f>
        <v>4.2577675489067897</v>
      </c>
      <c r="M254" s="9">
        <f>_xll.BQL("LUV US Equity", "FA_GROWTH(BS_MACHINERY_EQUIPMENT_NET, YOY)", "FPT=A", "FPO=-3A", "ACT_EST_MAPPING=PRECISE", "FS=MRC", "CURRENCY=USD", "XLFILL=b")</f>
        <v>7.2461212976022571</v>
      </c>
      <c r="N254" s="9">
        <f>_xll.BQL("LUV US Equity", "FA_GROWTH(BS_MACHINERY_EQUIPMENT_NET, YOY)", "FPT=A", "FPO=-4A", "ACT_EST_MAPPING=PRECISE", "FS=MRC", "CURRENCY=USD", "XLFILL=b")</f>
        <v>14.35483870967742</v>
      </c>
    </row>
    <row r="255" spans="1:14" x14ac:dyDescent="0.2">
      <c r="A255" s="8" t="s">
        <v>258</v>
      </c>
      <c r="B255" s="4" t="s">
        <v>259</v>
      </c>
      <c r="C255" s="4" t="s">
        <v>250</v>
      </c>
      <c r="D255" s="4"/>
      <c r="E255" s="9">
        <f>_xll.BQL("LUV US Equity", "CB_BS_ACCUMULATED_DEPRECIATION/1M", "FPT=A", "FPO=5A", "ACT_EST_MAPPING=PRECISE", "FS=MRC", "CURRENCY=USD", "XLFILL=b")</f>
        <v>23511.972684556888</v>
      </c>
      <c r="F255" s="9">
        <f>_xll.BQL("LUV US Equity", "CB_BS_ACCUMULATED_DEPRECIATION/1M", "FPT=A", "FPO=4A", "ACT_EST_MAPPING=PRECISE", "FS=MRC", "CURRENCY=USD", "XLFILL=b")</f>
        <v>21485.633352077402</v>
      </c>
      <c r="G255" s="9">
        <f>_xll.BQL("LUV US Equity", "CB_BS_ACCUMULATED_DEPRECIATION/1M", "FPT=A", "FPO=3A", "ACT_EST_MAPPING=PRECISE", "FS=MRC", "CURRENCY=USD", "XLFILL=b")</f>
        <v>19395.641090883582</v>
      </c>
      <c r="H255" s="9">
        <f>_xll.BQL("LUV US Equity", "CB_BS_ACCUMULATED_DEPRECIATION/1M", "FPT=A", "FPO=2A", "ACT_EST_MAPPING=PRECISE", "FS=MRC", "CURRENCY=USD", "XLFILL=b")</f>
        <v>17599.195814054372</v>
      </c>
      <c r="I255" s="9">
        <f>_xll.BQL("LUV US Equity", "CB_BS_ACCUMULATED_DEPRECIATION/1M", "FPT=A", "FPO=1A", "ACT_EST_MAPPING=PRECISE", "FS=MRC", "CURRENCY=USD", "XLFILL=b")</f>
        <v>15834.641020922923</v>
      </c>
      <c r="J255" s="9">
        <f>_xll.BQL("LUV US Equity", "CB_BS_ACCUMULATED_DEPRECIATION/1M", "FPT=A", "FPO=0A", "ACT_EST_MAPPING=PRECISE", "FS=MRC", "CURRENCY=USD", "XLFILL=b")</f>
        <v>14443</v>
      </c>
      <c r="K255" s="9">
        <f>_xll.BQL("LUV US Equity", "CB_BS_ACCUMULATED_DEPRECIATION/1M", "FPT=A", "FPO=-1A", "ACT_EST_MAPPING=PRECISE", "FS=MRC", "CURRENCY=USD", "XLFILL=b")</f>
        <v>13642</v>
      </c>
      <c r="L255" s="9">
        <f>_xll.BQL("LUV US Equity", "CB_BS_ACCUMULATED_DEPRECIATION/1M", "FPT=A", "FPO=-2A", "ACT_EST_MAPPING=PRECISE", "FS=MRC", "CURRENCY=USD", "XLFILL=b")</f>
        <v>12732</v>
      </c>
      <c r="M255" s="9">
        <f>_xll.BQL("LUV US Equity", "CB_BS_ACCUMULATED_DEPRECIATION/1M", "FPT=A", "FPO=-3A", "ACT_EST_MAPPING=PRECISE", "FS=MRC", "CURRENCY=USD", "XLFILL=b")</f>
        <v>11743</v>
      </c>
      <c r="N255" s="9">
        <f>_xll.BQL("LUV US Equity", "CB_BS_ACCUMULATED_DEPRECIATION/1M", "FPT=A", "FPO=-4A", "ACT_EST_MAPPING=PRECISE", "FS=MRC", "CURRENCY=USD", "XLFILL=b")</f>
        <v>10688</v>
      </c>
    </row>
    <row r="256" spans="1:14" x14ac:dyDescent="0.2">
      <c r="A256" s="8" t="s">
        <v>232</v>
      </c>
      <c r="B256" s="4" t="s">
        <v>259</v>
      </c>
      <c r="C256" s="4" t="s">
        <v>250</v>
      </c>
      <c r="D256" s="4"/>
      <c r="E256" s="9">
        <f>_xll.BQL("LUV US Equity", "FA_GROWTH(CB_BS_ACCUMULATED_DEPRECIATION, YOY)", "FPT=A", "FPO=5A", "ACT_EST_MAPPING=PRECISE", "FS=MRC", "CURRENCY=USD", "XLFILL=b")</f>
        <v>9.4311361423449114</v>
      </c>
      <c r="F256" s="9">
        <f>_xll.BQL("LUV US Equity", "FA_GROWTH(CB_BS_ACCUMULATED_DEPRECIATION, YOY)", "FPT=A", "FPO=4A", "ACT_EST_MAPPING=PRECISE", "FS=MRC", "CURRENCY=USD", "XLFILL=b")</f>
        <v>10.775577107251006</v>
      </c>
      <c r="G256" s="9">
        <f>_xll.BQL("LUV US Equity", "FA_GROWTH(CB_BS_ACCUMULATED_DEPRECIATION, YOY)", "FPT=A", "FPO=3A", "ACT_EST_MAPPING=PRECISE", "FS=MRC", "CURRENCY=USD", "XLFILL=b")</f>
        <v>10.207541843443813</v>
      </c>
      <c r="H256" s="9">
        <f>_xll.BQL("LUV US Equity", "FA_GROWTH(CB_BS_ACCUMULATED_DEPRECIATION, YOY)", "FPT=A", "FPO=2A", "ACT_EST_MAPPING=PRECISE", "FS=MRC", "CURRENCY=USD", "XLFILL=b")</f>
        <v>11.143636226422009</v>
      </c>
      <c r="I256" s="9">
        <f>_xll.BQL("LUV US Equity", "FA_GROWTH(CB_BS_ACCUMULATED_DEPRECIATION, YOY)", "FPT=A", "FPO=1A", "ACT_EST_MAPPING=PRECISE", "FS=MRC", "CURRENCY=USD", "XLFILL=b")</f>
        <v>9.6354013772964358</v>
      </c>
      <c r="J256" s="9">
        <f>_xll.BQL("LUV US Equity", "FA_GROWTH(CB_BS_ACCUMULATED_DEPRECIATION, YOY)", "FPT=A", "FPO=0A", "ACT_EST_MAPPING=PRECISE", "FS=MRC", "CURRENCY=USD", "XLFILL=b")</f>
        <v>5.8715730831256412</v>
      </c>
      <c r="K256" s="9">
        <f>_xll.BQL("LUV US Equity", "FA_GROWTH(CB_BS_ACCUMULATED_DEPRECIATION, YOY)", "FPT=A", "FPO=-1A", "ACT_EST_MAPPING=PRECISE", "FS=MRC", "CURRENCY=USD", "XLFILL=b")</f>
        <v>7.1473452717562047</v>
      </c>
      <c r="L256" s="9">
        <f>_xll.BQL("LUV US Equity", "FA_GROWTH(CB_BS_ACCUMULATED_DEPRECIATION, YOY)", "FPT=A", "FPO=-2A", "ACT_EST_MAPPING=PRECISE", "FS=MRC", "CURRENCY=USD", "XLFILL=b")</f>
        <v>8.4220386613301539</v>
      </c>
      <c r="M256" s="9">
        <f>_xll.BQL("LUV US Equity", "FA_GROWTH(CB_BS_ACCUMULATED_DEPRECIATION, YOY)", "FPT=A", "FPO=-3A", "ACT_EST_MAPPING=PRECISE", "FS=MRC", "CURRENCY=USD", "XLFILL=b")</f>
        <v>9.8708832335329344</v>
      </c>
      <c r="N256" s="9">
        <f>_xll.BQL("LUV US Equity", "FA_GROWTH(CB_BS_ACCUMULATED_DEPRECIATION, YOY)", "FPT=A", "FPO=-4A", "ACT_EST_MAPPING=PRECISE", "FS=MRC", "CURRENCY=USD", "XLFILL=b")</f>
        <v>9.8345493782756144</v>
      </c>
    </row>
    <row r="257" spans="1:14" x14ac:dyDescent="0.2">
      <c r="A257" s="8" t="s">
        <v>260</v>
      </c>
      <c r="B257" s="4" t="s">
        <v>261</v>
      </c>
      <c r="C257" s="4"/>
      <c r="D257" s="4"/>
      <c r="E257" s="9">
        <f>_xll.BQL("LUV US Equity", "BS_OPER_LEA_RT_OF_USE_ASSETS/1M", "FPT=A", "FPO=5A", "ACT_EST_MAPPING=PRECISE", "FS=MRC", "CURRENCY=USD", "XLFILL=b")</f>
        <v>1263.8112791430374</v>
      </c>
      <c r="F257" s="9">
        <f>_xll.BQL("LUV US Equity", "BS_OPER_LEA_RT_OF_USE_ASSETS/1M", "FPT=A", "FPO=4A", "ACT_EST_MAPPING=PRECISE", "FS=MRC", "CURRENCY=USD", "XLFILL=b")</f>
        <v>1222.1860953581181</v>
      </c>
      <c r="G257" s="9">
        <f>_xll.BQL("LUV US Equity", "BS_OPER_LEA_RT_OF_USE_ASSETS/1M", "FPT=A", "FPO=3A", "ACT_EST_MAPPING=PRECISE", "FS=MRC", "CURRENCY=USD", "XLFILL=b")</f>
        <v>1178.405293005671</v>
      </c>
      <c r="H257" s="9">
        <f>_xll.BQL("LUV US Equity", "BS_OPER_LEA_RT_OF_USE_ASSETS/1M", "FPT=A", "FPO=2A", "ACT_EST_MAPPING=PRECISE", "FS=MRC", "CURRENCY=USD", "XLFILL=b")</f>
        <v>1196.0567769296965</v>
      </c>
      <c r="I257" s="9">
        <f>_xll.BQL("LUV US Equity", "BS_OPER_LEA_RT_OF_USE_ASSETS/1M", "FPT=A", "FPO=1A", "ACT_EST_MAPPING=PRECISE", "FS=MRC", "CURRENCY=USD", "XLFILL=b")</f>
        <v>1174.7664266450627</v>
      </c>
      <c r="J257" s="9">
        <f>_xll.BQL("LUV US Equity", "BS_OPER_LEA_RT_OF_USE_ASSETS/1M", "FPT=A", "FPO=0A", "ACT_EST_MAPPING=PRECISE", "FS=MRC", "CURRENCY=USD", "XLFILL=b")</f>
        <v>1223</v>
      </c>
      <c r="K257" s="9">
        <f>_xll.BQL("LUV US Equity", "BS_OPER_LEA_RT_OF_USE_ASSETS/1M", "FPT=A", "FPO=-1A", "ACT_EST_MAPPING=PRECISE", "FS=MRC", "CURRENCY=USD", "XLFILL=b")</f>
        <v>1394</v>
      </c>
      <c r="L257" s="9">
        <f>_xll.BQL("LUV US Equity", "BS_OPER_LEA_RT_OF_USE_ASSETS/1M", "FPT=A", "FPO=-2A", "ACT_EST_MAPPING=PRECISE", "FS=MRC", "CURRENCY=USD", "XLFILL=b")</f>
        <v>1590</v>
      </c>
      <c r="M257" s="9">
        <f>_xll.BQL("LUV US Equity", "BS_OPER_LEA_RT_OF_USE_ASSETS/1M", "FPT=A", "FPO=-3A", "ACT_EST_MAPPING=PRECISE", "FS=MRC", "CURRENCY=USD", "XLFILL=b")</f>
        <v>1892</v>
      </c>
      <c r="N257" s="9">
        <f>_xll.BQL("LUV US Equity", "BS_OPER_LEA_RT_OF_USE_ASSETS/1M", "FPT=A", "FPO=-4A", "ACT_EST_MAPPING=PRECISE", "FS=MRC", "CURRENCY=USD", "XLFILL=b")</f>
        <v>1349</v>
      </c>
    </row>
    <row r="258" spans="1:14" x14ac:dyDescent="0.2">
      <c r="A258" s="8" t="s">
        <v>111</v>
      </c>
      <c r="B258" s="4" t="s">
        <v>261</v>
      </c>
      <c r="C258" s="4"/>
      <c r="D258" s="4"/>
      <c r="E258" s="9">
        <f>_xll.BQL("LUV US Equity", "FA_GROWTH(BS_OPER_LEA_RT_OF_USE_ASSETS, YOY)", "FPT=A", "FPO=5A", "ACT_EST_MAPPING=PRECISE", "FS=MRC", "CURRENCY=USD", "XLFILL=b")</f>
        <v>3.4057975248624053</v>
      </c>
      <c r="F258" s="9">
        <f>_xll.BQL("LUV US Equity", "FA_GROWTH(BS_OPER_LEA_RT_OF_USE_ASSETS, YOY)", "FPT=A", "FPO=4A", "ACT_EST_MAPPING=PRECISE", "FS=MRC", "CURRENCY=USD", "XLFILL=b")</f>
        <v>3.7152584609305839</v>
      </c>
      <c r="G258" s="9">
        <f>_xll.BQL("LUV US Equity", "FA_GROWTH(BS_OPER_LEA_RT_OF_USE_ASSETS, YOY)", "FPT=A", "FPO=3A", "ACT_EST_MAPPING=PRECISE", "FS=MRC", "CURRENCY=USD", "XLFILL=b")</f>
        <v>-1.4758065222737398</v>
      </c>
      <c r="H258" s="9">
        <f>_xll.BQL("LUV US Equity", "FA_GROWTH(BS_OPER_LEA_RT_OF_USE_ASSETS, YOY)", "FPT=A", "FPO=2A", "ACT_EST_MAPPING=PRECISE", "FS=MRC", "CURRENCY=USD", "XLFILL=b")</f>
        <v>1.8123049656292587</v>
      </c>
      <c r="I258" s="9">
        <f>_xll.BQL("LUV US Equity", "FA_GROWTH(BS_OPER_LEA_RT_OF_USE_ASSETS, YOY)", "FPT=A", "FPO=1A", "ACT_EST_MAPPING=PRECISE", "FS=MRC", "CURRENCY=USD", "XLFILL=b")</f>
        <v>-3.9438735367896416</v>
      </c>
      <c r="J258" s="9">
        <f>_xll.BQL("LUV US Equity", "FA_GROWTH(BS_OPER_LEA_RT_OF_USE_ASSETS, YOY)", "FPT=A", "FPO=0A", "ACT_EST_MAPPING=PRECISE", "FS=MRC", "CURRENCY=USD", "XLFILL=b")</f>
        <v>-12.266857962697275</v>
      </c>
      <c r="K258" s="9">
        <f>_xll.BQL("LUV US Equity", "FA_GROWTH(BS_OPER_LEA_RT_OF_USE_ASSETS, YOY)", "FPT=A", "FPO=-1A", "ACT_EST_MAPPING=PRECISE", "FS=MRC", "CURRENCY=USD", "XLFILL=b")</f>
        <v>-12.327044025157234</v>
      </c>
      <c r="L258" s="9">
        <f>_xll.BQL("LUV US Equity", "FA_GROWTH(BS_OPER_LEA_RT_OF_USE_ASSETS, YOY)", "FPT=A", "FPO=-2A", "ACT_EST_MAPPING=PRECISE", "FS=MRC", "CURRENCY=USD", "XLFILL=b")</f>
        <v>-15.961945031712473</v>
      </c>
      <c r="M258" s="9">
        <f>_xll.BQL("LUV US Equity", "FA_GROWTH(BS_OPER_LEA_RT_OF_USE_ASSETS, YOY)", "FPT=A", "FPO=-3A", "ACT_EST_MAPPING=PRECISE", "FS=MRC", "CURRENCY=USD", "XLFILL=b")</f>
        <v>40.252038547071905</v>
      </c>
      <c r="N258" s="9" t="str">
        <f>_xll.BQL("LUV US Equity", "FA_GROWTH(BS_OPER_LEA_RT_OF_USE_ASSETS, YOY)", "FPT=A", "FPO=-4A", "ACT_EST_MAPPING=PRECISE", "FS=MRC", "CURRENCY=USD", "XLFILL=b")</f>
        <v/>
      </c>
    </row>
    <row r="259" spans="1:14" x14ac:dyDescent="0.2">
      <c r="A259" s="8" t="s">
        <v>248</v>
      </c>
      <c r="B259" s="4" t="s">
        <v>249</v>
      </c>
      <c r="C259" s="4" t="s">
        <v>250</v>
      </c>
      <c r="D259" s="4"/>
      <c r="E259" s="9">
        <f>_xll.BQL("LUV US Equity", "CB_BS_PP_AND_E_NET/1M", "FPT=A", "FPO=5A", "ACT_EST_MAPPING=PRECISE", "FS=MRC", "CURRENCY=USD", "XLFILL=b")</f>
        <v>26120.684876962077</v>
      </c>
      <c r="F259" s="9">
        <f>_xll.BQL("LUV US Equity", "CB_BS_PP_AND_E_NET/1M", "FPT=A", "FPO=4A", "ACT_EST_MAPPING=PRECISE", "FS=MRC", "CURRENCY=USD", "XLFILL=b")</f>
        <v>24632.444106012106</v>
      </c>
      <c r="G259" s="9">
        <f>_xll.BQL("LUV US Equity", "CB_BS_PP_AND_E_NET/1M", "FPT=A", "FPO=3A", "ACT_EST_MAPPING=PRECISE", "FS=MRC", "CURRENCY=USD", "XLFILL=b")</f>
        <v>23203.714225650136</v>
      </c>
      <c r="H259" s="9">
        <f>_xll.BQL("LUV US Equity", "CB_BS_PP_AND_E_NET/1M", "FPT=A", "FPO=2A", "ACT_EST_MAPPING=PRECISE", "FS=MRC", "CURRENCY=USD", "XLFILL=b")</f>
        <v>21693.344023356225</v>
      </c>
      <c r="I259" s="9">
        <f>_xll.BQL("LUV US Equity", "CB_BS_PP_AND_E_NET/1M", "FPT=A", "FPO=1A", "ACT_EST_MAPPING=PRECISE", "FS=MRC", "CURRENCY=USD", "XLFILL=b")</f>
        <v>20202.039314235928</v>
      </c>
      <c r="J259" s="9">
        <f>_xll.BQL("LUV US Equity", "CB_BS_PP_AND_E_NET/1M", "FPT=A", "FPO=0A", "ACT_EST_MAPPING=PRECISE", "FS=MRC", "CURRENCY=USD", "XLFILL=b")</f>
        <v>19375</v>
      </c>
      <c r="K259" s="9">
        <f>_xll.BQL("LUV US Equity", "CB_BS_PP_AND_E_NET/1M", "FPT=A", "FPO=-1A", "ACT_EST_MAPPING=PRECISE", "FS=MRC", "CURRENCY=USD", "XLFILL=b")</f>
        <v>17342</v>
      </c>
      <c r="L259" s="9">
        <f>_xll.BQL("LUV US Equity", "CB_BS_PP_AND_E_NET/1M", "FPT=A", "FPO=-2A", "ACT_EST_MAPPING=PRECISE", "FS=MRC", "CURRENCY=USD", "XLFILL=b")</f>
        <v>14842</v>
      </c>
      <c r="M259" s="9">
        <f>_xll.BQL("LUV US Equity", "CB_BS_PP_AND_E_NET/1M", "FPT=A", "FPO=-3A", "ACT_EST_MAPPING=PRECISE", "FS=MRC", "CURRENCY=USD", "XLFILL=b")</f>
        <v>15831</v>
      </c>
      <c r="N259" s="9">
        <f>_xll.BQL("LUV US Equity", "CB_BS_PP_AND_E_NET/1M", "FPT=A", "FPO=-4A", "ACT_EST_MAPPING=PRECISE", "FS=MRC", "CURRENCY=USD", "XLFILL=b")</f>
        <v>17025</v>
      </c>
    </row>
    <row r="260" spans="1:14" x14ac:dyDescent="0.2">
      <c r="A260" s="8" t="s">
        <v>111</v>
      </c>
      <c r="B260" s="4" t="s">
        <v>249</v>
      </c>
      <c r="C260" s="4" t="s">
        <v>250</v>
      </c>
      <c r="D260" s="4"/>
      <c r="E260" s="9">
        <f>_xll.BQL("LUV US Equity", "FA_GROWTH(CB_BS_PP_AND_E_NET, YOY)", "FPT=A", "FPO=5A", "ACT_EST_MAPPING=PRECISE", "FS=MRC", "CURRENCY=USD", "XLFILL=b")</f>
        <v>6.0417909182902845</v>
      </c>
      <c r="F260" s="9">
        <f>_xll.BQL("LUV US Equity", "FA_GROWTH(CB_BS_PP_AND_E_NET, YOY)", "FPT=A", "FPO=4A", "ACT_EST_MAPPING=PRECISE", "FS=MRC", "CURRENCY=USD", "XLFILL=b")</f>
        <v>6.1573326859137429</v>
      </c>
      <c r="G260" s="9">
        <f>_xll.BQL("LUV US Equity", "FA_GROWTH(CB_BS_PP_AND_E_NET, YOY)", "FPT=A", "FPO=3A", "ACT_EST_MAPPING=PRECISE", "FS=MRC", "CURRENCY=USD", "XLFILL=b")</f>
        <v>6.9623668931252141</v>
      </c>
      <c r="H260" s="9">
        <f>_xll.BQL("LUV US Equity", "FA_GROWTH(CB_BS_PP_AND_E_NET, YOY)", "FPT=A", "FPO=2A", "ACT_EST_MAPPING=PRECISE", "FS=MRC", "CURRENCY=USD", "XLFILL=b")</f>
        <v>7.38195132641588</v>
      </c>
      <c r="I260" s="9">
        <f>_xll.BQL("LUV US Equity", "FA_GROWTH(CB_BS_PP_AND_E_NET, YOY)", "FPT=A", "FPO=1A", "ACT_EST_MAPPING=PRECISE", "FS=MRC", "CURRENCY=USD", "XLFILL=b")</f>
        <v>4.2685900089596265</v>
      </c>
      <c r="J260" s="9">
        <f>_xll.BQL("LUV US Equity", "FA_GROWTH(CB_BS_PP_AND_E_NET, YOY)", "FPT=A", "FPO=0A", "ACT_EST_MAPPING=PRECISE", "FS=MRC", "CURRENCY=USD", "XLFILL=b")</f>
        <v>11.722984661515396</v>
      </c>
      <c r="K260" s="9">
        <f>_xll.BQL("LUV US Equity", "FA_GROWTH(CB_BS_PP_AND_E_NET, YOY)", "FPT=A", "FPO=-1A", "ACT_EST_MAPPING=PRECISE", "FS=MRC", "CURRENCY=USD", "XLFILL=b")</f>
        <v>16.844091092844629</v>
      </c>
      <c r="L260" s="9">
        <f>_xll.BQL("LUV US Equity", "FA_GROWTH(CB_BS_PP_AND_E_NET, YOY)", "FPT=A", "FPO=-2A", "ACT_EST_MAPPING=PRECISE", "FS=MRC", "CURRENCY=USD", "XLFILL=b")</f>
        <v>-6.2472364348430292</v>
      </c>
      <c r="M260" s="9">
        <f>_xll.BQL("LUV US Equity", "FA_GROWTH(CB_BS_PP_AND_E_NET, YOY)", "FPT=A", "FPO=-3A", "ACT_EST_MAPPING=PRECISE", "FS=MRC", "CURRENCY=USD", "XLFILL=b")</f>
        <v>-7.0132158590308373</v>
      </c>
      <c r="N260" s="9">
        <f>_xll.BQL("LUV US Equity", "FA_GROWTH(CB_BS_PP_AND_E_NET, YOY)", "FPT=A", "FPO=-4A", "ACT_EST_MAPPING=PRECISE", "FS=MRC", "CURRENCY=USD", "XLFILL=b")</f>
        <v>-12.804097311139564</v>
      </c>
    </row>
    <row r="261" spans="1:14" x14ac:dyDescent="0.2">
      <c r="A261" s="8" t="s">
        <v>260</v>
      </c>
      <c r="B261" s="4" t="s">
        <v>261</v>
      </c>
      <c r="C261" s="4"/>
      <c r="D261" s="4"/>
      <c r="E261" s="9">
        <f>_xll.BQL("LUV US Equity", "BS_OPER_LEA_RT_OF_USE_ASSETS/1M", "FPT=A", "FPO=5A", "ACT_EST_MAPPING=PRECISE", "FS=MRC", "CURRENCY=USD", "XLFILL=b")</f>
        <v>1263.8112791430374</v>
      </c>
      <c r="F261" s="9">
        <f>_xll.BQL("LUV US Equity", "BS_OPER_LEA_RT_OF_USE_ASSETS/1M", "FPT=A", "FPO=4A", "ACT_EST_MAPPING=PRECISE", "FS=MRC", "CURRENCY=USD", "XLFILL=b")</f>
        <v>1222.1860953581181</v>
      </c>
      <c r="G261" s="9">
        <f>_xll.BQL("LUV US Equity", "BS_OPER_LEA_RT_OF_USE_ASSETS/1M", "FPT=A", "FPO=3A", "ACT_EST_MAPPING=PRECISE", "FS=MRC", "CURRENCY=USD", "XLFILL=b")</f>
        <v>1178.405293005671</v>
      </c>
      <c r="H261" s="9">
        <f>_xll.BQL("LUV US Equity", "BS_OPER_LEA_RT_OF_USE_ASSETS/1M", "FPT=A", "FPO=2A", "ACT_EST_MAPPING=PRECISE", "FS=MRC", "CURRENCY=USD", "XLFILL=b")</f>
        <v>1196.0567769296965</v>
      </c>
      <c r="I261" s="9">
        <f>_xll.BQL("LUV US Equity", "BS_OPER_LEA_RT_OF_USE_ASSETS/1M", "FPT=A", "FPO=1A", "ACT_EST_MAPPING=PRECISE", "FS=MRC", "CURRENCY=USD", "XLFILL=b")</f>
        <v>1174.7664266450627</v>
      </c>
      <c r="J261" s="9">
        <f>_xll.BQL("LUV US Equity", "BS_OPER_LEA_RT_OF_USE_ASSETS/1M", "FPT=A", "FPO=0A", "ACT_EST_MAPPING=PRECISE", "FS=MRC", "CURRENCY=USD", "XLFILL=b")</f>
        <v>1223</v>
      </c>
      <c r="K261" s="9">
        <f>_xll.BQL("LUV US Equity", "BS_OPER_LEA_RT_OF_USE_ASSETS/1M", "FPT=A", "FPO=-1A", "ACT_EST_MAPPING=PRECISE", "FS=MRC", "CURRENCY=USD", "XLFILL=b")</f>
        <v>1394</v>
      </c>
      <c r="L261" s="9">
        <f>_xll.BQL("LUV US Equity", "BS_OPER_LEA_RT_OF_USE_ASSETS/1M", "FPT=A", "FPO=-2A", "ACT_EST_MAPPING=PRECISE", "FS=MRC", "CURRENCY=USD", "XLFILL=b")</f>
        <v>1590</v>
      </c>
      <c r="M261" s="9">
        <f>_xll.BQL("LUV US Equity", "BS_OPER_LEA_RT_OF_USE_ASSETS/1M", "FPT=A", "FPO=-3A", "ACT_EST_MAPPING=PRECISE", "FS=MRC", "CURRENCY=USD", "XLFILL=b")</f>
        <v>1892</v>
      </c>
      <c r="N261" s="9">
        <f>_xll.BQL("LUV US Equity", "BS_OPER_LEA_RT_OF_USE_ASSETS/1M", "FPT=A", "FPO=-4A", "ACT_EST_MAPPING=PRECISE", "FS=MRC", "CURRENCY=USD", "XLFILL=b")</f>
        <v>1349</v>
      </c>
    </row>
    <row r="262" spans="1:14" x14ac:dyDescent="0.2">
      <c r="A262" s="8" t="s">
        <v>111</v>
      </c>
      <c r="B262" s="4" t="s">
        <v>261</v>
      </c>
      <c r="C262" s="4"/>
      <c r="D262" s="4"/>
      <c r="E262" s="9">
        <f>_xll.BQL("LUV US Equity", "FA_GROWTH(BS_OPER_LEA_RT_OF_USE_ASSETS, YOY)", "FPT=A", "FPO=5A", "ACT_EST_MAPPING=PRECISE", "FS=MRC", "CURRENCY=USD", "XLFILL=b")</f>
        <v>3.4057975248624053</v>
      </c>
      <c r="F262" s="9">
        <f>_xll.BQL("LUV US Equity", "FA_GROWTH(BS_OPER_LEA_RT_OF_USE_ASSETS, YOY)", "FPT=A", "FPO=4A", "ACT_EST_MAPPING=PRECISE", "FS=MRC", "CURRENCY=USD", "XLFILL=b")</f>
        <v>3.7152584609305839</v>
      </c>
      <c r="G262" s="9">
        <f>_xll.BQL("LUV US Equity", "FA_GROWTH(BS_OPER_LEA_RT_OF_USE_ASSETS, YOY)", "FPT=A", "FPO=3A", "ACT_EST_MAPPING=PRECISE", "FS=MRC", "CURRENCY=USD", "XLFILL=b")</f>
        <v>-1.4758065222737398</v>
      </c>
      <c r="H262" s="9">
        <f>_xll.BQL("LUV US Equity", "FA_GROWTH(BS_OPER_LEA_RT_OF_USE_ASSETS, YOY)", "FPT=A", "FPO=2A", "ACT_EST_MAPPING=PRECISE", "FS=MRC", "CURRENCY=USD", "XLFILL=b")</f>
        <v>1.8123049656292587</v>
      </c>
      <c r="I262" s="9">
        <f>_xll.BQL("LUV US Equity", "FA_GROWTH(BS_OPER_LEA_RT_OF_USE_ASSETS, YOY)", "FPT=A", "FPO=1A", "ACT_EST_MAPPING=PRECISE", "FS=MRC", "CURRENCY=USD", "XLFILL=b")</f>
        <v>-3.9438735367896416</v>
      </c>
      <c r="J262" s="9">
        <f>_xll.BQL("LUV US Equity", "FA_GROWTH(BS_OPER_LEA_RT_OF_USE_ASSETS, YOY)", "FPT=A", "FPO=0A", "ACT_EST_MAPPING=PRECISE", "FS=MRC", "CURRENCY=USD", "XLFILL=b")</f>
        <v>-12.266857962697275</v>
      </c>
      <c r="K262" s="9">
        <f>_xll.BQL("LUV US Equity", "FA_GROWTH(BS_OPER_LEA_RT_OF_USE_ASSETS, YOY)", "FPT=A", "FPO=-1A", "ACT_EST_MAPPING=PRECISE", "FS=MRC", "CURRENCY=USD", "XLFILL=b")</f>
        <v>-12.327044025157234</v>
      </c>
      <c r="L262" s="9">
        <f>_xll.BQL("LUV US Equity", "FA_GROWTH(BS_OPER_LEA_RT_OF_USE_ASSETS, YOY)", "FPT=A", "FPO=-2A", "ACT_EST_MAPPING=PRECISE", "FS=MRC", "CURRENCY=USD", "XLFILL=b")</f>
        <v>-15.961945031712473</v>
      </c>
      <c r="M262" s="9">
        <f>_xll.BQL("LUV US Equity", "FA_GROWTH(BS_OPER_LEA_RT_OF_USE_ASSETS, YOY)", "FPT=A", "FPO=-3A", "ACT_EST_MAPPING=PRECISE", "FS=MRC", "CURRENCY=USD", "XLFILL=b")</f>
        <v>40.252038547071905</v>
      </c>
      <c r="N262" s="9" t="str">
        <f>_xll.BQL("LUV US Equity", "FA_GROWTH(BS_OPER_LEA_RT_OF_USE_ASSETS, YOY)", "FPT=A", "FPO=-4A", "ACT_EST_MAPPING=PRECISE", "FS=MRC", "CURRENCY=USD", "XLFILL=b")</f>
        <v/>
      </c>
    </row>
    <row r="263" spans="1:14" x14ac:dyDescent="0.2">
      <c r="A263" s="8" t="s">
        <v>262</v>
      </c>
      <c r="B263" s="4" t="s">
        <v>263</v>
      </c>
      <c r="C263" s="4" t="s">
        <v>264</v>
      </c>
      <c r="D263" s="4"/>
      <c r="E263" s="9">
        <f>_xll.BQL("LUV US Equity", "BS_GOODWILL/1M", "FPT=A", "FPO=5A", "ACT_EST_MAPPING=PRECISE", "FS=MRC", "CURRENCY=USD", "XLFILL=b")</f>
        <v>970</v>
      </c>
      <c r="F263" s="9">
        <f>_xll.BQL("LUV US Equity", "BS_GOODWILL/1M", "FPT=A", "FPO=4A", "ACT_EST_MAPPING=PRECISE", "FS=MRC", "CURRENCY=USD", "XLFILL=b")</f>
        <v>970</v>
      </c>
      <c r="G263" s="9">
        <f>_xll.BQL("LUV US Equity", "BS_GOODWILL/1M", "FPT=A", "FPO=3A", "ACT_EST_MAPPING=PRECISE", "FS=MRC", "CURRENCY=USD", "XLFILL=b")</f>
        <v>982.5</v>
      </c>
      <c r="H263" s="9">
        <f>_xll.BQL("LUV US Equity", "BS_GOODWILL/1M", "FPT=A", "FPO=2A", "ACT_EST_MAPPING=PRECISE", "FS=MRC", "CURRENCY=USD", "XLFILL=b")</f>
        <v>978.33333333333337</v>
      </c>
      <c r="I263" s="9">
        <f>_xll.BQL("LUV US Equity", "BS_GOODWILL/1M", "FPT=A", "FPO=1A", "ACT_EST_MAPPING=PRECISE", "FS=MRC", "CURRENCY=USD", "XLFILL=b")</f>
        <v>978.33333333333337</v>
      </c>
      <c r="J263" s="9">
        <f>_xll.BQL("LUV US Equity", "BS_GOODWILL/1M", "FPT=A", "FPO=0A", "ACT_EST_MAPPING=PRECISE", "FS=MRC", "CURRENCY=USD", "XLFILL=b")</f>
        <v>970</v>
      </c>
      <c r="K263" s="9">
        <f>_xll.BQL("LUV US Equity", "BS_GOODWILL/1M", "FPT=A", "FPO=-1A", "ACT_EST_MAPPING=PRECISE", "FS=MRC", "CURRENCY=USD", "XLFILL=b")</f>
        <v>970</v>
      </c>
      <c r="L263" s="9">
        <f>_xll.BQL("LUV US Equity", "BS_GOODWILL/1M", "FPT=A", "FPO=-2A", "ACT_EST_MAPPING=PRECISE", "FS=MRC", "CURRENCY=USD", "XLFILL=b")</f>
        <v>970</v>
      </c>
      <c r="M263" s="9">
        <f>_xll.BQL("LUV US Equity", "BS_GOODWILL/1M", "FPT=A", "FPO=-3A", "ACT_EST_MAPPING=PRECISE", "FS=MRC", "CURRENCY=USD", "XLFILL=b")</f>
        <v>970</v>
      </c>
      <c r="N263" s="9">
        <f>_xll.BQL("LUV US Equity", "BS_GOODWILL/1M", "FPT=A", "FPO=-4A", "ACT_EST_MAPPING=PRECISE", "FS=MRC", "CURRENCY=USD", "XLFILL=b")</f>
        <v>970</v>
      </c>
    </row>
    <row r="264" spans="1:14" x14ac:dyDescent="0.2">
      <c r="A264" s="8" t="s">
        <v>111</v>
      </c>
      <c r="B264" s="4" t="s">
        <v>263</v>
      </c>
      <c r="C264" s="4" t="s">
        <v>264</v>
      </c>
      <c r="D264" s="4"/>
      <c r="E264" s="9">
        <f>_xll.BQL("LUV US Equity", "FA_GROWTH(BS_GOODWILL, YOY)", "FPT=A", "FPO=5A", "ACT_EST_MAPPING=PRECISE", "FS=MRC", "CURRENCY=USD", "XLFILL=b")</f>
        <v>0</v>
      </c>
      <c r="F264" s="9">
        <f>_xll.BQL("LUV US Equity", "FA_GROWTH(BS_GOODWILL, YOY)", "FPT=A", "FPO=4A", "ACT_EST_MAPPING=PRECISE", "FS=MRC", "CURRENCY=USD", "XLFILL=b")</f>
        <v>-1.272264631043257</v>
      </c>
      <c r="G264" s="9">
        <f>_xll.BQL("LUV US Equity", "FA_GROWTH(BS_GOODWILL, YOY)", "FPT=A", "FPO=3A", "ACT_EST_MAPPING=PRECISE", "FS=MRC", "CURRENCY=USD", "XLFILL=b")</f>
        <v>0.42589437819420378</v>
      </c>
      <c r="H264" s="9">
        <f>_xll.BQL("LUV US Equity", "FA_GROWTH(BS_GOODWILL, YOY)", "FPT=A", "FPO=2A", "ACT_EST_MAPPING=PRECISE", "FS=MRC", "CURRENCY=USD", "XLFILL=b")</f>
        <v>0</v>
      </c>
      <c r="I264" s="9">
        <f>_xll.BQL("LUV US Equity", "FA_GROWTH(BS_GOODWILL, YOY)", "FPT=A", "FPO=1A", "ACT_EST_MAPPING=PRECISE", "FS=MRC", "CURRENCY=USD", "XLFILL=b")</f>
        <v>0.85910652920962605</v>
      </c>
      <c r="J264" s="9">
        <f>_xll.BQL("LUV US Equity", "FA_GROWTH(BS_GOODWILL, YOY)", "FPT=A", "FPO=0A", "ACT_EST_MAPPING=PRECISE", "FS=MRC", "CURRENCY=USD", "XLFILL=b")</f>
        <v>0</v>
      </c>
      <c r="K264" s="9">
        <f>_xll.BQL("LUV US Equity", "FA_GROWTH(BS_GOODWILL, YOY)", "FPT=A", "FPO=-1A", "ACT_EST_MAPPING=PRECISE", "FS=MRC", "CURRENCY=USD", "XLFILL=b")</f>
        <v>0</v>
      </c>
      <c r="L264" s="9">
        <f>_xll.BQL("LUV US Equity", "FA_GROWTH(BS_GOODWILL, YOY)", "FPT=A", "FPO=-2A", "ACT_EST_MAPPING=PRECISE", "FS=MRC", "CURRENCY=USD", "XLFILL=b")</f>
        <v>0</v>
      </c>
      <c r="M264" s="9">
        <f>_xll.BQL("LUV US Equity", "FA_GROWTH(BS_GOODWILL, YOY)", "FPT=A", "FPO=-3A", "ACT_EST_MAPPING=PRECISE", "FS=MRC", "CURRENCY=USD", "XLFILL=b")</f>
        <v>0</v>
      </c>
      <c r="N264" s="9">
        <f>_xll.BQL("LUV US Equity", "FA_GROWTH(BS_GOODWILL, YOY)", "FPT=A", "FPO=-4A", "ACT_EST_MAPPING=PRECISE", "FS=MRC", "CURRENCY=USD", "XLFILL=b")</f>
        <v>0</v>
      </c>
    </row>
    <row r="265" spans="1:14" x14ac:dyDescent="0.2">
      <c r="A265" s="8" t="s">
        <v>265</v>
      </c>
      <c r="B265" s="4" t="s">
        <v>266</v>
      </c>
      <c r="C265" s="4" t="s">
        <v>267</v>
      </c>
      <c r="D265" s="4"/>
      <c r="E265" s="9">
        <f>_xll.BQL("LUV US Equity", "CB_BS_OTHER_NONCURRENT_ASSETS/1M", "FPT=A", "FPO=5A", "ACT_EST_MAPPING=PRECISE", "FS=MRC", "CURRENCY=USD", "XLFILL=b")</f>
        <v>964</v>
      </c>
      <c r="F265" s="9">
        <f>_xll.BQL("LUV US Equity", "CB_BS_OTHER_NONCURRENT_ASSETS/1M", "FPT=A", "FPO=4A", "ACT_EST_MAPPING=PRECISE", "FS=MRC", "CURRENCY=USD", "XLFILL=b")</f>
        <v>1004.5</v>
      </c>
      <c r="G265" s="9">
        <f>_xll.BQL("LUV US Equity", "CB_BS_OTHER_NONCURRENT_ASSETS/1M", "FPT=A", "FPO=3A", "ACT_EST_MAPPING=PRECISE", "FS=MRC", "CURRENCY=USD", "XLFILL=b")</f>
        <v>1006</v>
      </c>
      <c r="H265" s="9">
        <f>_xll.BQL("LUV US Equity", "CB_BS_OTHER_NONCURRENT_ASSETS/1M", "FPT=A", "FPO=2A", "ACT_EST_MAPPING=PRECISE", "FS=MRC", "CURRENCY=USD", "XLFILL=b")</f>
        <v>1011.5549876131072</v>
      </c>
      <c r="I265" s="9">
        <f>_xll.BQL("LUV US Equity", "CB_BS_OTHER_NONCURRENT_ASSETS/1M", "FPT=A", "FPO=1A", "ACT_EST_MAPPING=PRECISE", "FS=MRC", "CURRENCY=USD", "XLFILL=b")</f>
        <v>999.25803087275995</v>
      </c>
      <c r="J265" s="9">
        <f>_xll.BQL("LUV US Equity", "CB_BS_OTHER_NONCURRENT_ASSETS/1M", "FPT=A", "FPO=0A", "ACT_EST_MAPPING=PRECISE", "FS=MRC", "CURRENCY=USD", "XLFILL=b")</f>
        <v>964</v>
      </c>
      <c r="K265" s="9">
        <f>_xll.BQL("LUV US Equity", "CB_BS_OTHER_NONCURRENT_ASSETS/1M", "FPT=A", "FPO=-1A", "ACT_EST_MAPPING=PRECISE", "FS=MRC", "CURRENCY=USD", "XLFILL=b")</f>
        <v>855</v>
      </c>
      <c r="L265" s="9">
        <f>_xll.BQL("LUV US Equity", "CB_BS_OTHER_NONCURRENT_ASSETS/1M", "FPT=A", "FPO=-2A", "ACT_EST_MAPPING=PRECISE", "FS=MRC", "CURRENCY=USD", "XLFILL=b")</f>
        <v>882</v>
      </c>
      <c r="M265" s="9">
        <f>_xll.BQL("LUV US Equity", "CB_BS_OTHER_NONCURRENT_ASSETS/1M", "FPT=A", "FPO=-3A", "ACT_EST_MAPPING=PRECISE", "FS=MRC", "CURRENCY=USD", "XLFILL=b")</f>
        <v>722</v>
      </c>
      <c r="N265" s="9">
        <f>_xll.BQL("LUV US Equity", "CB_BS_OTHER_NONCURRENT_ASSETS/1M", "FPT=A", "FPO=-4A", "ACT_EST_MAPPING=PRECISE", "FS=MRC", "CURRENCY=USD", "XLFILL=b")</f>
        <v>577</v>
      </c>
    </row>
    <row r="266" spans="1:14" x14ac:dyDescent="0.2">
      <c r="A266" s="8" t="s">
        <v>111</v>
      </c>
      <c r="B266" s="4" t="s">
        <v>266</v>
      </c>
      <c r="C266" s="4" t="s">
        <v>267</v>
      </c>
      <c r="D266" s="4"/>
      <c r="E266" s="9">
        <f>_xll.BQL("LUV US Equity", "FA_GROWTH(CB_BS_OTHER_NONCURRENT_ASSETS, YOY)", "FPT=A", "FPO=5A", "ACT_EST_MAPPING=PRECISE", "FS=MRC", "CURRENCY=USD", "XLFILL=b")</f>
        <v>-4.0318566450970632</v>
      </c>
      <c r="F266" s="9">
        <f>_xll.BQL("LUV US Equity", "FA_GROWTH(CB_BS_OTHER_NONCURRENT_ASSETS, YOY)", "FPT=A", "FPO=4A", "ACT_EST_MAPPING=PRECISE", "FS=MRC", "CURRENCY=USD", "XLFILL=b")</f>
        <v>-0.14910536779324055</v>
      </c>
      <c r="G266" s="9">
        <f>_xll.BQL("LUV US Equity", "FA_GROWTH(CB_BS_OTHER_NONCURRENT_ASSETS, YOY)", "FPT=A", "FPO=3A", "ACT_EST_MAPPING=PRECISE", "FS=MRC", "CURRENCY=USD", "XLFILL=b")</f>
        <v>-0.54915330171174437</v>
      </c>
      <c r="H266" s="9">
        <f>_xll.BQL("LUV US Equity", "FA_GROWTH(CB_BS_OTHER_NONCURRENT_ASSETS, YOY)", "FPT=A", "FPO=2A", "ACT_EST_MAPPING=PRECISE", "FS=MRC", "CURRENCY=USD", "XLFILL=b")</f>
        <v>1.2306087477332563</v>
      </c>
      <c r="I266" s="9">
        <f>_xll.BQL("LUV US Equity", "FA_GROWTH(CB_BS_OTHER_NONCURRENT_ASSETS, YOY)", "FPT=A", "FPO=1A", "ACT_EST_MAPPING=PRECISE", "FS=MRC", "CURRENCY=USD", "XLFILL=b")</f>
        <v>3.6574720822365081</v>
      </c>
      <c r="J266" s="9">
        <f>_xll.BQL("LUV US Equity", "FA_GROWTH(CB_BS_OTHER_NONCURRENT_ASSETS, YOY)", "FPT=A", "FPO=0A", "ACT_EST_MAPPING=PRECISE", "FS=MRC", "CURRENCY=USD", "XLFILL=b")</f>
        <v>12.748538011695906</v>
      </c>
      <c r="K266" s="9">
        <f>_xll.BQL("LUV US Equity", "FA_GROWTH(CB_BS_OTHER_NONCURRENT_ASSETS, YOY)", "FPT=A", "FPO=-1A", "ACT_EST_MAPPING=PRECISE", "FS=MRC", "CURRENCY=USD", "XLFILL=b")</f>
        <v>-3.0612244897959182</v>
      </c>
      <c r="L266" s="9">
        <f>_xll.BQL("LUV US Equity", "FA_GROWTH(CB_BS_OTHER_NONCURRENT_ASSETS, YOY)", "FPT=A", "FPO=-2A", "ACT_EST_MAPPING=PRECISE", "FS=MRC", "CURRENCY=USD", "XLFILL=b")</f>
        <v>22.1606648199446</v>
      </c>
      <c r="M266" s="9">
        <f>_xll.BQL("LUV US Equity", "FA_GROWTH(CB_BS_OTHER_NONCURRENT_ASSETS, YOY)", "FPT=A", "FPO=-3A", "ACT_EST_MAPPING=PRECISE", "FS=MRC", "CURRENCY=USD", "XLFILL=b")</f>
        <v>25.129982668977469</v>
      </c>
      <c r="N266" s="9">
        <f>_xll.BQL("LUV US Equity", "FA_GROWTH(CB_BS_OTHER_NONCURRENT_ASSETS, YOY)", "FPT=A", "FPO=-4A", "ACT_EST_MAPPING=PRECISE", "FS=MRC", "CURRENCY=USD", "XLFILL=b")</f>
        <v>-19.861111111111111</v>
      </c>
    </row>
    <row r="267" spans="1:14" x14ac:dyDescent="0.2">
      <c r="A267" s="8" t="s">
        <v>268</v>
      </c>
      <c r="B267" s="4" t="s">
        <v>269</v>
      </c>
      <c r="C267" s="4"/>
      <c r="D267" s="4"/>
      <c r="E267" s="9">
        <f>_xll.BQL("LUV US Equity", "BS_OTHER_ASSETS_DEF_CHRG_OTHER/1M", "FPT=A", "FPO=5A", "ACT_EST_MAPPING=PRECISE", "FS=MRC", "CURRENCY=USD", "XLFILL=b")</f>
        <v>2015</v>
      </c>
      <c r="F267" s="9">
        <f>_xll.BQL("LUV US Equity", "BS_OTHER_ASSETS_DEF_CHRG_OTHER/1M", "FPT=A", "FPO=4A", "ACT_EST_MAPPING=PRECISE", "FS=MRC", "CURRENCY=USD", "XLFILL=b")</f>
        <v>2832.8527620247828</v>
      </c>
      <c r="G267" s="9">
        <f>_xll.BQL("LUV US Equity", "BS_OTHER_ASSETS_DEF_CHRG_OTHER/1M", "FPT=A", "FPO=3A", "ACT_EST_MAPPING=PRECISE", "FS=MRC", "CURRENCY=USD", "XLFILL=b")</f>
        <v>2820.0088216761173</v>
      </c>
      <c r="H267" s="9">
        <f>_xll.BQL("LUV US Equity", "BS_OTHER_ASSETS_DEF_CHRG_OTHER/1M", "FPT=A", "FPO=2A", "ACT_EST_MAPPING=PRECISE", "FS=MRC", "CURRENCY=USD", "XLFILL=b")</f>
        <v>2808.7061541692919</v>
      </c>
      <c r="I267" s="9">
        <f>_xll.BQL("LUV US Equity", "BS_OTHER_ASSETS_DEF_CHRG_OTHER/1M", "FPT=A", "FPO=1A", "ACT_EST_MAPPING=PRECISE", "FS=MRC", "CURRENCY=USD", "XLFILL=b")</f>
        <v>2794.0640621718135</v>
      </c>
      <c r="J267" s="9">
        <f>_xll.BQL("LUV US Equity", "BS_OTHER_ASSETS_DEF_CHRG_OTHER/1M", "FPT=A", "FPO=0A", "ACT_EST_MAPPING=PRECISE", "FS=MRC", "CURRENCY=USD", "XLFILL=b")</f>
        <v>1934</v>
      </c>
      <c r="K267" s="9">
        <f>_xll.BQL("LUV US Equity", "BS_OTHER_ASSETS_DEF_CHRG_OTHER/1M", "FPT=A", "FPO=-1A", "ACT_EST_MAPPING=PRECISE", "FS=MRC", "CURRENCY=USD", "XLFILL=b")</f>
        <v>1825</v>
      </c>
      <c r="L267" s="9">
        <f>_xll.BQL("LUV US Equity", "BS_OTHER_ASSETS_DEF_CHRG_OTHER/1M", "FPT=A", "FPO=-2A", "ACT_EST_MAPPING=PRECISE", "FS=MRC", "CURRENCY=USD", "XLFILL=b")</f>
        <v>1852</v>
      </c>
      <c r="M267" s="9">
        <f>_xll.BQL("LUV US Equity", "BS_OTHER_ASSETS_DEF_CHRG_OTHER/1M", "FPT=A", "FPO=-3A", "ACT_EST_MAPPING=PRECISE", "FS=MRC", "CURRENCY=USD", "XLFILL=b")</f>
        <v>1692</v>
      </c>
      <c r="N267" s="9">
        <f>_xll.BQL("LUV US Equity", "BS_OTHER_ASSETS_DEF_CHRG_OTHER/1M", "FPT=A", "FPO=-4A", "ACT_EST_MAPPING=PRECISE", "FS=MRC", "CURRENCY=USD", "XLFILL=b")</f>
        <v>1547</v>
      </c>
    </row>
    <row r="268" spans="1:14" x14ac:dyDescent="0.2">
      <c r="A268" s="8" t="s">
        <v>111</v>
      </c>
      <c r="B268" s="4" t="s">
        <v>269</v>
      </c>
      <c r="C268" s="4"/>
      <c r="D268" s="4"/>
      <c r="E268" s="9">
        <f>_xll.BQL("LUV US Equity", "FA_GROWTH(BS_OTHER_ASSETS_DEF_CHRG_OTHER, YOY)", "FPT=A", "FPO=5A", "ACT_EST_MAPPING=PRECISE", "FS=MRC", "CURRENCY=USD", "XLFILL=b")</f>
        <v>-28.870288388734405</v>
      </c>
      <c r="F268" s="9">
        <f>_xll.BQL("LUV US Equity", "FA_GROWTH(BS_OTHER_ASSETS_DEF_CHRG_OTHER, YOY)", "FPT=A", "FPO=4A", "ACT_EST_MAPPING=PRECISE", "FS=MRC", "CURRENCY=USD", "XLFILL=b")</f>
        <v>0.45545745282567007</v>
      </c>
      <c r="G268" s="9">
        <f>_xll.BQL("LUV US Equity", "FA_GROWTH(BS_OTHER_ASSETS_DEF_CHRG_OTHER, YOY)", "FPT=A", "FPO=3A", "ACT_EST_MAPPING=PRECISE", "FS=MRC", "CURRENCY=USD", "XLFILL=b")</f>
        <v>0.40241544990555783</v>
      </c>
      <c r="H268" s="9">
        <f>_xll.BQL("LUV US Equity", "FA_GROWTH(BS_OTHER_ASSETS_DEF_CHRG_OTHER, YOY)", "FPT=A", "FPO=2A", "ACT_EST_MAPPING=PRECISE", "FS=MRC", "CURRENCY=USD", "XLFILL=b")</f>
        <v>0.52404281618715831</v>
      </c>
      <c r="I268" s="9">
        <f>_xll.BQL("LUV US Equity", "FA_GROWTH(BS_OTHER_ASSETS_DEF_CHRG_OTHER, YOY)", "FPT=A", "FPO=1A", "ACT_EST_MAPPING=PRECISE", "FS=MRC", "CURRENCY=USD", "XLFILL=b")</f>
        <v>44.470737444250958</v>
      </c>
      <c r="J268" s="9">
        <f>_xll.BQL("LUV US Equity", "FA_GROWTH(BS_OTHER_ASSETS_DEF_CHRG_OTHER, YOY)", "FPT=A", "FPO=0A", "ACT_EST_MAPPING=PRECISE", "FS=MRC", "CURRENCY=USD", "XLFILL=b")</f>
        <v>5.9726027397260273</v>
      </c>
      <c r="K268" s="9">
        <f>_xll.BQL("LUV US Equity", "FA_GROWTH(BS_OTHER_ASSETS_DEF_CHRG_OTHER, YOY)", "FPT=A", "FPO=-1A", "ACT_EST_MAPPING=PRECISE", "FS=MRC", "CURRENCY=USD", "XLFILL=b")</f>
        <v>-1.4578833693304536</v>
      </c>
      <c r="L268" s="9">
        <f>_xll.BQL("LUV US Equity", "FA_GROWTH(BS_OTHER_ASSETS_DEF_CHRG_OTHER, YOY)", "FPT=A", "FPO=-2A", "ACT_EST_MAPPING=PRECISE", "FS=MRC", "CURRENCY=USD", "XLFILL=b")</f>
        <v>9.456264775413711</v>
      </c>
      <c r="M268" s="9">
        <f>_xll.BQL("LUV US Equity", "FA_GROWTH(BS_OTHER_ASSETS_DEF_CHRG_OTHER, YOY)", "FPT=A", "FPO=-3A", "ACT_EST_MAPPING=PRECISE", "FS=MRC", "CURRENCY=USD", "XLFILL=b")</f>
        <v>9.3729799612152558</v>
      </c>
      <c r="N268" s="9">
        <f>_xll.BQL("LUV US Equity", "FA_GROWTH(BS_OTHER_ASSETS_DEF_CHRG_OTHER, YOY)", "FPT=A", "FPO=-4A", "ACT_EST_MAPPING=PRECISE", "FS=MRC", "CURRENCY=USD", "XLFILL=b")</f>
        <v>-8.4615384615384617</v>
      </c>
    </row>
    <row r="269" spans="1:14" x14ac:dyDescent="0.2">
      <c r="A269" s="8" t="s">
        <v>270</v>
      </c>
      <c r="B269" s="4" t="s">
        <v>271</v>
      </c>
      <c r="C269" s="4" t="s">
        <v>272</v>
      </c>
      <c r="D269" s="4"/>
      <c r="E269" s="9">
        <f>_xll.BQL("LUV US Equity", "BS_TOT_ASSET/1M", "FPT=A", "FPO=5A", "ACT_EST_MAPPING=PRECISE", "FS=MRC", "CURRENCY=USD", "XLFILL=b")</f>
        <v>39403.367677031609</v>
      </c>
      <c r="F269" s="9">
        <f>_xll.BQL("LUV US Equity", "BS_TOT_ASSET/1M", "FPT=A", "FPO=4A", "ACT_EST_MAPPING=PRECISE", "FS=MRC", "CURRENCY=USD", "XLFILL=b")</f>
        <v>37932.478026592144</v>
      </c>
      <c r="G269" s="9">
        <f>_xll.BQL("LUV US Equity", "BS_TOT_ASSET/1M", "FPT=A", "FPO=3A", "ACT_EST_MAPPING=PRECISE", "FS=MRC", "CURRENCY=USD", "XLFILL=b")</f>
        <v>35753.735125726533</v>
      </c>
      <c r="H269" s="9">
        <f>_xll.BQL("LUV US Equity", "BS_TOT_ASSET/1M", "FPT=A", "FPO=2A", "ACT_EST_MAPPING=PRECISE", "FS=MRC", "CURRENCY=USD", "XLFILL=b")</f>
        <v>35216.277099612264</v>
      </c>
      <c r="I269" s="9">
        <f>_xll.BQL("LUV US Equity", "BS_TOT_ASSET/1M", "FPT=A", "FPO=1A", "ACT_EST_MAPPING=PRECISE", "FS=MRC", "CURRENCY=USD", "XLFILL=b")</f>
        <v>35388.182852315149</v>
      </c>
      <c r="J269" s="9">
        <f>_xll.BQL("LUV US Equity", "BS_TOT_ASSET/1M", "FPT=A", "FPO=0A", "ACT_EST_MAPPING=PRECISE", "FS=MRC", "CURRENCY=USD", "XLFILL=b")</f>
        <v>36487</v>
      </c>
      <c r="K269" s="9">
        <f>_xll.BQL("LUV US Equity", "BS_TOT_ASSET/1M", "FPT=A", "FPO=-1A", "ACT_EST_MAPPING=PRECISE", "FS=MRC", "CURRENCY=USD", "XLFILL=b")</f>
        <v>35369</v>
      </c>
      <c r="L269" s="9">
        <f>_xll.BQL("LUV US Equity", "BS_TOT_ASSET/1M", "FPT=A", "FPO=-2A", "ACT_EST_MAPPING=PRECISE", "FS=MRC", "CURRENCY=USD", "XLFILL=b")</f>
        <v>36320</v>
      </c>
      <c r="M269" s="9">
        <f>_xll.BQL("LUV US Equity", "BS_TOT_ASSET/1M", "FPT=A", "FPO=-3A", "ACT_EST_MAPPING=PRECISE", "FS=MRC", "CURRENCY=USD", "XLFILL=b")</f>
        <v>34588</v>
      </c>
      <c r="N269" s="9">
        <f>_xll.BQL("LUV US Equity", "BS_TOT_ASSET/1M", "FPT=A", "FPO=-4A", "ACT_EST_MAPPING=PRECISE", "FS=MRC", "CURRENCY=USD", "XLFILL=b")</f>
        <v>25895</v>
      </c>
    </row>
    <row r="270" spans="1:14" x14ac:dyDescent="0.2">
      <c r="A270" s="8" t="s">
        <v>21</v>
      </c>
      <c r="B270" s="4" t="s">
        <v>271</v>
      </c>
      <c r="C270" s="4" t="s">
        <v>272</v>
      </c>
      <c r="D270" s="4"/>
      <c r="E270" s="9">
        <f>_xll.BQL("LUV US Equity", "FA_GROWTH(BS_TOT_ASSET, YOY)", "FPT=A", "FPO=5A", "ACT_EST_MAPPING=PRECISE", "FS=MRC", "CURRENCY=USD", "XLFILL=b")</f>
        <v>3.8776524154533685</v>
      </c>
      <c r="F270" s="9">
        <f>_xll.BQL("LUV US Equity", "FA_GROWTH(BS_TOT_ASSET, YOY)", "FPT=A", "FPO=4A", "ACT_EST_MAPPING=PRECISE", "FS=MRC", "CURRENCY=USD", "XLFILL=b")</f>
        <v>6.093749067626498</v>
      </c>
      <c r="G270" s="9">
        <f>_xll.BQL("LUV US Equity", "FA_GROWTH(BS_TOT_ASSET, YOY)", "FPT=A", "FPO=3A", "ACT_EST_MAPPING=PRECISE", "FS=MRC", "CURRENCY=USD", "XLFILL=b")</f>
        <v>1.5261636674257737</v>
      </c>
      <c r="H270" s="9">
        <f>_xll.BQL("LUV US Equity", "FA_GROWTH(BS_TOT_ASSET, YOY)", "FPT=A", "FPO=2A", "ACT_EST_MAPPING=PRECISE", "FS=MRC", "CURRENCY=USD", "XLFILL=b")</f>
        <v>-0.48577163009553775</v>
      </c>
      <c r="I270" s="9">
        <f>_xll.BQL("LUV US Equity", "FA_GROWTH(BS_TOT_ASSET, YOY)", "FPT=A", "FPO=1A", "ACT_EST_MAPPING=PRECISE", "FS=MRC", "CURRENCY=USD", "XLFILL=b")</f>
        <v>-3.0115305387805318</v>
      </c>
      <c r="J270" s="9">
        <f>_xll.BQL("LUV US Equity", "FA_GROWTH(BS_TOT_ASSET, YOY)", "FPT=A", "FPO=0A", "ACT_EST_MAPPING=PRECISE", "FS=MRC", "CURRENCY=USD", "XLFILL=b")</f>
        <v>3.1609601628544772</v>
      </c>
      <c r="K270" s="9">
        <f>_xll.BQL("LUV US Equity", "FA_GROWTH(BS_TOT_ASSET, YOY)", "FPT=A", "FPO=-1A", "ACT_EST_MAPPING=PRECISE", "FS=MRC", "CURRENCY=USD", "XLFILL=b")</f>
        <v>-2.6183920704845813</v>
      </c>
      <c r="L270" s="9">
        <f>_xll.BQL("LUV US Equity", "FA_GROWTH(BS_TOT_ASSET, YOY)", "FPT=A", "FPO=-2A", "ACT_EST_MAPPING=PRECISE", "FS=MRC", "CURRENCY=USD", "XLFILL=b")</f>
        <v>5.0075170579391699</v>
      </c>
      <c r="M270" s="9">
        <f>_xll.BQL("LUV US Equity", "FA_GROWTH(BS_TOT_ASSET, YOY)", "FPT=A", "FPO=-3A", "ACT_EST_MAPPING=PRECISE", "FS=MRC", "CURRENCY=USD", "XLFILL=b")</f>
        <v>33.570187294844565</v>
      </c>
      <c r="N270" s="9">
        <f>_xll.BQL("LUV US Equity", "FA_GROWTH(BS_TOT_ASSET, YOY)", "FPT=A", "FPO=-4A", "ACT_EST_MAPPING=PRECISE", "FS=MRC", "CURRENCY=USD", "XLFILL=b")</f>
        <v>-1.3260679038219716</v>
      </c>
    </row>
    <row r="271" spans="1:14" x14ac:dyDescent="0.2">
      <c r="A271" s="8" t="s">
        <v>16</v>
      </c>
      <c r="B271" s="4"/>
      <c r="C271" s="4"/>
      <c r="D271" s="4"/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1:14" x14ac:dyDescent="0.2">
      <c r="A272" s="8" t="s">
        <v>273</v>
      </c>
      <c r="B272" s="4"/>
      <c r="C272" s="4" t="s">
        <v>274</v>
      </c>
      <c r="D272" s="4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1:14" x14ac:dyDescent="0.2">
      <c r="A273" s="8" t="s">
        <v>275</v>
      </c>
      <c r="B273" s="4" t="s">
        <v>276</v>
      </c>
      <c r="C273" s="4" t="s">
        <v>277</v>
      </c>
      <c r="D273" s="4"/>
      <c r="E273" s="9">
        <f>_xll.BQL("LUV US Equity", "BS_CUR_LIAB/1M", "FPT=A", "FPO=5A", "ACT_EST_MAPPING=PRECISE", "FS=MRC", "CURRENCY=USD", "XLFILL=b")</f>
        <v>15824.247762302297</v>
      </c>
      <c r="F273" s="9">
        <f>_xll.BQL("LUV US Equity", "BS_CUR_LIAB/1M", "FPT=A", "FPO=4A", "ACT_EST_MAPPING=PRECISE", "FS=MRC", "CURRENCY=USD", "XLFILL=b")</f>
        <v>14922.541787668646</v>
      </c>
      <c r="G273" s="9">
        <f>_xll.BQL("LUV US Equity", "BS_CUR_LIAB/1M", "FPT=A", "FPO=3A", "ACT_EST_MAPPING=PRECISE", "FS=MRC", "CURRENCY=USD", "XLFILL=b")</f>
        <v>14788.307794761557</v>
      </c>
      <c r="H273" s="9">
        <f>_xll.BQL("LUV US Equity", "BS_CUR_LIAB/1M", "FPT=A", "FPO=2A", "ACT_EST_MAPPING=PRECISE", "FS=MRC", "CURRENCY=USD", "XLFILL=b")</f>
        <v>14490.224013243471</v>
      </c>
      <c r="I273" s="9">
        <f>_xll.BQL("LUV US Equity", "BS_CUR_LIAB/1M", "FPT=A", "FPO=1A", "ACT_EST_MAPPING=PRECISE", "FS=MRC", "CURRENCY=USD", "XLFILL=b")</f>
        <v>13762.37950968933</v>
      </c>
      <c r="J273" s="9">
        <f>_xll.BQL("LUV US Equity", "BS_CUR_LIAB/1M", "FPT=A", "FPO=0A", "ACT_EST_MAPPING=PRECISE", "FS=MRC", "CURRENCY=USD", "XLFILL=b")</f>
        <v>12256</v>
      </c>
      <c r="K273" s="9">
        <f>_xll.BQL("LUV US Equity", "BS_CUR_LIAB/1M", "FPT=A", "FPO=-1A", "ACT_EST_MAPPING=PRECISE", "FS=MRC", "CURRENCY=USD", "XLFILL=b")</f>
        <v>10378</v>
      </c>
      <c r="L273" s="9">
        <f>_xll.BQL("LUV US Equity", "BS_CUR_LIAB/1M", "FPT=A", "FPO=-2A", "ACT_EST_MAPPING=PRECISE", "FS=MRC", "CURRENCY=USD", "XLFILL=b")</f>
        <v>9164</v>
      </c>
      <c r="M273" s="9">
        <f>_xll.BQL("LUV US Equity", "BS_CUR_LIAB/1M", "FPT=A", "FPO=-3A", "ACT_EST_MAPPING=PRECISE", "FS=MRC", "CURRENCY=USD", "XLFILL=b")</f>
        <v>7506</v>
      </c>
      <c r="N273" s="9">
        <f>_xll.BQL("LUV US Equity", "BS_CUR_LIAB/1M", "FPT=A", "FPO=-4A", "ACT_EST_MAPPING=PRECISE", "FS=MRC", "CURRENCY=USD", "XLFILL=b")</f>
        <v>8952</v>
      </c>
    </row>
    <row r="274" spans="1:14" x14ac:dyDescent="0.2">
      <c r="A274" s="8" t="s">
        <v>21</v>
      </c>
      <c r="B274" s="4" t="s">
        <v>276</v>
      </c>
      <c r="C274" s="4" t="s">
        <v>277</v>
      </c>
      <c r="D274" s="4"/>
      <c r="E274" s="9">
        <f>_xll.BQL("LUV US Equity", "FA_GROWTH(BS_CUR_LIAB, YOY)", "FPT=A", "FPO=5A", "ACT_EST_MAPPING=PRECISE", "FS=MRC", "CURRENCY=USD", "XLFILL=b")</f>
        <v>6.0425763081379555</v>
      </c>
      <c r="F274" s="9">
        <f>_xll.BQL("LUV US Equity", "FA_GROWTH(BS_CUR_LIAB, YOY)", "FPT=A", "FPO=4A", "ACT_EST_MAPPING=PRECISE", "FS=MRC", "CURRENCY=USD", "XLFILL=b")</f>
        <v>0.90770353694314343</v>
      </c>
      <c r="G274" s="9">
        <f>_xll.BQL("LUV US Equity", "FA_GROWTH(BS_CUR_LIAB, YOY)", "FPT=A", "FPO=3A", "ACT_EST_MAPPING=PRECISE", "FS=MRC", "CURRENCY=USD", "XLFILL=b")</f>
        <v>2.0571371515419576</v>
      </c>
      <c r="H274" s="9">
        <f>_xll.BQL("LUV US Equity", "FA_GROWTH(BS_CUR_LIAB, YOY)", "FPT=A", "FPO=2A", "ACT_EST_MAPPING=PRECISE", "FS=MRC", "CURRENCY=USD", "XLFILL=b")</f>
        <v>5.2886530490000441</v>
      </c>
      <c r="I274" s="9">
        <f>_xll.BQL("LUV US Equity", "FA_GROWTH(BS_CUR_LIAB, YOY)", "FPT=A", "FPO=1A", "ACT_EST_MAPPING=PRECISE", "FS=MRC", "CURRENCY=USD", "XLFILL=b")</f>
        <v>12.290955529449487</v>
      </c>
      <c r="J274" s="9">
        <f>_xll.BQL("LUV US Equity", "FA_GROWTH(BS_CUR_LIAB, YOY)", "FPT=A", "FPO=0A", "ACT_EST_MAPPING=PRECISE", "FS=MRC", "CURRENCY=USD", "XLFILL=b")</f>
        <v>18.095972248988243</v>
      </c>
      <c r="K274" s="9">
        <f>_xll.BQL("LUV US Equity", "FA_GROWTH(BS_CUR_LIAB, YOY)", "FPT=A", "FPO=-1A", "ACT_EST_MAPPING=PRECISE", "FS=MRC", "CURRENCY=USD", "XLFILL=b")</f>
        <v>13.247490178961153</v>
      </c>
      <c r="L274" s="9">
        <f>_xll.BQL("LUV US Equity", "FA_GROWTH(BS_CUR_LIAB, YOY)", "FPT=A", "FPO=-2A", "ACT_EST_MAPPING=PRECISE", "FS=MRC", "CURRENCY=USD", "XLFILL=b")</f>
        <v>22.088995470290435</v>
      </c>
      <c r="M274" s="9">
        <f>_xll.BQL("LUV US Equity", "FA_GROWTH(BS_CUR_LIAB, YOY)", "FPT=A", "FPO=-3A", "ACT_EST_MAPPING=PRECISE", "FS=MRC", "CURRENCY=USD", "XLFILL=b")</f>
        <v>-16.152815013404826</v>
      </c>
      <c r="N274" s="9">
        <f>_xll.BQL("LUV US Equity", "FA_GROWTH(BS_CUR_LIAB, YOY)", "FPT=A", "FPO=-4A", "ACT_EST_MAPPING=PRECISE", "FS=MRC", "CURRENCY=USD", "XLFILL=b")</f>
        <v>13.244781783681214</v>
      </c>
    </row>
    <row r="275" spans="1:14" x14ac:dyDescent="0.2">
      <c r="A275" s="8" t="s">
        <v>278</v>
      </c>
      <c r="B275" s="4" t="s">
        <v>279</v>
      </c>
      <c r="C275" s="4" t="s">
        <v>280</v>
      </c>
      <c r="D275" s="4"/>
      <c r="E275" s="9">
        <f>_xll.BQL("LUV US Equity", "BS_TRADE_PAYABLES_AND_OTHERS/1M", "FPT=A", "FPO=5A", "ACT_EST_MAPPING=PRECISE", "FS=MRC", "CURRENCY=USD", "XLFILL=b")</f>
        <v>2676.3302873942216</v>
      </c>
      <c r="F275" s="9">
        <f>_xll.BQL("LUV US Equity", "BS_TRADE_PAYABLES_AND_OTHERS/1M", "FPT=A", "FPO=4A", "ACT_EST_MAPPING=PRECISE", "FS=MRC", "CURRENCY=USD", "XLFILL=b")</f>
        <v>2342.0825399247165</v>
      </c>
      <c r="G275" s="9">
        <f>_xll.BQL("LUV US Equity", "BS_TRADE_PAYABLES_AND_OTHERS/1M", "FPT=A", "FPO=3A", "ACT_EST_MAPPING=PRECISE", "FS=MRC", "CURRENCY=USD", "XLFILL=b")</f>
        <v>2082.6071366375345</v>
      </c>
      <c r="H275" s="9">
        <f>_xll.BQL("LUV US Equity", "BS_TRADE_PAYABLES_AND_OTHERS/1M", "FPT=A", "FPO=2A", "ACT_EST_MAPPING=PRECISE", "FS=MRC", "CURRENCY=USD", "XLFILL=b")</f>
        <v>2314.2998977081834</v>
      </c>
      <c r="I275" s="9">
        <f>_xll.BQL("LUV US Equity", "BS_TRADE_PAYABLES_AND_OTHERS/1M", "FPT=A", "FPO=1A", "ACT_EST_MAPPING=PRECISE", "FS=MRC", "CURRENCY=USD", "XLFILL=b")</f>
        <v>2130.7092932195756</v>
      </c>
      <c r="J275" s="9">
        <f>_xll.BQL("LUV US Equity", "BS_TRADE_PAYABLES_AND_OTHERS/1M", "FPT=A", "FPO=0A", "ACT_EST_MAPPING=PRECISE", "FS=MRC", "CURRENCY=USD", "XLFILL=b")</f>
        <v>1862</v>
      </c>
      <c r="K275" s="9">
        <f>_xll.BQL("LUV US Equity", "BS_TRADE_PAYABLES_AND_OTHERS/1M", "FPT=A", "FPO=-1A", "ACT_EST_MAPPING=PRECISE", "FS=MRC", "CURRENCY=USD", "XLFILL=b")</f>
        <v>2004</v>
      </c>
      <c r="L275" s="9">
        <f>_xll.BQL("LUV US Equity", "BS_TRADE_PAYABLES_AND_OTHERS/1M", "FPT=A", "FPO=-2A", "ACT_EST_MAPPING=PRECISE", "FS=MRC", "CURRENCY=USD", "XLFILL=b")</f>
        <v>1282</v>
      </c>
      <c r="M275" s="9">
        <f>_xll.BQL("LUV US Equity", "BS_TRADE_PAYABLES_AND_OTHERS/1M", "FPT=A", "FPO=-3A", "ACT_EST_MAPPING=PRECISE", "FS=MRC", "CURRENCY=USD", "XLFILL=b")</f>
        <v>931</v>
      </c>
      <c r="N275" s="9">
        <f>_xll.BQL("LUV US Equity", "BS_TRADE_PAYABLES_AND_OTHERS/1M", "FPT=A", "FPO=-4A", "ACT_EST_MAPPING=PRECISE", "FS=MRC", "CURRENCY=USD", "XLFILL=b")</f>
        <v>1574</v>
      </c>
    </row>
    <row r="276" spans="1:14" x14ac:dyDescent="0.2">
      <c r="A276" s="8" t="s">
        <v>111</v>
      </c>
      <c r="B276" s="4" t="s">
        <v>279</v>
      </c>
      <c r="C276" s="4" t="s">
        <v>280</v>
      </c>
      <c r="D276" s="4"/>
      <c r="E276" s="9">
        <f>_xll.BQL("LUV US Equity", "FA_GROWTH(BS_TRADE_PAYABLES_AND_OTHERS, YOY)", "FPT=A", "FPO=5A", "ACT_EST_MAPPING=PRECISE", "FS=MRC", "CURRENCY=USD", "XLFILL=b")</f>
        <v>14.271390600958467</v>
      </c>
      <c r="F276" s="9">
        <f>_xll.BQL("LUV US Equity", "FA_GROWTH(BS_TRADE_PAYABLES_AND_OTHERS, YOY)", "FPT=A", "FPO=4A", "ACT_EST_MAPPING=PRECISE", "FS=MRC", "CURRENCY=USD", "XLFILL=b")</f>
        <v>12.459162302983215</v>
      </c>
      <c r="G276" s="9">
        <f>_xll.BQL("LUV US Equity", "FA_GROWTH(BS_TRADE_PAYABLES_AND_OTHERS, YOY)", "FPT=A", "FPO=3A", "ACT_EST_MAPPING=PRECISE", "FS=MRC", "CURRENCY=USD", "XLFILL=b")</f>
        <v>-10.011354245838689</v>
      </c>
      <c r="H276" s="9">
        <f>_xll.BQL("LUV US Equity", "FA_GROWTH(BS_TRADE_PAYABLES_AND_OTHERS, YOY)", "FPT=A", "FPO=2A", "ACT_EST_MAPPING=PRECISE", "FS=MRC", "CURRENCY=USD", "XLFILL=b")</f>
        <v>8.6164079291734748</v>
      </c>
      <c r="I276" s="9">
        <f>_xll.BQL("LUV US Equity", "FA_GROWTH(BS_TRADE_PAYABLES_AND_OTHERS, YOY)", "FPT=A", "FPO=1A", "ACT_EST_MAPPING=PRECISE", "FS=MRC", "CURRENCY=USD", "XLFILL=b")</f>
        <v>14.43121875507925</v>
      </c>
      <c r="J276" s="9">
        <f>_xll.BQL("LUV US Equity", "FA_GROWTH(BS_TRADE_PAYABLES_AND_OTHERS, YOY)", "FPT=A", "FPO=0A", "ACT_EST_MAPPING=PRECISE", "FS=MRC", "CURRENCY=USD", "XLFILL=b")</f>
        <v>-7.0858283433133735</v>
      </c>
      <c r="K276" s="9">
        <f>_xll.BQL("LUV US Equity", "FA_GROWTH(BS_TRADE_PAYABLES_AND_OTHERS, YOY)", "FPT=A", "FPO=-1A", "ACT_EST_MAPPING=PRECISE", "FS=MRC", "CURRENCY=USD", "XLFILL=b")</f>
        <v>56.318252730109201</v>
      </c>
      <c r="L276" s="9">
        <f>_xll.BQL("LUV US Equity", "FA_GROWTH(BS_TRADE_PAYABLES_AND_OTHERS, YOY)", "FPT=A", "FPO=-2A", "ACT_EST_MAPPING=PRECISE", "FS=MRC", "CURRENCY=USD", "XLFILL=b")</f>
        <v>37.701396348012892</v>
      </c>
      <c r="M276" s="9">
        <f>_xll.BQL("LUV US Equity", "FA_GROWTH(BS_TRADE_PAYABLES_AND_OTHERS, YOY)", "FPT=A", "FPO=-3A", "ACT_EST_MAPPING=PRECISE", "FS=MRC", "CURRENCY=USD", "XLFILL=b")</f>
        <v>-40.851334180432019</v>
      </c>
      <c r="N276" s="9">
        <f>_xll.BQL("LUV US Equity", "FA_GROWTH(BS_TRADE_PAYABLES_AND_OTHERS, YOY)", "FPT=A", "FPO=-4A", "ACT_EST_MAPPING=PRECISE", "FS=MRC", "CURRENCY=USD", "XLFILL=b")</f>
        <v>11.158192090395481</v>
      </c>
    </row>
    <row r="277" spans="1:14" x14ac:dyDescent="0.2">
      <c r="A277" s="8" t="s">
        <v>281</v>
      </c>
      <c r="B277" s="4" t="s">
        <v>282</v>
      </c>
      <c r="C277" s="4" t="s">
        <v>283</v>
      </c>
      <c r="D277" s="4"/>
      <c r="E277" s="9">
        <f>_xll.BQL("LUV US Equity", "ST_DEFERRED_REVENUE/1M", "FPT=A", "FPO=5A", "ACT_EST_MAPPING=PRECISE", "FS=MRC", "CURRENCY=USD", "XLFILL=b")</f>
        <v>7799.1308422524498</v>
      </c>
      <c r="F277" s="9">
        <f>_xll.BQL("LUV US Equity", "ST_DEFERRED_REVENUE/1M", "FPT=A", "FPO=4A", "ACT_EST_MAPPING=PRECISE", "FS=MRC", "CURRENCY=USD", "XLFILL=b")</f>
        <v>7358.0048669476391</v>
      </c>
      <c r="G277" s="9">
        <f>_xll.BQL("LUV US Equity", "ST_DEFERRED_REVENUE/1M", "FPT=A", "FPO=3A", "ACT_EST_MAPPING=PRECISE", "FS=MRC", "CURRENCY=USD", "XLFILL=b")</f>
        <v>7247.9285628749649</v>
      </c>
      <c r="H277" s="9">
        <f>_xll.BQL("LUV US Equity", "ST_DEFERRED_REVENUE/1M", "FPT=A", "FPO=2A", "ACT_EST_MAPPING=PRECISE", "FS=MRC", "CURRENCY=USD", "XLFILL=b")</f>
        <v>7161.6101558741557</v>
      </c>
      <c r="I277" s="9">
        <f>_xll.BQL("LUV US Equity", "ST_DEFERRED_REVENUE/1M", "FPT=A", "FPO=1A", "ACT_EST_MAPPING=PRECISE", "FS=MRC", "CURRENCY=USD", "XLFILL=b")</f>
        <v>6817.2153789698123</v>
      </c>
      <c r="J277" s="9">
        <f>_xll.BQL("LUV US Equity", "ST_DEFERRED_REVENUE/1M", "FPT=A", "FPO=0A", "ACT_EST_MAPPING=PRECISE", "FS=MRC", "CURRENCY=USD", "XLFILL=b")</f>
        <v>6551</v>
      </c>
      <c r="K277" s="9">
        <f>_xll.BQL("LUV US Equity", "ST_DEFERRED_REVENUE/1M", "FPT=A", "FPO=-1A", "ACT_EST_MAPPING=PRECISE", "FS=MRC", "CURRENCY=USD", "XLFILL=b")</f>
        <v>6064</v>
      </c>
      <c r="L277" s="9">
        <f>_xll.BQL("LUV US Equity", "ST_DEFERRED_REVENUE/1M", "FPT=A", "FPO=-2A", "ACT_EST_MAPPING=PRECISE", "FS=MRC", "CURRENCY=USD", "XLFILL=b")</f>
        <v>5566</v>
      </c>
      <c r="M277" s="9">
        <f>_xll.BQL("LUV US Equity", "ST_DEFERRED_REVENUE/1M", "FPT=A", "FPO=-3A", "ACT_EST_MAPPING=PRECISE", "FS=MRC", "CURRENCY=USD", "XLFILL=b")</f>
        <v>3790</v>
      </c>
      <c r="N277" s="9">
        <f>_xll.BQL("LUV US Equity", "ST_DEFERRED_REVENUE/1M", "FPT=A", "FPO=-4A", "ACT_EST_MAPPING=PRECISE", "FS=MRC", "CURRENCY=USD", "XLFILL=b")</f>
        <v>4457</v>
      </c>
    </row>
    <row r="278" spans="1:14" x14ac:dyDescent="0.2">
      <c r="A278" s="8" t="s">
        <v>111</v>
      </c>
      <c r="B278" s="4" t="s">
        <v>282</v>
      </c>
      <c r="C278" s="4" t="s">
        <v>283</v>
      </c>
      <c r="D278" s="4"/>
      <c r="E278" s="9">
        <f>_xll.BQL("LUV US Equity", "FA_GROWTH(ST_DEFERRED_REVENUE, YOY)", "FPT=A", "FPO=5A", "ACT_EST_MAPPING=PRECISE", "FS=MRC", "CURRENCY=USD", "XLFILL=b")</f>
        <v>5.9951846088925613</v>
      </c>
      <c r="F278" s="9">
        <f>_xll.BQL("LUV US Equity", "FA_GROWTH(ST_DEFERRED_REVENUE, YOY)", "FPT=A", "FPO=4A", "ACT_EST_MAPPING=PRECISE", "FS=MRC", "CURRENCY=USD", "XLFILL=b")</f>
        <v>1.5187277732910196</v>
      </c>
      <c r="G278" s="9">
        <f>_xll.BQL("LUV US Equity", "FA_GROWTH(ST_DEFERRED_REVENUE, YOY)", "FPT=A", "FPO=3A", "ACT_EST_MAPPING=PRECISE", "FS=MRC", "CURRENCY=USD", "XLFILL=b")</f>
        <v>1.2052932946930643</v>
      </c>
      <c r="H278" s="9">
        <f>_xll.BQL("LUV US Equity", "FA_GROWTH(ST_DEFERRED_REVENUE, YOY)", "FPT=A", "FPO=2A", "ACT_EST_MAPPING=PRECISE", "FS=MRC", "CURRENCY=USD", "XLFILL=b")</f>
        <v>5.051839464640576</v>
      </c>
      <c r="I278" s="9">
        <f>_xll.BQL("LUV US Equity", "FA_GROWTH(ST_DEFERRED_REVENUE, YOY)", "FPT=A", "FPO=1A", "ACT_EST_MAPPING=PRECISE", "FS=MRC", "CURRENCY=USD", "XLFILL=b")</f>
        <v>4.0637365130485783</v>
      </c>
      <c r="J278" s="9">
        <f>_xll.BQL("LUV US Equity", "FA_GROWTH(ST_DEFERRED_REVENUE, YOY)", "FPT=A", "FPO=0A", "ACT_EST_MAPPING=PRECISE", "FS=MRC", "CURRENCY=USD", "XLFILL=b")</f>
        <v>8.0310026385224269</v>
      </c>
      <c r="K278" s="9">
        <f>_xll.BQL("LUV US Equity", "FA_GROWTH(ST_DEFERRED_REVENUE, YOY)", "FPT=A", "FPO=-1A", "ACT_EST_MAPPING=PRECISE", "FS=MRC", "CURRENCY=USD", "XLFILL=b")</f>
        <v>8.9471793029105289</v>
      </c>
      <c r="L278" s="9">
        <f>_xll.BQL("LUV US Equity", "FA_GROWTH(ST_DEFERRED_REVENUE, YOY)", "FPT=A", "FPO=-2A", "ACT_EST_MAPPING=PRECISE", "FS=MRC", "CURRENCY=USD", "XLFILL=b")</f>
        <v>46.86015831134565</v>
      </c>
      <c r="M278" s="9">
        <f>_xll.BQL("LUV US Equity", "FA_GROWTH(ST_DEFERRED_REVENUE, YOY)", "FPT=A", "FPO=-3A", "ACT_EST_MAPPING=PRECISE", "FS=MRC", "CURRENCY=USD", "XLFILL=b")</f>
        <v>-14.965223244334755</v>
      </c>
      <c r="N278" s="9">
        <f>_xll.BQL("LUV US Equity", "FA_GROWTH(ST_DEFERRED_REVENUE, YOY)", "FPT=A", "FPO=-4A", "ACT_EST_MAPPING=PRECISE", "FS=MRC", "CURRENCY=USD", "XLFILL=b")</f>
        <v>7.8132559264634738</v>
      </c>
    </row>
    <row r="279" spans="1:14" x14ac:dyDescent="0.2">
      <c r="A279" s="8" t="s">
        <v>284</v>
      </c>
      <c r="B279" s="4" t="s">
        <v>285</v>
      </c>
      <c r="C279" s="4" t="s">
        <v>286</v>
      </c>
      <c r="D279" s="4"/>
      <c r="E279" s="9">
        <f>_xll.BQL("LUV US Equity", "BS_CURR_PORTION_LT_DEBT/1M", "FPT=A", "FPO=5A", "ACT_EST_MAPPING=PRECISE", "FS=MRC", "CURRENCY=USD", "XLFILL=b")</f>
        <v>1651.1666666666667</v>
      </c>
      <c r="F279" s="9">
        <f>_xll.BQL("LUV US Equity", "BS_CURR_PORTION_LT_DEBT/1M", "FPT=A", "FPO=4A", "ACT_EST_MAPPING=PRECISE", "FS=MRC", "CURRENCY=USD", "XLFILL=b")</f>
        <v>1971.125</v>
      </c>
      <c r="G279" s="9">
        <f>_xll.BQL("LUV US Equity", "BS_CURR_PORTION_LT_DEBT/1M", "FPT=A", "FPO=3A", "ACT_EST_MAPPING=PRECISE", "FS=MRC", "CURRENCY=USD", "XLFILL=b")</f>
        <v>2449.4514633980675</v>
      </c>
      <c r="H279" s="9">
        <f>_xll.BQL("LUV US Equity", "BS_CURR_PORTION_LT_DEBT/1M", "FPT=A", "FPO=2A", "ACT_EST_MAPPING=PRECISE", "FS=MRC", "CURRENCY=USD", "XLFILL=b")</f>
        <v>2694.1128531582613</v>
      </c>
      <c r="I279" s="9">
        <f>_xll.BQL("LUV US Equity", "BS_CURR_PORTION_LT_DEBT/1M", "FPT=A", "FPO=1A", "ACT_EST_MAPPING=PRECISE", "FS=MRC", "CURRENCY=USD", "XLFILL=b")</f>
        <v>453.34391074269541</v>
      </c>
      <c r="J279" s="9">
        <f>_xll.BQL("LUV US Equity", "BS_CURR_PORTION_LT_DEBT/1M", "FPT=A", "FPO=0A", "ACT_EST_MAPPING=PRECISE", "FS=MRC", "CURRENCY=USD", "XLFILL=b")</f>
        <v>29</v>
      </c>
      <c r="K279" s="9">
        <f>_xll.BQL("LUV US Equity", "BS_CURR_PORTION_LT_DEBT/1M", "FPT=A", "FPO=-1A", "ACT_EST_MAPPING=PRECISE", "FS=MRC", "CURRENCY=USD", "XLFILL=b")</f>
        <v>42</v>
      </c>
      <c r="L279" s="9">
        <f>_xll.BQL("LUV US Equity", "BS_CURR_PORTION_LT_DEBT/1M", "FPT=A", "FPO=-2A", "ACT_EST_MAPPING=PRECISE", "FS=MRC", "CURRENCY=USD", "XLFILL=b")</f>
        <v>453</v>
      </c>
      <c r="M279" s="9">
        <f>_xll.BQL("LUV US Equity", "BS_CURR_PORTION_LT_DEBT/1M", "FPT=A", "FPO=-3A", "ACT_EST_MAPPING=PRECISE", "FS=MRC", "CURRENCY=USD", "XLFILL=b")</f>
        <v>220</v>
      </c>
      <c r="N279" s="9">
        <f>_xll.BQL("LUV US Equity", "BS_CURR_PORTION_LT_DEBT/1M", "FPT=A", "FPO=-4A", "ACT_EST_MAPPING=PRECISE", "FS=MRC", "CURRENCY=USD", "XLFILL=b")</f>
        <v>819</v>
      </c>
    </row>
    <row r="280" spans="1:14" x14ac:dyDescent="0.2">
      <c r="A280" s="8" t="s">
        <v>111</v>
      </c>
      <c r="B280" s="4" t="s">
        <v>285</v>
      </c>
      <c r="C280" s="4" t="s">
        <v>286</v>
      </c>
      <c r="D280" s="4"/>
      <c r="E280" s="9">
        <f>_xll.BQL("LUV US Equity", "FA_GROWTH(BS_CURR_PORTION_LT_DEBT, YOY)", "FPT=A", "FPO=5A", "ACT_EST_MAPPING=PRECISE", "FS=MRC", "CURRENCY=USD", "XLFILL=b")</f>
        <v>-16.232270065740796</v>
      </c>
      <c r="F280" s="9">
        <f>_xll.BQL("LUV US Equity", "FA_GROWTH(BS_CURR_PORTION_LT_DEBT, YOY)", "FPT=A", "FPO=4A", "ACT_EST_MAPPING=PRECISE", "FS=MRC", "CURRENCY=USD", "XLFILL=b")</f>
        <v>-19.52790126873942</v>
      </c>
      <c r="G280" s="9">
        <f>_xll.BQL("LUV US Equity", "FA_GROWTH(BS_CURR_PORTION_LT_DEBT, YOY)", "FPT=A", "FPO=3A", "ACT_EST_MAPPING=PRECISE", "FS=MRC", "CURRENCY=USD", "XLFILL=b")</f>
        <v>-9.081334119815418</v>
      </c>
      <c r="H280" s="9">
        <f>_xll.BQL("LUV US Equity", "FA_GROWTH(BS_CURR_PORTION_LT_DEBT, YOY)", "FPT=A", "FPO=2A", "ACT_EST_MAPPING=PRECISE", "FS=MRC", "CURRENCY=USD", "XLFILL=b")</f>
        <v>494.27573401054468</v>
      </c>
      <c r="I280" s="9">
        <f>_xll.BQL("LUV US Equity", "FA_GROWTH(BS_CURR_PORTION_LT_DEBT, YOY)", "FPT=A", "FPO=1A", "ACT_EST_MAPPING=PRECISE", "FS=MRC", "CURRENCY=USD", "XLFILL=b")</f>
        <v>1463.254864629984</v>
      </c>
      <c r="J280" s="9">
        <f>_xll.BQL("LUV US Equity", "FA_GROWTH(BS_CURR_PORTION_LT_DEBT, YOY)", "FPT=A", "FPO=0A", "ACT_EST_MAPPING=PRECISE", "FS=MRC", "CURRENCY=USD", "XLFILL=b")</f>
        <v>-30.952380952380953</v>
      </c>
      <c r="K280" s="9">
        <f>_xll.BQL("LUV US Equity", "FA_GROWTH(BS_CURR_PORTION_LT_DEBT, YOY)", "FPT=A", "FPO=-1A", "ACT_EST_MAPPING=PRECISE", "FS=MRC", "CURRENCY=USD", "XLFILL=b")</f>
        <v>-90.728476821192046</v>
      </c>
      <c r="L280" s="9">
        <f>_xll.BQL("LUV US Equity", "FA_GROWTH(BS_CURR_PORTION_LT_DEBT, YOY)", "FPT=A", "FPO=-2A", "ACT_EST_MAPPING=PRECISE", "FS=MRC", "CURRENCY=USD", "XLFILL=b")</f>
        <v>105.90909090909091</v>
      </c>
      <c r="M280" s="9">
        <f>_xll.BQL("LUV US Equity", "FA_GROWTH(BS_CURR_PORTION_LT_DEBT, YOY)", "FPT=A", "FPO=-3A", "ACT_EST_MAPPING=PRECISE", "FS=MRC", "CURRENCY=USD", "XLFILL=b")</f>
        <v>-73.137973137973134</v>
      </c>
      <c r="N280" s="9">
        <f>_xll.BQL("LUV US Equity", "FA_GROWTH(BS_CURR_PORTION_LT_DEBT, YOY)", "FPT=A", "FPO=-4A", "ACT_EST_MAPPING=PRECISE", "FS=MRC", "CURRENCY=USD", "XLFILL=b")</f>
        <v>57.197696737044147</v>
      </c>
    </row>
    <row r="281" spans="1:14" x14ac:dyDescent="0.2">
      <c r="A281" s="8" t="s">
        <v>287</v>
      </c>
      <c r="B281" s="4" t="s">
        <v>288</v>
      </c>
      <c r="C281" s="4" t="s">
        <v>289</v>
      </c>
      <c r="D281" s="4"/>
      <c r="E281" s="9">
        <f>_xll.BQL("LUV US Equity", "BS_ST_OPERATING_LEASE_LIABS/1M", "FPT=A", "FPO=5A", "ACT_EST_MAPPING=PRECISE", "FS=MRC", "CURRENCY=USD", "XLFILL=b")</f>
        <v>217.67926906112157</v>
      </c>
      <c r="F281" s="9">
        <f>_xll.BQL("LUV US Equity", "BS_ST_OPERATING_LEASE_LIABS/1M", "FPT=A", "FPO=4A", "ACT_EST_MAPPING=PRECISE", "FS=MRC", "CURRENCY=USD", "XLFILL=b")</f>
        <v>211.51270741440871</v>
      </c>
      <c r="G281" s="9">
        <f>_xll.BQL("LUV US Equity", "BS_ST_OPERATING_LEASE_LIABS/1M", "FPT=A", "FPO=3A", "ACT_EST_MAPPING=PRECISE", "FS=MRC", "CURRENCY=USD", "XLFILL=b")</f>
        <v>225.1648065271682</v>
      </c>
      <c r="H281" s="9">
        <f>_xll.BQL("LUV US Equity", "BS_ST_OPERATING_LEASE_LIABS/1M", "FPT=A", "FPO=2A", "ACT_EST_MAPPING=PRECISE", "FS=MRC", "CURRENCY=USD", "XLFILL=b")</f>
        <v>201.90155965541265</v>
      </c>
      <c r="I281" s="9">
        <f>_xll.BQL("LUV US Equity", "BS_ST_OPERATING_LEASE_LIABS/1M", "FPT=A", "FPO=1A", "ACT_EST_MAPPING=PRECISE", "FS=MRC", "CURRENCY=USD", "XLFILL=b")</f>
        <v>190.73326476656641</v>
      </c>
      <c r="J281" s="9">
        <f>_xll.BQL("LUV US Equity", "BS_ST_OPERATING_LEASE_LIABS/1M", "FPT=A", "FPO=0A", "ACT_EST_MAPPING=PRECISE", "FS=MRC", "CURRENCY=USD", "XLFILL=b")</f>
        <v>208</v>
      </c>
      <c r="K281" s="9">
        <f>_xll.BQL("LUV US Equity", "BS_ST_OPERATING_LEASE_LIABS/1M", "FPT=A", "FPO=-1A", "ACT_EST_MAPPING=PRECISE", "FS=MRC", "CURRENCY=USD", "XLFILL=b")</f>
        <v>225</v>
      </c>
      <c r="L281" s="9">
        <f>_xll.BQL("LUV US Equity", "BS_ST_OPERATING_LEASE_LIABS/1M", "FPT=A", "FPO=-2A", "ACT_EST_MAPPING=PRECISE", "FS=MRC", "CURRENCY=USD", "XLFILL=b")</f>
        <v>239</v>
      </c>
      <c r="M281" s="9">
        <f>_xll.BQL("LUV US Equity", "BS_ST_OPERATING_LEASE_LIABS/1M", "FPT=A", "FPO=-3A", "ACT_EST_MAPPING=PRECISE", "FS=MRC", "CURRENCY=USD", "XLFILL=b")</f>
        <v>306</v>
      </c>
      <c r="N281" s="9">
        <f>_xll.BQL("LUV US Equity", "BS_ST_OPERATING_LEASE_LIABS/1M", "FPT=A", "FPO=-4A", "ACT_EST_MAPPING=PRECISE", "FS=MRC", "CURRENCY=USD", "XLFILL=b")</f>
        <v>353</v>
      </c>
    </row>
    <row r="282" spans="1:14" x14ac:dyDescent="0.2">
      <c r="A282" s="8" t="s">
        <v>111</v>
      </c>
      <c r="B282" s="4" t="s">
        <v>288</v>
      </c>
      <c r="C282" s="4" t="s">
        <v>289</v>
      </c>
      <c r="D282" s="4"/>
      <c r="E282" s="9">
        <f>_xll.BQL("LUV US Equity", "FA_GROWTH(BS_ST_OPERATING_LEASE_LIABS, YOY)", "FPT=A", "FPO=5A", "ACT_EST_MAPPING=PRECISE", "FS=MRC", "CURRENCY=USD", "XLFILL=b")</f>
        <v>2.9154568168005919</v>
      </c>
      <c r="F282" s="9">
        <f>_xll.BQL("LUV US Equity", "FA_GROWTH(BS_ST_OPERATING_LEASE_LIABS, YOY)", "FPT=A", "FPO=4A", "ACT_EST_MAPPING=PRECISE", "FS=MRC", "CURRENCY=USD", "XLFILL=b")</f>
        <v>-6.0631585030195296</v>
      </c>
      <c r="G282" s="9">
        <f>_xll.BQL("LUV US Equity", "FA_GROWTH(BS_ST_OPERATING_LEASE_LIABS, YOY)", "FPT=A", "FPO=3A", "ACT_EST_MAPPING=PRECISE", "FS=MRC", "CURRENCY=USD", "XLFILL=b")</f>
        <v>11.522073881677365</v>
      </c>
      <c r="H282" s="9">
        <f>_xll.BQL("LUV US Equity", "FA_GROWTH(BS_ST_OPERATING_LEASE_LIABS, YOY)", "FPT=A", "FPO=2A", "ACT_EST_MAPPING=PRECISE", "FS=MRC", "CURRENCY=USD", "XLFILL=b")</f>
        <v>5.8554520641770811</v>
      </c>
      <c r="I282" s="9">
        <f>_xll.BQL("LUV US Equity", "FA_GROWTH(BS_ST_OPERATING_LEASE_LIABS, YOY)", "FPT=A", "FPO=1A", "ACT_EST_MAPPING=PRECISE", "FS=MRC", "CURRENCY=USD", "XLFILL=b")</f>
        <v>-8.3013150160738487</v>
      </c>
      <c r="J282" s="9">
        <f>_xll.BQL("LUV US Equity", "FA_GROWTH(BS_ST_OPERATING_LEASE_LIABS, YOY)", "FPT=A", "FPO=0A", "ACT_EST_MAPPING=PRECISE", "FS=MRC", "CURRENCY=USD", "XLFILL=b")</f>
        <v>-7.5555555555555554</v>
      </c>
      <c r="K282" s="9">
        <f>_xll.BQL("LUV US Equity", "FA_GROWTH(BS_ST_OPERATING_LEASE_LIABS, YOY)", "FPT=A", "FPO=-1A", "ACT_EST_MAPPING=PRECISE", "FS=MRC", "CURRENCY=USD", "XLFILL=b")</f>
        <v>-5.8577405857740583</v>
      </c>
      <c r="L282" s="9">
        <f>_xll.BQL("LUV US Equity", "FA_GROWTH(BS_ST_OPERATING_LEASE_LIABS, YOY)", "FPT=A", "FPO=-2A", "ACT_EST_MAPPING=PRECISE", "FS=MRC", "CURRENCY=USD", "XLFILL=b")</f>
        <v>-21.895424836601308</v>
      </c>
      <c r="M282" s="9">
        <f>_xll.BQL("LUV US Equity", "FA_GROWTH(BS_ST_OPERATING_LEASE_LIABS, YOY)", "FPT=A", "FPO=-3A", "ACT_EST_MAPPING=PRECISE", "FS=MRC", "CURRENCY=USD", "XLFILL=b")</f>
        <v>-13.314447592067989</v>
      </c>
      <c r="N282" s="9" t="str">
        <f>_xll.BQL("LUV US Equity", "FA_GROWTH(BS_ST_OPERATING_LEASE_LIABS, YOY)", "FPT=A", "FPO=-4A", "ACT_EST_MAPPING=PRECISE", "FS=MRC", "CURRENCY=USD", "XLFILL=b")</f>
        <v/>
      </c>
    </row>
    <row r="283" spans="1:14" x14ac:dyDescent="0.2">
      <c r="A283" s="8" t="s">
        <v>290</v>
      </c>
      <c r="B283" s="4" t="s">
        <v>291</v>
      </c>
      <c r="C283" s="4" t="s">
        <v>292</v>
      </c>
      <c r="D283" s="4"/>
      <c r="E283" s="9">
        <f>_xll.BQL("LUV US Equity", "BS_SHORTTERM_ACCRUD_EXPNSS/1M", "FPT=A", "FPO=5A", "ACT_EST_MAPPING=PRECISE", "FS=MRC", "CURRENCY=USD", "XLFILL=b")</f>
        <v>2998.6666666666665</v>
      </c>
      <c r="F283" s="9">
        <f>_xll.BQL("LUV US Equity", "BS_SHORTTERM_ACCRUD_EXPNSS/1M", "FPT=A", "FPO=4A", "ACT_EST_MAPPING=PRECISE", "FS=MRC", "CURRENCY=USD", "XLFILL=b")</f>
        <v>2886.8734836619392</v>
      </c>
      <c r="G283" s="9">
        <f>_xll.BQL("LUV US Equity", "BS_SHORTTERM_ACCRUD_EXPNSS/1M", "FPT=A", "FPO=3A", "ACT_EST_MAPPING=PRECISE", "FS=MRC", "CURRENCY=USD", "XLFILL=b")</f>
        <v>2705.8267314825889</v>
      </c>
      <c r="H283" s="9">
        <f>_xll.BQL("LUV US Equity", "BS_SHORTTERM_ACCRUD_EXPNSS/1M", "FPT=A", "FPO=2A", "ACT_EST_MAPPING=PRECISE", "FS=MRC", "CURRENCY=USD", "XLFILL=b")</f>
        <v>2882.9696984497737</v>
      </c>
      <c r="I283" s="9">
        <f>_xll.BQL("LUV US Equity", "BS_SHORTTERM_ACCRUD_EXPNSS/1M", "FPT=A", "FPO=1A", "ACT_EST_MAPPING=PRECISE", "FS=MRC", "CURRENCY=USD", "XLFILL=b")</f>
        <v>2879.2024737824727</v>
      </c>
      <c r="J283" s="9">
        <f>_xll.BQL("LUV US Equity", "BS_SHORTTERM_ACCRUD_EXPNSS/1M", "FPT=A", "FPO=0A", "ACT_EST_MAPPING=PRECISE", "FS=MRC", "CURRENCY=USD", "XLFILL=b")</f>
        <v>3606</v>
      </c>
      <c r="K283" s="9">
        <f>_xll.BQL("LUV US Equity", "BS_SHORTTERM_ACCRUD_EXPNSS/1M", "FPT=A", "FPO=-1A", "ACT_EST_MAPPING=PRECISE", "FS=MRC", "CURRENCY=USD", "XLFILL=b")</f>
        <v>2043</v>
      </c>
      <c r="L283" s="9">
        <f>_xll.BQL("LUV US Equity", "BS_SHORTTERM_ACCRUD_EXPNSS/1M", "FPT=A", "FPO=-2A", "ACT_EST_MAPPING=PRECISE", "FS=MRC", "CURRENCY=USD", "XLFILL=b")</f>
        <v>1624</v>
      </c>
      <c r="M283" s="9">
        <f>_xll.BQL("LUV US Equity", "BS_SHORTTERM_ACCRUD_EXPNSS/1M", "FPT=A", "FPO=-3A", "ACT_EST_MAPPING=PRECISE", "FS=MRC", "CURRENCY=USD", "XLFILL=b")</f>
        <v>2259</v>
      </c>
      <c r="N283" s="9">
        <f>_xll.BQL("LUV US Equity", "BS_SHORTTERM_ACCRUD_EXPNSS/1M", "FPT=A", "FPO=-4A", "ACT_EST_MAPPING=PRECISE", "FS=MRC", "CURRENCY=USD", "XLFILL=b")</f>
        <v>1749</v>
      </c>
    </row>
    <row r="284" spans="1:14" x14ac:dyDescent="0.2">
      <c r="A284" s="8" t="s">
        <v>111</v>
      </c>
      <c r="B284" s="4" t="s">
        <v>291</v>
      </c>
      <c r="C284" s="4" t="s">
        <v>292</v>
      </c>
      <c r="D284" s="4"/>
      <c r="E284" s="9">
        <f>_xll.BQL("LUV US Equity", "FA_GROWTH(BS_SHORTTERM_ACCRUD_EXPNSS, YOY)", "FPT=A", "FPO=5A", "ACT_EST_MAPPING=PRECISE", "FS=MRC", "CURRENCY=USD", "XLFILL=b")</f>
        <v>3.872465615047322</v>
      </c>
      <c r="F284" s="9">
        <f>_xll.BQL("LUV US Equity", "FA_GROWTH(BS_SHORTTERM_ACCRUD_EXPNSS, YOY)", "FPT=A", "FPO=4A", "ACT_EST_MAPPING=PRECISE", "FS=MRC", "CURRENCY=USD", "XLFILL=b")</f>
        <v>6.6909957711944994</v>
      </c>
      <c r="G284" s="9">
        <f>_xll.BQL("LUV US Equity", "FA_GROWTH(BS_SHORTTERM_ACCRUD_EXPNSS, YOY)", "FPT=A", "FPO=3A", "ACT_EST_MAPPING=PRECISE", "FS=MRC", "CURRENCY=USD", "XLFILL=b")</f>
        <v>-6.1444616314364344</v>
      </c>
      <c r="H284" s="9">
        <f>_xll.BQL("LUV US Equity", "FA_GROWTH(BS_SHORTTERM_ACCRUD_EXPNSS, YOY)", "FPT=A", "FPO=2A", "ACT_EST_MAPPING=PRECISE", "FS=MRC", "CURRENCY=USD", "XLFILL=b")</f>
        <v>0.13084264485061001</v>
      </c>
      <c r="I284" s="9">
        <f>_xll.BQL("LUV US Equity", "FA_GROWTH(BS_SHORTTERM_ACCRUD_EXPNSS, YOY)", "FPT=A", "FPO=1A", "ACT_EST_MAPPING=PRECISE", "FS=MRC", "CURRENCY=USD", "XLFILL=b")</f>
        <v>-20.155228125832707</v>
      </c>
      <c r="J284" s="9">
        <f>_xll.BQL("LUV US Equity", "FA_GROWTH(BS_SHORTTERM_ACCRUD_EXPNSS, YOY)", "FPT=A", "FPO=0A", "ACT_EST_MAPPING=PRECISE", "FS=MRC", "CURRENCY=USD", "XLFILL=b")</f>
        <v>76.505139500734217</v>
      </c>
      <c r="K284" s="9">
        <f>_xll.BQL("LUV US Equity", "FA_GROWTH(BS_SHORTTERM_ACCRUD_EXPNSS, YOY)", "FPT=A", "FPO=-1A", "ACT_EST_MAPPING=PRECISE", "FS=MRC", "CURRENCY=USD", "XLFILL=b")</f>
        <v>25.800492610837438</v>
      </c>
      <c r="L284" s="9">
        <f>_xll.BQL("LUV US Equity", "FA_GROWTH(BS_SHORTTERM_ACCRUD_EXPNSS, YOY)", "FPT=A", "FPO=-2A", "ACT_EST_MAPPING=PRECISE", "FS=MRC", "CURRENCY=USD", "XLFILL=b")</f>
        <v>-28.10978308986277</v>
      </c>
      <c r="M284" s="9">
        <f>_xll.BQL("LUV US Equity", "FA_GROWTH(BS_SHORTTERM_ACCRUD_EXPNSS, YOY)", "FPT=A", "FPO=-3A", "ACT_EST_MAPPING=PRECISE", "FS=MRC", "CURRENCY=USD", "XLFILL=b")</f>
        <v>29.159519725557463</v>
      </c>
      <c r="N284" s="9">
        <f>_xll.BQL("LUV US Equity", "FA_GROWTH(BS_SHORTTERM_ACCRUD_EXPNSS, YOY)", "FPT=A", "FPO=-4A", "ACT_EST_MAPPING=PRECISE", "FS=MRC", "CURRENCY=USD", "XLFILL=b")</f>
        <v>0</v>
      </c>
    </row>
    <row r="285" spans="1:14" x14ac:dyDescent="0.2">
      <c r="A285" s="8" t="s">
        <v>293</v>
      </c>
      <c r="B285" s="4" t="s">
        <v>294</v>
      </c>
      <c r="C285" s="4" t="s">
        <v>295</v>
      </c>
      <c r="D285" s="4"/>
      <c r="E285" s="9">
        <f>_xll.BQL("LUV US Equity", "BS_ADJ_TOTAL_LT_LIABILITIES/1M", "FPT=A", "FPO=5A", "ACT_EST_MAPPING=PRECISE", "FS=MRC", "CURRENCY=USD", "XLFILL=b")</f>
        <v>14210.223401319014</v>
      </c>
      <c r="F285" s="9">
        <f>_xll.BQL("LUV US Equity", "BS_ADJ_TOTAL_LT_LIABILITIES/1M", "FPT=A", "FPO=4A", "ACT_EST_MAPPING=PRECISE", "FS=MRC", "CURRENCY=USD", "XLFILL=b")</f>
        <v>14112.517199056281</v>
      </c>
      <c r="G285" s="9">
        <f>_xll.BQL("LUV US Equity", "BS_ADJ_TOTAL_LT_LIABILITIES/1M", "FPT=A", "FPO=3A", "ACT_EST_MAPPING=PRECISE", "FS=MRC", "CURRENCY=USD", "XLFILL=b")</f>
        <v>13994.909881705715</v>
      </c>
      <c r="H285" s="9">
        <f>_xll.BQL("LUV US Equity", "BS_ADJ_TOTAL_LT_LIABILITIES/1M", "FPT=A", "FPO=2A", "ACT_EST_MAPPING=PRECISE", "FS=MRC", "CURRENCY=USD", "XLFILL=b")</f>
        <v>13909.90032950362</v>
      </c>
      <c r="I285" s="9">
        <f>_xll.BQL("LUV US Equity", "BS_ADJ_TOTAL_LT_LIABILITIES/1M", "FPT=A", "FPO=1A", "ACT_EST_MAPPING=PRECISE", "FS=MRC", "CURRENCY=USD", "XLFILL=b")</f>
        <v>13791.248659232795</v>
      </c>
      <c r="J285" s="9">
        <f>_xll.BQL("LUV US Equity", "BS_ADJ_TOTAL_LT_LIABILITIES/1M", "FPT=A", "FPO=0A", "ACT_EST_MAPPING=PRECISE", "FS=MRC", "CURRENCY=USD", "XLFILL=b")</f>
        <v>13716</v>
      </c>
      <c r="K285" s="9">
        <f>_xll.BQL("LUV US Equity", "BS_ADJ_TOTAL_LT_LIABILITIES/1M", "FPT=A", "FPO=-1A", "ACT_EST_MAPPING=PRECISE", "FS=MRC", "CURRENCY=USD", "XLFILL=b")</f>
        <v>14304</v>
      </c>
      <c r="L285" s="9">
        <f>_xll.BQL("LUV US Equity", "BS_ADJ_TOTAL_LT_LIABILITIES/1M", "FPT=A", "FPO=-2A", "ACT_EST_MAPPING=PRECISE", "FS=MRC", "CURRENCY=USD", "XLFILL=b")</f>
        <v>16742</v>
      </c>
      <c r="M285" s="9">
        <f>_xll.BQL("LUV US Equity", "BS_ADJ_TOTAL_LT_LIABILITIES/1M", "FPT=A", "FPO=-3A", "ACT_EST_MAPPING=PRECISE", "FS=MRC", "CURRENCY=USD", "XLFILL=b")</f>
        <v>18206</v>
      </c>
      <c r="N285" s="9">
        <f>_xll.BQL("LUV US Equity", "BS_ADJ_TOTAL_LT_LIABILITIES/1M", "FPT=A", "FPO=-4A", "ACT_EST_MAPPING=PRECISE", "FS=MRC", "CURRENCY=USD", "XLFILL=b")</f>
        <v>7111</v>
      </c>
    </row>
    <row r="286" spans="1:14" x14ac:dyDescent="0.2">
      <c r="A286" s="8" t="s">
        <v>21</v>
      </c>
      <c r="B286" s="4" t="s">
        <v>294</v>
      </c>
      <c r="C286" s="4" t="s">
        <v>295</v>
      </c>
      <c r="D286" s="4"/>
      <c r="E286" s="9">
        <f>_xll.BQL("LUV US Equity", "FA_GROWTH(BS_ADJ_TOTAL_LT_LIABILITIES, YOY)", "FPT=A", "FPO=5A", "ACT_EST_MAPPING=PRECISE", "FS=MRC", "CURRENCY=USD", "XLFILL=b")</f>
        <v>0.69233717050325549</v>
      </c>
      <c r="F286" s="9">
        <f>_xll.BQL("LUV US Equity", "FA_GROWTH(BS_ADJ_TOTAL_LT_LIABILITIES, YOY)", "FPT=A", "FPO=4A", "ACT_EST_MAPPING=PRECISE", "FS=MRC", "CURRENCY=USD", "XLFILL=b")</f>
        <v>0.84035780397774706</v>
      </c>
      <c r="G286" s="9">
        <f>_xll.BQL("LUV US Equity", "FA_GROWTH(BS_ADJ_TOTAL_LT_LIABILITIES, YOY)", "FPT=A", "FPO=3A", "ACT_EST_MAPPING=PRECISE", "FS=MRC", "CURRENCY=USD", "XLFILL=b")</f>
        <v>0.61114422237652821</v>
      </c>
      <c r="H286" s="9">
        <f>_xll.BQL("LUV US Equity", "FA_GROWTH(BS_ADJ_TOTAL_LT_LIABILITIES, YOY)", "FPT=A", "FPO=2A", "ACT_EST_MAPPING=PRECISE", "FS=MRC", "CURRENCY=USD", "XLFILL=b")</f>
        <v>0.86034030132138162</v>
      </c>
      <c r="I286" s="9">
        <f>_xll.BQL("LUV US Equity", "FA_GROWTH(BS_ADJ_TOTAL_LT_LIABILITIES, YOY)", "FPT=A", "FPO=1A", "ACT_EST_MAPPING=PRECISE", "FS=MRC", "CURRENCY=USD", "XLFILL=b")</f>
        <v>0.54861956279378621</v>
      </c>
      <c r="J286" s="9">
        <f>_xll.BQL("LUV US Equity", "FA_GROWTH(BS_ADJ_TOTAL_LT_LIABILITIES, YOY)", "FPT=A", "FPO=0A", "ACT_EST_MAPPING=PRECISE", "FS=MRC", "CURRENCY=USD", "XLFILL=b")</f>
        <v>-4.1107382550335574</v>
      </c>
      <c r="K286" s="9">
        <f>_xll.BQL("LUV US Equity", "FA_GROWTH(BS_ADJ_TOTAL_LT_LIABILITIES, YOY)", "FPT=A", "FPO=-1A", "ACT_EST_MAPPING=PRECISE", "FS=MRC", "CURRENCY=USD", "XLFILL=b")</f>
        <v>-14.562178951140844</v>
      </c>
      <c r="L286" s="9">
        <f>_xll.BQL("LUV US Equity", "FA_GROWTH(BS_ADJ_TOTAL_LT_LIABILITIES, YOY)", "FPT=A", "FPO=-2A", "ACT_EST_MAPPING=PRECISE", "FS=MRC", "CURRENCY=USD", "XLFILL=b")</f>
        <v>-8.0413050642645274</v>
      </c>
      <c r="M286" s="9">
        <f>_xll.BQL("LUV US Equity", "FA_GROWTH(BS_ADJ_TOTAL_LT_LIABILITIES, YOY)", "FPT=A", "FPO=-3A", "ACT_EST_MAPPING=PRECISE", "FS=MRC", "CURRENCY=USD", "XLFILL=b")</f>
        <v>156.02587540430318</v>
      </c>
      <c r="N286" s="9">
        <f>_xll.BQL("LUV US Equity", "FA_GROWTH(BS_ADJ_TOTAL_LT_LIABILITIES, YOY)", "FPT=A", "FPO=-4A", "ACT_EST_MAPPING=PRECISE", "FS=MRC", "CURRENCY=USD", "XLFILL=b")</f>
        <v>-16.193282262816734</v>
      </c>
    </row>
    <row r="287" spans="1:14" x14ac:dyDescent="0.2">
      <c r="A287" s="8" t="s">
        <v>296</v>
      </c>
      <c r="B287" s="4" t="s">
        <v>297</v>
      </c>
      <c r="C287" s="4" t="s">
        <v>298</v>
      </c>
      <c r="D287" s="4"/>
      <c r="E287" s="9">
        <f>_xll.BQL("LUV US Equity", "CB_BS_LT_BORROWING/1M", "FPT=A", "FPO=5A", "ACT_EST_MAPPING=PRECISE", "FS=MRC", "CURRENCY=USD", "XLFILL=b")</f>
        <v>5504.75</v>
      </c>
      <c r="F287" s="9">
        <f>_xll.BQL("LUV US Equity", "CB_BS_LT_BORROWING/1M", "FPT=A", "FPO=4A", "ACT_EST_MAPPING=PRECISE", "FS=MRC", "CURRENCY=USD", "XLFILL=b")</f>
        <v>5425.9375</v>
      </c>
      <c r="G287" s="9">
        <f>_xll.BQL("LUV US Equity", "CB_BS_LT_BORROWING/1M", "FPT=A", "FPO=3A", "ACT_EST_MAPPING=PRECISE", "FS=MRC", "CURRENCY=USD", "XLFILL=b")</f>
        <v>4447.8562499999998</v>
      </c>
      <c r="H287" s="9">
        <f>_xll.BQL("LUV US Equity", "CB_BS_LT_BORROWING/1M", "FPT=A", "FPO=2A", "ACT_EST_MAPPING=PRECISE", "FS=MRC", "CURRENCY=USD", "XLFILL=b")</f>
        <v>5025.454999999999</v>
      </c>
      <c r="I287" s="9">
        <f>_xll.BQL("LUV US Equity", "CB_BS_LT_BORROWING/1M", "FPT=A", "FPO=1A", "ACT_EST_MAPPING=PRECISE", "FS=MRC", "CURRENCY=USD", "XLFILL=b")</f>
        <v>6150.9350000000004</v>
      </c>
      <c r="J287" s="9">
        <f>_xll.BQL("LUV US Equity", "CB_BS_LT_BORROWING/1M", "FPT=A", "FPO=0A", "ACT_EST_MAPPING=PRECISE", "FS=MRC", "CURRENCY=USD", "XLFILL=b")</f>
        <v>7978</v>
      </c>
      <c r="K287" s="9">
        <f>_xll.BQL("LUV US Equity", "CB_BS_LT_BORROWING/1M", "FPT=A", "FPO=-1A", "ACT_EST_MAPPING=PRECISE", "FS=MRC", "CURRENCY=USD", "XLFILL=b")</f>
        <v>8046</v>
      </c>
      <c r="L287" s="9">
        <f>_xll.BQL("LUV US Equity", "CB_BS_LT_BORROWING/1M", "FPT=A", "FPO=-2A", "ACT_EST_MAPPING=PRECISE", "FS=MRC", "CURRENCY=USD", "XLFILL=b")</f>
        <v>10274</v>
      </c>
      <c r="M287" s="9">
        <f>_xll.BQL("LUV US Equity", "CB_BS_LT_BORROWING/1M", "FPT=A", "FPO=-3A", "ACT_EST_MAPPING=PRECISE", "FS=MRC", "CURRENCY=USD", "XLFILL=b")</f>
        <v>10111</v>
      </c>
      <c r="N287" s="9">
        <f>_xll.BQL("LUV US Equity", "CB_BS_LT_BORROWING/1M", "FPT=A", "FPO=-4A", "ACT_EST_MAPPING=PRECISE", "FS=MRC", "CURRENCY=USD", "XLFILL=b")</f>
        <v>1846</v>
      </c>
    </row>
    <row r="288" spans="1:14" x14ac:dyDescent="0.2">
      <c r="A288" s="8" t="s">
        <v>111</v>
      </c>
      <c r="B288" s="4" t="s">
        <v>297</v>
      </c>
      <c r="C288" s="4" t="s">
        <v>298</v>
      </c>
      <c r="D288" s="4"/>
      <c r="E288" s="9">
        <f>_xll.BQL("LUV US Equity", "FA_GROWTH(CB_BS_LT_BORROWING, YOY)", "FPT=A", "FPO=5A", "ACT_EST_MAPPING=PRECISE", "FS=MRC", "CURRENCY=USD", "XLFILL=b")</f>
        <v>1.4525139664804469</v>
      </c>
      <c r="F288" s="9">
        <f>_xll.BQL("LUV US Equity", "FA_GROWTH(CB_BS_LT_BORROWING, YOY)", "FPT=A", "FPO=4A", "ACT_EST_MAPPING=PRECISE", "FS=MRC", "CURRENCY=USD", "XLFILL=b")</f>
        <v>21.98994740443781</v>
      </c>
      <c r="G288" s="9">
        <f>_xll.BQL("LUV US Equity", "FA_GROWTH(CB_BS_LT_BORROWING, YOY)", "FPT=A", "FPO=3A", "ACT_EST_MAPPING=PRECISE", "FS=MRC", "CURRENCY=USD", "XLFILL=b")</f>
        <v>-11.493461786047218</v>
      </c>
      <c r="H288" s="9">
        <f>_xll.BQL("LUV US Equity", "FA_GROWTH(CB_BS_LT_BORROWING, YOY)", "FPT=A", "FPO=2A", "ACT_EST_MAPPING=PRECISE", "FS=MRC", "CURRENCY=USD", "XLFILL=b")</f>
        <v>-18.297705958525018</v>
      </c>
      <c r="I288" s="9">
        <f>_xll.BQL("LUV US Equity", "FA_GROWTH(CB_BS_LT_BORROWING, YOY)", "FPT=A", "FPO=1A", "ACT_EST_MAPPING=PRECISE", "FS=MRC", "CURRENCY=USD", "XLFILL=b")</f>
        <v>-22.901291050388568</v>
      </c>
      <c r="J288" s="9">
        <f>_xll.BQL("LUV US Equity", "FA_GROWTH(CB_BS_LT_BORROWING, YOY)", "FPT=A", "FPO=0A", "ACT_EST_MAPPING=PRECISE", "FS=MRC", "CURRENCY=USD", "XLFILL=b")</f>
        <v>-0.84514044245587872</v>
      </c>
      <c r="K288" s="9">
        <f>_xll.BQL("LUV US Equity", "FA_GROWTH(CB_BS_LT_BORROWING, YOY)", "FPT=A", "FPO=-1A", "ACT_EST_MAPPING=PRECISE", "FS=MRC", "CURRENCY=USD", "XLFILL=b")</f>
        <v>-21.685808837843098</v>
      </c>
      <c r="L288" s="9">
        <f>_xll.BQL("LUV US Equity", "FA_GROWTH(CB_BS_LT_BORROWING, YOY)", "FPT=A", "FPO=-2A", "ACT_EST_MAPPING=PRECISE", "FS=MRC", "CURRENCY=USD", "XLFILL=b")</f>
        <v>1.6121056275343686</v>
      </c>
      <c r="M288" s="9">
        <f>_xll.BQL("LUV US Equity", "FA_GROWTH(CB_BS_LT_BORROWING, YOY)", "FPT=A", "FPO=-3A", "ACT_EST_MAPPING=PRECISE", "FS=MRC", "CURRENCY=USD", "XLFILL=b")</f>
        <v>447.72481040086672</v>
      </c>
      <c r="N288" s="9">
        <f>_xll.BQL("LUV US Equity", "FA_GROWTH(CB_BS_LT_BORROWING, YOY)", "FPT=A", "FPO=-4A", "ACT_EST_MAPPING=PRECISE", "FS=MRC", "CURRENCY=USD", "XLFILL=b")</f>
        <v>-33.381450739805125</v>
      </c>
    </row>
    <row r="289" spans="1:14" x14ac:dyDescent="0.2">
      <c r="A289" s="8" t="s">
        <v>299</v>
      </c>
      <c r="B289" s="4" t="s">
        <v>300</v>
      </c>
      <c r="C289" s="4" t="s">
        <v>301</v>
      </c>
      <c r="D289" s="4"/>
      <c r="E289" s="9">
        <f>_xll.BQL("LUV US Equity", "BS_LT_OPERATING_LEASE_LIABS/1M", "FPT=A", "FPO=5A", "ACT_EST_MAPPING=PRECISE", "FS=MRC", "CURRENCY=USD", "XLFILL=b")</f>
        <v>1019.5148078134846</v>
      </c>
      <c r="F289" s="9">
        <f>_xll.BQL("LUV US Equity", "BS_LT_OPERATING_LEASE_LIABS/1M", "FPT=A", "FPO=4A", "ACT_EST_MAPPING=PRECISE", "FS=MRC", "CURRENCY=USD", "XLFILL=b")</f>
        <v>986.53854232304127</v>
      </c>
      <c r="G289" s="9">
        <f>_xll.BQL("LUV US Equity", "BS_LT_OPERATING_LEASE_LIABS/1M", "FPT=A", "FPO=3A", "ACT_EST_MAPPING=PRECISE", "FS=MRC", "CURRENCY=USD", "XLFILL=b")</f>
        <v>957.26370510396964</v>
      </c>
      <c r="H289" s="9">
        <f>_xll.BQL("LUV US Equity", "BS_LT_OPERATING_LEASE_LIABS/1M", "FPT=A", "FPO=2A", "ACT_EST_MAPPING=PRECISE", "FS=MRC", "CURRENCY=USD", "XLFILL=b")</f>
        <v>968.42417353777205</v>
      </c>
      <c r="I289" s="9">
        <f>_xll.BQL("LUV US Equity", "BS_LT_OPERATING_LEASE_LIABS/1M", "FPT=A", "FPO=1A", "ACT_EST_MAPPING=PRECISE", "FS=MRC", "CURRENCY=USD", "XLFILL=b")</f>
        <v>950.96230777847791</v>
      </c>
      <c r="J289" s="9">
        <f>_xll.BQL("LUV US Equity", "BS_LT_OPERATING_LEASE_LIABS/1M", "FPT=A", "FPO=0A", "ACT_EST_MAPPING=PRECISE", "FS=MRC", "CURRENCY=USD", "XLFILL=b")</f>
        <v>985</v>
      </c>
      <c r="K289" s="9">
        <f>_xll.BQL("LUV US Equity", "BS_LT_OPERATING_LEASE_LIABS/1M", "FPT=A", "FPO=-1A", "ACT_EST_MAPPING=PRECISE", "FS=MRC", "CURRENCY=USD", "XLFILL=b")</f>
        <v>1118</v>
      </c>
      <c r="L289" s="9">
        <f>_xll.BQL("LUV US Equity", "BS_LT_OPERATING_LEASE_LIABS/1M", "FPT=A", "FPO=-2A", "ACT_EST_MAPPING=PRECISE", "FS=MRC", "CURRENCY=USD", "XLFILL=b")</f>
        <v>1315</v>
      </c>
      <c r="M289" s="9">
        <f>_xll.BQL("LUV US Equity", "BS_LT_OPERATING_LEASE_LIABS/1M", "FPT=A", "FPO=-3A", "ACT_EST_MAPPING=PRECISE", "FS=MRC", "CURRENCY=USD", "XLFILL=b")</f>
        <v>1562</v>
      </c>
      <c r="N289" s="9">
        <f>_xll.BQL("LUV US Equity", "BS_LT_OPERATING_LEASE_LIABS/1M", "FPT=A", "FPO=-4A", "ACT_EST_MAPPING=PRECISE", "FS=MRC", "CURRENCY=USD", "XLFILL=b")</f>
        <v>978</v>
      </c>
    </row>
    <row r="290" spans="1:14" x14ac:dyDescent="0.2">
      <c r="A290" s="8" t="s">
        <v>111</v>
      </c>
      <c r="B290" s="4" t="s">
        <v>300</v>
      </c>
      <c r="C290" s="4" t="s">
        <v>301</v>
      </c>
      <c r="D290" s="4"/>
      <c r="E290" s="9">
        <f>_xll.BQL("LUV US Equity", "FA_GROWTH(BS_LT_OPERATING_LEASE_LIABS, YOY)", "FPT=A", "FPO=5A", "ACT_EST_MAPPING=PRECISE", "FS=MRC", "CURRENCY=USD", "XLFILL=b")</f>
        <v>3.3426231288229968</v>
      </c>
      <c r="F290" s="9">
        <f>_xll.BQL("LUV US Equity", "FA_GROWTH(BS_LT_OPERATING_LEASE_LIABS, YOY)", "FPT=A", "FPO=4A", "ACT_EST_MAPPING=PRECISE", "FS=MRC", "CURRENCY=USD", "XLFILL=b")</f>
        <v>3.0581789597770288</v>
      </c>
      <c r="G290" s="9">
        <f>_xll.BQL("LUV US Equity", "FA_GROWTH(BS_LT_OPERATING_LEASE_LIABS, YOY)", "FPT=A", "FPO=3A", "ACT_EST_MAPPING=PRECISE", "FS=MRC", "CURRENCY=USD", "XLFILL=b")</f>
        <v>-1.1524359613031765</v>
      </c>
      <c r="H290" s="9">
        <f>_xll.BQL("LUV US Equity", "FA_GROWTH(BS_LT_OPERATING_LEASE_LIABS, YOY)", "FPT=A", "FPO=2A", "ACT_EST_MAPPING=PRECISE", "FS=MRC", "CURRENCY=USD", "XLFILL=b")</f>
        <v>1.8362311120496912</v>
      </c>
      <c r="I290" s="9">
        <f>_xll.BQL("LUV US Equity", "FA_GROWTH(BS_LT_OPERATING_LEASE_LIABS, YOY)", "FPT=A", "FPO=1A", "ACT_EST_MAPPING=PRECISE", "FS=MRC", "CURRENCY=USD", "XLFILL=b")</f>
        <v>-3.4556032712205171</v>
      </c>
      <c r="J290" s="9">
        <f>_xll.BQL("LUV US Equity", "FA_GROWTH(BS_LT_OPERATING_LEASE_LIABS, YOY)", "FPT=A", "FPO=0A", "ACT_EST_MAPPING=PRECISE", "FS=MRC", "CURRENCY=USD", "XLFILL=b")</f>
        <v>-11.896243291592128</v>
      </c>
      <c r="K290" s="9">
        <f>_xll.BQL("LUV US Equity", "FA_GROWTH(BS_LT_OPERATING_LEASE_LIABS, YOY)", "FPT=A", "FPO=-1A", "ACT_EST_MAPPING=PRECISE", "FS=MRC", "CURRENCY=USD", "XLFILL=b")</f>
        <v>-14.980988593155894</v>
      </c>
      <c r="L290" s="9">
        <f>_xll.BQL("LUV US Equity", "FA_GROWTH(BS_LT_OPERATING_LEASE_LIABS, YOY)", "FPT=A", "FPO=-2A", "ACT_EST_MAPPING=PRECISE", "FS=MRC", "CURRENCY=USD", "XLFILL=b")</f>
        <v>-15.813060179257363</v>
      </c>
      <c r="M290" s="9">
        <f>_xll.BQL("LUV US Equity", "FA_GROWTH(BS_LT_OPERATING_LEASE_LIABS, YOY)", "FPT=A", "FPO=-3A", "ACT_EST_MAPPING=PRECISE", "FS=MRC", "CURRENCY=USD", "XLFILL=b")</f>
        <v>59.713701431492844</v>
      </c>
      <c r="N290" s="9" t="str">
        <f>_xll.BQL("LUV US Equity", "FA_GROWTH(BS_LT_OPERATING_LEASE_LIABS, YOY)", "FPT=A", "FPO=-4A", "ACT_EST_MAPPING=PRECISE", "FS=MRC", "CURRENCY=USD", "XLFILL=b")</f>
        <v/>
      </c>
    </row>
    <row r="291" spans="1:14" x14ac:dyDescent="0.2">
      <c r="A291" s="8" t="s">
        <v>302</v>
      </c>
      <c r="B291" s="4" t="s">
        <v>303</v>
      </c>
      <c r="C291" s="4" t="s">
        <v>304</v>
      </c>
      <c r="D291" s="4"/>
      <c r="E291" s="9">
        <f>_xll.BQL("LUV US Equity", "BS_OTHER_LT_LIABILITIES/1M", "FPT=A", "FPO=5A", "ACT_EST_MAPPING=PRECISE", "FS=MRC", "CURRENCY=USD", "XLFILL=b")</f>
        <v>4737</v>
      </c>
      <c r="F291" s="9">
        <f>_xll.BQL("LUV US Equity", "BS_OTHER_LT_LIABILITIES/1M", "FPT=A", "FPO=4A", "ACT_EST_MAPPING=PRECISE", "FS=MRC", "CURRENCY=USD", "XLFILL=b")</f>
        <v>4895.9507860435788</v>
      </c>
      <c r="G291" s="9">
        <f>_xll.BQL("LUV US Equity", "BS_OTHER_LT_LIABILITIES/1M", "FPT=A", "FPO=3A", "ACT_EST_MAPPING=PRECISE", "FS=MRC", "CURRENCY=USD", "XLFILL=b")</f>
        <v>4610.2711320838534</v>
      </c>
      <c r="H291" s="9">
        <f>_xll.BQL("LUV US Equity", "BS_OTHER_LT_LIABILITIES/1M", "FPT=A", "FPO=2A", "ACT_EST_MAPPING=PRECISE", "FS=MRC", "CURRENCY=USD", "XLFILL=b")</f>
        <v>4811.7901551209306</v>
      </c>
      <c r="I291" s="9">
        <f>_xll.BQL("LUV US Equity", "BS_OTHER_LT_LIABILITIES/1M", "FPT=A", "FPO=1A", "ACT_EST_MAPPING=PRECISE", "FS=MRC", "CURRENCY=USD", "XLFILL=b")</f>
        <v>4886.5919118152315</v>
      </c>
      <c r="J291" s="9">
        <f>_xll.BQL("LUV US Equity", "BS_OTHER_LT_LIABILITIES/1M", "FPT=A", "FPO=0A", "ACT_EST_MAPPING=PRECISE", "FS=MRC", "CURRENCY=USD", "XLFILL=b")</f>
        <v>4753</v>
      </c>
      <c r="K291" s="9">
        <f>_xll.BQL("LUV US Equity", "BS_OTHER_LT_LIABILITIES/1M", "FPT=A", "FPO=-1A", "ACT_EST_MAPPING=PRECISE", "FS=MRC", "CURRENCY=USD", "XLFILL=b")</f>
        <v>5140</v>
      </c>
      <c r="L291" s="9">
        <f>_xll.BQL("LUV US Equity", "BS_OTHER_LT_LIABILITIES/1M", "FPT=A", "FPO=-2A", "ACT_EST_MAPPING=PRECISE", "FS=MRC", "CURRENCY=USD", "XLFILL=b")</f>
        <v>5153</v>
      </c>
      <c r="M291" s="9">
        <f>_xll.BQL("LUV US Equity", "BS_OTHER_LT_LIABILITIES/1M", "FPT=A", "FPO=-3A", "ACT_EST_MAPPING=PRECISE", "FS=MRC", "CURRENCY=USD", "XLFILL=b")</f>
        <v>6533</v>
      </c>
      <c r="N291" s="9">
        <f>_xll.BQL("LUV US Equity", "BS_OTHER_LT_LIABILITIES/1M", "FPT=A", "FPO=-4A", "ACT_EST_MAPPING=PRECISE", "FS=MRC", "CURRENCY=USD", "XLFILL=b")</f>
        <v>4287</v>
      </c>
    </row>
    <row r="292" spans="1:14" x14ac:dyDescent="0.2">
      <c r="A292" s="8" t="s">
        <v>111</v>
      </c>
      <c r="B292" s="4" t="s">
        <v>303</v>
      </c>
      <c r="C292" s="4" t="s">
        <v>304</v>
      </c>
      <c r="D292" s="4"/>
      <c r="E292" s="9">
        <f>_xll.BQL("LUV US Equity", "FA_GROWTH(BS_OTHER_LT_LIABILITIES, YOY)", "FPT=A", "FPO=5A", "ACT_EST_MAPPING=PRECISE", "FS=MRC", "CURRENCY=USD", "XLFILL=b")</f>
        <v>-3.2465764667546289</v>
      </c>
      <c r="F292" s="9">
        <f>_xll.BQL("LUV US Equity", "FA_GROWTH(BS_OTHER_LT_LIABILITIES, YOY)", "FPT=A", "FPO=4A", "ACT_EST_MAPPING=PRECISE", "FS=MRC", "CURRENCY=USD", "XLFILL=b")</f>
        <v>6.1965911716475874</v>
      </c>
      <c r="G292" s="9">
        <f>_xll.BQL("LUV US Equity", "FA_GROWTH(BS_OTHER_LT_LIABILITIES, YOY)", "FPT=A", "FPO=3A", "ACT_EST_MAPPING=PRECISE", "FS=MRC", "CURRENCY=USD", "XLFILL=b")</f>
        <v>-4.1880260057187044</v>
      </c>
      <c r="H292" s="9">
        <f>_xll.BQL("LUV US Equity", "FA_GROWTH(BS_OTHER_LT_LIABILITIES, YOY)", "FPT=A", "FPO=2A", "ACT_EST_MAPPING=PRECISE", "FS=MRC", "CURRENCY=USD", "XLFILL=b")</f>
        <v>-1.5307551365899492</v>
      </c>
      <c r="I292" s="9">
        <f>_xll.BQL("LUV US Equity", "FA_GROWTH(BS_OTHER_LT_LIABILITIES, YOY)", "FPT=A", "FPO=1A", "ACT_EST_MAPPING=PRECISE", "FS=MRC", "CURRENCY=USD", "XLFILL=b")</f>
        <v>2.8106861311851739</v>
      </c>
      <c r="J292" s="9">
        <f>_xll.BQL("LUV US Equity", "FA_GROWTH(BS_OTHER_LT_LIABILITIES, YOY)", "FPT=A", "FPO=0A", "ACT_EST_MAPPING=PRECISE", "FS=MRC", "CURRENCY=USD", "XLFILL=b")</f>
        <v>-7.5291828793774318</v>
      </c>
      <c r="K292" s="9">
        <f>_xll.BQL("LUV US Equity", "FA_GROWTH(BS_OTHER_LT_LIABILITIES, YOY)", "FPT=A", "FPO=-1A", "ACT_EST_MAPPING=PRECISE", "FS=MRC", "CURRENCY=USD", "XLFILL=b")</f>
        <v>-0.25228022511158549</v>
      </c>
      <c r="L292" s="9">
        <f>_xll.BQL("LUV US Equity", "FA_GROWTH(BS_OTHER_LT_LIABILITIES, YOY)", "FPT=A", "FPO=-2A", "ACT_EST_MAPPING=PRECISE", "FS=MRC", "CURRENCY=USD", "XLFILL=b")</f>
        <v>-21.123526710546457</v>
      </c>
      <c r="M292" s="9">
        <f>_xll.BQL("LUV US Equity", "FA_GROWTH(BS_OTHER_LT_LIABILITIES, YOY)", "FPT=A", "FPO=-3A", "ACT_EST_MAPPING=PRECISE", "FS=MRC", "CURRENCY=USD", "XLFILL=b")</f>
        <v>52.39094938185211</v>
      </c>
      <c r="N292" s="9">
        <f>_xll.BQL("LUV US Equity", "FA_GROWTH(BS_OTHER_LT_LIABILITIES, YOY)", "FPT=A", "FPO=-4A", "ACT_EST_MAPPING=PRECISE", "FS=MRC", "CURRENCY=USD", "XLFILL=b")</f>
        <v>-24.973748687434373</v>
      </c>
    </row>
    <row r="293" spans="1:14" x14ac:dyDescent="0.2">
      <c r="A293" s="8" t="s">
        <v>305</v>
      </c>
      <c r="B293" s="4" t="s">
        <v>306</v>
      </c>
      <c r="C293" s="4" t="s">
        <v>307</v>
      </c>
      <c r="D293" s="4"/>
      <c r="E293" s="9">
        <f>_xll.BQL("LUV US Equity", "BS_DEFERRED_TAX_LIABILITIES_LT/1M", "FPT=A", "FPO=5A", "ACT_EST_MAPPING=PRECISE", "FS=MRC", "CURRENCY=USD", "XLFILL=b")</f>
        <v>2399.193785692044</v>
      </c>
      <c r="F293" s="9">
        <f>_xll.BQL("LUV US Equity", "BS_DEFERRED_TAX_LIABILITIES_LT/1M", "FPT=A", "FPO=4A", "ACT_EST_MAPPING=PRECISE", "FS=MRC", "CURRENCY=USD", "XLFILL=b")</f>
        <v>2192.4507860435788</v>
      </c>
      <c r="G293" s="9">
        <f>_xll.BQL("LUV US Equity", "BS_DEFERRED_TAX_LIABILITIES_LT/1M", "FPT=A", "FPO=3A", "ACT_EST_MAPPING=PRECISE", "FS=MRC", "CURRENCY=USD", "XLFILL=b")</f>
        <v>2071.4642143858869</v>
      </c>
      <c r="H293" s="9">
        <f>_xll.BQL("LUV US Equity", "BS_DEFERRED_TAX_LIABILITIES_LT/1M", "FPT=A", "FPO=2A", "ACT_EST_MAPPING=PRECISE", "FS=MRC", "CURRENCY=USD", "XLFILL=b")</f>
        <v>2178.7337455254551</v>
      </c>
      <c r="I293" s="9">
        <f>_xll.BQL("LUV US Equity", "BS_DEFERRED_TAX_LIABILITIES_LT/1M", "FPT=A", "FPO=1A", "ACT_EST_MAPPING=PRECISE", "FS=MRC", "CURRENCY=USD", "XLFILL=b")</f>
        <v>2088.9822191907583</v>
      </c>
      <c r="J293" s="9">
        <f>_xll.BQL("LUV US Equity", "BS_DEFERRED_TAX_LIABILITIES_LT/1M", "FPT=A", "FPO=0A", "ACT_EST_MAPPING=PRECISE", "FS=MRC", "CURRENCY=USD", "XLFILL=b")</f>
        <v>2044</v>
      </c>
      <c r="K293" s="9">
        <f>_xll.BQL("LUV US Equity", "BS_DEFERRED_TAX_LIABILITIES_LT/1M", "FPT=A", "FPO=-1A", "ACT_EST_MAPPING=PRECISE", "FS=MRC", "CURRENCY=USD", "XLFILL=b")</f>
        <v>1985</v>
      </c>
      <c r="L293" s="9">
        <f>_xll.BQL("LUV US Equity", "BS_DEFERRED_TAX_LIABILITIES_LT/1M", "FPT=A", "FPO=-2A", "ACT_EST_MAPPING=PRECISE", "FS=MRC", "CURRENCY=USD", "XLFILL=b")</f>
        <v>1770</v>
      </c>
      <c r="M293" s="9">
        <f>_xll.BQL("LUV US Equity", "BS_DEFERRED_TAX_LIABILITIES_LT/1M", "FPT=A", "FPO=-3A", "ACT_EST_MAPPING=PRECISE", "FS=MRC", "CURRENCY=USD", "XLFILL=b")</f>
        <v>1634</v>
      </c>
      <c r="N293" s="9">
        <f>_xll.BQL("LUV US Equity", "BS_DEFERRED_TAX_LIABILITIES_LT/1M", "FPT=A", "FPO=-4A", "ACT_EST_MAPPING=PRECISE", "FS=MRC", "CURRENCY=USD", "XLFILL=b")</f>
        <v>2364</v>
      </c>
    </row>
    <row r="294" spans="1:14" x14ac:dyDescent="0.2">
      <c r="A294" s="8" t="s">
        <v>232</v>
      </c>
      <c r="B294" s="4" t="s">
        <v>306</v>
      </c>
      <c r="C294" s="4" t="s">
        <v>307</v>
      </c>
      <c r="D294" s="4"/>
      <c r="E294" s="9">
        <f>_xll.BQL("LUV US Equity", "FA_GROWTH(BS_DEFERRED_TAX_LIABILITIES_LT, YOY)", "FPT=A", "FPO=5A", "ACT_EST_MAPPING=PRECISE", "FS=MRC", "CURRENCY=USD", "XLFILL=b")</f>
        <v>9.4297669514190776</v>
      </c>
      <c r="F294" s="9">
        <f>_xll.BQL("LUV US Equity", "FA_GROWTH(BS_DEFERRED_TAX_LIABILITIES_LT, YOY)", "FPT=A", "FPO=4A", "ACT_EST_MAPPING=PRECISE", "FS=MRC", "CURRENCY=USD", "XLFILL=b")</f>
        <v>5.8406305461356975</v>
      </c>
      <c r="G294" s="9">
        <f>_xll.BQL("LUV US Equity", "FA_GROWTH(BS_DEFERRED_TAX_LIABILITIES_LT, YOY)", "FPT=A", "FPO=3A", "ACT_EST_MAPPING=PRECISE", "FS=MRC", "CURRENCY=USD", "XLFILL=b")</f>
        <v>-4.9234805014551082</v>
      </c>
      <c r="H294" s="9">
        <f>_xll.BQL("LUV US Equity", "FA_GROWTH(BS_DEFERRED_TAX_LIABILITIES_LT, YOY)", "FPT=A", "FPO=2A", "ACT_EST_MAPPING=PRECISE", "FS=MRC", "CURRENCY=USD", "XLFILL=b")</f>
        <v>4.2964236607751012</v>
      </c>
      <c r="I294" s="9">
        <f>_xll.BQL("LUV US Equity", "FA_GROWTH(BS_DEFERRED_TAX_LIABILITIES_LT, YOY)", "FPT=A", "FPO=1A", "ACT_EST_MAPPING=PRECISE", "FS=MRC", "CURRENCY=USD", "XLFILL=b")</f>
        <v>2.2006956551251697</v>
      </c>
      <c r="J294" s="9">
        <f>_xll.BQL("LUV US Equity", "FA_GROWTH(BS_DEFERRED_TAX_LIABILITIES_LT, YOY)", "FPT=A", "FPO=0A", "ACT_EST_MAPPING=PRECISE", "FS=MRC", "CURRENCY=USD", "XLFILL=b")</f>
        <v>2.9722921914357681</v>
      </c>
      <c r="K294" s="9">
        <f>_xll.BQL("LUV US Equity", "FA_GROWTH(BS_DEFERRED_TAX_LIABILITIES_LT, YOY)", "FPT=A", "FPO=-1A", "ACT_EST_MAPPING=PRECISE", "FS=MRC", "CURRENCY=USD", "XLFILL=b")</f>
        <v>12.146892655367232</v>
      </c>
      <c r="L294" s="9">
        <f>_xll.BQL("LUV US Equity", "FA_GROWTH(BS_DEFERRED_TAX_LIABILITIES_LT, YOY)", "FPT=A", "FPO=-2A", "ACT_EST_MAPPING=PRECISE", "FS=MRC", "CURRENCY=USD", "XLFILL=b")</f>
        <v>8.3231334149326806</v>
      </c>
      <c r="M294" s="9">
        <f>_xll.BQL("LUV US Equity", "FA_GROWTH(BS_DEFERRED_TAX_LIABILITIES_LT, YOY)", "FPT=A", "FPO=-3A", "ACT_EST_MAPPING=PRECISE", "FS=MRC", "CURRENCY=USD", "XLFILL=b")</f>
        <v>-30.879864636209813</v>
      </c>
      <c r="N294" s="9">
        <f>_xll.BQL("LUV US Equity", "FA_GROWTH(BS_DEFERRED_TAX_LIABILITIES_LT, YOY)", "FPT=A", "FPO=-4A", "ACT_EST_MAPPING=PRECISE", "FS=MRC", "CURRENCY=USD", "XLFILL=b")</f>
        <v>-2.5957972805933252</v>
      </c>
    </row>
    <row r="295" spans="1:14" x14ac:dyDescent="0.2">
      <c r="A295" s="8" t="s">
        <v>308</v>
      </c>
      <c r="B295" s="4" t="s">
        <v>309</v>
      </c>
      <c r="C295" s="4" t="s">
        <v>310</v>
      </c>
      <c r="D295" s="4"/>
      <c r="E295" s="9">
        <f>_xll.BQL("LUV US Equity", "CB_BS_OTHER_NONCURRENT_LIABS/1M", "FPT=A", "FPO=5A", "ACT_EST_MAPPING=PRECISE", "FS=MRC", "CURRENCY=USD", "XLFILL=b")</f>
        <v>981</v>
      </c>
      <c r="F295" s="9">
        <f>_xll.BQL("LUV US Equity", "CB_BS_OTHER_NONCURRENT_LIABS/1M", "FPT=A", "FPO=4A", "ACT_EST_MAPPING=PRECISE", "FS=MRC", "CURRENCY=USD", "XLFILL=b")</f>
        <v>953.5</v>
      </c>
      <c r="G295" s="9">
        <f>_xll.BQL("LUV US Equity", "CB_BS_OTHER_NONCURRENT_LIABS/1M", "FPT=A", "FPO=3A", "ACT_EST_MAPPING=PRECISE", "FS=MRC", "CURRENCY=USD", "XLFILL=b")</f>
        <v>953.5</v>
      </c>
      <c r="H295" s="9">
        <f>_xll.BQL("LUV US Equity", "CB_BS_OTHER_NONCURRENT_LIABS/1M", "FPT=A", "FPO=2A", "ACT_EST_MAPPING=PRECISE", "FS=MRC", "CURRENCY=USD", "XLFILL=b")</f>
        <v>925.59786827906737</v>
      </c>
      <c r="I295" s="9">
        <f>_xll.BQL("LUV US Equity", "CB_BS_OTHER_NONCURRENT_LIABS/1M", "FPT=A", "FPO=1A", "ACT_EST_MAPPING=PRECISE", "FS=MRC", "CURRENCY=USD", "XLFILL=b")</f>
        <v>941.46893333333367</v>
      </c>
      <c r="J295" s="9">
        <f>_xll.BQL("LUV US Equity", "CB_BS_OTHER_NONCURRENT_LIABS/1M", "FPT=A", "FPO=0A", "ACT_EST_MAPPING=PRECISE", "FS=MRC", "CURRENCY=USD", "XLFILL=b")</f>
        <v>981</v>
      </c>
      <c r="K295" s="9">
        <f>_xll.BQL("LUV US Equity", "CB_BS_OTHER_NONCURRENT_LIABS/1M", "FPT=A", "FPO=-1A", "ACT_EST_MAPPING=PRECISE", "FS=MRC", "CURRENCY=USD", "XLFILL=b")</f>
        <v>969</v>
      </c>
      <c r="L295" s="9">
        <f>_xll.BQL("LUV US Equity", "CB_BS_OTHER_NONCURRENT_LIABS/1M", "FPT=A", "FPO=-2A", "ACT_EST_MAPPING=PRECISE", "FS=MRC", "CURRENCY=USD", "XLFILL=b")</f>
        <v>1224</v>
      </c>
      <c r="M295" s="9">
        <f>_xll.BQL("LUV US Equity", "CB_BS_OTHER_NONCURRENT_LIABS/1M", "FPT=A", "FPO=-3A", "ACT_EST_MAPPING=PRECISE", "FS=MRC", "CURRENCY=USD", "XLFILL=b")</f>
        <v>1556</v>
      </c>
      <c r="N295" s="9">
        <f>_xll.BQL("LUV US Equity", "CB_BS_OTHER_NONCURRENT_LIABS/1M", "FPT=A", "FPO=-4A", "ACT_EST_MAPPING=PRECISE", "FS=MRC", "CURRENCY=USD", "XLFILL=b")</f>
        <v>870</v>
      </c>
    </row>
    <row r="296" spans="1:14" x14ac:dyDescent="0.2">
      <c r="A296" s="8" t="s">
        <v>232</v>
      </c>
      <c r="B296" s="4" t="s">
        <v>309</v>
      </c>
      <c r="C296" s="4" t="s">
        <v>310</v>
      </c>
      <c r="D296" s="4"/>
      <c r="E296" s="9">
        <f>_xll.BQL("LUV US Equity", "FA_GROWTH(CB_BS_OTHER_NONCURRENT_LIABS, YOY)", "FPT=A", "FPO=5A", "ACT_EST_MAPPING=PRECISE", "FS=MRC", "CURRENCY=USD", "XLFILL=b")</f>
        <v>2.8841111693759833</v>
      </c>
      <c r="F296" s="9">
        <f>_xll.BQL("LUV US Equity", "FA_GROWTH(CB_BS_OTHER_NONCURRENT_LIABS, YOY)", "FPT=A", "FPO=4A", "ACT_EST_MAPPING=PRECISE", "FS=MRC", "CURRENCY=USD", "XLFILL=b")</f>
        <v>0</v>
      </c>
      <c r="G296" s="9">
        <f>_xll.BQL("LUV US Equity", "FA_GROWTH(CB_BS_OTHER_NONCURRENT_LIABS, YOY)", "FPT=A", "FPO=3A", "ACT_EST_MAPPING=PRECISE", "FS=MRC", "CURRENCY=USD", "XLFILL=b")</f>
        <v>3.0144982694061393</v>
      </c>
      <c r="H296" s="9">
        <f>_xll.BQL("LUV US Equity", "FA_GROWTH(CB_BS_OTHER_NONCURRENT_LIABS, YOY)", "FPT=A", "FPO=2A", "ACT_EST_MAPPING=PRECISE", "FS=MRC", "CURRENCY=USD", "XLFILL=b")</f>
        <v>-1.6857768209168251</v>
      </c>
      <c r="I296" s="9">
        <f>_xll.BQL("LUV US Equity", "FA_GROWTH(CB_BS_OTHER_NONCURRENT_LIABS, YOY)", "FPT=A", "FPO=1A", "ACT_EST_MAPPING=PRECISE", "FS=MRC", "CURRENCY=USD", "XLFILL=b")</f>
        <v>-4.0296704043492753</v>
      </c>
      <c r="J296" s="9">
        <f>_xll.BQL("LUV US Equity", "FA_GROWTH(CB_BS_OTHER_NONCURRENT_LIABS, YOY)", "FPT=A", "FPO=0A", "ACT_EST_MAPPING=PRECISE", "FS=MRC", "CURRENCY=USD", "XLFILL=b")</f>
        <v>1.2383900928792571</v>
      </c>
      <c r="K296" s="9">
        <f>_xll.BQL("LUV US Equity", "FA_GROWTH(CB_BS_OTHER_NONCURRENT_LIABS, YOY)", "FPT=A", "FPO=-1A", "ACT_EST_MAPPING=PRECISE", "FS=MRC", "CURRENCY=USD", "XLFILL=b")</f>
        <v>-20.833333333333332</v>
      </c>
      <c r="L296" s="9">
        <f>_xll.BQL("LUV US Equity", "FA_GROWTH(CB_BS_OTHER_NONCURRENT_LIABS, YOY)", "FPT=A", "FPO=-2A", "ACT_EST_MAPPING=PRECISE", "FS=MRC", "CURRENCY=USD", "XLFILL=b")</f>
        <v>-21.336760925449873</v>
      </c>
      <c r="M296" s="9">
        <f>_xll.BQL("LUV US Equity", "FA_GROWTH(CB_BS_OTHER_NONCURRENT_LIABS, YOY)", "FPT=A", "FPO=-3A", "ACT_EST_MAPPING=PRECISE", "FS=MRC", "CURRENCY=USD", "XLFILL=b")</f>
        <v>78.850574712643677</v>
      </c>
      <c r="N296" s="9">
        <f>_xll.BQL("LUV US Equity", "FA_GROWTH(CB_BS_OTHER_NONCURRENT_LIABS, YOY)", "FPT=A", "FPO=-4A", "ACT_EST_MAPPING=PRECISE", "FS=MRC", "CURRENCY=USD", "XLFILL=b")</f>
        <v>-62.994470438111442</v>
      </c>
    </row>
    <row r="297" spans="1:14" x14ac:dyDescent="0.2">
      <c r="A297" s="8" t="s">
        <v>311</v>
      </c>
      <c r="B297" s="4" t="s">
        <v>312</v>
      </c>
      <c r="C297" s="4"/>
      <c r="D297" s="4"/>
      <c r="E297" s="9">
        <f>_xll.BQL("LUV US Equity", "BS_TOTAL_OPERATING_LEASE_LIABS/1M", "FPT=A", "FPO=5A", "ACT_EST_MAPPING=PRECISE", "FS=MRC", "CURRENCY=USD", "XLFILL=b")</f>
        <v>1361.3881537492123</v>
      </c>
      <c r="F297" s="9">
        <f>_xll.BQL("LUV US Equity", "BS_TOTAL_OPERATING_LEASE_LIABS/1M", "FPT=A", "FPO=4A", "ACT_EST_MAPPING=PRECISE", "FS=MRC", "CURRENCY=USD", "XLFILL=b")</f>
        <v>1368.15374921235</v>
      </c>
      <c r="G297" s="9">
        <f>_xll.BQL("LUV US Equity", "BS_TOTAL_OPERATING_LEASE_LIABS/1M", "FPT=A", "FPO=3A", "ACT_EST_MAPPING=PRECISE", "FS=MRC", "CURRENCY=USD", "XLFILL=b")</f>
        <v>1210.8886008443528</v>
      </c>
      <c r="H297" s="9">
        <f>_xll.BQL("LUV US Equity", "BS_TOTAL_OPERATING_LEASE_LIABS/1M", "FPT=A", "FPO=2A", "ACT_EST_MAPPING=PRECISE", "FS=MRC", "CURRENCY=USD", "XLFILL=b")</f>
        <v>1218.8619102334781</v>
      </c>
      <c r="I297" s="9">
        <f>_xll.BQL("LUV US Equity", "BS_TOTAL_OPERATING_LEASE_LIABS/1M", "FPT=A", "FPO=1A", "ACT_EST_MAPPING=PRECISE", "FS=MRC", "CURRENCY=USD", "XLFILL=b")</f>
        <v>1184.7410275100069</v>
      </c>
      <c r="J297" s="9">
        <f>_xll.BQL("LUV US Equity", "BS_TOTAL_OPERATING_LEASE_LIABS/1M", "FPT=A", "FPO=0A", "ACT_EST_MAPPING=PRECISE", "FS=MRC", "CURRENCY=USD", "XLFILL=b")</f>
        <v>1193</v>
      </c>
      <c r="K297" s="9">
        <f>_xll.BQL("LUV US Equity", "BS_TOTAL_OPERATING_LEASE_LIABS/1M", "FPT=A", "FPO=-1A", "ACT_EST_MAPPING=PRECISE", "FS=MRC", "CURRENCY=USD", "XLFILL=b")</f>
        <v>1343</v>
      </c>
      <c r="L297" s="9">
        <f>_xll.BQL("LUV US Equity", "BS_TOTAL_OPERATING_LEASE_LIABS/1M", "FPT=A", "FPO=-2A", "ACT_EST_MAPPING=PRECISE", "FS=MRC", "CURRENCY=USD", "XLFILL=b")</f>
        <v>1554</v>
      </c>
      <c r="M297" s="9">
        <f>_xll.BQL("LUV US Equity", "BS_TOTAL_OPERATING_LEASE_LIABS/1M", "FPT=A", "FPO=-3A", "ACT_EST_MAPPING=PRECISE", "FS=MRC", "CURRENCY=USD", "XLFILL=b")</f>
        <v>1868</v>
      </c>
      <c r="N297" s="9">
        <f>_xll.BQL("LUV US Equity", "BS_TOTAL_OPERATING_LEASE_LIABS/1M", "FPT=A", "FPO=-4A", "ACT_EST_MAPPING=PRECISE", "FS=MRC", "CURRENCY=USD", "XLFILL=b")</f>
        <v>1331</v>
      </c>
    </row>
    <row r="298" spans="1:14" x14ac:dyDescent="0.2">
      <c r="A298" s="8" t="s">
        <v>111</v>
      </c>
      <c r="B298" s="4" t="s">
        <v>312</v>
      </c>
      <c r="C298" s="4"/>
      <c r="D298" s="4"/>
      <c r="E298" s="9">
        <f>_xll.BQL("LUV US Equity", "FA_GROWTH(BS_TOTAL_OPERATING_LEASE_LIABS, YOY)", "FPT=A", "FPO=5A", "ACT_EST_MAPPING=PRECISE", "FS=MRC", "CURRENCY=USD", "XLFILL=b")</f>
        <v>-0.49450549450548498</v>
      </c>
      <c r="F298" s="9">
        <f>_xll.BQL("LUV US Equity", "FA_GROWTH(BS_TOTAL_OPERATING_LEASE_LIABS, YOY)", "FPT=A", "FPO=4A", "ACT_EST_MAPPING=PRECISE", "FS=MRC", "CURRENCY=USD", "XLFILL=b")</f>
        <v>12.987581868252487</v>
      </c>
      <c r="G298" s="9">
        <f>_xll.BQL("LUV US Equity", "FA_GROWTH(BS_TOTAL_OPERATING_LEASE_LIABS, YOY)", "FPT=A", "FPO=3A", "ACT_EST_MAPPING=PRECISE", "FS=MRC", "CURRENCY=USD", "XLFILL=b")</f>
        <v>-0.65416019010701765</v>
      </c>
      <c r="H298" s="9">
        <f>_xll.BQL("LUV US Equity", "FA_GROWTH(BS_TOTAL_OPERATING_LEASE_LIABS, YOY)", "FPT=A", "FPO=2A", "ACT_EST_MAPPING=PRECISE", "FS=MRC", "CURRENCY=USD", "XLFILL=b")</f>
        <v>2.8800287937342461</v>
      </c>
      <c r="I298" s="9">
        <f>_xll.BQL("LUV US Equity", "FA_GROWTH(BS_TOTAL_OPERATING_LEASE_LIABS, YOY)", "FPT=A", "FPO=1A", "ACT_EST_MAPPING=PRECISE", "FS=MRC", "CURRENCY=USD", "XLFILL=b")</f>
        <v>-0.69228604274879257</v>
      </c>
      <c r="J298" s="9">
        <f>_xll.BQL("LUV US Equity", "FA_GROWTH(BS_TOTAL_OPERATING_LEASE_LIABS, YOY)", "FPT=A", "FPO=0A", "ACT_EST_MAPPING=PRECISE", "FS=MRC", "CURRENCY=USD", "XLFILL=b")</f>
        <v>-11.169024571854058</v>
      </c>
      <c r="K298" s="9">
        <f>_xll.BQL("LUV US Equity", "FA_GROWTH(BS_TOTAL_OPERATING_LEASE_LIABS, YOY)", "FPT=A", "FPO=-1A", "ACT_EST_MAPPING=PRECISE", "FS=MRC", "CURRENCY=USD", "XLFILL=b")</f>
        <v>-13.577863577863578</v>
      </c>
      <c r="L298" s="9">
        <f>_xll.BQL("LUV US Equity", "FA_GROWTH(BS_TOTAL_OPERATING_LEASE_LIABS, YOY)", "FPT=A", "FPO=-2A", "ACT_EST_MAPPING=PRECISE", "FS=MRC", "CURRENCY=USD", "XLFILL=b")</f>
        <v>-16.809421841541756</v>
      </c>
      <c r="M298" s="9">
        <f>_xll.BQL("LUV US Equity", "FA_GROWTH(BS_TOTAL_OPERATING_LEASE_LIABS, YOY)", "FPT=A", "FPO=-3A", "ACT_EST_MAPPING=PRECISE", "FS=MRC", "CURRENCY=USD", "XLFILL=b")</f>
        <v>40.345604808414727</v>
      </c>
      <c r="N298" s="9" t="str">
        <f>_xll.BQL("LUV US Equity", "FA_GROWTH(BS_TOTAL_OPERATING_LEASE_LIABS, YOY)", "FPT=A", "FPO=-4A", "ACT_EST_MAPPING=PRECISE", "FS=MRC", "CURRENCY=USD", "XLFILL=b")</f>
        <v/>
      </c>
    </row>
    <row r="299" spans="1:14" x14ac:dyDescent="0.2">
      <c r="A299" s="8" t="s">
        <v>313</v>
      </c>
      <c r="B299" s="4" t="s">
        <v>314</v>
      </c>
      <c r="C299" s="4"/>
      <c r="D299" s="4"/>
      <c r="E299" s="9">
        <f>_xll.BQL("LUV US Equity", "CB_BS_LT_DEFERRED_REVENUE/1M", "FPT=A", "FPO=5A", "ACT_EST_MAPPING=PRECISE", "FS=MRC", "CURRENCY=USD", "XLFILL=b")</f>
        <v>1728</v>
      </c>
      <c r="F299" s="9">
        <f>_xll.BQL("LUV US Equity", "CB_BS_LT_DEFERRED_REVENUE/1M", "FPT=A", "FPO=4A", "ACT_EST_MAPPING=PRECISE", "FS=MRC", "CURRENCY=USD", "XLFILL=b")</f>
        <v>1859</v>
      </c>
      <c r="G299" s="9">
        <f>_xll.BQL("LUV US Equity", "CB_BS_LT_DEFERRED_REVENUE/1M", "FPT=A", "FPO=3A", "ACT_EST_MAPPING=PRECISE", "FS=MRC", "CURRENCY=USD", "XLFILL=b")</f>
        <v>1859</v>
      </c>
      <c r="H299" s="9">
        <f>_xll.BQL("LUV US Equity", "CB_BS_LT_DEFERRED_REVENUE/1M", "FPT=A", "FPO=2A", "ACT_EST_MAPPING=PRECISE", "FS=MRC", "CURRENCY=USD", "XLFILL=b")</f>
        <v>2070.0386392675209</v>
      </c>
      <c r="I299" s="9">
        <f>_xll.BQL("LUV US Equity", "CB_BS_LT_DEFERRED_REVENUE/1M", "FPT=A", "FPO=1A", "ACT_EST_MAPPING=PRECISE", "FS=MRC", "CURRENCY=USD", "XLFILL=b")</f>
        <v>1969.6176815225811</v>
      </c>
      <c r="J299" s="9">
        <f>_xll.BQL("LUV US Equity", "CB_BS_LT_DEFERRED_REVENUE/1M", "FPT=A", "FPO=0A", "ACT_EST_MAPPING=PRECISE", "FS=MRC", "CURRENCY=USD", "XLFILL=b")</f>
        <v>1728</v>
      </c>
      <c r="K299" s="9">
        <f>_xll.BQL("LUV US Equity", "CB_BS_LT_DEFERRED_REVENUE/1M", "FPT=A", "FPO=-1A", "ACT_EST_MAPPING=PRECISE", "FS=MRC", "CURRENCY=USD", "XLFILL=b")</f>
        <v>2186</v>
      </c>
      <c r="L299" s="9">
        <f>_xll.BQL("LUV US Equity", "CB_BS_LT_DEFERRED_REVENUE/1M", "FPT=A", "FPO=-2A", "ACT_EST_MAPPING=PRECISE", "FS=MRC", "CURRENCY=USD", "XLFILL=b")</f>
        <v>2159</v>
      </c>
      <c r="M299" s="9">
        <f>_xll.BQL("LUV US Equity", "CB_BS_LT_DEFERRED_REVENUE/1M", "FPT=A", "FPO=-3A", "ACT_EST_MAPPING=PRECISE", "FS=MRC", "CURRENCY=USD", "XLFILL=b")</f>
        <v>3343</v>
      </c>
      <c r="N299" s="9">
        <f>_xll.BQL("LUV US Equity", "CB_BS_LT_DEFERRED_REVENUE/1M", "FPT=A", "FPO=-4A", "ACT_EST_MAPPING=PRECISE", "FS=MRC", "CURRENCY=USD", "XLFILL=b")</f>
        <v>1053</v>
      </c>
    </row>
    <row r="300" spans="1:14" x14ac:dyDescent="0.2">
      <c r="A300" s="8" t="s">
        <v>111</v>
      </c>
      <c r="B300" s="4" t="s">
        <v>314</v>
      </c>
      <c r="C300" s="4"/>
      <c r="D300" s="4"/>
      <c r="E300" s="9">
        <f>_xll.BQL("LUV US Equity", "FA_GROWTH(CB_BS_LT_DEFERRED_REVENUE, YOY)", "FPT=A", "FPO=5A", "ACT_EST_MAPPING=PRECISE", "FS=MRC", "CURRENCY=USD", "XLFILL=b")</f>
        <v>-7.0467993544916618</v>
      </c>
      <c r="F300" s="9">
        <f>_xll.BQL("LUV US Equity", "FA_GROWTH(CB_BS_LT_DEFERRED_REVENUE, YOY)", "FPT=A", "FPO=4A", "ACT_EST_MAPPING=PRECISE", "FS=MRC", "CURRENCY=USD", "XLFILL=b")</f>
        <v>0</v>
      </c>
      <c r="G300" s="9">
        <f>_xll.BQL("LUV US Equity", "FA_GROWTH(CB_BS_LT_DEFERRED_REVENUE, YOY)", "FPT=A", "FPO=3A", "ACT_EST_MAPPING=PRECISE", "FS=MRC", "CURRENCY=USD", "XLFILL=b")</f>
        <v>-10.194913044821073</v>
      </c>
      <c r="H300" s="9">
        <f>_xll.BQL("LUV US Equity", "FA_GROWTH(CB_BS_LT_DEFERRED_REVENUE, YOY)", "FPT=A", "FPO=2A", "ACT_EST_MAPPING=PRECISE", "FS=MRC", "CURRENCY=USD", "XLFILL=b")</f>
        <v>5.0985000128203168</v>
      </c>
      <c r="I300" s="9">
        <f>_xll.BQL("LUV US Equity", "FA_GROWTH(CB_BS_LT_DEFERRED_REVENUE, YOY)", "FPT=A", "FPO=1A", "ACT_EST_MAPPING=PRECISE", "FS=MRC", "CURRENCY=USD", "XLFILL=b")</f>
        <v>13.982504717741962</v>
      </c>
      <c r="J300" s="9">
        <f>_xll.BQL("LUV US Equity", "FA_GROWTH(CB_BS_LT_DEFERRED_REVENUE, YOY)", "FPT=A", "FPO=0A", "ACT_EST_MAPPING=PRECISE", "FS=MRC", "CURRENCY=USD", "XLFILL=b")</f>
        <v>-20.951509606587376</v>
      </c>
      <c r="K300" s="9">
        <f>_xll.BQL("LUV US Equity", "FA_GROWTH(CB_BS_LT_DEFERRED_REVENUE, YOY)", "FPT=A", "FPO=-1A", "ACT_EST_MAPPING=PRECISE", "FS=MRC", "CURRENCY=USD", "XLFILL=b")</f>
        <v>1.2505789717461788</v>
      </c>
      <c r="L300" s="9">
        <f>_xll.BQL("LUV US Equity", "FA_GROWTH(CB_BS_LT_DEFERRED_REVENUE, YOY)", "FPT=A", "FPO=-2A", "ACT_EST_MAPPING=PRECISE", "FS=MRC", "CURRENCY=USD", "XLFILL=b")</f>
        <v>-35.417289859407717</v>
      </c>
      <c r="M300" s="9">
        <f>_xll.BQL("LUV US Equity", "FA_GROWTH(CB_BS_LT_DEFERRED_REVENUE, YOY)", "FPT=A", "FPO=-3A", "ACT_EST_MAPPING=PRECISE", "FS=MRC", "CURRENCY=USD", "XLFILL=b")</f>
        <v>217.47388414055081</v>
      </c>
      <c r="N300" s="9">
        <f>_xll.BQL("LUV US Equity", "FA_GROWTH(CB_BS_LT_DEFERRED_REVENUE, YOY)", "FPT=A", "FPO=-4A", "ACT_EST_MAPPING=PRECISE", "FS=MRC", "CURRENCY=USD", "XLFILL=b")</f>
        <v>12.5</v>
      </c>
    </row>
    <row r="301" spans="1:14" x14ac:dyDescent="0.2">
      <c r="A301" s="8" t="s">
        <v>268</v>
      </c>
      <c r="B301" s="4" t="s">
        <v>315</v>
      </c>
      <c r="C301" s="4"/>
      <c r="D301" s="4"/>
      <c r="E301" s="9">
        <f>_xll.BQL("LUV US Equity", "LT_LIAB_LESS_DEF_TAX/1M", "FPT=A", "FPO=5A", "ACT_EST_MAPPING=PRECISE", "FS=MRC", "CURRENCY=USD", "XLFILL=b")</f>
        <v>2337.806214307956</v>
      </c>
      <c r="F301" s="9">
        <f>_xll.BQL("LUV US Equity", "LT_LIAB_LESS_DEF_TAX/1M", "FPT=A", "FPO=4A", "ACT_EST_MAPPING=PRECISE", "FS=MRC", "CURRENCY=USD", "XLFILL=b")</f>
        <v>2703.5000000000005</v>
      </c>
      <c r="G301" s="9">
        <f>_xll.BQL("LUV US Equity", "LT_LIAB_LESS_DEF_TAX/1M", "FPT=A", "FPO=3A", "ACT_EST_MAPPING=PRECISE", "FS=MRC", "CURRENCY=USD", "XLFILL=b")</f>
        <v>2675.4974414407097</v>
      </c>
      <c r="H301" s="9">
        <f>_xll.BQL("LUV US Equity", "LT_LIAB_LESS_DEF_TAX/1M", "FPT=A", "FPO=2A", "ACT_EST_MAPPING=PRECISE", "FS=MRC", "CURRENCY=USD", "XLFILL=b")</f>
        <v>2671.2178722123899</v>
      </c>
      <c r="I301" s="9">
        <f>_xll.BQL("LUV US Equity", "LT_LIAB_LESS_DEF_TAX/1M", "FPT=A", "FPO=1A", "ACT_EST_MAPPING=PRECISE", "FS=MRC", "CURRENCY=USD", "XLFILL=b")</f>
        <v>2824.3554615548001</v>
      </c>
      <c r="J301" s="9">
        <f>_xll.BQL("LUV US Equity", "LT_LIAB_LESS_DEF_TAX/1M", "FPT=A", "FPO=0A", "ACT_EST_MAPPING=PRECISE", "FS=MRC", "CURRENCY=USD", "XLFILL=b")</f>
        <v>2709</v>
      </c>
      <c r="K301" s="9">
        <f>_xll.BQL("LUV US Equity", "LT_LIAB_LESS_DEF_TAX/1M", "FPT=A", "FPO=-1A", "ACT_EST_MAPPING=PRECISE", "FS=MRC", "CURRENCY=USD", "XLFILL=b")</f>
        <v>3155</v>
      </c>
      <c r="L301" s="9">
        <f>_xll.BQL("LUV US Equity", "LT_LIAB_LESS_DEF_TAX/1M", "FPT=A", "FPO=-2A", "ACT_EST_MAPPING=PRECISE", "FS=MRC", "CURRENCY=USD", "XLFILL=b")</f>
        <v>3383</v>
      </c>
      <c r="M301" s="9">
        <f>_xll.BQL("LUV US Equity", "LT_LIAB_LESS_DEF_TAX/1M", "FPT=A", "FPO=-3A", "ACT_EST_MAPPING=PRECISE", "FS=MRC", "CURRENCY=USD", "XLFILL=b")</f>
        <v>4899</v>
      </c>
      <c r="N301" s="9">
        <f>_xll.BQL("LUV US Equity", "LT_LIAB_LESS_DEF_TAX/1M", "FPT=A", "FPO=-4A", "ACT_EST_MAPPING=PRECISE", "FS=MRC", "CURRENCY=USD", "XLFILL=b")</f>
        <v>1923</v>
      </c>
    </row>
    <row r="302" spans="1:14" x14ac:dyDescent="0.2">
      <c r="A302" s="8" t="s">
        <v>111</v>
      </c>
      <c r="B302" s="4" t="s">
        <v>315</v>
      </c>
      <c r="C302" s="4"/>
      <c r="D302" s="4"/>
      <c r="E302" s="9">
        <f>_xll.BQL("LUV US Equity", "FA_GROWTH(LT_LIAB_LESS_DEF_TAX, YOY)", "FPT=A", "FPO=5A", "ACT_EST_MAPPING=PRECISE", "FS=MRC", "CURRENCY=USD", "XLFILL=b")</f>
        <v>-13.526679700094107</v>
      </c>
      <c r="F302" s="9">
        <f>_xll.BQL("LUV US Equity", "FA_GROWTH(LT_LIAB_LESS_DEF_TAX, YOY)", "FPT=A", "FPO=4A", "ACT_EST_MAPPING=PRECISE", "FS=MRC", "CURRENCY=USD", "XLFILL=b")</f>
        <v>1.0466299883363741</v>
      </c>
      <c r="G302" s="9">
        <f>_xll.BQL("LUV US Equity", "FA_GROWTH(LT_LIAB_LESS_DEF_TAX, YOY)", "FPT=A", "FPO=3A", "ACT_EST_MAPPING=PRECISE", "FS=MRC", "CURRENCY=USD", "XLFILL=b")</f>
        <v>0.16021041461418367</v>
      </c>
      <c r="H302" s="9">
        <f>_xll.BQL("LUV US Equity", "FA_GROWTH(LT_LIAB_LESS_DEF_TAX, YOY)", "FPT=A", "FPO=2A", "ACT_EST_MAPPING=PRECISE", "FS=MRC", "CURRENCY=USD", "XLFILL=b")</f>
        <v>-5.4220366886152584</v>
      </c>
      <c r="I302" s="9">
        <f>_xll.BQL("LUV US Equity", "FA_GROWTH(LT_LIAB_LESS_DEF_TAX, YOY)", "FPT=A", "FPO=1A", "ACT_EST_MAPPING=PRECISE", "FS=MRC", "CURRENCY=USD", "XLFILL=b")</f>
        <v>4.258230400693984</v>
      </c>
      <c r="J302" s="9">
        <f>_xll.BQL("LUV US Equity", "FA_GROWTH(LT_LIAB_LESS_DEF_TAX, YOY)", "FPT=A", "FPO=0A", "ACT_EST_MAPPING=PRECISE", "FS=MRC", "CURRENCY=USD", "XLFILL=b")</f>
        <v>-14.136291600633914</v>
      </c>
      <c r="K302" s="9">
        <f>_xll.BQL("LUV US Equity", "FA_GROWTH(LT_LIAB_LESS_DEF_TAX, YOY)", "FPT=A", "FPO=-1A", "ACT_EST_MAPPING=PRECISE", "FS=MRC", "CURRENCY=USD", "XLFILL=b")</f>
        <v>-6.7395802542122381</v>
      </c>
      <c r="L302" s="9">
        <f>_xll.BQL("LUV US Equity", "FA_GROWTH(LT_LIAB_LESS_DEF_TAX, YOY)", "FPT=A", "FPO=-2A", "ACT_EST_MAPPING=PRECISE", "FS=MRC", "CURRENCY=USD", "XLFILL=b")</f>
        <v>-30.945090834864256</v>
      </c>
      <c r="M302" s="9">
        <f>_xll.BQL("LUV US Equity", "FA_GROWTH(LT_LIAB_LESS_DEF_TAX, YOY)", "FPT=A", "FPO=-3A", "ACT_EST_MAPPING=PRECISE", "FS=MRC", "CURRENCY=USD", "XLFILL=b")</f>
        <v>154.75819032761311</v>
      </c>
      <c r="N302" s="9">
        <f>_xll.BQL("LUV US Equity", "FA_GROWTH(LT_LIAB_LESS_DEF_TAX, YOY)", "FPT=A", "FPO=-4A", "ACT_EST_MAPPING=PRECISE", "FS=MRC", "CURRENCY=USD", "XLFILL=b")</f>
        <v>-41.496805597809555</v>
      </c>
    </row>
    <row r="303" spans="1:14" x14ac:dyDescent="0.2">
      <c r="A303" s="8" t="s">
        <v>316</v>
      </c>
      <c r="B303" s="4" t="s">
        <v>317</v>
      </c>
      <c r="C303" s="4" t="s">
        <v>318</v>
      </c>
      <c r="D303" s="4"/>
      <c r="E303" s="9">
        <f>_xll.BQL("LUV US Equity", "BS_TOTAL_LIABILITIES/1M", "FPT=A", "FPO=5A", "ACT_EST_MAPPING=PRECISE", "FS=MRC", "CURRENCY=USD", "XLFILL=b")</f>
        <v>27068.656308641206</v>
      </c>
      <c r="F303" s="9">
        <f>_xll.BQL("LUV US Equity", "BS_TOTAL_LIABILITIES/1M", "FPT=A", "FPO=4A", "ACT_EST_MAPPING=PRECISE", "FS=MRC", "CURRENCY=USD", "XLFILL=b")</f>
        <v>26098.394850003791</v>
      </c>
      <c r="G303" s="9">
        <f>_xll.BQL("LUV US Equity", "BS_TOTAL_LIABILITIES/1M", "FPT=A", "FPO=3A", "ACT_EST_MAPPING=PRECISE", "FS=MRC", "CURRENCY=USD", "XLFILL=b")</f>
        <v>24701.116852502768</v>
      </c>
      <c r="H303" s="9">
        <f>_xll.BQL("LUV US Equity", "BS_TOTAL_LIABILITIES/1M", "FPT=A", "FPO=2A", "ACT_EST_MAPPING=PRECISE", "FS=MRC", "CURRENCY=USD", "XLFILL=b")</f>
        <v>24581.999118388459</v>
      </c>
      <c r="I303" s="9">
        <f>_xll.BQL("LUV US Equity", "BS_TOTAL_LIABILITIES/1M", "FPT=A", "FPO=1A", "ACT_EST_MAPPING=PRECISE", "FS=MRC", "CURRENCY=USD", "XLFILL=b")</f>
        <v>25315.178673472557</v>
      </c>
      <c r="J303" s="9">
        <f>_xll.BQL("LUV US Equity", "BS_TOTAL_LIABILITIES/1M", "FPT=A", "FPO=0A", "ACT_EST_MAPPING=PRECISE", "FS=MRC", "CURRENCY=USD", "XLFILL=b")</f>
        <v>25972</v>
      </c>
      <c r="K303" s="9">
        <f>_xll.BQL("LUV US Equity", "BS_TOTAL_LIABILITIES/1M", "FPT=A", "FPO=-1A", "ACT_EST_MAPPING=PRECISE", "FS=MRC", "CURRENCY=USD", "XLFILL=b")</f>
        <v>24682</v>
      </c>
      <c r="L303" s="9">
        <f>_xll.BQL("LUV US Equity", "BS_TOTAL_LIABILITIES/1M", "FPT=A", "FPO=-2A", "ACT_EST_MAPPING=PRECISE", "FS=MRC", "CURRENCY=USD", "XLFILL=b")</f>
        <v>25906</v>
      </c>
      <c r="M303" s="9">
        <f>_xll.BQL("LUV US Equity", "BS_TOTAL_LIABILITIES/1M", "FPT=A", "FPO=-3A", "ACT_EST_MAPPING=PRECISE", "FS=MRC", "CURRENCY=USD", "XLFILL=b")</f>
        <v>25712</v>
      </c>
      <c r="N303" s="9">
        <f>_xll.BQL("LUV US Equity", "BS_TOTAL_LIABILITIES/1M", "FPT=A", "FPO=-4A", "ACT_EST_MAPPING=PRECISE", "FS=MRC", "CURRENCY=USD", "XLFILL=b")</f>
        <v>16063</v>
      </c>
    </row>
    <row r="304" spans="1:14" x14ac:dyDescent="0.2">
      <c r="A304" s="8" t="s">
        <v>21</v>
      </c>
      <c r="B304" s="4" t="s">
        <v>317</v>
      </c>
      <c r="C304" s="4" t="s">
        <v>318</v>
      </c>
      <c r="D304" s="4"/>
      <c r="E304" s="9">
        <f>_xll.BQL("LUV US Equity", "FA_GROWTH(BS_TOTAL_LIABILITIES, YOY)", "FPT=A", "FPO=5A", "ACT_EST_MAPPING=PRECISE", "FS=MRC", "CURRENCY=USD", "XLFILL=b")</f>
        <v>3.7177054919041201</v>
      </c>
      <c r="F304" s="9">
        <f>_xll.BQL("LUV US Equity", "FA_GROWTH(BS_TOTAL_LIABILITIES, YOY)", "FPT=A", "FPO=4A", "ACT_EST_MAPPING=PRECISE", "FS=MRC", "CURRENCY=USD", "XLFILL=b")</f>
        <v>5.65674016217387</v>
      </c>
      <c r="G304" s="9">
        <f>_xll.BQL("LUV US Equity", "FA_GROWTH(BS_TOTAL_LIABILITIES, YOY)", "FPT=A", "FPO=3A", "ACT_EST_MAPPING=PRECISE", "FS=MRC", "CURRENCY=USD", "XLFILL=b")</f>
        <v>0.48457301434530486</v>
      </c>
      <c r="H304" s="9">
        <f>_xll.BQL("LUV US Equity", "FA_GROWTH(BS_TOTAL_LIABILITIES, YOY)", "FPT=A", "FPO=2A", "ACT_EST_MAPPING=PRECISE", "FS=MRC", "CURRENCY=USD", "XLFILL=b")</f>
        <v>-2.8962053341238629</v>
      </c>
      <c r="I304" s="9">
        <f>_xll.BQL("LUV US Equity", "FA_GROWTH(BS_TOTAL_LIABILITIES, YOY)", "FPT=A", "FPO=1A", "ACT_EST_MAPPING=PRECISE", "FS=MRC", "CURRENCY=USD", "XLFILL=b")</f>
        <v>-2.5289593659612004</v>
      </c>
      <c r="J304" s="9">
        <f>_xll.BQL("LUV US Equity", "FA_GROWTH(BS_TOTAL_LIABILITIES, YOY)", "FPT=A", "FPO=0A", "ACT_EST_MAPPING=PRECISE", "FS=MRC", "CURRENCY=USD", "XLFILL=b")</f>
        <v>5.2264808362369335</v>
      </c>
      <c r="K304" s="9">
        <f>_xll.BQL("LUV US Equity", "FA_GROWTH(BS_TOTAL_LIABILITIES, YOY)", "FPT=A", "FPO=-1A", "ACT_EST_MAPPING=PRECISE", "FS=MRC", "CURRENCY=USD", "XLFILL=b")</f>
        <v>-4.7247741835868142</v>
      </c>
      <c r="L304" s="9">
        <f>_xll.BQL("LUV US Equity", "FA_GROWTH(BS_TOTAL_LIABILITIES, YOY)", "FPT=A", "FPO=-2A", "ACT_EST_MAPPING=PRECISE", "FS=MRC", "CURRENCY=USD", "XLFILL=b")</f>
        <v>0.75451151213441192</v>
      </c>
      <c r="M304" s="9">
        <f>_xll.BQL("LUV US Equity", "FA_GROWTH(BS_TOTAL_LIABILITIES, YOY)", "FPT=A", "FPO=-3A", "ACT_EST_MAPPING=PRECISE", "FS=MRC", "CURRENCY=USD", "XLFILL=b")</f>
        <v>60.069725456016933</v>
      </c>
      <c r="N304" s="9">
        <f>_xll.BQL("LUV US Equity", "FA_GROWTH(BS_TOTAL_LIABILITIES, YOY)", "FPT=A", "FPO=-4A", "ACT_EST_MAPPING=PRECISE", "FS=MRC", "CURRENCY=USD", "XLFILL=b")</f>
        <v>-1.9951189749847469</v>
      </c>
    </row>
    <row r="305" spans="1:14" x14ac:dyDescent="0.2">
      <c r="A305" s="8" t="s">
        <v>319</v>
      </c>
      <c r="B305" s="4" t="s">
        <v>320</v>
      </c>
      <c r="C305" s="4" t="s">
        <v>321</v>
      </c>
      <c r="D305" s="4"/>
      <c r="E305" s="9">
        <f>_xll.BQL("LUV US Equity", "HEADLINE_NAV/1M", "FPT=A", "FPO=5A", "ACT_EST_MAPPING=PRECISE", "FS=MRC", "CURRENCY=USD", "XLFILL=b")</f>
        <v>12334.666666666666</v>
      </c>
      <c r="F305" s="9">
        <f>_xll.BQL("LUV US Equity", "HEADLINE_NAV/1M", "FPT=A", "FPO=4A", "ACT_EST_MAPPING=PRECISE", "FS=MRC", "CURRENCY=USD", "XLFILL=b")</f>
        <v>11834</v>
      </c>
      <c r="G305" s="9">
        <f>_xll.BQL("LUV US Equity", "HEADLINE_NAV/1M", "FPT=A", "FPO=3A", "ACT_EST_MAPPING=PRECISE", "FS=MRC", "CURRENCY=USD", "XLFILL=b")</f>
        <v>11445.444444444445</v>
      </c>
      <c r="H305" s="9">
        <f>_xll.BQL("LUV US Equity", "HEADLINE_NAV/1M", "FPT=A", "FPO=2A", "ACT_EST_MAPPING=PRECISE", "FS=MRC", "CURRENCY=USD", "XLFILL=b")</f>
        <v>10317.416666666666</v>
      </c>
      <c r="I305" s="9">
        <f>_xll.BQL("LUV US Equity", "HEADLINE_NAV/1M", "FPT=A", "FPO=1A", "ACT_EST_MAPPING=PRECISE", "FS=MRC", "CURRENCY=USD", "XLFILL=b")</f>
        <v>10218.75</v>
      </c>
      <c r="J305" s="9">
        <f>_xll.BQL("LUV US Equity", "HEADLINE_NAV/1M", "FPT=A", "FPO=0A", "ACT_EST_MAPPING=PRECISE", "FS=MRC", "CURRENCY=USD", "XLFILL=b")</f>
        <v>10515</v>
      </c>
      <c r="K305" s="9">
        <f>_xll.BQL("LUV US Equity", "HEADLINE_NAV/1M", "FPT=A", "FPO=-1A", "ACT_EST_MAPPING=PRECISE", "FS=MRC", "CURRENCY=USD", "XLFILL=b")</f>
        <v>10687</v>
      </c>
      <c r="L305" s="9">
        <f>_xll.BQL("LUV US Equity", "HEADLINE_NAV/1M", "FPT=A", "FPO=-2A", "ACT_EST_MAPPING=PRECISE", "FS=MRC", "CURRENCY=USD", "XLFILL=b")</f>
        <v>10414</v>
      </c>
      <c r="M305" s="9">
        <f>_xll.BQL("LUV US Equity", "HEADLINE_NAV/1M", "FPT=A", "FPO=-3A", "ACT_EST_MAPPING=PRECISE", "FS=MRC", "CURRENCY=USD", "XLFILL=b")</f>
        <v>8876</v>
      </c>
      <c r="N305" s="9">
        <f>_xll.BQL("LUV US Equity", "HEADLINE_NAV/1M", "FPT=A", "FPO=-4A", "ACT_EST_MAPPING=PRECISE", "FS=MRC", "CURRENCY=USD", "XLFILL=b")</f>
        <v>9832</v>
      </c>
    </row>
    <row r="306" spans="1:14" x14ac:dyDescent="0.2">
      <c r="A306" s="8" t="s">
        <v>21</v>
      </c>
      <c r="B306" s="4" t="s">
        <v>320</v>
      </c>
      <c r="C306" s="4" t="s">
        <v>321</v>
      </c>
      <c r="D306" s="4"/>
      <c r="E306" s="9">
        <f>_xll.BQL("LUV US Equity", "FA_GROWTH(HEADLINE_NAV, YOY)", "FPT=A", "FPO=5A", "ACT_EST_MAPPING=PRECISE", "FS=MRC", "CURRENCY=USD", "XLFILL=b")</f>
        <v>4.2307475635175429</v>
      </c>
      <c r="F306" s="9">
        <f>_xll.BQL("LUV US Equity", "FA_GROWTH(HEADLINE_NAV, YOY)", "FPT=A", "FPO=4A", "ACT_EST_MAPPING=PRECISE", "FS=MRC", "CURRENCY=USD", "XLFILL=b")</f>
        <v>3.394848993777241</v>
      </c>
      <c r="G306" s="9">
        <f>_xll.BQL("LUV US Equity", "FA_GROWTH(HEADLINE_NAV, YOY)", "FPT=A", "FPO=3A", "ACT_EST_MAPPING=PRECISE", "FS=MRC", "CURRENCY=USD", "XLFILL=b")</f>
        <v>10.933238563701625</v>
      </c>
      <c r="H306" s="9">
        <f>_xll.BQL("LUV US Equity", "FA_GROWTH(HEADLINE_NAV, YOY)", "FPT=A", "FPO=2A", "ACT_EST_MAPPING=PRECISE", "FS=MRC", "CURRENCY=USD", "XLFILL=b")</f>
        <v>0.96554536187563089</v>
      </c>
      <c r="I306" s="9">
        <f>_xll.BQL("LUV US Equity", "FA_GROWTH(HEADLINE_NAV, YOY)", "FPT=A", "FPO=1A", "ACT_EST_MAPPING=PRECISE", "FS=MRC", "CURRENCY=USD", "XLFILL=b")</f>
        <v>-2.8174037089871611</v>
      </c>
      <c r="J306" s="9">
        <f>_xll.BQL("LUV US Equity", "FA_GROWTH(HEADLINE_NAV, YOY)", "FPT=A", "FPO=0A", "ACT_EST_MAPPING=PRECISE", "FS=MRC", "CURRENCY=USD", "XLFILL=b")</f>
        <v>-1.6094320202114718</v>
      </c>
      <c r="K306" s="9">
        <f>_xll.BQL("LUV US Equity", "FA_GROWTH(HEADLINE_NAV, YOY)", "FPT=A", "FPO=-1A", "ACT_EST_MAPPING=PRECISE", "FS=MRC", "CURRENCY=USD", "XLFILL=b")</f>
        <v>2.6214710966007297</v>
      </c>
      <c r="L306" s="9">
        <f>_xll.BQL("LUV US Equity", "FA_GROWTH(HEADLINE_NAV, YOY)", "FPT=A", "FPO=-2A", "ACT_EST_MAPPING=PRECISE", "FS=MRC", "CURRENCY=USD", "XLFILL=b")</f>
        <v>17.32762505633168</v>
      </c>
      <c r="M306" s="9">
        <f>_xll.BQL("LUV US Equity", "FA_GROWTH(HEADLINE_NAV, YOY)", "FPT=A", "FPO=-3A", "ACT_EST_MAPPING=PRECISE", "FS=MRC", "CURRENCY=USD", "XLFILL=b")</f>
        <v>-9.7233523189585025</v>
      </c>
      <c r="N306" s="9">
        <f>_xll.BQL("LUV US Equity", "FA_GROWTH(HEADLINE_NAV, YOY)", "FPT=A", "FPO=-4A", "ACT_EST_MAPPING=PRECISE", "FS=MRC", "CURRENCY=USD", "XLFILL=b")</f>
        <v>-0.2131330559220542</v>
      </c>
    </row>
    <row r="307" spans="1:14" x14ac:dyDescent="0.2">
      <c r="A307" s="8" t="s">
        <v>322</v>
      </c>
      <c r="B307" s="4" t="s">
        <v>323</v>
      </c>
      <c r="C307" s="4" t="s">
        <v>324</v>
      </c>
      <c r="D307" s="4"/>
      <c r="E307" s="9" t="str">
        <f>_xll.BQL("LUV US Equity", "BS_ADD_PAID_IN_CAP/1M", "FPT=A", "FPO=5A", "ACT_EST_MAPPING=PRECISE", "FS=MRC", "CURRENCY=USD", "XLFILL=b")</f>
        <v/>
      </c>
      <c r="F307" s="9">
        <f>_xll.BQL("LUV US Equity", "BS_ADD_PAID_IN_CAP/1M", "FPT=A", "FPO=4A", "ACT_EST_MAPPING=PRECISE", "FS=MRC", "CURRENCY=USD", "XLFILL=b")</f>
        <v>4151</v>
      </c>
      <c r="G307" s="9">
        <f>_xll.BQL("LUV US Equity", "BS_ADD_PAID_IN_CAP/1M", "FPT=A", "FPO=3A", "ACT_EST_MAPPING=PRECISE", "FS=MRC", "CURRENCY=USD", "XLFILL=b")</f>
        <v>4089.542357528303</v>
      </c>
      <c r="H307" s="9">
        <f>_xll.BQL("LUV US Equity", "BS_ADD_PAID_IN_CAP/1M", "FPT=A", "FPO=2A", "ACT_EST_MAPPING=PRECISE", "FS=MRC", "CURRENCY=USD", "XLFILL=b")</f>
        <v>4055.710572904723</v>
      </c>
      <c r="I307" s="9">
        <f>_xll.BQL("LUV US Equity", "BS_ADD_PAID_IN_CAP/1M", "FPT=A", "FPO=1A", "ACT_EST_MAPPING=PRECISE", "FS=MRC", "CURRENCY=USD", "XLFILL=b")</f>
        <v>4063.4549003309339</v>
      </c>
      <c r="J307" s="9">
        <f>_xll.BQL("LUV US Equity", "BS_ADD_PAID_IN_CAP/1M", "FPT=A", "FPO=0A", "ACT_EST_MAPPING=PRECISE", "FS=MRC", "CURRENCY=USD", "XLFILL=b")</f>
        <v>4153</v>
      </c>
      <c r="K307" s="9">
        <f>_xll.BQL("LUV US Equity", "BS_ADD_PAID_IN_CAP/1M", "FPT=A", "FPO=-1A", "ACT_EST_MAPPING=PRECISE", "FS=MRC", "CURRENCY=USD", "XLFILL=b")</f>
        <v>4037</v>
      </c>
      <c r="L307" s="9">
        <f>_xll.BQL("LUV US Equity", "BS_ADD_PAID_IN_CAP/1M", "FPT=A", "FPO=-2A", "ACT_EST_MAPPING=PRECISE", "FS=MRC", "CURRENCY=USD", "XLFILL=b")</f>
        <v>4224</v>
      </c>
      <c r="M307" s="9">
        <f>_xll.BQL("LUV US Equity", "BS_ADD_PAID_IN_CAP/1M", "FPT=A", "FPO=-3A", "ACT_EST_MAPPING=PRECISE", "FS=MRC", "CURRENCY=USD", "XLFILL=b")</f>
        <v>4191</v>
      </c>
      <c r="N307" s="9">
        <f>_xll.BQL("LUV US Equity", "BS_ADD_PAID_IN_CAP/1M", "FPT=A", "FPO=-4A", "ACT_EST_MAPPING=PRECISE", "FS=MRC", "CURRENCY=USD", "XLFILL=b")</f>
        <v>1581</v>
      </c>
    </row>
    <row r="308" spans="1:14" x14ac:dyDescent="0.2">
      <c r="A308" s="8" t="s">
        <v>111</v>
      </c>
      <c r="B308" s="4" t="s">
        <v>323</v>
      </c>
      <c r="C308" s="4" t="s">
        <v>324</v>
      </c>
      <c r="D308" s="4"/>
      <c r="E308" s="9" t="str">
        <f>_xll.BQL("LUV US Equity", "FA_GROWTH(BS_ADD_PAID_IN_CAP, YOY)", "FPT=A", "FPO=5A", "ACT_EST_MAPPING=PRECISE", "FS=MRC", "CURRENCY=USD", "XLFILL=b")</f>
        <v/>
      </c>
      <c r="F308" s="9">
        <f>_xll.BQL("LUV US Equity", "FA_GROWTH(BS_ADD_PAID_IN_CAP, YOY)", "FPT=A", "FPO=4A", "ACT_EST_MAPPING=PRECISE", "FS=MRC", "CURRENCY=USD", "XLFILL=b")</f>
        <v>1.5027999981113171</v>
      </c>
      <c r="G308" s="9">
        <f>_xll.BQL("LUV US Equity", "FA_GROWTH(BS_ADD_PAID_IN_CAP, YOY)", "FPT=A", "FPO=3A", "ACT_EST_MAPPING=PRECISE", "FS=MRC", "CURRENCY=USD", "XLFILL=b")</f>
        <v>0.83417650286986478</v>
      </c>
      <c r="H308" s="9">
        <f>_xll.BQL("LUV US Equity", "FA_GROWTH(BS_ADD_PAID_IN_CAP, YOY)", "FPT=A", "FPO=2A", "ACT_EST_MAPPING=PRECISE", "FS=MRC", "CURRENCY=USD", "XLFILL=b")</f>
        <v>-0.19058480077089499</v>
      </c>
      <c r="I308" s="9">
        <f>_xll.BQL("LUV US Equity", "FA_GROWTH(BS_ADD_PAID_IN_CAP, YOY)", "FPT=A", "FPO=1A", "ACT_EST_MAPPING=PRECISE", "FS=MRC", "CURRENCY=USD", "XLFILL=b")</f>
        <v>-2.1561545790769552</v>
      </c>
      <c r="J308" s="9">
        <f>_xll.BQL("LUV US Equity", "FA_GROWTH(BS_ADD_PAID_IN_CAP, YOY)", "FPT=A", "FPO=0A", "ACT_EST_MAPPING=PRECISE", "FS=MRC", "CURRENCY=USD", "XLFILL=b")</f>
        <v>2.8734208570720834</v>
      </c>
      <c r="K308" s="9">
        <f>_xll.BQL("LUV US Equity", "FA_GROWTH(BS_ADD_PAID_IN_CAP, YOY)", "FPT=A", "FPO=-1A", "ACT_EST_MAPPING=PRECISE", "FS=MRC", "CURRENCY=USD", "XLFILL=b")</f>
        <v>-4.427083333333333</v>
      </c>
      <c r="L308" s="9">
        <f>_xll.BQL("LUV US Equity", "FA_GROWTH(BS_ADD_PAID_IN_CAP, YOY)", "FPT=A", "FPO=-2A", "ACT_EST_MAPPING=PRECISE", "FS=MRC", "CURRENCY=USD", "XLFILL=b")</f>
        <v>0.78740157480314965</v>
      </c>
      <c r="M308" s="9">
        <f>_xll.BQL("LUV US Equity", "FA_GROWTH(BS_ADD_PAID_IN_CAP, YOY)", "FPT=A", "FPO=-3A", "ACT_EST_MAPPING=PRECISE", "FS=MRC", "CURRENCY=USD", "XLFILL=b")</f>
        <v>165.08538899430741</v>
      </c>
      <c r="N308" s="9">
        <f>_xll.BQL("LUV US Equity", "FA_GROWTH(BS_ADD_PAID_IN_CAP, YOY)", "FPT=A", "FPO=-4A", "ACT_EST_MAPPING=PRECISE", "FS=MRC", "CURRENCY=USD", "XLFILL=b")</f>
        <v>4.701986754966887</v>
      </c>
    </row>
    <row r="309" spans="1:14" x14ac:dyDescent="0.2">
      <c r="A309" s="8" t="s">
        <v>325</v>
      </c>
      <c r="B309" s="4" t="s">
        <v>326</v>
      </c>
      <c r="C309" s="4" t="s">
        <v>327</v>
      </c>
      <c r="D309" s="4"/>
      <c r="E309" s="9" t="str">
        <f>_xll.BQL("LUV US Equity", "BS_PURE_RETAINED_EARNINGS/1M", "FPT=A", "FPO=5A", "ACT_EST_MAPPING=PRECISE", "FS=MRC", "CURRENCY=USD", "XLFILL=b")</f>
        <v/>
      </c>
      <c r="F309" s="9">
        <f>_xll.BQL("LUV US Equity", "BS_PURE_RETAINED_EARNINGS/1M", "FPT=A", "FPO=4A", "ACT_EST_MAPPING=PRECISE", "FS=MRC", "CURRENCY=USD", "XLFILL=b")</f>
        <v>17761.343738858835</v>
      </c>
      <c r="G309" s="9">
        <f>_xll.BQL("LUV US Equity", "BS_PURE_RETAINED_EARNINGS/1M", "FPT=A", "FPO=3A", "ACT_EST_MAPPING=PRECISE", "FS=MRC", "CURRENCY=USD", "XLFILL=b")</f>
        <v>16688.797109288578</v>
      </c>
      <c r="H309" s="9">
        <f>_xll.BQL("LUV US Equity", "BS_PURE_RETAINED_EARNINGS/1M", "FPT=A", "FPO=2A", "ACT_EST_MAPPING=PRECISE", "FS=MRC", "CURRENCY=USD", "XLFILL=b")</f>
        <v>16249.90427782394</v>
      </c>
      <c r="I309" s="9">
        <f>_xll.BQL("LUV US Equity", "BS_PURE_RETAINED_EARNINGS/1M", "FPT=A", "FPO=1A", "ACT_EST_MAPPING=PRECISE", "FS=MRC", "CURRENCY=USD", "XLFILL=b")</f>
        <v>16005.568523338025</v>
      </c>
      <c r="J309" s="9">
        <f>_xll.BQL("LUV US Equity", "BS_PURE_RETAINED_EARNINGS/1M", "FPT=A", "FPO=0A", "ACT_EST_MAPPING=PRECISE", "FS=MRC", "CURRENCY=USD", "XLFILL=b")</f>
        <v>16297</v>
      </c>
      <c r="K309" s="9">
        <f>_xll.BQL("LUV US Equity", "BS_PURE_RETAINED_EARNINGS/1M", "FPT=A", "FPO=-1A", "ACT_EST_MAPPING=PRECISE", "FS=MRC", "CURRENCY=USD", "XLFILL=b")</f>
        <v>16261</v>
      </c>
      <c r="L309" s="9">
        <f>_xll.BQL("LUV US Equity", "BS_PURE_RETAINED_EARNINGS/1M", "FPT=A", "FPO=-2A", "ACT_EST_MAPPING=PRECISE", "FS=MRC", "CURRENCY=USD", "XLFILL=b")</f>
        <v>15774</v>
      </c>
      <c r="M309" s="9">
        <f>_xll.BQL("LUV US Equity", "BS_PURE_RETAINED_EARNINGS/1M", "FPT=A", "FPO=-3A", "ACT_EST_MAPPING=PRECISE", "FS=MRC", "CURRENCY=USD", "XLFILL=b")</f>
        <v>14777</v>
      </c>
      <c r="N309" s="9">
        <f>_xll.BQL("LUV US Equity", "BS_PURE_RETAINED_EARNINGS/1M", "FPT=A", "FPO=-4A", "ACT_EST_MAPPING=PRECISE", "FS=MRC", "CURRENCY=USD", "XLFILL=b")</f>
        <v>17945</v>
      </c>
    </row>
    <row r="310" spans="1:14" x14ac:dyDescent="0.2">
      <c r="A310" s="8" t="s">
        <v>111</v>
      </c>
      <c r="B310" s="4" t="s">
        <v>326</v>
      </c>
      <c r="C310" s="4" t="s">
        <v>327</v>
      </c>
      <c r="D310" s="4"/>
      <c r="E310" s="9" t="str">
        <f>_xll.BQL("LUV US Equity", "FA_GROWTH(BS_PURE_RETAINED_EARNINGS, YOY)", "FPT=A", "FPO=5A", "ACT_EST_MAPPING=PRECISE", "FS=MRC", "CURRENCY=USD", "XLFILL=b")</f>
        <v/>
      </c>
      <c r="F310" s="9">
        <f>_xll.BQL("LUV US Equity", "FA_GROWTH(BS_PURE_RETAINED_EARNINGS, YOY)", "FPT=A", "FPO=4A", "ACT_EST_MAPPING=PRECISE", "FS=MRC", "CURRENCY=USD", "XLFILL=b")</f>
        <v>6.4267461731756912</v>
      </c>
      <c r="G310" s="9">
        <f>_xll.BQL("LUV US Equity", "FA_GROWTH(BS_PURE_RETAINED_EARNINGS, YOY)", "FPT=A", "FPO=3A", "ACT_EST_MAPPING=PRECISE", "FS=MRC", "CURRENCY=USD", "XLFILL=b")</f>
        <v>2.700894872738357</v>
      </c>
      <c r="H310" s="9">
        <f>_xll.BQL("LUV US Equity", "FA_GROWTH(BS_PURE_RETAINED_EARNINGS, YOY)", "FPT=A", "FPO=2A", "ACT_EST_MAPPING=PRECISE", "FS=MRC", "CURRENCY=USD", "XLFILL=b")</f>
        <v>1.5265671702298205</v>
      </c>
      <c r="I310" s="9">
        <f>_xll.BQL("LUV US Equity", "FA_GROWTH(BS_PURE_RETAINED_EARNINGS, YOY)", "FPT=A", "FPO=1A", "ACT_EST_MAPPING=PRECISE", "FS=MRC", "CURRENCY=USD", "XLFILL=b")</f>
        <v>-1.7882522958948019</v>
      </c>
      <c r="J310" s="9">
        <f>_xll.BQL("LUV US Equity", "FA_GROWTH(BS_PURE_RETAINED_EARNINGS, YOY)", "FPT=A", "FPO=0A", "ACT_EST_MAPPING=PRECISE", "FS=MRC", "CURRENCY=USD", "XLFILL=b")</f>
        <v>0.2213885984871779</v>
      </c>
      <c r="K310" s="9">
        <f>_xll.BQL("LUV US Equity", "FA_GROWTH(BS_PURE_RETAINED_EARNINGS, YOY)", "FPT=A", "FPO=-1A", "ACT_EST_MAPPING=PRECISE", "FS=MRC", "CURRENCY=USD", "XLFILL=b")</f>
        <v>3.0873589450995307</v>
      </c>
      <c r="L310" s="9">
        <f>_xll.BQL("LUV US Equity", "FA_GROWTH(BS_PURE_RETAINED_EARNINGS, YOY)", "FPT=A", "FPO=-2A", "ACT_EST_MAPPING=PRECISE", "FS=MRC", "CURRENCY=USD", "XLFILL=b")</f>
        <v>6.7469716451241792</v>
      </c>
      <c r="M310" s="9">
        <f>_xll.BQL("LUV US Equity", "FA_GROWTH(BS_PURE_RETAINED_EARNINGS, YOY)", "FPT=A", "FPO=-3A", "ACT_EST_MAPPING=PRECISE", "FS=MRC", "CURRENCY=USD", "XLFILL=b")</f>
        <v>-17.65394260239621</v>
      </c>
      <c r="N310" s="9">
        <f>_xll.BQL("LUV US Equity", "FA_GROWTH(BS_PURE_RETAINED_EARNINGS, YOY)", "FPT=A", "FPO=-4A", "ACT_EST_MAPPING=PRECISE", "FS=MRC", "CURRENCY=USD", "XLFILL=b")</f>
        <v>12.388050353854826</v>
      </c>
    </row>
    <row r="311" spans="1:14" x14ac:dyDescent="0.2">
      <c r="A311" s="8" t="s">
        <v>328</v>
      </c>
      <c r="B311" s="4" t="s">
        <v>329</v>
      </c>
      <c r="C311" s="4" t="s">
        <v>330</v>
      </c>
      <c r="D311" s="4"/>
      <c r="E311" s="9">
        <f>_xll.BQL("LUV US Equity", "BS_COMMON_STOCK/1M", "FPT=A", "FPO=5A", "ACT_EST_MAPPING=PRECISE", "FS=MRC", "CURRENCY=USD", "XLFILL=b")</f>
        <v>888</v>
      </c>
      <c r="F311" s="9">
        <f>_xll.BQL("LUV US Equity", "BS_COMMON_STOCK/1M", "FPT=A", "FPO=4A", "ACT_EST_MAPPING=PRECISE", "FS=MRC", "CURRENCY=USD", "XLFILL=b")</f>
        <v>888</v>
      </c>
      <c r="G311" s="9">
        <f>_xll.BQL("LUV US Equity", "BS_COMMON_STOCK/1M", "FPT=A", "FPO=3A", "ACT_EST_MAPPING=PRECISE", "FS=MRC", "CURRENCY=USD", "XLFILL=b")</f>
        <v>888</v>
      </c>
      <c r="H311" s="9">
        <f>_xll.BQL("LUV US Equity", "BS_COMMON_STOCK/1M", "FPT=A", "FPO=2A", "ACT_EST_MAPPING=PRECISE", "FS=MRC", "CURRENCY=USD", "XLFILL=b")</f>
        <v>888</v>
      </c>
      <c r="I311" s="9">
        <f>_xll.BQL("LUV US Equity", "BS_COMMON_STOCK/1M", "FPT=A", "FPO=1A", "ACT_EST_MAPPING=PRECISE", "FS=MRC", "CURRENCY=USD", "XLFILL=b")</f>
        <v>888</v>
      </c>
      <c r="J311" s="9">
        <f>_xll.BQL("LUV US Equity", "BS_COMMON_STOCK/1M", "FPT=A", "FPO=0A", "ACT_EST_MAPPING=PRECISE", "FS=MRC", "CURRENCY=USD", "XLFILL=b")</f>
        <v>888</v>
      </c>
      <c r="K311" s="9">
        <f>_xll.BQL("LUV US Equity", "BS_COMMON_STOCK/1M", "FPT=A", "FPO=-1A", "ACT_EST_MAPPING=PRECISE", "FS=MRC", "CURRENCY=USD", "XLFILL=b")</f>
        <v>888</v>
      </c>
      <c r="L311" s="9">
        <f>_xll.BQL("LUV US Equity", "BS_COMMON_STOCK/1M", "FPT=A", "FPO=-2A", "ACT_EST_MAPPING=PRECISE", "FS=MRC", "CURRENCY=USD", "XLFILL=b")</f>
        <v>888</v>
      </c>
      <c r="M311" s="9">
        <f>_xll.BQL("LUV US Equity", "BS_COMMON_STOCK/1M", "FPT=A", "FPO=-3A", "ACT_EST_MAPPING=PRECISE", "FS=MRC", "CURRENCY=USD", "XLFILL=b")</f>
        <v>888</v>
      </c>
      <c r="N311" s="9">
        <f>_xll.BQL("LUV US Equity", "BS_COMMON_STOCK/1M", "FPT=A", "FPO=-4A", "ACT_EST_MAPPING=PRECISE", "FS=MRC", "CURRENCY=USD", "XLFILL=b")</f>
        <v>808</v>
      </c>
    </row>
    <row r="312" spans="1:14" x14ac:dyDescent="0.2">
      <c r="A312" s="8" t="s">
        <v>111</v>
      </c>
      <c r="B312" s="4" t="s">
        <v>329</v>
      </c>
      <c r="C312" s="4" t="s">
        <v>330</v>
      </c>
      <c r="D312" s="4"/>
      <c r="E312" s="9">
        <f>_xll.BQL("LUV US Equity", "FA_GROWTH(BS_COMMON_STOCK, YOY)", "FPT=A", "FPO=5A", "ACT_EST_MAPPING=PRECISE", "FS=MRC", "CURRENCY=USD", "XLFILL=b")</f>
        <v>0</v>
      </c>
      <c r="F312" s="9">
        <f>_xll.BQL("LUV US Equity", "FA_GROWTH(BS_COMMON_STOCK, YOY)", "FPT=A", "FPO=4A", "ACT_EST_MAPPING=PRECISE", "FS=MRC", "CURRENCY=USD", "XLFILL=b")</f>
        <v>0</v>
      </c>
      <c r="G312" s="9">
        <f>_xll.BQL("LUV US Equity", "FA_GROWTH(BS_COMMON_STOCK, YOY)", "FPT=A", "FPO=3A", "ACT_EST_MAPPING=PRECISE", "FS=MRC", "CURRENCY=USD", "XLFILL=b")</f>
        <v>0</v>
      </c>
      <c r="H312" s="9">
        <f>_xll.BQL("LUV US Equity", "FA_GROWTH(BS_COMMON_STOCK, YOY)", "FPT=A", "FPO=2A", "ACT_EST_MAPPING=PRECISE", "FS=MRC", "CURRENCY=USD", "XLFILL=b")</f>
        <v>0</v>
      </c>
      <c r="I312" s="9">
        <f>_xll.BQL("LUV US Equity", "FA_GROWTH(BS_COMMON_STOCK, YOY)", "FPT=A", "FPO=1A", "ACT_EST_MAPPING=PRECISE", "FS=MRC", "CURRENCY=USD", "XLFILL=b")</f>
        <v>0</v>
      </c>
      <c r="J312" s="9">
        <f>_xll.BQL("LUV US Equity", "FA_GROWTH(BS_COMMON_STOCK, YOY)", "FPT=A", "FPO=0A", "ACT_EST_MAPPING=PRECISE", "FS=MRC", "CURRENCY=USD", "XLFILL=b")</f>
        <v>0</v>
      </c>
      <c r="K312" s="9">
        <f>_xll.BQL("LUV US Equity", "FA_GROWTH(BS_COMMON_STOCK, YOY)", "FPT=A", "FPO=-1A", "ACT_EST_MAPPING=PRECISE", "FS=MRC", "CURRENCY=USD", "XLFILL=b")</f>
        <v>0</v>
      </c>
      <c r="L312" s="9">
        <f>_xll.BQL("LUV US Equity", "FA_GROWTH(BS_COMMON_STOCK, YOY)", "FPT=A", "FPO=-2A", "ACT_EST_MAPPING=PRECISE", "FS=MRC", "CURRENCY=USD", "XLFILL=b")</f>
        <v>0</v>
      </c>
      <c r="M312" s="9">
        <f>_xll.BQL("LUV US Equity", "FA_GROWTH(BS_COMMON_STOCK, YOY)", "FPT=A", "FPO=-3A", "ACT_EST_MAPPING=PRECISE", "FS=MRC", "CURRENCY=USD", "XLFILL=b")</f>
        <v>9.9009900990099009</v>
      </c>
      <c r="N312" s="9">
        <f>_xll.BQL("LUV US Equity", "FA_GROWTH(BS_COMMON_STOCK, YOY)", "FPT=A", "FPO=-4A", "ACT_EST_MAPPING=PRECISE", "FS=MRC", "CURRENCY=USD", "XLFILL=b")</f>
        <v>0</v>
      </c>
    </row>
    <row r="313" spans="1:14" x14ac:dyDescent="0.2">
      <c r="A313" s="8" t="s">
        <v>331</v>
      </c>
      <c r="B313" s="4" t="s">
        <v>332</v>
      </c>
      <c r="C313" s="4" t="s">
        <v>333</v>
      </c>
      <c r="D313" s="4"/>
      <c r="E313" s="9" t="str">
        <f>_xll.BQL("LUV US Equity", "BS_AMT_OF_TSY_STOCK/1M", "FPT=A", "FPO=5A", "ACT_EST_MAPPING=PRECISE", "FS=MRC", "CURRENCY=USD", "XLFILL=b")</f>
        <v/>
      </c>
      <c r="F313" s="9">
        <f>_xll.BQL("LUV US Equity", "BS_AMT_OF_TSY_STOCK/1M", "FPT=A", "FPO=4A", "ACT_EST_MAPPING=PRECISE", "FS=MRC", "CURRENCY=USD", "XLFILL=b")</f>
        <v>10803</v>
      </c>
      <c r="G313" s="9">
        <f>_xll.BQL("LUV US Equity", "BS_AMT_OF_TSY_STOCK/1M", "FPT=A", "FPO=3A", "ACT_EST_MAPPING=PRECISE", "FS=MRC", "CURRENCY=USD", "XLFILL=b")</f>
        <v>10538.921369710866</v>
      </c>
      <c r="H313" s="9">
        <f>_xll.BQL("LUV US Equity", "BS_AMT_OF_TSY_STOCK/1M", "FPT=A", "FPO=2A", "ACT_EST_MAPPING=PRECISE", "FS=MRC", "CURRENCY=USD", "XLFILL=b")</f>
        <v>10678.973687430294</v>
      </c>
      <c r="I313" s="9">
        <f>_xll.BQL("LUV US Equity", "BS_AMT_OF_TSY_STOCK/1M", "FPT=A", "FPO=1A", "ACT_EST_MAPPING=PRECISE", "FS=MRC", "CURRENCY=USD", "XLFILL=b")</f>
        <v>10763.89603</v>
      </c>
      <c r="J313" s="9">
        <f>_xll.BQL("LUV US Equity", "BS_AMT_OF_TSY_STOCK/1M", "FPT=A", "FPO=0A", "ACT_EST_MAPPING=PRECISE", "FS=MRC", "CURRENCY=USD", "XLFILL=b")</f>
        <v>10823</v>
      </c>
      <c r="K313" s="9">
        <f>_xll.BQL("LUV US Equity", "BS_AMT_OF_TSY_STOCK/1M", "FPT=A", "FPO=-1A", "ACT_EST_MAPPING=PRECISE", "FS=MRC", "CURRENCY=USD", "XLFILL=b")</f>
        <v>10843</v>
      </c>
      <c r="L313" s="9">
        <f>_xll.BQL("LUV US Equity", "BS_AMT_OF_TSY_STOCK/1M", "FPT=A", "FPO=-2A", "ACT_EST_MAPPING=PRECISE", "FS=MRC", "CURRENCY=USD", "XLFILL=b")</f>
        <v>10860</v>
      </c>
      <c r="M313" s="9">
        <f>_xll.BQL("LUV US Equity", "BS_AMT_OF_TSY_STOCK/1M", "FPT=A", "FPO=-3A", "ACT_EST_MAPPING=PRECISE", "FS=MRC", "CURRENCY=USD", "XLFILL=b")</f>
        <v>10875</v>
      </c>
      <c r="N313" s="9">
        <f>_xll.BQL("LUV US Equity", "BS_AMT_OF_TSY_STOCK/1M", "FPT=A", "FPO=-4A", "ACT_EST_MAPPING=PRECISE", "FS=MRC", "CURRENCY=USD", "XLFILL=b")</f>
        <v>10441</v>
      </c>
    </row>
    <row r="314" spans="1:14" x14ac:dyDescent="0.2">
      <c r="A314" s="8" t="s">
        <v>111</v>
      </c>
      <c r="B314" s="4" t="s">
        <v>332</v>
      </c>
      <c r="C314" s="4" t="s">
        <v>333</v>
      </c>
      <c r="D314" s="4"/>
      <c r="E314" s="9" t="str">
        <f>_xll.BQL("LUV US Equity", "FA_GROWTH(BS_AMT_OF_TSY_STOCK, YOY)", "FPT=A", "FPO=5A", "ACT_EST_MAPPING=PRECISE", "FS=MRC", "CURRENCY=USD", "XLFILL=b")</f>
        <v/>
      </c>
      <c r="F314" s="9">
        <f>_xll.BQL("LUV US Equity", "FA_GROWTH(BS_AMT_OF_TSY_STOCK, YOY)", "FPT=A", "FPO=4A", "ACT_EST_MAPPING=PRECISE", "FS=MRC", "CURRENCY=USD", "XLFILL=b")</f>
        <v>2.5057462810957287</v>
      </c>
      <c r="G314" s="9">
        <f>_xll.BQL("LUV US Equity", "FA_GROWTH(BS_AMT_OF_TSY_STOCK, YOY)", "FPT=A", "FPO=3A", "ACT_EST_MAPPING=PRECISE", "FS=MRC", "CURRENCY=USD", "XLFILL=b")</f>
        <v>-1.311477318127265</v>
      </c>
      <c r="H314" s="9">
        <f>_xll.BQL("LUV US Equity", "FA_GROWTH(BS_AMT_OF_TSY_STOCK, YOY)", "FPT=A", "FPO=2A", "ACT_EST_MAPPING=PRECISE", "FS=MRC", "CURRENCY=USD", "XLFILL=b")</f>
        <v>-0.78895543335813845</v>
      </c>
      <c r="I314" s="9">
        <f>_xll.BQL("LUV US Equity", "FA_GROWTH(BS_AMT_OF_TSY_STOCK, YOY)", "FPT=A", "FPO=1A", "ACT_EST_MAPPING=PRECISE", "FS=MRC", "CURRENCY=USD", "XLFILL=b")</f>
        <v>-0.54609599926083341</v>
      </c>
      <c r="J314" s="9">
        <f>_xll.BQL("LUV US Equity", "FA_GROWTH(BS_AMT_OF_TSY_STOCK, YOY)", "FPT=A", "FPO=0A", "ACT_EST_MAPPING=PRECISE", "FS=MRC", "CURRENCY=USD", "XLFILL=b")</f>
        <v>-0.18445079774970027</v>
      </c>
      <c r="K314" s="9">
        <f>_xll.BQL("LUV US Equity", "FA_GROWTH(BS_AMT_OF_TSY_STOCK, YOY)", "FPT=A", "FPO=-1A", "ACT_EST_MAPPING=PRECISE", "FS=MRC", "CURRENCY=USD", "XLFILL=b")</f>
        <v>-0.15653775322283608</v>
      </c>
      <c r="L314" s="9">
        <f>_xll.BQL("LUV US Equity", "FA_GROWTH(BS_AMT_OF_TSY_STOCK, YOY)", "FPT=A", "FPO=-2A", "ACT_EST_MAPPING=PRECISE", "FS=MRC", "CURRENCY=USD", "XLFILL=b")</f>
        <v>-0.13793103448275862</v>
      </c>
      <c r="M314" s="9">
        <f>_xll.BQL("LUV US Equity", "FA_GROWTH(BS_AMT_OF_TSY_STOCK, YOY)", "FPT=A", "FPO=-3A", "ACT_EST_MAPPING=PRECISE", "FS=MRC", "CURRENCY=USD", "XLFILL=b")</f>
        <v>4.1566899722248829</v>
      </c>
      <c r="N314" s="9">
        <f>_xll.BQL("LUV US Equity", "FA_GROWTH(BS_AMT_OF_TSY_STOCK, YOY)", "FPT=A", "FPO=-4A", "ACT_EST_MAPPING=PRECISE", "FS=MRC", "CURRENCY=USD", "XLFILL=b")</f>
        <v>23.532891623284431</v>
      </c>
    </row>
    <row r="315" spans="1:14" x14ac:dyDescent="0.2">
      <c r="A315" s="8" t="s">
        <v>334</v>
      </c>
      <c r="B315" s="4" t="s">
        <v>335</v>
      </c>
      <c r="C315" s="4"/>
      <c r="D315" s="4"/>
      <c r="E315" s="9" t="str">
        <f>_xll.BQL("LUV US Equity", "BS_ACCUMULATED_OTHER_COMP_INC/1M", "FPT=A", "FPO=5A", "ACT_EST_MAPPING=PRECISE", "FS=MRC", "CURRENCY=USD", "XLFILL=b")</f>
        <v/>
      </c>
      <c r="F315" s="9">
        <f>_xll.BQL("LUV US Equity", "BS_ACCUMULATED_OTHER_COMP_INC/1M", "FPT=A", "FPO=4A", "ACT_EST_MAPPING=PRECISE", "FS=MRC", "CURRENCY=USD", "XLFILL=b")</f>
        <v>11</v>
      </c>
      <c r="G315" s="9">
        <f>_xll.BQL("LUV US Equity", "BS_ACCUMULATED_OTHER_COMP_INC/1M", "FPT=A", "FPO=3A", "ACT_EST_MAPPING=PRECISE", "FS=MRC", "CURRENCY=USD", "XLFILL=b")</f>
        <v>171.74738657908406</v>
      </c>
      <c r="H315" s="9">
        <f>_xll.BQL("LUV US Equity", "BS_ACCUMULATED_OTHER_COMP_INC/1M", "FPT=A", "FPO=2A", "ACT_EST_MAPPING=PRECISE", "FS=MRC", "CURRENCY=USD", "XLFILL=b")</f>
        <v>10.782731735279283</v>
      </c>
      <c r="I315" s="9">
        <f>_xll.BQL("LUV US Equity", "BS_ACCUMULATED_OTHER_COMP_INC/1M", "FPT=A", "FPO=1A", "ACT_EST_MAPPING=PRECISE", "FS=MRC", "CURRENCY=USD", "XLFILL=b")</f>
        <v>10.92685</v>
      </c>
      <c r="J315" s="9">
        <f>_xll.BQL("LUV US Equity", "BS_ACCUMULATED_OTHER_COMP_INC/1M", "FPT=A", "FPO=0A", "ACT_EST_MAPPING=PRECISE", "FS=MRC", "CURRENCY=USD", "XLFILL=b")</f>
        <v>0</v>
      </c>
      <c r="K315" s="9">
        <f>_xll.BQL("LUV US Equity", "BS_ACCUMULATED_OTHER_COMP_INC/1M", "FPT=A", "FPO=-1A", "ACT_EST_MAPPING=PRECISE", "FS=MRC", "CURRENCY=USD", "XLFILL=b")</f>
        <v>344</v>
      </c>
      <c r="L315" s="9">
        <f>_xll.BQL("LUV US Equity", "BS_ACCUMULATED_OTHER_COMP_INC/1M", "FPT=A", "FPO=-2A", "ACT_EST_MAPPING=PRECISE", "FS=MRC", "CURRENCY=USD", "XLFILL=b")</f>
        <v>388</v>
      </c>
      <c r="M315" s="9">
        <f>_xll.BQL("LUV US Equity", "BS_ACCUMULATED_OTHER_COMP_INC/1M", "FPT=A", "FPO=-3A", "ACT_EST_MAPPING=PRECISE", "FS=MRC", "CURRENCY=USD", "XLFILL=b")</f>
        <v>-105</v>
      </c>
      <c r="N315" s="9">
        <f>_xll.BQL("LUV US Equity", "BS_ACCUMULATED_OTHER_COMP_INC/1M", "FPT=A", "FPO=-4A", "ACT_EST_MAPPING=PRECISE", "FS=MRC", "CURRENCY=USD", "XLFILL=b")</f>
        <v>-61</v>
      </c>
    </row>
    <row r="316" spans="1:14" x14ac:dyDescent="0.2">
      <c r="A316" s="8" t="s">
        <v>111</v>
      </c>
      <c r="B316" s="4" t="s">
        <v>335</v>
      </c>
      <c r="C316" s="4"/>
      <c r="D316" s="4"/>
      <c r="E316" s="9" t="str">
        <f>_xll.BQL("LUV US Equity", "FA_GROWTH(BS_ACCUMULATED_OTHER_COMP_INC, YOY)", "FPT=A", "FPO=5A", "ACT_EST_MAPPING=PRECISE", "FS=MRC", "CURRENCY=USD", "XLFILL=b")</f>
        <v/>
      </c>
      <c r="F316" s="9">
        <f>_xll.BQL("LUV US Equity", "FA_GROWTH(BS_ACCUMULATED_OTHER_COMP_INC, YOY)", "FPT=A", "FPO=4A", "ACT_EST_MAPPING=PRECISE", "FS=MRC", "CURRENCY=USD", "XLFILL=b")</f>
        <v>-93.595244609480645</v>
      </c>
      <c r="G316" s="9">
        <f>_xll.BQL("LUV US Equity", "FA_GROWTH(BS_ACCUMULATED_OTHER_COMP_INC, YOY)", "FPT=A", "FPO=3A", "ACT_EST_MAPPING=PRECISE", "FS=MRC", "CURRENCY=USD", "XLFILL=b")</f>
        <v>1492.8003292259932</v>
      </c>
      <c r="H316" s="9">
        <f>_xll.BQL("LUV US Equity", "FA_GROWTH(BS_ACCUMULATED_OTHER_COMP_INC, YOY)", "FPT=A", "FPO=2A", "ACT_EST_MAPPING=PRECISE", "FS=MRC", "CURRENCY=USD", "XLFILL=b")</f>
        <v>-1.3189369737913255</v>
      </c>
      <c r="I316" s="9" t="str">
        <f>_xll.BQL("LUV US Equity", "FA_GROWTH(BS_ACCUMULATED_OTHER_COMP_INC, YOY)", "FPT=A", "FPO=1A", "ACT_EST_MAPPING=PRECISE", "FS=MRC", "CURRENCY=USD", "XLFILL=b")</f>
        <v/>
      </c>
      <c r="J316" s="9">
        <f>_xll.BQL("LUV US Equity", "FA_GROWTH(BS_ACCUMULATED_OTHER_COMP_INC, YOY)", "FPT=A", "FPO=0A", "ACT_EST_MAPPING=PRECISE", "FS=MRC", "CURRENCY=USD", "XLFILL=b")</f>
        <v>-100</v>
      </c>
      <c r="K316" s="9">
        <f>_xll.BQL("LUV US Equity", "FA_GROWTH(BS_ACCUMULATED_OTHER_COMP_INC, YOY)", "FPT=A", "FPO=-1A", "ACT_EST_MAPPING=PRECISE", "FS=MRC", "CURRENCY=USD", "XLFILL=b")</f>
        <v>-11.340206185567011</v>
      </c>
      <c r="L316" s="9">
        <f>_xll.BQL("LUV US Equity", "FA_GROWTH(BS_ACCUMULATED_OTHER_COMP_INC, YOY)", "FPT=A", "FPO=-2A", "ACT_EST_MAPPING=PRECISE", "FS=MRC", "CURRENCY=USD", "XLFILL=b")</f>
        <v>469.52380952380952</v>
      </c>
      <c r="M316" s="9">
        <f>_xll.BQL("LUV US Equity", "FA_GROWTH(BS_ACCUMULATED_OTHER_COMP_INC, YOY)", "FPT=A", "FPO=-3A", "ACT_EST_MAPPING=PRECISE", "FS=MRC", "CURRENCY=USD", "XLFILL=b")</f>
        <v>-72.131147540983605</v>
      </c>
      <c r="N316" s="9">
        <f>_xll.BQL("LUV US Equity", "FA_GROWTH(BS_ACCUMULATED_OTHER_COMP_INC, YOY)", "FPT=A", "FPO=-4A", "ACT_EST_MAPPING=PRECISE", "FS=MRC", "CURRENCY=USD", "XLFILL=b")</f>
        <v>-405</v>
      </c>
    </row>
    <row r="317" spans="1:14" x14ac:dyDescent="0.2">
      <c r="A317" s="8" t="s">
        <v>336</v>
      </c>
      <c r="B317" s="4" t="s">
        <v>271</v>
      </c>
      <c r="C317" s="4" t="s">
        <v>337</v>
      </c>
      <c r="D317" s="4"/>
      <c r="E317" s="9">
        <f>_xll.BQL("LUV US Equity", "BS_TOT_ASSET/1M", "FPT=A", "FPO=5A", "ACT_EST_MAPPING=PRECISE", "FS=MRC", "CURRENCY=USD", "XLFILL=b")</f>
        <v>39403.367677031609</v>
      </c>
      <c r="F317" s="9">
        <f>_xll.BQL("LUV US Equity", "BS_TOT_ASSET/1M", "FPT=A", "FPO=4A", "ACT_EST_MAPPING=PRECISE", "FS=MRC", "CURRENCY=USD", "XLFILL=b")</f>
        <v>37932.478026592144</v>
      </c>
      <c r="G317" s="9">
        <f>_xll.BQL("LUV US Equity", "BS_TOT_ASSET/1M", "FPT=A", "FPO=3A", "ACT_EST_MAPPING=PRECISE", "FS=MRC", "CURRENCY=USD", "XLFILL=b")</f>
        <v>35753.735125726533</v>
      </c>
      <c r="H317" s="9">
        <f>_xll.BQL("LUV US Equity", "BS_TOT_ASSET/1M", "FPT=A", "FPO=2A", "ACT_EST_MAPPING=PRECISE", "FS=MRC", "CURRENCY=USD", "XLFILL=b")</f>
        <v>35216.277099612264</v>
      </c>
      <c r="I317" s="9">
        <f>_xll.BQL("LUV US Equity", "BS_TOT_ASSET/1M", "FPT=A", "FPO=1A", "ACT_EST_MAPPING=PRECISE", "FS=MRC", "CURRENCY=USD", "XLFILL=b")</f>
        <v>35388.182852315149</v>
      </c>
      <c r="J317" s="9">
        <f>_xll.BQL("LUV US Equity", "BS_TOT_ASSET/1M", "FPT=A", "FPO=0A", "ACT_EST_MAPPING=PRECISE", "FS=MRC", "CURRENCY=USD", "XLFILL=b")</f>
        <v>36487</v>
      </c>
      <c r="K317" s="9">
        <f>_xll.BQL("LUV US Equity", "BS_TOT_ASSET/1M", "FPT=A", "FPO=-1A", "ACT_EST_MAPPING=PRECISE", "FS=MRC", "CURRENCY=USD", "XLFILL=b")</f>
        <v>35369</v>
      </c>
      <c r="L317" s="9">
        <f>_xll.BQL("LUV US Equity", "BS_TOT_ASSET/1M", "FPT=A", "FPO=-2A", "ACT_EST_MAPPING=PRECISE", "FS=MRC", "CURRENCY=USD", "XLFILL=b")</f>
        <v>36320</v>
      </c>
      <c r="M317" s="9">
        <f>_xll.BQL("LUV US Equity", "BS_TOT_ASSET/1M", "FPT=A", "FPO=-3A", "ACT_EST_MAPPING=PRECISE", "FS=MRC", "CURRENCY=USD", "XLFILL=b")</f>
        <v>34588</v>
      </c>
      <c r="N317" s="9">
        <f>_xll.BQL("LUV US Equity", "BS_TOT_ASSET/1M", "FPT=A", "FPO=-4A", "ACT_EST_MAPPING=PRECISE", "FS=MRC", "CURRENCY=USD", "XLFILL=b")</f>
        <v>25895</v>
      </c>
    </row>
    <row r="318" spans="1:14" x14ac:dyDescent="0.2">
      <c r="A318" s="8" t="s">
        <v>21</v>
      </c>
      <c r="B318" s="4" t="s">
        <v>271</v>
      </c>
      <c r="C318" s="4" t="s">
        <v>337</v>
      </c>
      <c r="D318" s="4"/>
      <c r="E318" s="9">
        <f>_xll.BQL("LUV US Equity", "FA_GROWTH(BS_TOT_ASSET, YOY)", "FPT=A", "FPO=5A", "ACT_EST_MAPPING=PRECISE", "FS=MRC", "CURRENCY=USD", "XLFILL=b")</f>
        <v>3.8776524154533685</v>
      </c>
      <c r="F318" s="9">
        <f>_xll.BQL("LUV US Equity", "FA_GROWTH(BS_TOT_ASSET, YOY)", "FPT=A", "FPO=4A", "ACT_EST_MAPPING=PRECISE", "FS=MRC", "CURRENCY=USD", "XLFILL=b")</f>
        <v>6.093749067626498</v>
      </c>
      <c r="G318" s="9">
        <f>_xll.BQL("LUV US Equity", "FA_GROWTH(BS_TOT_ASSET, YOY)", "FPT=A", "FPO=3A", "ACT_EST_MAPPING=PRECISE", "FS=MRC", "CURRENCY=USD", "XLFILL=b")</f>
        <v>1.5261636674257737</v>
      </c>
      <c r="H318" s="9">
        <f>_xll.BQL("LUV US Equity", "FA_GROWTH(BS_TOT_ASSET, YOY)", "FPT=A", "FPO=2A", "ACT_EST_MAPPING=PRECISE", "FS=MRC", "CURRENCY=USD", "XLFILL=b")</f>
        <v>-0.48577163009553775</v>
      </c>
      <c r="I318" s="9">
        <f>_xll.BQL("LUV US Equity", "FA_GROWTH(BS_TOT_ASSET, YOY)", "FPT=A", "FPO=1A", "ACT_EST_MAPPING=PRECISE", "FS=MRC", "CURRENCY=USD", "XLFILL=b")</f>
        <v>-3.0115305387805318</v>
      </c>
      <c r="J318" s="9">
        <f>_xll.BQL("LUV US Equity", "FA_GROWTH(BS_TOT_ASSET, YOY)", "FPT=A", "FPO=0A", "ACT_EST_MAPPING=PRECISE", "FS=MRC", "CURRENCY=USD", "XLFILL=b")</f>
        <v>3.1609601628544772</v>
      </c>
      <c r="K318" s="9">
        <f>_xll.BQL("LUV US Equity", "FA_GROWTH(BS_TOT_ASSET, YOY)", "FPT=A", "FPO=-1A", "ACT_EST_MAPPING=PRECISE", "FS=MRC", "CURRENCY=USD", "XLFILL=b")</f>
        <v>-2.6183920704845813</v>
      </c>
      <c r="L318" s="9">
        <f>_xll.BQL("LUV US Equity", "FA_GROWTH(BS_TOT_ASSET, YOY)", "FPT=A", "FPO=-2A", "ACT_EST_MAPPING=PRECISE", "FS=MRC", "CURRENCY=USD", "XLFILL=b")</f>
        <v>5.0075170579391699</v>
      </c>
      <c r="M318" s="9">
        <f>_xll.BQL("LUV US Equity", "FA_GROWTH(BS_TOT_ASSET, YOY)", "FPT=A", "FPO=-3A", "ACT_EST_MAPPING=PRECISE", "FS=MRC", "CURRENCY=USD", "XLFILL=b")</f>
        <v>33.570187294844565</v>
      </c>
      <c r="N318" s="9">
        <f>_xll.BQL("LUV US Equity", "FA_GROWTH(BS_TOT_ASSET, YOY)", "FPT=A", "FPO=-4A", "ACT_EST_MAPPING=PRECISE", "FS=MRC", "CURRENCY=USD", "XLFILL=b")</f>
        <v>-1.3260679038219716</v>
      </c>
    </row>
    <row r="319" spans="1:14" x14ac:dyDescent="0.2">
      <c r="A319" s="8" t="s">
        <v>16</v>
      </c>
      <c r="B319" s="4"/>
      <c r="C319" s="4"/>
      <c r="D319" s="4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1:14" x14ac:dyDescent="0.2">
      <c r="A320" s="8" t="s">
        <v>338</v>
      </c>
      <c r="B320" s="4"/>
      <c r="C320" s="4" t="s">
        <v>339</v>
      </c>
      <c r="D320" s="4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1:14" x14ac:dyDescent="0.2">
      <c r="A321" s="8" t="s">
        <v>340</v>
      </c>
      <c r="B321" s="4" t="s">
        <v>341</v>
      </c>
      <c r="C321" s="4"/>
      <c r="D321" s="4"/>
      <c r="E321" s="9">
        <f>_xll.BQL("LUV US Equity", "NET_DEBT/1M", "FPT=A", "FPO=5A", "ACT_EST_MAPPING=PRECISE", "FS=MRC", "CURRENCY=USD", "XLFILL=b")</f>
        <v>1678.2581002502723</v>
      </c>
      <c r="F321" s="9">
        <f>_xll.BQL("LUV US Equity", "NET_DEBT/1M", "FPT=A", "FPO=4A", "ACT_EST_MAPPING=PRECISE", "FS=MRC", "CURRENCY=USD", "XLFILL=b")</f>
        <v>680.0073823594588</v>
      </c>
      <c r="G321" s="9">
        <f>_xll.BQL("LUV US Equity", "NET_DEBT/1M", "FPT=A", "FPO=3A", "ACT_EST_MAPPING=PRECISE", "FS=MRC", "CURRENCY=USD", "XLFILL=b")</f>
        <v>1133.6623485735897</v>
      </c>
      <c r="H321" s="9">
        <f>_xll.BQL("LUV US Equity", "NET_DEBT/1M", "FPT=A", "FPO=2A", "ACT_EST_MAPPING=PRECISE", "FS=MRC", "CURRENCY=USD", "XLFILL=b")</f>
        <v>943.36054366639041</v>
      </c>
      <c r="I321" s="9">
        <f>_xll.BQL("LUV US Equity", "NET_DEBT/1M", "FPT=A", "FPO=1A", "ACT_EST_MAPPING=PRECISE", "FS=MRC", "CURRENCY=USD", "XLFILL=b")</f>
        <v>-1922.6472591711301</v>
      </c>
      <c r="J321" s="9">
        <f>_xll.BQL("LUV US Equity", "NET_DEBT/1M", "FPT=A", "FPO=0A", "ACT_EST_MAPPING=PRECISE", "FS=MRC", "CURRENCY=USD", "XLFILL=b")</f>
        <v>-2245</v>
      </c>
      <c r="K321" s="9">
        <f>_xll.BQL("LUV US Equity", "NET_DEBT/1M", "FPT=A", "FPO=-1A", "ACT_EST_MAPPING=PRECISE", "FS=MRC", "CURRENCY=USD", "XLFILL=b")</f>
        <v>-2819</v>
      </c>
      <c r="L321" s="9">
        <f>_xll.BQL("LUV US Equity", "NET_DEBT/1M", "FPT=A", "FPO=-2A", "ACT_EST_MAPPING=PRECISE", "FS=MRC", "CURRENCY=USD", "XLFILL=b")</f>
        <v>-3141</v>
      </c>
      <c r="M321" s="9">
        <f>_xll.BQL("LUV US Equity", "NET_DEBT/1M", "FPT=A", "FPO=-3A", "ACT_EST_MAPPING=PRECISE", "FS=MRC", "CURRENCY=USD", "XLFILL=b")</f>
        <v>-1052</v>
      </c>
      <c r="N321" s="9">
        <f>_xll.BQL("LUV US Equity", "NET_DEBT/1M", "FPT=A", "FPO=-4A", "ACT_EST_MAPPING=PRECISE", "FS=MRC", "CURRENCY=USD", "XLFILL=b")</f>
        <v>9</v>
      </c>
    </row>
    <row r="322" spans="1:14" x14ac:dyDescent="0.2">
      <c r="A322" s="8" t="s">
        <v>21</v>
      </c>
      <c r="B322" s="4" t="s">
        <v>341</v>
      </c>
      <c r="C322" s="4"/>
      <c r="D322" s="4"/>
      <c r="E322" s="9">
        <f>_xll.BQL("LUV US Equity", "FA_GROWTH(NET_DEBT, YOY)", "FPT=A", "FPO=5A", "ACT_EST_MAPPING=PRECISE", "FS=MRC", "CURRENCY=USD", "XLFILL=b")</f>
        <v>146.79998243947415</v>
      </c>
      <c r="F322" s="9">
        <f>_xll.BQL("LUV US Equity", "FA_GROWTH(NET_DEBT, YOY)", "FPT=A", "FPO=4A", "ACT_EST_MAPPING=PRECISE", "FS=MRC", "CURRENCY=USD", "XLFILL=b")</f>
        <v>-40.016762203043456</v>
      </c>
      <c r="G322" s="9">
        <f>_xll.BQL("LUV US Equity", "FA_GROWTH(NET_DEBT, YOY)", "FPT=A", "FPO=3A", "ACT_EST_MAPPING=PRECISE", "FS=MRC", "CURRENCY=USD", "XLFILL=b")</f>
        <v>20.172754328645915</v>
      </c>
      <c r="H322" s="9">
        <f>_xll.BQL("LUV US Equity", "FA_GROWTH(NET_DEBT, YOY)", "FPT=A", "FPO=2A", "ACT_EST_MAPPING=PRECISE", "FS=MRC", "CURRENCY=USD", "XLFILL=b")</f>
        <v>149.06571078842001</v>
      </c>
      <c r="I322" s="9">
        <f>_xll.BQL("LUV US Equity", "FA_GROWTH(NET_DEBT, YOY)", "FPT=A", "FPO=1A", "ACT_EST_MAPPING=PRECISE", "FS=MRC", "CURRENCY=USD", "XLFILL=b")</f>
        <v>14.358696696163467</v>
      </c>
      <c r="J322" s="9">
        <f>_xll.BQL("LUV US Equity", "FA_GROWTH(NET_DEBT, YOY)", "FPT=A", "FPO=0A", "ACT_EST_MAPPING=PRECISE", "FS=MRC", "CURRENCY=USD", "XLFILL=b")</f>
        <v>20.361830436324936</v>
      </c>
      <c r="K322" s="9">
        <f>_xll.BQL("LUV US Equity", "FA_GROWTH(NET_DEBT, YOY)", "FPT=A", "FPO=-1A", "ACT_EST_MAPPING=PRECISE", "FS=MRC", "CURRENCY=USD", "XLFILL=b")</f>
        <v>10.251512257242917</v>
      </c>
      <c r="L322" s="9">
        <f>_xll.BQL("LUV US Equity", "FA_GROWTH(NET_DEBT, YOY)", "FPT=A", "FPO=-2A", "ACT_EST_MAPPING=PRECISE", "FS=MRC", "CURRENCY=USD", "XLFILL=b")</f>
        <v>-198.57414448669201</v>
      </c>
      <c r="M322" s="9">
        <f>_xll.BQL("LUV US Equity", "FA_GROWTH(NET_DEBT, YOY)", "FPT=A", "FPO=-3A", "ACT_EST_MAPPING=PRECISE", "FS=MRC", "CURRENCY=USD", "XLFILL=b")</f>
        <v>-11788.888888888889</v>
      </c>
      <c r="N322" s="9">
        <f>_xll.BQL("LUV US Equity", "FA_GROWTH(NET_DEBT, YOY)", "FPT=A", "FPO=-4A", "ACT_EST_MAPPING=PRECISE", "FS=MRC", "CURRENCY=USD", "XLFILL=b")</f>
        <v>102.88461538461539</v>
      </c>
    </row>
    <row r="323" spans="1:14" x14ac:dyDescent="0.2">
      <c r="A323" s="8" t="s">
        <v>342</v>
      </c>
      <c r="B323" s="4" t="s">
        <v>343</v>
      </c>
      <c r="C323" s="4" t="s">
        <v>344</v>
      </c>
      <c r="D323" s="4"/>
      <c r="E323" s="9">
        <f>_xll.BQL("LUV US Equity", "CB_BS_TOTAL_DEBT_FROM_SCHEDULE/1M", "FPT=A", "FPO=5A", "ACT_EST_MAPPING=PRECISE", "FS=MRC", "CURRENCY=USD", "XLFILL=b")</f>
        <v>7548.25</v>
      </c>
      <c r="F323" s="9">
        <f>_xll.BQL("LUV US Equity", "CB_BS_TOTAL_DEBT_FROM_SCHEDULE/1M", "FPT=A", "FPO=4A", "ACT_EST_MAPPING=PRECISE", "FS=MRC", "CURRENCY=USD", "XLFILL=b")</f>
        <v>7337.625</v>
      </c>
      <c r="G323" s="9">
        <f>_xll.BQL("LUV US Equity", "CB_BS_TOTAL_DEBT_FROM_SCHEDULE/1M", "FPT=A", "FPO=3A", "ACT_EST_MAPPING=PRECISE", "FS=MRC", "CURRENCY=USD", "XLFILL=b")</f>
        <v>6466.75</v>
      </c>
      <c r="H323" s="9">
        <f>_xll.BQL("LUV US Equity", "CB_BS_TOTAL_DEBT_FROM_SCHEDULE/1M", "FPT=A", "FPO=2A", "ACT_EST_MAPPING=PRECISE", "FS=MRC", "CURRENCY=USD", "XLFILL=b")</f>
        <v>6991.5625</v>
      </c>
      <c r="I323" s="9">
        <f>_xll.BQL("LUV US Equity", "CB_BS_TOTAL_DEBT_FROM_SCHEDULE/1M", "FPT=A", "FPO=1A", "ACT_EST_MAPPING=PRECISE", "FS=MRC", "CURRENCY=USD", "XLFILL=b")</f>
        <v>7980</v>
      </c>
      <c r="J323" s="9">
        <f>_xll.BQL("LUV US Equity", "CB_BS_TOTAL_DEBT_FROM_SCHEDULE/1M", "FPT=A", "FPO=0A", "ACT_EST_MAPPING=PRECISE", "FS=MRC", "CURRENCY=USD", "XLFILL=b")</f>
        <v>7978</v>
      </c>
      <c r="K323" s="9">
        <f>_xll.BQL("LUV US Equity", "CB_BS_TOTAL_DEBT_FROM_SCHEDULE/1M", "FPT=A", "FPO=-1A", "ACT_EST_MAPPING=PRECISE", "FS=MRC", "CURRENCY=USD", "XLFILL=b")</f>
        <v>8046</v>
      </c>
      <c r="L323" s="9">
        <f>_xll.BQL("LUV US Equity", "CB_BS_TOTAL_DEBT_FROM_SCHEDULE/1M", "FPT=A", "FPO=-2A", "ACT_EST_MAPPING=PRECISE", "FS=MRC", "CURRENCY=USD", "XLFILL=b")</f>
        <v>10274</v>
      </c>
      <c r="M323" s="9">
        <f>_xll.BQL("LUV US Equity", "CB_BS_TOTAL_DEBT_FROM_SCHEDULE/1M", "FPT=A", "FPO=-3A", "ACT_EST_MAPPING=PRECISE", "FS=MRC", "CURRENCY=USD", "XLFILL=b")</f>
        <v>10177</v>
      </c>
      <c r="N323" s="9">
        <f>_xll.BQL("LUV US Equity", "CB_BS_TOTAL_DEBT_FROM_SCHEDULE/1M", "FPT=A", "FPO=-4A", "ACT_EST_MAPPING=PRECISE", "FS=MRC", "CURRENCY=USD", "XLFILL=b")</f>
        <v>2033</v>
      </c>
    </row>
    <row r="324" spans="1:14" x14ac:dyDescent="0.2">
      <c r="A324" s="8" t="s">
        <v>21</v>
      </c>
      <c r="B324" s="4" t="s">
        <v>343</v>
      </c>
      <c r="C324" s="4" t="s">
        <v>344</v>
      </c>
      <c r="D324" s="4"/>
      <c r="E324" s="9">
        <f>_xll.BQL("LUV US Equity", "FA_GROWTH(CB_BS_TOTAL_DEBT_FROM_SCHEDULE, YOY)", "FPT=A", "FPO=5A", "ACT_EST_MAPPING=PRECISE", "FS=MRC", "CURRENCY=USD", "XLFILL=b")</f>
        <v>2.8704792081906612</v>
      </c>
      <c r="F324" s="9">
        <f>_xll.BQL("LUV US Equity", "FA_GROWTH(CB_BS_TOTAL_DEBT_FROM_SCHEDULE, YOY)", "FPT=A", "FPO=4A", "ACT_EST_MAPPING=PRECISE", "FS=MRC", "CURRENCY=USD", "XLFILL=b")</f>
        <v>13.466965631886188</v>
      </c>
      <c r="G324" s="9">
        <f>_xll.BQL("LUV US Equity", "FA_GROWTH(CB_BS_TOTAL_DEBT_FROM_SCHEDULE, YOY)", "FPT=A", "FPO=3A", "ACT_EST_MAPPING=PRECISE", "FS=MRC", "CURRENCY=USD", "XLFILL=b")</f>
        <v>-7.5063692844053103</v>
      </c>
      <c r="H324" s="9">
        <f>_xll.BQL("LUV US Equity", "FA_GROWTH(CB_BS_TOTAL_DEBT_FROM_SCHEDULE, YOY)", "FPT=A", "FPO=2A", "ACT_EST_MAPPING=PRECISE", "FS=MRC", "CURRENCY=USD", "XLFILL=b")</f>
        <v>-12.386434837092732</v>
      </c>
      <c r="I324" s="9">
        <f>_xll.BQL("LUV US Equity", "FA_GROWTH(CB_BS_TOTAL_DEBT_FROM_SCHEDULE, YOY)", "FPT=A", "FPO=1A", "ACT_EST_MAPPING=PRECISE", "FS=MRC", "CURRENCY=USD", "XLFILL=b")</f>
        <v>2.5068939583855605E-2</v>
      </c>
      <c r="J324" s="9">
        <f>_xll.BQL("LUV US Equity", "FA_GROWTH(CB_BS_TOTAL_DEBT_FROM_SCHEDULE, YOY)", "FPT=A", "FPO=0A", "ACT_EST_MAPPING=PRECISE", "FS=MRC", "CURRENCY=USD", "XLFILL=b")</f>
        <v>-0.84514044245587872</v>
      </c>
      <c r="K324" s="9">
        <f>_xll.BQL("LUV US Equity", "FA_GROWTH(CB_BS_TOTAL_DEBT_FROM_SCHEDULE, YOY)", "FPT=A", "FPO=-1A", "ACT_EST_MAPPING=PRECISE", "FS=MRC", "CURRENCY=USD", "XLFILL=b")</f>
        <v>-21.685808837843098</v>
      </c>
      <c r="L324" s="9">
        <f>_xll.BQL("LUV US Equity", "FA_GROWTH(CB_BS_TOTAL_DEBT_FROM_SCHEDULE, YOY)", "FPT=A", "FPO=-2A", "ACT_EST_MAPPING=PRECISE", "FS=MRC", "CURRENCY=USD", "XLFILL=b")</f>
        <v>0.95312960597425567</v>
      </c>
      <c r="M324" s="9">
        <f>_xll.BQL("LUV US Equity", "FA_GROWTH(CB_BS_TOTAL_DEBT_FROM_SCHEDULE, YOY)", "FPT=A", "FPO=-3A", "ACT_EST_MAPPING=PRECISE", "FS=MRC", "CURRENCY=USD", "XLFILL=b")</f>
        <v>400.59026069847516</v>
      </c>
      <c r="N324" s="9">
        <f>_xll.BQL("LUV US Equity", "FA_GROWTH(CB_BS_TOTAL_DEBT_FROM_SCHEDULE, YOY)", "FPT=A", "FPO=-4A", "ACT_EST_MAPPING=PRECISE", "FS=MRC", "CURRENCY=USD", "XLFILL=b")</f>
        <v>-19.897557131599683</v>
      </c>
    </row>
    <row r="325" spans="1:14" x14ac:dyDescent="0.2">
      <c r="A325" s="8" t="s">
        <v>345</v>
      </c>
      <c r="B325" s="4" t="s">
        <v>346</v>
      </c>
      <c r="C325" s="4" t="s">
        <v>347</v>
      </c>
      <c r="D325" s="4"/>
      <c r="E325" s="9">
        <f>_xll.BQL("LUV US Equity", "SHORT_AND_LONG_TERM_DEBT/1M", "FPT=A", "FPO=5A", "ACT_EST_MAPPING=PRECISE", "FS=MRC", "CURRENCY=USD", "XLFILL=b")</f>
        <v>9046.125</v>
      </c>
      <c r="F325" s="9">
        <f>_xll.BQL("LUV US Equity", "SHORT_AND_LONG_TERM_DEBT/1M", "FPT=A", "FPO=4A", "ACT_EST_MAPPING=PRECISE", "FS=MRC", "CURRENCY=USD", "XLFILL=b")</f>
        <v>8720.125</v>
      </c>
      <c r="G325" s="9">
        <f>_xll.BQL("LUV US Equity", "SHORT_AND_LONG_TERM_DEBT/1M", "FPT=A", "FPO=3A", "ACT_EST_MAPPING=PRECISE", "FS=MRC", "CURRENCY=USD", "XLFILL=b")</f>
        <v>7590.2474591253867</v>
      </c>
      <c r="H325" s="9">
        <f>_xll.BQL("LUV US Equity", "SHORT_AND_LONG_TERM_DEBT/1M", "FPT=A", "FPO=2A", "ACT_EST_MAPPING=PRECISE", "FS=MRC", "CURRENCY=USD", "XLFILL=b")</f>
        <v>7788.9240982719093</v>
      </c>
      <c r="I325" s="9">
        <f>_xll.BQL("LUV US Equity", "SHORT_AND_LONG_TERM_DEBT/1M", "FPT=A", "FPO=1A", "ACT_EST_MAPPING=PRECISE", "FS=MRC", "CURRENCY=USD", "XLFILL=b")</f>
        <v>9167.7232922217936</v>
      </c>
      <c r="J325" s="9">
        <f>_xll.BQL("LUV US Equity", "SHORT_AND_LONG_TERM_DEBT/1M", "FPT=A", "FPO=0A", "ACT_EST_MAPPING=PRECISE", "FS=MRC", "CURRENCY=USD", "XLFILL=b")</f>
        <v>9229</v>
      </c>
      <c r="K325" s="9">
        <f>_xll.BQL("LUV US Equity", "SHORT_AND_LONG_TERM_DEBT/1M", "FPT=A", "FPO=-1A", "ACT_EST_MAPPING=PRECISE", "FS=MRC", "CURRENCY=USD", "XLFILL=b")</f>
        <v>9473</v>
      </c>
      <c r="L325" s="9">
        <f>_xll.BQL("LUV US Equity", "SHORT_AND_LONG_TERM_DEBT/1M", "FPT=A", "FPO=-2A", "ACT_EST_MAPPING=PRECISE", "FS=MRC", "CURRENCY=USD", "XLFILL=b")</f>
        <v>12363</v>
      </c>
      <c r="M325" s="9">
        <f>_xll.BQL("LUV US Equity", "SHORT_AND_LONG_TERM_DEBT/1M", "FPT=A", "FPO=-3A", "ACT_EST_MAPPING=PRECISE", "FS=MRC", "CURRENCY=USD", "XLFILL=b")</f>
        <v>12282</v>
      </c>
      <c r="N325" s="9">
        <f>_xll.BQL("LUV US Equity", "SHORT_AND_LONG_TERM_DEBT/1M", "FPT=A", "FPO=-4A", "ACT_EST_MAPPING=PRECISE", "FS=MRC", "CURRENCY=USD", "XLFILL=b")</f>
        <v>4081</v>
      </c>
    </row>
    <row r="326" spans="1:14" x14ac:dyDescent="0.2">
      <c r="A326" s="8" t="s">
        <v>21</v>
      </c>
      <c r="B326" s="4" t="s">
        <v>346</v>
      </c>
      <c r="C326" s="4" t="s">
        <v>347</v>
      </c>
      <c r="D326" s="4"/>
      <c r="E326" s="9">
        <f>_xll.BQL("LUV US Equity", "FA_GROWTH(SHORT_AND_LONG_TERM_DEBT, YOY)", "FPT=A", "FPO=5A", "ACT_EST_MAPPING=PRECISE", "FS=MRC", "CURRENCY=USD", "XLFILL=b")</f>
        <v>3.7384785195166352</v>
      </c>
      <c r="F326" s="9">
        <f>_xll.BQL("LUV US Equity", "FA_GROWTH(SHORT_AND_LONG_TERM_DEBT, YOY)", "FPT=A", "FPO=4A", "ACT_EST_MAPPING=PRECISE", "FS=MRC", "CURRENCY=USD", "XLFILL=b")</f>
        <v>14.885911782971128</v>
      </c>
      <c r="G326" s="9">
        <f>_xll.BQL("LUV US Equity", "FA_GROWTH(SHORT_AND_LONG_TERM_DEBT, YOY)", "FPT=A", "FPO=3A", "ACT_EST_MAPPING=PRECISE", "FS=MRC", "CURRENCY=USD", "XLFILL=b")</f>
        <v>-2.5507584441681996</v>
      </c>
      <c r="H326" s="9">
        <f>_xll.BQL("LUV US Equity", "FA_GROWTH(SHORT_AND_LONG_TERM_DEBT, YOY)", "FPT=A", "FPO=2A", "ACT_EST_MAPPING=PRECISE", "FS=MRC", "CURRENCY=USD", "XLFILL=b")</f>
        <v>-15.039712150995047</v>
      </c>
      <c r="I326" s="9">
        <f>_xll.BQL("LUV US Equity", "FA_GROWTH(SHORT_AND_LONG_TERM_DEBT, YOY)", "FPT=A", "FPO=1A", "ACT_EST_MAPPING=PRECISE", "FS=MRC", "CURRENCY=USD", "XLFILL=b")</f>
        <v>-0.6639582595969864</v>
      </c>
      <c r="J326" s="9">
        <f>_xll.BQL("LUV US Equity", "FA_GROWTH(SHORT_AND_LONG_TERM_DEBT, YOY)", "FPT=A", "FPO=0A", "ACT_EST_MAPPING=PRECISE", "FS=MRC", "CURRENCY=USD", "XLFILL=b")</f>
        <v>-2.5757415813364299</v>
      </c>
      <c r="K326" s="9">
        <f>_xll.BQL("LUV US Equity", "FA_GROWTH(SHORT_AND_LONG_TERM_DEBT, YOY)", "FPT=A", "FPO=-1A", "ACT_EST_MAPPING=PRECISE", "FS=MRC", "CURRENCY=USD", "XLFILL=b")</f>
        <v>-23.376203186928738</v>
      </c>
      <c r="L326" s="9">
        <f>_xll.BQL("LUV US Equity", "FA_GROWTH(SHORT_AND_LONG_TERM_DEBT, YOY)", "FPT=A", "FPO=-2A", "ACT_EST_MAPPING=PRECISE", "FS=MRC", "CURRENCY=USD", "XLFILL=b")</f>
        <v>0.65950170981924772</v>
      </c>
      <c r="M326" s="9">
        <f>_xll.BQL("LUV US Equity", "FA_GROWTH(SHORT_AND_LONG_TERM_DEBT, YOY)", "FPT=A", "FPO=-3A", "ACT_EST_MAPPING=PRECISE", "FS=MRC", "CURRENCY=USD", "XLFILL=b")</f>
        <v>200.95564812545945</v>
      </c>
      <c r="N326" s="9">
        <f>_xll.BQL("LUV US Equity", "FA_GROWTH(SHORT_AND_LONG_TERM_DEBT, YOY)", "FPT=A", "FPO=-4A", "ACT_EST_MAPPING=PRECISE", "FS=MRC", "CURRENCY=USD", "XLFILL=b")</f>
        <v>20.846905537459282</v>
      </c>
    </row>
    <row r="327" spans="1:14" x14ac:dyDescent="0.2">
      <c r="A327" s="8" t="s">
        <v>348</v>
      </c>
      <c r="B327" s="4"/>
      <c r="C327" s="4"/>
      <c r="D327" s="4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1:14" x14ac:dyDescent="0.2">
      <c r="A328" s="8" t="s">
        <v>349</v>
      </c>
      <c r="B328" s="4" t="s">
        <v>350</v>
      </c>
      <c r="C328" s="4"/>
      <c r="D328" s="4"/>
      <c r="E328" s="9">
        <f>_xll.BQL("LUV US Equity", "RETURN_ON_ASSET", "FPT=A", "FPO=5A", "ACT_EST_MAPPING=PRECISE", "FS=MRC", "CURRENCY=USD", "XLFILL=b")</f>
        <v>6</v>
      </c>
      <c r="F328" s="9">
        <f>_xll.BQL("LUV US Equity", "RETURN_ON_ASSET", "FPT=A", "FPO=4A", "ACT_EST_MAPPING=PRECISE", "FS=MRC", "CURRENCY=USD", "XLFILL=b")</f>
        <v>7.9</v>
      </c>
      <c r="G328" s="9">
        <f>_xll.BQL("LUV US Equity", "RETURN_ON_ASSET", "FPT=A", "FPO=3A", "ACT_EST_MAPPING=PRECISE", "FS=MRC", "CURRENCY=USD", "XLFILL=b")</f>
        <v>5.8</v>
      </c>
      <c r="H328" s="9">
        <f>_xll.BQL("LUV US Equity", "RETURN_ON_ASSET", "FPT=A", "FPO=2A", "ACT_EST_MAPPING=PRECISE", "FS=MRC", "CURRENCY=USD", "XLFILL=b")</f>
        <v>4.0999999999999996</v>
      </c>
      <c r="I328" s="9">
        <f>_xll.BQL("LUV US Equity", "RETURN_ON_ASSET", "FPT=A", "FPO=1A", "ACT_EST_MAPPING=PRECISE", "FS=MRC", "CURRENCY=USD", "XLFILL=b")</f>
        <v>-1.7000000000000002</v>
      </c>
      <c r="J328" s="9">
        <f>_xll.BQL("LUV US Equity", "RETURN_ON_ASSET", "FPT=A", "FPO=0A", "ACT_EST_MAPPING=PRECISE", "FS=MRC", "CURRENCY=USD", "XLFILL=b")</f>
        <v>1.294255177020708</v>
      </c>
      <c r="K328" s="9">
        <f>_xll.BQL("LUV US Equity", "RETURN_ON_ASSET", "FPT=A", "FPO=-1A", "ACT_EST_MAPPING=PRECISE", "FS=MRC", "CURRENCY=USD", "XLFILL=b")</f>
        <v>1.5037174461911869</v>
      </c>
      <c r="L328" s="9">
        <f>_xll.BQL("LUV US Equity", "RETURN_ON_ASSET", "FPT=A", "FPO=-2A", "ACT_EST_MAPPING=PRECISE", "FS=MRC", "CURRENCY=USD", "XLFILL=b")</f>
        <v>2.755683420770576</v>
      </c>
      <c r="M328" s="9">
        <f>_xll.BQL("LUV US Equity", "RETURN_ON_ASSET", "FPT=A", "FPO=-3A", "ACT_EST_MAPPING=PRECISE", "FS=MRC", "CURRENCY=USD", "XLFILL=b")</f>
        <v>-10.164839707025115</v>
      </c>
      <c r="N328" s="9">
        <f>_xll.BQL("LUV US Equity", "RETURN_ON_ASSET", "FPT=A", "FPO=-4A", "ACT_EST_MAPPING=PRECISE", "FS=MRC", "CURRENCY=USD", "XLFILL=b")</f>
        <v>8.8227396524607773</v>
      </c>
    </row>
    <row r="329" spans="1:14" x14ac:dyDescent="0.2">
      <c r="A329" s="8" t="s">
        <v>21</v>
      </c>
      <c r="B329" s="4" t="s">
        <v>350</v>
      </c>
      <c r="C329" s="4"/>
      <c r="D329" s="4"/>
      <c r="E329" s="9">
        <f>_xll.BQL("LUV US Equity", "FA_GROWTH(RETURN_ON_ASSET, YOY)", "FPT=A", "FPO=5A", "ACT_EST_MAPPING=PRECISE", "FS=MRC", "CURRENCY=USD", "XLFILL=b")</f>
        <v>-24.050632911392409</v>
      </c>
      <c r="F329" s="9">
        <f>_xll.BQL("LUV US Equity", "FA_GROWTH(RETURN_ON_ASSET, YOY)", "FPT=A", "FPO=4A", "ACT_EST_MAPPING=PRECISE", "FS=MRC", "CURRENCY=USD", "XLFILL=b")</f>
        <v>36.206896551724149</v>
      </c>
      <c r="G329" s="9">
        <f>_xll.BQL("LUV US Equity", "FA_GROWTH(RETURN_ON_ASSET, YOY)", "FPT=A", "FPO=3A", "ACT_EST_MAPPING=PRECISE", "FS=MRC", "CURRENCY=USD", "XLFILL=b")</f>
        <v>41.463414634146353</v>
      </c>
      <c r="H329" s="9">
        <f>_xll.BQL("LUV US Equity", "FA_GROWTH(RETURN_ON_ASSET, YOY)", "FPT=A", "FPO=2A", "ACT_EST_MAPPING=PRECISE", "FS=MRC", "CURRENCY=USD", "XLFILL=b")</f>
        <v>341.17647058823525</v>
      </c>
      <c r="I329" s="9" t="str">
        <f>_xll.BQL("LUV US Equity", "FA_GROWTH(RETURN_ON_ASSET, YOY)", "FPT=A", "FPO=1A", "ACT_EST_MAPPING=PRECISE", "FS=MRC", "CURRENCY=USD", "XLFILL=b")</f>
        <v/>
      </c>
      <c r="J329" s="9">
        <f>_xll.BQL("LUV US Equity", "FA_GROWTH(RETURN_ON_ASSET, YOY)", "FPT=A", "FPO=0A", "ACT_EST_MAPPING=PRECISE", "FS=MRC", "CURRENCY=USD", "XLFILL=b")</f>
        <v>-13.92962951258113</v>
      </c>
      <c r="K329" s="9">
        <f>_xll.BQL("LUV US Equity", "FA_GROWTH(RETURN_ON_ASSET, YOY)", "FPT=A", "FPO=-1A", "ACT_EST_MAPPING=PRECISE", "FS=MRC", "CURRENCY=USD", "XLFILL=b")</f>
        <v>-45.432140903518594</v>
      </c>
      <c r="L329" s="9">
        <f>_xll.BQL("LUV US Equity", "FA_GROWTH(RETURN_ON_ASSET, YOY)", "FPT=A", "FPO=-2A", "ACT_EST_MAPPING=PRECISE", "FS=MRC", "CURRENCY=USD", "XLFILL=b")</f>
        <v>127.10995451178705</v>
      </c>
      <c r="M329" s="9">
        <f>_xll.BQL("LUV US Equity", "FA_GROWTH(RETURN_ON_ASSET, YOY)", "FPT=A", "FPO=-3A", "ACT_EST_MAPPING=PRECISE", "FS=MRC", "CURRENCY=USD", "XLFILL=b")</f>
        <v>-215.21182883584248</v>
      </c>
      <c r="N329" s="9">
        <f>_xll.BQL("LUV US Equity", "FA_GROWTH(RETURN_ON_ASSET, YOY)", "FPT=A", "FPO=-4A", "ACT_EST_MAPPING=PRECISE", "FS=MRC", "CURRENCY=USD", "XLFILL=b")</f>
        <v>-8.0985498229577519</v>
      </c>
    </row>
    <row r="330" spans="1:14" x14ac:dyDescent="0.2">
      <c r="A330" s="8" t="s">
        <v>351</v>
      </c>
      <c r="B330" s="4" t="s">
        <v>352</v>
      </c>
      <c r="C330" s="4"/>
      <c r="D330" s="4"/>
      <c r="E330" s="9">
        <f>_xll.BQL("LUV US Equity", "RETURN_COM_EQY", "FPT=A", "FPO=5A", "ACT_EST_MAPPING=PRECISE", "FS=MRC", "CURRENCY=USD", "XLFILL=b")</f>
        <v>19.3</v>
      </c>
      <c r="F330" s="9">
        <f>_xll.BQL("LUV US Equity", "RETURN_COM_EQY", "FPT=A", "FPO=4A", "ACT_EST_MAPPING=PRECISE", "FS=MRC", "CURRENCY=USD", "XLFILL=b")</f>
        <v>18.635643249492396</v>
      </c>
      <c r="G330" s="9">
        <f>_xll.BQL("LUV US Equity", "RETURN_COM_EQY", "FPT=A", "FPO=3A", "ACT_EST_MAPPING=PRECISE", "FS=MRC", "CURRENCY=USD", "XLFILL=b")</f>
        <v>13.458337617382327</v>
      </c>
      <c r="H330" s="9">
        <f>_xll.BQL("LUV US Equity", "RETURN_COM_EQY", "FPT=A", "FPO=2A", "ACT_EST_MAPPING=PRECISE", "FS=MRC", "CURRENCY=USD", "XLFILL=b")</f>
        <v>10.101791105500954</v>
      </c>
      <c r="I330" s="9">
        <f>_xll.BQL("LUV US Equity", "RETURN_COM_EQY", "FPT=A", "FPO=1A", "ACT_EST_MAPPING=PRECISE", "FS=MRC", "CURRENCY=USD", "XLFILL=b")</f>
        <v>-2.3397951335612772</v>
      </c>
      <c r="J330" s="9">
        <f>_xll.BQL("LUV US Equity", "RETURN_COM_EQY", "FPT=A", "FPO=0A", "ACT_EST_MAPPING=PRECISE", "FS=MRC", "CURRENCY=USD", "XLFILL=b")</f>
        <v>4.3863786435241954</v>
      </c>
      <c r="K330" s="9">
        <f>_xll.BQL("LUV US Equity", "RETURN_COM_EQY", "FPT=A", "FPO=-1A", "ACT_EST_MAPPING=PRECISE", "FS=MRC", "CURRENCY=USD", "XLFILL=b")</f>
        <v>5.1087626178854082</v>
      </c>
      <c r="L330" s="9">
        <f>_xll.BQL("LUV US Equity", "RETURN_COM_EQY", "FPT=A", "FPO=-2A", "ACT_EST_MAPPING=PRECISE", "FS=MRC", "CURRENCY=USD", "XLFILL=b")</f>
        <v>10.129600829445309</v>
      </c>
      <c r="M330" s="9">
        <f>_xll.BQL("LUV US Equity", "RETURN_COM_EQY", "FPT=A", "FPO=-3A", "ACT_EST_MAPPING=PRECISE", "FS=MRC", "CURRENCY=USD", "XLFILL=b")</f>
        <v>-32.862946333119517</v>
      </c>
      <c r="N330" s="9">
        <f>_xll.BQL("LUV US Equity", "RETURN_COM_EQY", "FPT=A", "FPO=-4A", "ACT_EST_MAPPING=PRECISE", "FS=MRC", "CURRENCY=USD", "XLFILL=b")</f>
        <v>23.368046736093472</v>
      </c>
    </row>
    <row r="331" spans="1:14" x14ac:dyDescent="0.2">
      <c r="A331" s="8" t="s">
        <v>21</v>
      </c>
      <c r="B331" s="4" t="s">
        <v>352</v>
      </c>
      <c r="C331" s="4"/>
      <c r="D331" s="4"/>
      <c r="E331" s="9">
        <f>_xll.BQL("LUV US Equity", "FA_GROWTH(RETURN_COM_EQY, YOY)", "FPT=A", "FPO=5A", "ACT_EST_MAPPING=PRECISE", "FS=MRC", "CURRENCY=USD", "XLFILL=b")</f>
        <v>3.5649789042065945</v>
      </c>
      <c r="F331" s="9">
        <f>_xll.BQL("LUV US Equity", "FA_GROWTH(RETURN_COM_EQY, YOY)", "FPT=A", "FPO=4A", "ACT_EST_MAPPING=PRECISE", "FS=MRC", "CURRENCY=USD", "XLFILL=b")</f>
        <v>38.469131770206445</v>
      </c>
      <c r="G331" s="9">
        <f>_xll.BQL("LUV US Equity", "FA_GROWTH(RETURN_COM_EQY, YOY)", "FPT=A", "FPO=3A", "ACT_EST_MAPPING=PRECISE", "FS=MRC", "CURRENCY=USD", "XLFILL=b")</f>
        <v>33.227241355778553</v>
      </c>
      <c r="H331" s="9">
        <f>_xll.BQL("LUV US Equity", "FA_GROWTH(RETURN_COM_EQY, YOY)", "FPT=A", "FPO=2A", "ACT_EST_MAPPING=PRECISE", "FS=MRC", "CURRENCY=USD", "XLFILL=b")</f>
        <v>531.73827317631685</v>
      </c>
      <c r="I331" s="9" t="str">
        <f>_xll.BQL("LUV US Equity", "FA_GROWTH(RETURN_COM_EQY, YOY)", "FPT=A", "FPO=1A", "ACT_EST_MAPPING=PRECISE", "FS=MRC", "CURRENCY=USD", "XLFILL=b")</f>
        <v/>
      </c>
      <c r="J331" s="9">
        <f>_xll.BQL("LUV US Equity", "FA_GROWTH(RETURN_COM_EQY, YOY)", "FPT=A", "FPO=0A", "ACT_EST_MAPPING=PRECISE", "FS=MRC", "CURRENCY=USD", "XLFILL=b")</f>
        <v>-14.140096700367303</v>
      </c>
      <c r="K331" s="9">
        <f>_xll.BQL("LUV US Equity", "FA_GROWTH(RETURN_COM_EQY, YOY)", "FPT=A", "FPO=-1A", "ACT_EST_MAPPING=PRECISE", "FS=MRC", "CURRENCY=USD", "XLFILL=b")</f>
        <v>-49.566002610537602</v>
      </c>
      <c r="L331" s="9">
        <f>_xll.BQL("LUV US Equity", "FA_GROWTH(RETURN_COM_EQY, YOY)", "FPT=A", "FPO=-2A", "ACT_EST_MAPPING=PRECISE", "FS=MRC", "CURRENCY=USD", "XLFILL=b")</f>
        <v>130.82377558836416</v>
      </c>
      <c r="M331" s="9">
        <f>_xll.BQL("LUV US Equity", "FA_GROWTH(RETURN_COM_EQY, YOY)", "FPT=A", "FPO=-3A", "ACT_EST_MAPPING=PRECISE", "FS=MRC", "CURRENCY=USD", "XLFILL=b")</f>
        <v>-240.6319779494473</v>
      </c>
      <c r="N331" s="9">
        <f>_xll.BQL("LUV US Equity", "FA_GROWTH(RETURN_COM_EQY, YOY)", "FPT=A", "FPO=-4A", "ACT_EST_MAPPING=PRECISE", "FS=MRC", "CURRENCY=USD", "XLFILL=b")</f>
        <v>-7.599046029735061</v>
      </c>
    </row>
    <row r="332" spans="1:14" x14ac:dyDescent="0.2">
      <c r="A332" s="8" t="s">
        <v>353</v>
      </c>
      <c r="B332" s="4" t="s">
        <v>354</v>
      </c>
      <c r="C332" s="4"/>
      <c r="D332" s="4"/>
      <c r="E332" s="9">
        <f>_xll.BQL("LUV US Equity", "ANNUALIZED_DAYS_SALES_OUTSTDG", "FPT=A", "FPO=5A", "ACT_EST_MAPPING=PRECISE", "FS=MRC", "CURRENCY=USD", "XLFILL=b")</f>
        <v>19.409945713530469</v>
      </c>
      <c r="F332" s="9">
        <f>_xll.BQL("LUV US Equity", "ANNUALIZED_DAYS_SALES_OUTSTDG", "FPT=A", "FPO=4A", "ACT_EST_MAPPING=PRECISE", "FS=MRC", "CURRENCY=USD", "XLFILL=b")</f>
        <v>18.850239219656444</v>
      </c>
      <c r="G332" s="9">
        <f>_xll.BQL("LUV US Equity", "ANNUALIZED_DAYS_SALES_OUTSTDG", "FPT=A", "FPO=3A", "ACT_EST_MAPPING=PRECISE", "FS=MRC", "CURRENCY=USD", "XLFILL=b")</f>
        <v>18.281479547329077</v>
      </c>
      <c r="H332" s="9">
        <f>_xll.BQL("LUV US Equity", "ANNUALIZED_DAYS_SALES_OUTSTDG", "FPT=A", "FPO=2A", "ACT_EST_MAPPING=PRECISE", "FS=MRC", "CURRENCY=USD", "XLFILL=b")</f>
        <v>17.864275248033085</v>
      </c>
      <c r="I332" s="9">
        <f>_xll.BQL("LUV US Equity", "ANNUALIZED_DAYS_SALES_OUTSTDG", "FPT=A", "FPO=1A", "ACT_EST_MAPPING=PRECISE", "FS=MRC", "CURRENCY=USD", "XLFILL=b")</f>
        <v>17.377851018698827</v>
      </c>
      <c r="J332" s="9">
        <f>_xll.BQL("LUV US Equity", "ANNUALIZED_DAYS_SALES_OUTSTDG", "FPT=A", "FPO=0A", "ACT_EST_MAPPING=PRECISE", "FS=MRC", "CURRENCY=USD", "XLFILL=b")</f>
        <v>16.143881031773411</v>
      </c>
      <c r="K332" s="9">
        <f>_xll.BQL("LUV US Equity", "ANNUALIZED_DAYS_SALES_OUTSTDG", "FPT=A", "FPO=-1A", "ACT_EST_MAPPING=PRECISE", "FS=MRC", "CURRENCY=USD", "XLFILL=b")</f>
        <v>15.940203241790542</v>
      </c>
      <c r="L332" s="9">
        <f>_xll.BQL("LUV US Equity", "ANNUALIZED_DAYS_SALES_OUTSTDG", "FPT=A", "FPO=-2A", "ACT_EST_MAPPING=PRECISE", "FS=MRC", "CURRENCY=USD", "XLFILL=b")</f>
        <v>31.368271057631411</v>
      </c>
      <c r="M332" s="9">
        <f>_xll.BQL("LUV US Equity", "ANNUALIZED_DAYS_SALES_OUTSTDG", "FPT=A", "FPO=-3A", "ACT_EST_MAPPING=PRECISE", "FS=MRC", "CURRENCY=USD", "XLFILL=b")</f>
        <v>45.709549071618035</v>
      </c>
      <c r="N332" s="9">
        <f>_xll.BQL("LUV US Equity", "ANNUALIZED_DAYS_SALES_OUTSTDG", "FPT=A", "FPO=-4A", "ACT_EST_MAPPING=PRECISE", "FS=MRC", "CURRENCY=USD", "XLFILL=b")</f>
        <v>17.673889780631352</v>
      </c>
    </row>
    <row r="333" spans="1:14" x14ac:dyDescent="0.2">
      <c r="A333" s="8" t="s">
        <v>21</v>
      </c>
      <c r="B333" s="4" t="s">
        <v>354</v>
      </c>
      <c r="C333" s="4"/>
      <c r="D333" s="4"/>
      <c r="E333" s="9">
        <f>_xll.BQL("LUV US Equity", "FA_GROWTH(ANNUALIZED_DAYS_SALES_OUTSTDG, YOY)", "FPT=A", "FPO=5A", "ACT_EST_MAPPING=PRECISE", "FS=MRC", "CURRENCY=USD", "XLFILL=b")</f>
        <v>2.9692275379210042</v>
      </c>
      <c r="F333" s="9">
        <f>_xll.BQL("LUV US Equity", "FA_GROWTH(ANNUALIZED_DAYS_SALES_OUTSTDG, YOY)", "FPT=A", "FPO=4A", "ACT_EST_MAPPING=PRECISE", "FS=MRC", "CURRENCY=USD", "XLFILL=b")</f>
        <v>3.1111249549299353</v>
      </c>
      <c r="G333" s="9">
        <f>_xll.BQL("LUV US Equity", "FA_GROWTH(ANNUALIZED_DAYS_SALES_OUTSTDG, YOY)", "FPT=A", "FPO=3A", "ACT_EST_MAPPING=PRECISE", "FS=MRC", "CURRENCY=USD", "XLFILL=b")</f>
        <v>2.3354112803536649</v>
      </c>
      <c r="H333" s="9">
        <f>_xll.BQL("LUV US Equity", "FA_GROWTH(ANNUALIZED_DAYS_SALES_OUTSTDG, YOY)", "FPT=A", "FPO=2A", "ACT_EST_MAPPING=PRECISE", "FS=MRC", "CURRENCY=USD", "XLFILL=b")</f>
        <v>2.7991046120193919</v>
      </c>
      <c r="I333" s="9">
        <f>_xll.BQL("LUV US Equity", "FA_GROWTH(ANNUALIZED_DAYS_SALES_OUTSTDG, YOY)", "FPT=A", "FPO=1A", "ACT_EST_MAPPING=PRECISE", "FS=MRC", "CURRENCY=USD", "XLFILL=b")</f>
        <v>7.6435770586811866</v>
      </c>
      <c r="J333" s="9">
        <f>_xll.BQL("LUV US Equity", "FA_GROWTH(ANNUALIZED_DAYS_SALES_OUTSTDG, YOY)", "FPT=A", "FPO=0A", "ACT_EST_MAPPING=PRECISE", "FS=MRC", "CURRENCY=USD", "XLFILL=b")</f>
        <v>1.2777615623424785</v>
      </c>
      <c r="K333" s="9">
        <f>_xll.BQL("LUV US Equity", "FA_GROWTH(ANNUALIZED_DAYS_SALES_OUTSTDG, YOY)", "FPT=A", "FPO=-1A", "ACT_EST_MAPPING=PRECISE", "FS=MRC", "CURRENCY=USD", "XLFILL=b")</f>
        <v>-49.183672850491583</v>
      </c>
      <c r="L333" s="9">
        <f>_xll.BQL("LUV US Equity", "FA_GROWTH(ANNUALIZED_DAYS_SALES_OUTSTDG, YOY)", "FPT=A", "FPO=-2A", "ACT_EST_MAPPING=PRECISE", "FS=MRC", "CURRENCY=USD", "XLFILL=b")</f>
        <v>-31.374796525593837</v>
      </c>
      <c r="M333" s="9">
        <f>_xll.BQL("LUV US Equity", "FA_GROWTH(ANNUALIZED_DAYS_SALES_OUTSTDG, YOY)", "FPT=A", "FPO=-3A", "ACT_EST_MAPPING=PRECISE", "FS=MRC", "CURRENCY=USD", "XLFILL=b")</f>
        <v>158.62755533142848</v>
      </c>
      <c r="N333" s="9">
        <f>_xll.BQL("LUV US Equity", "FA_GROWTH(ANNUALIZED_DAYS_SALES_OUTSTDG, YOY)", "FPT=A", "FPO=-4A", "ACT_EST_MAPPING=PRECISE", "FS=MRC", "CURRENCY=USD", "XLFILL=b")</f>
        <v>87.250139413258552</v>
      </c>
    </row>
    <row r="334" spans="1:14" x14ac:dyDescent="0.2">
      <c r="A334" s="8" t="s">
        <v>355</v>
      </c>
      <c r="B334" s="4" t="s">
        <v>356</v>
      </c>
      <c r="C334" s="4"/>
      <c r="D334" s="4"/>
      <c r="E334" s="9" t="str">
        <f>_xll.BQL("LUV US Equity", "INVENT_TO_SALES", "FPT=A", "FPO=5A", "ACT_EST_MAPPING=PRECISE", "FS=MRC", "CURRENCY=USD", "XLFILL=b")</f>
        <v/>
      </c>
      <c r="F334" s="9" t="str">
        <f>_xll.BQL("LUV US Equity", "INVENT_TO_SALES", "FPT=A", "FPO=4A", "ACT_EST_MAPPING=PRECISE", "FS=MRC", "CURRENCY=USD", "XLFILL=b")</f>
        <v/>
      </c>
      <c r="G334" s="9">
        <f>_xll.BQL("LUV US Equity", "INVENT_TO_SALES", "FPT=A", "FPO=3A", "ACT_EST_MAPPING=PRECISE", "FS=MRC", "CURRENCY=USD", "XLFILL=b")</f>
        <v>3.0047262560236576</v>
      </c>
      <c r="H334" s="9">
        <f>_xll.BQL("LUV US Equity", "INVENT_TO_SALES", "FPT=A", "FPO=2A", "ACT_EST_MAPPING=PRECISE", "FS=MRC", "CURRENCY=USD", "XLFILL=b")</f>
        <v>3.0061356888846866</v>
      </c>
      <c r="I334" s="9">
        <f>_xll.BQL("LUV US Equity", "INVENT_TO_SALES", "FPT=A", "FPO=1A", "ACT_EST_MAPPING=PRECISE", "FS=MRC", "CURRENCY=USD", "XLFILL=b")</f>
        <v>3.0192135075239825</v>
      </c>
      <c r="J334" s="9">
        <f>_xll.BQL("LUV US Equity", "INVENT_TO_SALES", "FPT=A", "FPO=0A", "ACT_EST_MAPPING=PRECISE", "FS=MRC", "CURRENCY=USD", "XLFILL=b")</f>
        <v>2.9854611372128295</v>
      </c>
      <c r="K334" s="9">
        <f>_xll.BQL("LUV US Equity", "INVENT_TO_SALES", "FPT=A", "FPO=-1A", "ACT_EST_MAPPING=PRECISE", "FS=MRC", "CURRENCY=USD", "XLFILL=b")</f>
        <v>3.1430276506862942</v>
      </c>
      <c r="L334" s="9">
        <f>_xll.BQL("LUV US Equity", "INVENT_TO_SALES", "FPT=A", "FPO=-2A", "ACT_EST_MAPPING=PRECISE", "FS=MRC", "CURRENCY=USD", "XLFILL=b")</f>
        <v>2.538767019667171</v>
      </c>
      <c r="M334" s="9">
        <f>_xll.BQL("LUV US Equity", "INVENT_TO_SALES", "FPT=A", "FPO=-3A", "ACT_EST_MAPPING=PRECISE", "FS=MRC", "CURRENCY=USD", "XLFILL=b")</f>
        <v>4.1962294749645244</v>
      </c>
      <c r="N334" s="9">
        <f>_xll.BQL("LUV US Equity", "INVENT_TO_SALES", "FPT=A", "FPO=-4A", "ACT_EST_MAPPING=PRECISE", "FS=MRC", "CURRENCY=USD", "XLFILL=b")</f>
        <v>3.184828416616496</v>
      </c>
    </row>
    <row r="335" spans="1:14" x14ac:dyDescent="0.2">
      <c r="A335" s="8" t="s">
        <v>21</v>
      </c>
      <c r="B335" s="4" t="s">
        <v>356</v>
      </c>
      <c r="C335" s="4"/>
      <c r="D335" s="4"/>
      <c r="E335" s="9" t="str">
        <f>_xll.BQL("LUV US Equity", "FA_GROWTH(INVENT_TO_SALES, YOY)", "FPT=A", "FPO=5A", "ACT_EST_MAPPING=PRECISE", "FS=MRC", "CURRENCY=USD", "XLFILL=b")</f>
        <v/>
      </c>
      <c r="F335" s="9" t="str">
        <f>_xll.BQL("LUV US Equity", "FA_GROWTH(INVENT_TO_SALES, YOY)", "FPT=A", "FPO=4A", "ACT_EST_MAPPING=PRECISE", "FS=MRC", "CURRENCY=USD", "XLFILL=b")</f>
        <v/>
      </c>
      <c r="G335" s="9">
        <f>_xll.BQL("LUV US Equity", "FA_GROWTH(INVENT_TO_SALES, YOY)", "FPT=A", "FPO=3A", "ACT_EST_MAPPING=PRECISE", "FS=MRC", "CURRENCY=USD", "XLFILL=b")</f>
        <v>-4.6885204358554124E-2</v>
      </c>
      <c r="H335" s="9">
        <f>_xll.BQL("LUV US Equity", "FA_GROWTH(INVENT_TO_SALES, YOY)", "FPT=A", "FPO=2A", "ACT_EST_MAPPING=PRECISE", "FS=MRC", "CURRENCY=USD", "XLFILL=b")</f>
        <v>-0.4331531574930208</v>
      </c>
      <c r="I335" s="9">
        <f>_xll.BQL("LUV US Equity", "FA_GROWTH(INVENT_TO_SALES, YOY)", "FPT=A", "FPO=1A", "ACT_EST_MAPPING=PRECISE", "FS=MRC", "CURRENCY=USD", "XLFILL=b")</f>
        <v>1.1305580196787843</v>
      </c>
      <c r="J335" s="9">
        <f>_xll.BQL("LUV US Equity", "FA_GROWTH(INVENT_TO_SALES, YOY)", "FPT=A", "FPO=0A", "ACT_EST_MAPPING=PRECISE", "FS=MRC", "CURRENCY=USD", "XLFILL=b")</f>
        <v>-5.0132079951335893</v>
      </c>
      <c r="K335" s="9">
        <f>_xll.BQL("LUV US Equity", "FA_GROWTH(INVENT_TO_SALES, YOY)", "FPT=A", "FPO=-1A", "ACT_EST_MAPPING=PRECISE", "FS=MRC", "CURRENCY=USD", "XLFILL=b")</f>
        <v>23.80134239723742</v>
      </c>
      <c r="L335" s="9">
        <f>_xll.BQL("LUV US Equity", "FA_GROWTH(INVENT_TO_SALES, YOY)", "FPT=A", "FPO=-2A", "ACT_EST_MAPPING=PRECISE", "FS=MRC", "CURRENCY=USD", "XLFILL=b")</f>
        <v>-39.498851652086209</v>
      </c>
      <c r="M335" s="9">
        <f>_xll.BQL("LUV US Equity", "FA_GROWTH(INVENT_TO_SALES, YOY)", "FPT=A", "FPO=-3A", "ACT_EST_MAPPING=PRECISE", "FS=MRC", "CURRENCY=USD", "XLFILL=b")</f>
        <v>31.756846085370043</v>
      </c>
      <c r="N335" s="9">
        <f>_xll.BQL("LUV US Equity", "FA_GROWTH(INVENT_TO_SALES, YOY)", "FPT=A", "FPO=-4A", "ACT_EST_MAPPING=PRECISE", "FS=MRC", "CURRENCY=USD", "XLFILL=b")</f>
        <v>54.315644993411432</v>
      </c>
    </row>
    <row r="336" spans="1:14" x14ac:dyDescent="0.2">
      <c r="A336" s="8" t="s">
        <v>357</v>
      </c>
      <c r="B336" s="4" t="s">
        <v>170</v>
      </c>
      <c r="C336" s="4" t="s">
        <v>358</v>
      </c>
      <c r="D336" s="4"/>
      <c r="E336" s="9">
        <f>_xll.BQL("LUV US Equity", "IS_CAP_INT_EXP/1M", "FPT=A", "FPO=5A", "ACT_EST_MAPPING=PRECISE", "FS=MRC", "CURRENCY=USD", "XLFILL=b")</f>
        <v>22.922775166470821</v>
      </c>
      <c r="F336" s="9">
        <f>_xll.BQL("LUV US Equity", "IS_CAP_INT_EXP/1M", "FPT=A", "FPO=4A", "ACT_EST_MAPPING=PRECISE", "FS=MRC", "CURRENCY=USD", "XLFILL=b")</f>
        <v>26.002837538137928</v>
      </c>
      <c r="G336" s="9">
        <f>_xll.BQL("LUV US Equity", "IS_CAP_INT_EXP/1M", "FPT=A", "FPO=3A", "ACT_EST_MAPPING=PRECISE", "FS=MRC", "CURRENCY=USD", "XLFILL=b")</f>
        <v>28.790996948420361</v>
      </c>
      <c r="H336" s="9">
        <f>_xll.BQL("LUV US Equity", "IS_CAP_INT_EXP/1M", "FPT=A", "FPO=2A", "ACT_EST_MAPPING=PRECISE", "FS=MRC", "CURRENCY=USD", "XLFILL=b")</f>
        <v>27.590446956255555</v>
      </c>
      <c r="I336" s="9">
        <f>_xll.BQL("LUV US Equity", "IS_CAP_INT_EXP/1M", "FPT=A", "FPO=1A", "ACT_EST_MAPPING=PRECISE", "FS=MRC", "CURRENCY=USD", "XLFILL=b")</f>
        <v>26.740165199608729</v>
      </c>
      <c r="J336" s="9">
        <f>_xll.BQL("LUV US Equity", "IS_CAP_INT_EXP/1M", "FPT=A", "FPO=0A", "ACT_EST_MAPPING=PRECISE", "FS=MRC", "CURRENCY=USD", "XLFILL=b")</f>
        <v>23</v>
      </c>
      <c r="K336" s="9">
        <f>_xll.BQL("LUV US Equity", "IS_CAP_INT_EXP/1M", "FPT=A", "FPO=-1A", "ACT_EST_MAPPING=PRECISE", "FS=MRC", "CURRENCY=USD", "XLFILL=b")</f>
        <v>39</v>
      </c>
      <c r="L336" s="9">
        <f>_xll.BQL("LUV US Equity", "IS_CAP_INT_EXP/1M", "FPT=A", "FPO=-2A", "ACT_EST_MAPPING=PRECISE", "FS=MRC", "CURRENCY=USD", "XLFILL=b")</f>
        <v>36</v>
      </c>
      <c r="M336" s="9">
        <f>_xll.BQL("LUV US Equity", "IS_CAP_INT_EXP/1M", "FPT=A", "FPO=-3A", "ACT_EST_MAPPING=PRECISE", "FS=MRC", "CURRENCY=USD", "XLFILL=b")</f>
        <v>35</v>
      </c>
      <c r="N336" s="9">
        <f>_xll.BQL("LUV US Equity", "IS_CAP_INT_EXP/1M", "FPT=A", "FPO=-4A", "ACT_EST_MAPPING=PRECISE", "FS=MRC", "CURRENCY=USD", "XLFILL=b")</f>
        <v>36</v>
      </c>
    </row>
    <row r="337" spans="1:14" x14ac:dyDescent="0.2">
      <c r="A337" s="8" t="s">
        <v>21</v>
      </c>
      <c r="B337" s="4" t="s">
        <v>170</v>
      </c>
      <c r="C337" s="4" t="s">
        <v>358</v>
      </c>
      <c r="D337" s="4"/>
      <c r="E337" s="9">
        <f>_xll.BQL("LUV US Equity", "FA_GROWTH(IS_CAP_INT_EXP, YOY)", "FPT=A", "FPO=5A", "ACT_EST_MAPPING=PRECISE", "FS=MRC", "CURRENCY=USD", "XLFILL=b")</f>
        <v>-11.845101009263429</v>
      </c>
      <c r="F337" s="9">
        <f>_xll.BQL("LUV US Equity", "FA_GROWTH(IS_CAP_INT_EXP, YOY)", "FPT=A", "FPO=4A", "ACT_EST_MAPPING=PRECISE", "FS=MRC", "CURRENCY=USD", "XLFILL=b")</f>
        <v>-9.684136382208214</v>
      </c>
      <c r="G337" s="9">
        <f>_xll.BQL("LUV US Equity", "FA_GROWTH(IS_CAP_INT_EXP, YOY)", "FPT=A", "FPO=3A", "ACT_EST_MAPPING=PRECISE", "FS=MRC", "CURRENCY=USD", "XLFILL=b")</f>
        <v>4.3513249135407932</v>
      </c>
      <c r="H337" s="9">
        <f>_xll.BQL("LUV US Equity", "FA_GROWTH(IS_CAP_INT_EXP, YOY)", "FPT=A", "FPO=2A", "ACT_EST_MAPPING=PRECISE", "FS=MRC", "CURRENCY=USD", "XLFILL=b")</f>
        <v>3.1797924593946356</v>
      </c>
      <c r="I337" s="9">
        <f>_xll.BQL("LUV US Equity", "FA_GROWTH(IS_CAP_INT_EXP, YOY)", "FPT=A", "FPO=1A", "ACT_EST_MAPPING=PRECISE", "FS=MRC", "CURRENCY=USD", "XLFILL=b")</f>
        <v>16.261587824385774</v>
      </c>
      <c r="J337" s="9">
        <f>_xll.BQL("LUV US Equity", "FA_GROWTH(IS_CAP_INT_EXP, YOY)", "FPT=A", "FPO=0A", "ACT_EST_MAPPING=PRECISE", "FS=MRC", "CURRENCY=USD", "XLFILL=b")</f>
        <v>-41.025641025641029</v>
      </c>
      <c r="K337" s="9">
        <f>_xll.BQL("LUV US Equity", "FA_GROWTH(IS_CAP_INT_EXP, YOY)", "FPT=A", "FPO=-1A", "ACT_EST_MAPPING=PRECISE", "FS=MRC", "CURRENCY=USD", "XLFILL=b")</f>
        <v>8.3333333333333339</v>
      </c>
      <c r="L337" s="9">
        <f>_xll.BQL("LUV US Equity", "FA_GROWTH(IS_CAP_INT_EXP, YOY)", "FPT=A", "FPO=-2A", "ACT_EST_MAPPING=PRECISE", "FS=MRC", "CURRENCY=USD", "XLFILL=b")</f>
        <v>2.8571428571428572</v>
      </c>
      <c r="M337" s="9">
        <f>_xll.BQL("LUV US Equity", "FA_GROWTH(IS_CAP_INT_EXP, YOY)", "FPT=A", "FPO=-3A", "ACT_EST_MAPPING=PRECISE", "FS=MRC", "CURRENCY=USD", "XLFILL=b")</f>
        <v>-2.7777777777777777</v>
      </c>
      <c r="N337" s="9">
        <f>_xll.BQL("LUV US Equity", "FA_GROWTH(IS_CAP_INT_EXP, YOY)", "FPT=A", "FPO=-4A", "ACT_EST_MAPPING=PRECISE", "FS=MRC", "CURRENCY=USD", "XLFILL=b")</f>
        <v>-5.2631578947368425</v>
      </c>
    </row>
    <row r="338" spans="1:14" x14ac:dyDescent="0.2">
      <c r="A338" s="8" t="s">
        <v>359</v>
      </c>
      <c r="B338" s="4" t="s">
        <v>360</v>
      </c>
      <c r="C338" s="4" t="s">
        <v>361</v>
      </c>
      <c r="D338" s="4"/>
      <c r="E338" s="9" t="str">
        <f>_xll.BQL("LUV US Equity", "HEADLINE_BVPS", "FPT=A", "FPO=5A", "ACT_EST_MAPPING=PRECISE", "FS=MRC", "CURRENCY=USD", "XLFILL=b")</f>
        <v/>
      </c>
      <c r="F338" s="9" t="str">
        <f>_xll.BQL("LUV US Equity", "HEADLINE_BVPS", "FPT=A", "FPO=4A", "ACT_EST_MAPPING=PRECISE", "FS=MRC", "CURRENCY=USD", "XLFILL=b")</f>
        <v/>
      </c>
      <c r="G338" s="9">
        <f>_xll.BQL("LUV US Equity", "HEADLINE_BVPS", "FPT=A", "FPO=3A", "ACT_EST_MAPPING=PRECISE", "FS=MRC", "CURRENCY=USD", "XLFILL=b")</f>
        <v>21.18</v>
      </c>
      <c r="H338" s="9">
        <f>_xll.BQL("LUV US Equity", "HEADLINE_BVPS", "FPT=A", "FPO=2A", "ACT_EST_MAPPING=PRECISE", "FS=MRC", "CURRENCY=USD", "XLFILL=b")</f>
        <v>17.224285714285713</v>
      </c>
      <c r="I338" s="9">
        <f>_xll.BQL("LUV US Equity", "HEADLINE_BVPS", "FPT=A", "FPO=1A", "ACT_EST_MAPPING=PRECISE", "FS=MRC", "CURRENCY=USD", "XLFILL=b")</f>
        <v>16.651428571428571</v>
      </c>
      <c r="J338" s="9">
        <f>_xll.BQL("LUV US Equity", "HEADLINE_BVPS", "FPT=A", "FPO=0A", "ACT_EST_MAPPING=PRECISE", "FS=MRC", "CURRENCY=USD", "XLFILL=b")</f>
        <v>17.627455678713176</v>
      </c>
      <c r="K338" s="9">
        <f>_xll.BQL("LUV US Equity", "HEADLINE_BVPS", "FPT=A", "FPO=-1A", "ACT_EST_MAPPING=PRECISE", "FS=MRC", "CURRENCY=USD", "XLFILL=b")</f>
        <v>17.991587913289962</v>
      </c>
      <c r="L338" s="9">
        <f>_xll.BQL("LUV US Equity", "HEADLINE_BVPS", "FPT=A", "FPO=-2A", "ACT_EST_MAPPING=PRECISE", "FS=MRC", "CURRENCY=USD", "XLFILL=b")</f>
        <v>17.587647914183574</v>
      </c>
      <c r="M338" s="9">
        <f>_xll.BQL("LUV US Equity", "HEADLINE_BVPS", "FPT=A", "FPO=-3A", "ACT_EST_MAPPING=PRECISE", "FS=MRC", "CURRENCY=USD", "XLFILL=b")</f>
        <v>15.031982668537211</v>
      </c>
      <c r="N338" s="9">
        <f>_xll.BQL("LUV US Equity", "HEADLINE_BVPS", "FPT=A", "FPO=-4A", "ACT_EST_MAPPING=PRECISE", "FS=MRC", "CURRENCY=USD", "XLFILL=b")</f>
        <v>18.94177599370942</v>
      </c>
    </row>
    <row r="339" spans="1:14" x14ac:dyDescent="0.2">
      <c r="A339" s="8" t="s">
        <v>21</v>
      </c>
      <c r="B339" s="4" t="s">
        <v>360</v>
      </c>
      <c r="C339" s="4" t="s">
        <v>361</v>
      </c>
      <c r="D339" s="4"/>
      <c r="E339" s="9" t="str">
        <f>_xll.BQL("LUV US Equity", "FA_GROWTH(HEADLINE_BVPS, YOY)", "FPT=A", "FPO=5A", "ACT_EST_MAPPING=PRECISE", "FS=MRC", "CURRENCY=USD", "XLFILL=b")</f>
        <v/>
      </c>
      <c r="F339" s="9" t="str">
        <f>_xll.BQL("LUV US Equity", "FA_GROWTH(HEADLINE_BVPS, YOY)", "FPT=A", "FPO=4A", "ACT_EST_MAPPING=PRECISE", "FS=MRC", "CURRENCY=USD", "XLFILL=b")</f>
        <v/>
      </c>
      <c r="G339" s="9">
        <f>_xll.BQL("LUV US Equity", "FA_GROWTH(HEADLINE_BVPS, YOY)", "FPT=A", "FPO=3A", "ACT_EST_MAPPING=PRECISE", "FS=MRC", "CURRENCY=USD", "XLFILL=b")</f>
        <v>22.965911918387665</v>
      </c>
      <c r="H339" s="9">
        <f>_xll.BQL("LUV US Equity", "FA_GROWTH(HEADLINE_BVPS, YOY)", "FPT=A", "FPO=2A", "ACT_EST_MAPPING=PRECISE", "FS=MRC", "CURRENCY=USD", "XLFILL=b")</f>
        <v>3.4402882635552459</v>
      </c>
      <c r="I339" s="9">
        <f>_xll.BQL("LUV US Equity", "FA_GROWTH(HEADLINE_BVPS, YOY)", "FPT=A", "FPO=1A", "ACT_EST_MAPPING=PRECISE", "FS=MRC", "CURRENCY=USD", "XLFILL=b")</f>
        <v>-5.5369709904490065</v>
      </c>
      <c r="J339" s="9">
        <f>_xll.BQL("LUV US Equity", "FA_GROWTH(HEADLINE_BVPS, YOY)", "FPT=A", "FPO=0A", "ACT_EST_MAPPING=PRECISE", "FS=MRC", "CURRENCY=USD", "XLFILL=b")</f>
        <v>-2.0239027057073167</v>
      </c>
      <c r="K339" s="9">
        <f>_xll.BQL("LUV US Equity", "FA_GROWTH(HEADLINE_BVPS, YOY)", "FPT=A", "FPO=-1A", "ACT_EST_MAPPING=PRECISE", "FS=MRC", "CURRENCY=USD", "XLFILL=b")</f>
        <v>2.2967255262179225</v>
      </c>
      <c r="L339" s="9">
        <f>_xll.BQL("LUV US Equity", "FA_GROWTH(HEADLINE_BVPS, YOY)", "FPT=A", "FPO=-2A", "ACT_EST_MAPPING=PRECISE", "FS=MRC", "CURRENCY=USD", "XLFILL=b")</f>
        <v>17.001518043228689</v>
      </c>
      <c r="M339" s="9">
        <f>_xll.BQL("LUV US Equity", "FA_GROWTH(HEADLINE_BVPS, YOY)", "FPT=A", "FPO=-3A", "ACT_EST_MAPPING=PRECISE", "FS=MRC", "CURRENCY=USD", "XLFILL=b")</f>
        <v>-20.641112673229035</v>
      </c>
      <c r="N339" s="9">
        <f>_xll.BQL("LUV US Equity", "FA_GROWTH(HEADLINE_BVPS, YOY)", "FPT=A", "FPO=-4A", "ACT_EST_MAPPING=PRECISE", "FS=MRC", "CURRENCY=USD", "XLFILL=b")</f>
        <v>6.2345381056468945</v>
      </c>
    </row>
    <row r="340" spans="1:14" x14ac:dyDescent="0.2">
      <c r="A340" s="8" t="s">
        <v>16</v>
      </c>
      <c r="B340" s="4"/>
      <c r="C340" s="4"/>
      <c r="D340" s="4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x14ac:dyDescent="0.2">
      <c r="A341" s="8" t="s">
        <v>362</v>
      </c>
      <c r="B341" s="4"/>
      <c r="C341" s="4" t="s">
        <v>363</v>
      </c>
      <c r="D341" s="4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x14ac:dyDescent="0.2">
      <c r="A342" s="8" t="s">
        <v>364</v>
      </c>
      <c r="B342" s="4"/>
      <c r="C342" s="4" t="s">
        <v>365</v>
      </c>
      <c r="D342" s="4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x14ac:dyDescent="0.2">
      <c r="A343" s="8" t="s">
        <v>217</v>
      </c>
      <c r="B343" s="4" t="s">
        <v>191</v>
      </c>
      <c r="C343" s="4" t="s">
        <v>192</v>
      </c>
      <c r="D343" s="4"/>
      <c r="E343" s="9">
        <f>_xll.BQL("LUV US Equity", "IS_COMP_NET_INCOME_GAAP/1M", "FPT=A", "FPO=5A", "ACT_EST_MAPPING=PRECISE", "FS=MRC", "CURRENCY=USD", "XLFILL=b")</f>
        <v>1785</v>
      </c>
      <c r="F343" s="9">
        <f>_xll.BQL("LUV US Equity", "IS_COMP_NET_INCOME_GAAP/1M", "FPT=A", "FPO=4A", "ACT_EST_MAPPING=PRECISE", "FS=MRC", "CURRENCY=USD", "XLFILL=b")</f>
        <v>1703.6</v>
      </c>
      <c r="G343" s="9">
        <f>_xll.BQL("LUV US Equity", "IS_COMP_NET_INCOME_GAAP/1M", "FPT=A", "FPO=3A", "ACT_EST_MAPPING=PRECISE", "FS=MRC", "CURRENCY=USD", "XLFILL=b")</f>
        <v>1121.8888888888889</v>
      </c>
      <c r="H343" s="9">
        <f>_xll.BQL("LUV US Equity", "IS_COMP_NET_INCOME_GAAP/1M", "FPT=A", "FPO=2A", "ACT_EST_MAPPING=PRECISE", "FS=MRC", "CURRENCY=USD", "XLFILL=b")</f>
        <v>728.15384615384619</v>
      </c>
      <c r="I343" s="9">
        <f>_xll.BQL("LUV US Equity", "IS_COMP_NET_INCOME_GAAP/1M", "FPT=A", "FPO=1A", "ACT_EST_MAPPING=PRECISE", "FS=MRC", "CURRENCY=USD", "XLFILL=b")</f>
        <v>161.12727272727273</v>
      </c>
      <c r="J343" s="9">
        <f>_xll.BQL("LUV US Equity", "IS_COMP_NET_INCOME_GAAP/1M", "FPT=A", "FPO=0A", "ACT_EST_MAPPING=PRECISE", "FS=MRC", "CURRENCY=USD", "XLFILL=b")</f>
        <v>498</v>
      </c>
      <c r="K343" s="9">
        <f>_xll.BQL("LUV US Equity", "IS_COMP_NET_INCOME_GAAP/1M", "FPT=A", "FPO=-1A", "ACT_EST_MAPPING=PRECISE", "FS=MRC", "CURRENCY=USD", "XLFILL=b")</f>
        <v>539</v>
      </c>
      <c r="L343" s="9">
        <f>_xll.BQL("LUV US Equity", "IS_COMP_NET_INCOME_GAAP/1M", "FPT=A", "FPO=-2A", "ACT_EST_MAPPING=PRECISE", "FS=MRC", "CURRENCY=USD", "XLFILL=b")</f>
        <v>977</v>
      </c>
      <c r="M343" s="9">
        <f>_xll.BQL("LUV US Equity", "IS_COMP_NET_INCOME_GAAP/1M", "FPT=A", "FPO=-3A", "ACT_EST_MAPPING=PRECISE", "FS=MRC", "CURRENCY=USD", "XLFILL=b")</f>
        <v>-3074</v>
      </c>
      <c r="N343" s="9">
        <f>_xll.BQL("LUV US Equity", "IS_COMP_NET_INCOME_GAAP/1M", "FPT=A", "FPO=-4A", "ACT_EST_MAPPING=PRECISE", "FS=MRC", "CURRENCY=USD", "XLFILL=b")</f>
        <v>2300</v>
      </c>
    </row>
    <row r="344" spans="1:14" x14ac:dyDescent="0.2">
      <c r="A344" s="8" t="s">
        <v>21</v>
      </c>
      <c r="B344" s="4" t="s">
        <v>191</v>
      </c>
      <c r="C344" s="4" t="s">
        <v>192</v>
      </c>
      <c r="D344" s="4"/>
      <c r="E344" s="9">
        <f>_xll.BQL("LUV US Equity", "FA_GROWTH(IS_COMP_NET_INCOME_GAAP, YOY)", "FPT=A", "FPO=5A", "ACT_EST_MAPPING=PRECISE", "FS=MRC", "CURRENCY=USD", "XLFILL=b")</f>
        <v>4.778116928856539</v>
      </c>
      <c r="F344" s="9">
        <f>_xll.BQL("LUV US Equity", "FA_GROWTH(IS_COMP_NET_INCOME_GAAP, YOY)", "FPT=A", "FPO=4A", "ACT_EST_MAPPING=PRECISE", "FS=MRC", "CURRENCY=USD", "XLFILL=b")</f>
        <v>51.851044864811335</v>
      </c>
      <c r="G344" s="9">
        <f>_xll.BQL("LUV US Equity", "FA_GROWTH(IS_COMP_NET_INCOME_GAAP, YOY)", "FPT=A", "FPO=3A", "ACT_EST_MAPPING=PRECISE", "FS=MRC", "CURRENCY=USD", "XLFILL=b")</f>
        <v>54.073056788036716</v>
      </c>
      <c r="H344" s="9">
        <f>_xll.BQL("LUV US Equity", "FA_GROWTH(IS_COMP_NET_INCOME_GAAP, YOY)", "FPT=A", "FPO=2A", "ACT_EST_MAPPING=PRECISE", "FS=MRC", "CURRENCY=USD", "XLFILL=b")</f>
        <v>351.9122267937434</v>
      </c>
      <c r="I344" s="9">
        <f>_xll.BQL("LUV US Equity", "FA_GROWTH(IS_COMP_NET_INCOME_GAAP, YOY)", "FPT=A", "FPO=1A", "ACT_EST_MAPPING=PRECISE", "FS=MRC", "CURRENCY=USD", "XLFILL=b")</f>
        <v>-67.645125958378969</v>
      </c>
      <c r="J344" s="9">
        <f>_xll.BQL("LUV US Equity", "FA_GROWTH(IS_COMP_NET_INCOME_GAAP, YOY)", "FPT=A", "FPO=0A", "ACT_EST_MAPPING=PRECISE", "FS=MRC", "CURRENCY=USD", "XLFILL=b")</f>
        <v>-7.6066790352504636</v>
      </c>
      <c r="K344" s="9">
        <f>_xll.BQL("LUV US Equity", "FA_GROWTH(IS_COMP_NET_INCOME_GAAP, YOY)", "FPT=A", "FPO=-1A", "ACT_EST_MAPPING=PRECISE", "FS=MRC", "CURRENCY=USD", "XLFILL=b")</f>
        <v>-44.831115660184238</v>
      </c>
      <c r="L344" s="9">
        <f>_xll.BQL("LUV US Equity", "FA_GROWTH(IS_COMP_NET_INCOME_GAAP, YOY)", "FPT=A", "FPO=-2A", "ACT_EST_MAPPING=PRECISE", "FS=MRC", "CURRENCY=USD", "XLFILL=b")</f>
        <v>131.78269355888094</v>
      </c>
      <c r="M344" s="9">
        <f>_xll.BQL("LUV US Equity", "FA_GROWTH(IS_COMP_NET_INCOME_GAAP, YOY)", "FPT=A", "FPO=-3A", "ACT_EST_MAPPING=PRECISE", "FS=MRC", "CURRENCY=USD", "XLFILL=b")</f>
        <v>-233.65217391304347</v>
      </c>
      <c r="N344" s="9">
        <f>_xll.BQL("LUV US Equity", "FA_GROWTH(IS_COMP_NET_INCOME_GAAP, YOY)", "FPT=A", "FPO=-4A", "ACT_EST_MAPPING=PRECISE", "FS=MRC", "CURRENCY=USD", "XLFILL=b")</f>
        <v>-6.6937119675456387</v>
      </c>
    </row>
    <row r="345" spans="1:14" x14ac:dyDescent="0.2">
      <c r="A345" s="8" t="s">
        <v>146</v>
      </c>
      <c r="B345" s="4" t="s">
        <v>147</v>
      </c>
      <c r="C345" s="4" t="s">
        <v>148</v>
      </c>
      <c r="D345" s="4"/>
      <c r="E345" s="9">
        <f>_xll.BQL("LUV US Equity", "IS_D_AND_A_GAAP/1M", "FPT=A", "FPO=5A", "ACT_EST_MAPPING=PRECISE", "FS=MRC", "CURRENCY=USD", "XLFILL=b")</f>
        <v>2086.7862173265876</v>
      </c>
      <c r="F345" s="9">
        <f>_xll.BQL("LUV US Equity", "IS_D_AND_A_GAAP/1M", "FPT=A", "FPO=4A", "ACT_EST_MAPPING=PRECISE", "FS=MRC", "CURRENCY=USD", "XLFILL=b")</f>
        <v>2007.0839231744724</v>
      </c>
      <c r="G345" s="9">
        <f>_xll.BQL("LUV US Equity", "IS_D_AND_A_GAAP/1M", "FPT=A", "FPO=3A", "ACT_EST_MAPPING=PRECISE", "FS=MRC", "CURRENCY=USD", "XLFILL=b")</f>
        <v>1804.1198522728766</v>
      </c>
      <c r="H345" s="9">
        <f>_xll.BQL("LUV US Equity", "IS_D_AND_A_GAAP/1M", "FPT=A", "FPO=2A", "ACT_EST_MAPPING=PRECISE", "FS=MRC", "CURRENCY=USD", "XLFILL=b")</f>
        <v>1691.0980246538586</v>
      </c>
      <c r="I345" s="9">
        <f>_xll.BQL("LUV US Equity", "IS_D_AND_A_GAAP/1M", "FPT=A", "FPO=1A", "ACT_EST_MAPPING=PRECISE", "FS=MRC", "CURRENCY=USD", "XLFILL=b")</f>
        <v>1620.2654360088097</v>
      </c>
      <c r="J345" s="9">
        <f>_xll.BQL("LUV US Equity", "IS_D_AND_A_GAAP/1M", "FPT=A", "FPO=0A", "ACT_EST_MAPPING=PRECISE", "FS=MRC", "CURRENCY=USD", "XLFILL=b")</f>
        <v>1522</v>
      </c>
      <c r="K345" s="9">
        <f>_xll.BQL("LUV US Equity", "IS_D_AND_A_GAAP/1M", "FPT=A", "FPO=-1A", "ACT_EST_MAPPING=PRECISE", "FS=MRC", "CURRENCY=USD", "XLFILL=b")</f>
        <v>1351</v>
      </c>
      <c r="L345" s="9">
        <f>_xll.BQL("LUV US Equity", "IS_D_AND_A_GAAP/1M", "FPT=A", "FPO=-2A", "ACT_EST_MAPPING=PRECISE", "FS=MRC", "CURRENCY=USD", "XLFILL=b")</f>
        <v>1272</v>
      </c>
      <c r="M345" s="9">
        <f>_xll.BQL("LUV US Equity", "IS_D_AND_A_GAAP/1M", "FPT=A", "FPO=-3A", "ACT_EST_MAPPING=PRECISE", "FS=MRC", "CURRENCY=USD", "XLFILL=b")</f>
        <v>1255</v>
      </c>
      <c r="N345" s="9">
        <f>_xll.BQL("LUV US Equity", "IS_D_AND_A_GAAP/1M", "FPT=A", "FPO=-4A", "ACT_EST_MAPPING=PRECISE", "FS=MRC", "CURRENCY=USD", "XLFILL=b")</f>
        <v>1219</v>
      </c>
    </row>
    <row r="346" spans="1:14" x14ac:dyDescent="0.2">
      <c r="A346" s="8" t="s">
        <v>21</v>
      </c>
      <c r="B346" s="4" t="s">
        <v>147</v>
      </c>
      <c r="C346" s="4" t="s">
        <v>148</v>
      </c>
      <c r="D346" s="4"/>
      <c r="E346" s="9">
        <f>_xll.BQL("LUV US Equity", "FA_GROWTH(IS_D_AND_A_GAAP, YOY)", "FPT=A", "FPO=5A", "ACT_EST_MAPPING=PRECISE", "FS=MRC", "CURRENCY=USD", "XLFILL=b")</f>
        <v>3.9710494031587498</v>
      </c>
      <c r="F346" s="9">
        <f>_xll.BQL("LUV US Equity", "FA_GROWTH(IS_D_AND_A_GAAP, YOY)", "FPT=A", "FPO=4A", "ACT_EST_MAPPING=PRECISE", "FS=MRC", "CURRENCY=USD", "XLFILL=b")</f>
        <v>11.250032565513662</v>
      </c>
      <c r="G346" s="9">
        <f>_xll.BQL("LUV US Equity", "FA_GROWTH(IS_D_AND_A_GAAP, YOY)", "FPT=A", "FPO=3A", "ACT_EST_MAPPING=PRECISE", "FS=MRC", "CURRENCY=USD", "XLFILL=b")</f>
        <v>6.6833398165757947</v>
      </c>
      <c r="H346" s="9">
        <f>_xll.BQL("LUV US Equity", "FA_GROWTH(IS_D_AND_A_GAAP, YOY)", "FPT=A", "FPO=2A", "ACT_EST_MAPPING=PRECISE", "FS=MRC", "CURRENCY=USD", "XLFILL=b")</f>
        <v>4.3716657203729747</v>
      </c>
      <c r="I346" s="9">
        <f>_xll.BQL("LUV US Equity", "FA_GROWTH(IS_D_AND_A_GAAP, YOY)", "FPT=A", "FPO=1A", "ACT_EST_MAPPING=PRECISE", "FS=MRC", "CURRENCY=USD", "XLFILL=b")</f>
        <v>6.4563361372411183</v>
      </c>
      <c r="J346" s="9">
        <f>_xll.BQL("LUV US Equity", "FA_GROWTH(IS_D_AND_A_GAAP, YOY)", "FPT=A", "FPO=0A", "ACT_EST_MAPPING=PRECISE", "FS=MRC", "CURRENCY=USD", "XLFILL=b")</f>
        <v>12.657290895632865</v>
      </c>
      <c r="K346" s="9">
        <f>_xll.BQL("LUV US Equity", "FA_GROWTH(IS_D_AND_A_GAAP, YOY)", "FPT=A", "FPO=-1A", "ACT_EST_MAPPING=PRECISE", "FS=MRC", "CURRENCY=USD", "XLFILL=b")</f>
        <v>6.2106918238993707</v>
      </c>
      <c r="L346" s="9">
        <f>_xll.BQL("LUV US Equity", "FA_GROWTH(IS_D_AND_A_GAAP, YOY)", "FPT=A", "FPO=-2A", "ACT_EST_MAPPING=PRECISE", "FS=MRC", "CURRENCY=USD", "XLFILL=b")</f>
        <v>1.3545816733067728</v>
      </c>
      <c r="M346" s="9">
        <f>_xll.BQL("LUV US Equity", "FA_GROWTH(IS_D_AND_A_GAAP, YOY)", "FPT=A", "FPO=-3A", "ACT_EST_MAPPING=PRECISE", "FS=MRC", "CURRENCY=USD", "XLFILL=b")</f>
        <v>2.9532403609515998</v>
      </c>
      <c r="N346" s="9">
        <f>_xll.BQL("LUV US Equity", "FA_GROWTH(IS_D_AND_A_GAAP, YOY)", "FPT=A", "FPO=-4A", "ACT_EST_MAPPING=PRECISE", "FS=MRC", "CURRENCY=USD", "XLFILL=b")</f>
        <v>1.4987510407993339</v>
      </c>
    </row>
    <row r="347" spans="1:14" x14ac:dyDescent="0.2">
      <c r="A347" s="8" t="s">
        <v>366</v>
      </c>
      <c r="B347" s="4" t="s">
        <v>367</v>
      </c>
      <c r="C347" s="4" t="s">
        <v>307</v>
      </c>
      <c r="D347" s="4"/>
      <c r="E347" s="9" t="str">
        <f>_xll.BQL("LUV US Equity", "CF_DEF_INC_TAX/1M", "FPT=A", "FPO=5A", "ACT_EST_MAPPING=PRECISE", "FS=MRC", "CURRENCY=USD", "XLFILL=b")</f>
        <v/>
      </c>
      <c r="F347" s="9" t="str">
        <f>_xll.BQL("LUV US Equity", "CF_DEF_INC_TAX/1M", "FPT=A", "FPO=4A", "ACT_EST_MAPPING=PRECISE", "FS=MRC", "CURRENCY=USD", "XLFILL=b")</f>
        <v/>
      </c>
      <c r="G347" s="9">
        <f>_xll.BQL("LUV US Equity", "CF_DEF_INC_TAX/1M", "FPT=A", "FPO=3A", "ACT_EST_MAPPING=PRECISE", "FS=MRC", "CURRENCY=USD", "XLFILL=b")</f>
        <v>34.272186454249109</v>
      </c>
      <c r="H347" s="9">
        <f>_xll.BQL("LUV US Equity", "CF_DEF_INC_TAX/1M", "FPT=A", "FPO=2A", "ACT_EST_MAPPING=PRECISE", "FS=MRC", "CURRENCY=USD", "XLFILL=b")</f>
        <v>176.42027962311997</v>
      </c>
      <c r="I347" s="9">
        <f>_xll.BQL("LUV US Equity", "CF_DEF_INC_TAX/1M", "FPT=A", "FPO=1A", "ACT_EST_MAPPING=PRECISE", "FS=MRC", "CURRENCY=USD", "XLFILL=b")</f>
        <v>40.564519839362752</v>
      </c>
      <c r="J347" s="9">
        <f>_xll.BQL("LUV US Equity", "CF_DEF_INC_TAX/1M", "FPT=A", "FPO=0A", "ACT_EST_MAPPING=PRECISE", "FS=MRC", "CURRENCY=USD", "XLFILL=b")</f>
        <v>159</v>
      </c>
      <c r="K347" s="9">
        <f>_xll.BQL("LUV US Equity", "CF_DEF_INC_TAX/1M", "FPT=A", "FPO=-1A", "ACT_EST_MAPPING=PRECISE", "FS=MRC", "CURRENCY=USD", "XLFILL=b")</f>
        <v>228</v>
      </c>
      <c r="L347" s="9">
        <f>_xll.BQL("LUV US Equity", "CF_DEF_INC_TAX/1M", "FPT=A", "FPO=-2A", "ACT_EST_MAPPING=PRECISE", "FS=MRC", "CURRENCY=USD", "XLFILL=b")</f>
        <v>-21</v>
      </c>
      <c r="M347" s="9">
        <f>_xll.BQL("LUV US Equity", "CF_DEF_INC_TAX/1M", "FPT=A", "FPO=-3A", "ACT_EST_MAPPING=PRECISE", "FS=MRC", "CURRENCY=USD", "XLFILL=b")</f>
        <v>-716</v>
      </c>
      <c r="N347" s="9">
        <f>_xll.BQL("LUV US Equity", "CF_DEF_INC_TAX/1M", "FPT=A", "FPO=-4A", "ACT_EST_MAPPING=PRECISE", "FS=MRC", "CURRENCY=USD", "XLFILL=b")</f>
        <v>-55</v>
      </c>
    </row>
    <row r="348" spans="1:14" x14ac:dyDescent="0.2">
      <c r="A348" s="8" t="s">
        <v>21</v>
      </c>
      <c r="B348" s="4" t="s">
        <v>367</v>
      </c>
      <c r="C348" s="4" t="s">
        <v>307</v>
      </c>
      <c r="D348" s="4"/>
      <c r="E348" s="9" t="str">
        <f>_xll.BQL("LUV US Equity", "FA_GROWTH(CF_DEF_INC_TAX, YOY)", "FPT=A", "FPO=5A", "ACT_EST_MAPPING=PRECISE", "FS=MRC", "CURRENCY=USD", "XLFILL=b")</f>
        <v/>
      </c>
      <c r="F348" s="9" t="str">
        <f>_xll.BQL("LUV US Equity", "FA_GROWTH(CF_DEF_INC_TAX, YOY)", "FPT=A", "FPO=4A", "ACT_EST_MAPPING=PRECISE", "FS=MRC", "CURRENCY=USD", "XLFILL=b")</f>
        <v/>
      </c>
      <c r="G348" s="9">
        <f>_xll.BQL("LUV US Equity", "FA_GROWTH(CF_DEF_INC_TAX, YOY)", "FPT=A", "FPO=3A", "ACT_EST_MAPPING=PRECISE", "FS=MRC", "CURRENCY=USD", "XLFILL=b")</f>
        <v>-80.573556210508514</v>
      </c>
      <c r="H348" s="9">
        <f>_xll.BQL("LUV US Equity", "FA_GROWTH(CF_DEF_INC_TAX, YOY)", "FPT=A", "FPO=2A", "ACT_EST_MAPPING=PRECISE", "FS=MRC", "CURRENCY=USD", "XLFILL=b")</f>
        <v>334.91277678560442</v>
      </c>
      <c r="I348" s="9">
        <f>_xll.BQL("LUV US Equity", "FA_GROWTH(CF_DEF_INC_TAX, YOY)", "FPT=A", "FPO=1A", "ACT_EST_MAPPING=PRECISE", "FS=MRC", "CURRENCY=USD", "XLFILL=b")</f>
        <v>-74.487723371469968</v>
      </c>
      <c r="J348" s="9">
        <f>_xll.BQL("LUV US Equity", "FA_GROWTH(CF_DEF_INC_TAX, YOY)", "FPT=A", "FPO=0A", "ACT_EST_MAPPING=PRECISE", "FS=MRC", "CURRENCY=USD", "XLFILL=b")</f>
        <v>-30.263157894736842</v>
      </c>
      <c r="K348" s="9">
        <f>_xll.BQL("LUV US Equity", "FA_GROWTH(CF_DEF_INC_TAX, YOY)", "FPT=A", "FPO=-1A", "ACT_EST_MAPPING=PRECISE", "FS=MRC", "CURRENCY=USD", "XLFILL=b")</f>
        <v>1185.7142857142858</v>
      </c>
      <c r="L348" s="9">
        <f>_xll.BQL("LUV US Equity", "FA_GROWTH(CF_DEF_INC_TAX, YOY)", "FPT=A", "FPO=-2A", "ACT_EST_MAPPING=PRECISE", "FS=MRC", "CURRENCY=USD", "XLFILL=b")</f>
        <v>97.067039106145245</v>
      </c>
      <c r="M348" s="9">
        <f>_xll.BQL("LUV US Equity", "FA_GROWTH(CF_DEF_INC_TAX, YOY)", "FPT=A", "FPO=-3A", "ACT_EST_MAPPING=PRECISE", "FS=MRC", "CURRENCY=USD", "XLFILL=b")</f>
        <v>-1201.8181818181818</v>
      </c>
      <c r="N348" s="9">
        <f>_xll.BQL("LUV US Equity", "FA_GROWTH(CF_DEF_INC_TAX, YOY)", "FPT=A", "FPO=-4A", "ACT_EST_MAPPING=PRECISE", "FS=MRC", "CURRENCY=USD", "XLFILL=b")</f>
        <v>-118.27242524916943</v>
      </c>
    </row>
    <row r="349" spans="1:14" x14ac:dyDescent="0.2">
      <c r="A349" s="8" t="s">
        <v>368</v>
      </c>
      <c r="B349" s="4"/>
      <c r="C349" s="4"/>
      <c r="D349" s="4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x14ac:dyDescent="0.2">
      <c r="A350" s="8" t="s">
        <v>369</v>
      </c>
      <c r="B350" s="4" t="s">
        <v>370</v>
      </c>
      <c r="C350" s="4"/>
      <c r="D350" s="4"/>
      <c r="E350" s="9" t="str">
        <f>_xll.BQL("LUV US Equity", "CF_ACCT_RCV_UNBILLED_REV/1M", "FPT=A", "FPO=5A", "ACT_EST_MAPPING=PRECISE", "FS=MRC", "CURRENCY=USD", "XLFILL=b")</f>
        <v/>
      </c>
      <c r="F350" s="9">
        <f>_xll.BQL("LUV US Equity", "CF_ACCT_RCV_UNBILLED_REV/1M", "FPT=A", "FPO=4A", "ACT_EST_MAPPING=PRECISE", "FS=MRC", "CURRENCY=USD", "XLFILL=b")</f>
        <v>-63.324215161595589</v>
      </c>
      <c r="G350" s="9">
        <f>_xll.BQL("LUV US Equity", "CF_ACCT_RCV_UNBILLED_REV/1M", "FPT=A", "FPO=3A", "ACT_EST_MAPPING=PRECISE", "FS=MRC", "CURRENCY=USD", "XLFILL=b")</f>
        <v>-72.50357225053159</v>
      </c>
      <c r="H350" s="9">
        <f>_xll.BQL("LUV US Equity", "CF_ACCT_RCV_UNBILLED_REV/1M", "FPT=A", "FPO=2A", "ACT_EST_MAPPING=PRECISE", "FS=MRC", "CURRENCY=USD", "XLFILL=b")</f>
        <v>-74.195624318091433</v>
      </c>
      <c r="I350" s="9">
        <f>_xll.BQL("LUV US Equity", "CF_ACCT_RCV_UNBILLED_REV/1M", "FPT=A", "FPO=1A", "ACT_EST_MAPPING=PRECISE", "FS=MRC", "CURRENCY=USD", "XLFILL=b")</f>
        <v>-189.92396185064788</v>
      </c>
      <c r="J350" s="9">
        <f>_xll.BQL("LUV US Equity", "CF_ACCT_RCV_UNBILLED_REV/1M", "FPT=A", "FPO=0A", "ACT_EST_MAPPING=PRECISE", "FS=MRC", "CURRENCY=USD", "XLFILL=b")</f>
        <v>-89</v>
      </c>
      <c r="K350" s="9">
        <f>_xll.BQL("LUV US Equity", "CF_ACCT_RCV_UNBILLED_REV/1M", "FPT=A", "FPO=-1A", "ACT_EST_MAPPING=PRECISE", "FS=MRC", "CURRENCY=USD", "XLFILL=b")</f>
        <v>422</v>
      </c>
      <c r="L350" s="9">
        <f>_xll.BQL("LUV US Equity", "CF_ACCT_RCV_UNBILLED_REV/1M", "FPT=A", "FPO=-2A", "ACT_EST_MAPPING=PRECISE", "FS=MRC", "CURRENCY=USD", "XLFILL=b")</f>
        <v>-701</v>
      </c>
      <c r="M350" s="9">
        <f>_xll.BQL("LUV US Equity", "CF_ACCT_RCV_UNBILLED_REV/1M", "FPT=A", "FPO=-3A", "ACT_EST_MAPPING=PRECISE", "FS=MRC", "CURRENCY=USD", "XLFILL=b")</f>
        <v>-294</v>
      </c>
      <c r="N350" s="9">
        <f>_xll.BQL("LUV US Equity", "CF_ACCT_RCV_UNBILLED_REV/1M", "FPT=A", "FPO=-4A", "ACT_EST_MAPPING=PRECISE", "FS=MRC", "CURRENCY=USD", "XLFILL=b")</f>
        <v>-94</v>
      </c>
    </row>
    <row r="351" spans="1:14" x14ac:dyDescent="0.2">
      <c r="A351" s="8" t="s">
        <v>111</v>
      </c>
      <c r="B351" s="4" t="s">
        <v>370</v>
      </c>
      <c r="C351" s="4"/>
      <c r="D351" s="4"/>
      <c r="E351" s="9" t="str">
        <f>_xll.BQL("LUV US Equity", "FA_GROWTH(CF_ACCT_RCV_UNBILLED_REV, YOY)", "FPT=A", "FPO=5A", "ACT_EST_MAPPING=PRECISE", "FS=MRC", "CURRENCY=USD", "XLFILL=b")</f>
        <v/>
      </c>
      <c r="F351" s="9">
        <f>_xll.BQL("LUV US Equity", "FA_GROWTH(CF_ACCT_RCV_UNBILLED_REV, YOY)", "FPT=A", "FPO=4A", "ACT_EST_MAPPING=PRECISE", "FS=MRC", "CURRENCY=USD", "XLFILL=b")</f>
        <v>12.660558375271906</v>
      </c>
      <c r="G351" s="9">
        <f>_xll.BQL("LUV US Equity", "FA_GROWTH(CF_ACCT_RCV_UNBILLED_REV, YOY)", "FPT=A", "FPO=3A", "ACT_EST_MAPPING=PRECISE", "FS=MRC", "CURRENCY=USD", "XLFILL=b")</f>
        <v>2.2805281081074114</v>
      </c>
      <c r="H351" s="9">
        <f>_xll.BQL("LUV US Equity", "FA_GROWTH(CF_ACCT_RCV_UNBILLED_REV, YOY)", "FPT=A", "FPO=2A", "ACT_EST_MAPPING=PRECISE", "FS=MRC", "CURRENCY=USD", "XLFILL=b")</f>
        <v>60.934037182502927</v>
      </c>
      <c r="I351" s="9">
        <f>_xll.BQL("LUV US Equity", "FA_GROWTH(CF_ACCT_RCV_UNBILLED_REV, YOY)", "FPT=A", "FPO=1A", "ACT_EST_MAPPING=PRECISE", "FS=MRC", "CURRENCY=USD", "XLFILL=b")</f>
        <v>-113.39770994454818</v>
      </c>
      <c r="J351" s="9">
        <f>_xll.BQL("LUV US Equity", "FA_GROWTH(CF_ACCT_RCV_UNBILLED_REV, YOY)", "FPT=A", "FPO=0A", "ACT_EST_MAPPING=PRECISE", "FS=MRC", "CURRENCY=USD", "XLFILL=b")</f>
        <v>-121.09004739336493</v>
      </c>
      <c r="K351" s="9">
        <f>_xll.BQL("LUV US Equity", "FA_GROWTH(CF_ACCT_RCV_UNBILLED_REV, YOY)", "FPT=A", "FPO=-1A", "ACT_EST_MAPPING=PRECISE", "FS=MRC", "CURRENCY=USD", "XLFILL=b")</f>
        <v>160.19971469329531</v>
      </c>
      <c r="L351" s="9">
        <f>_xll.BQL("LUV US Equity", "FA_GROWTH(CF_ACCT_RCV_UNBILLED_REV, YOY)", "FPT=A", "FPO=-2A", "ACT_EST_MAPPING=PRECISE", "FS=MRC", "CURRENCY=USD", "XLFILL=b")</f>
        <v>-138.43537414965985</v>
      </c>
      <c r="M351" s="9">
        <f>_xll.BQL("LUV US Equity", "FA_GROWTH(CF_ACCT_RCV_UNBILLED_REV, YOY)", "FPT=A", "FPO=-3A", "ACT_EST_MAPPING=PRECISE", "FS=MRC", "CURRENCY=USD", "XLFILL=b")</f>
        <v>-212.7659574468085</v>
      </c>
      <c r="N351" s="9">
        <f>_xll.BQL("LUV US Equity", "FA_GROWTH(CF_ACCT_RCV_UNBILLED_REV, YOY)", "FPT=A", "FPO=-4A", "ACT_EST_MAPPING=PRECISE", "FS=MRC", "CURRENCY=USD", "XLFILL=b")</f>
        <v>-180.34188034188034</v>
      </c>
    </row>
    <row r="352" spans="1:14" x14ac:dyDescent="0.2">
      <c r="A352" s="8" t="s">
        <v>371</v>
      </c>
      <c r="B352" s="4" t="s">
        <v>372</v>
      </c>
      <c r="C352" s="4"/>
      <c r="D352" s="4"/>
      <c r="E352" s="9" t="str">
        <f>_xll.BQL("LUV US Equity", "CHG_IN_ACCT_PYBL_AND_ACC_EXPNSS/1M", "FPT=A", "FPO=5A", "ACT_EST_MAPPING=PRECISE", "FS=MRC", "CURRENCY=USD", "XLFILL=b")</f>
        <v/>
      </c>
      <c r="F352" s="9" t="str">
        <f>_xll.BQL("LUV US Equity", "CHG_IN_ACCT_PYBL_AND_ACC_EXPNSS/1M", "FPT=A", "FPO=4A", "ACT_EST_MAPPING=PRECISE", "FS=MRC", "CURRENCY=USD", "XLFILL=b")</f>
        <v/>
      </c>
      <c r="G352" s="9">
        <f>_xll.BQL("LUV US Equity", "CHG_IN_ACCT_PYBL_AND_ACC_EXPNSS/1M", "FPT=A", "FPO=3A", "ACT_EST_MAPPING=PRECISE", "FS=MRC", "CURRENCY=USD", "XLFILL=b")</f>
        <v>-190.40909926422137</v>
      </c>
      <c r="H352" s="9">
        <f>_xll.BQL("LUV US Equity", "CHG_IN_ACCT_PYBL_AND_ACC_EXPNSS/1M", "FPT=A", "FPO=2A", "ACT_EST_MAPPING=PRECISE", "FS=MRC", "CURRENCY=USD", "XLFILL=b")</f>
        <v>543.90315774610519</v>
      </c>
      <c r="I352" s="9">
        <f>_xll.BQL("LUV US Equity", "CHG_IN_ACCT_PYBL_AND_ACC_EXPNSS/1M", "FPT=A", "FPO=1A", "ACT_EST_MAPPING=PRECISE", "FS=MRC", "CURRENCY=USD", "XLFILL=b")</f>
        <v>-362.97567471376004</v>
      </c>
      <c r="J352" s="9">
        <f>_xll.BQL("LUV US Equity", "CHG_IN_ACCT_PYBL_AND_ACC_EXPNSS/1M", "FPT=A", "FPO=0A", "ACT_EST_MAPPING=PRECISE", "FS=MRC", "CURRENCY=USD", "XLFILL=b")</f>
        <v>1386</v>
      </c>
      <c r="K352" s="9">
        <f>_xll.BQL("LUV US Equity", "CHG_IN_ACCT_PYBL_AND_ACC_EXPNSS/1M", "FPT=A", "FPO=-1A", "ACT_EST_MAPPING=PRECISE", "FS=MRC", "CURRENCY=USD", "XLFILL=b")</f>
        <v>936</v>
      </c>
      <c r="L352" s="9">
        <f>_xll.BQL("LUV US Equity", "CHG_IN_ACCT_PYBL_AND_ACC_EXPNSS/1M", "FPT=A", "FPO=-2A", "ACT_EST_MAPPING=PRECISE", "FS=MRC", "CURRENCY=USD", "XLFILL=b")</f>
        <v>38</v>
      </c>
      <c r="M352" s="9">
        <f>_xll.BQL("LUV US Equity", "CHG_IN_ACCT_PYBL_AND_ACC_EXPNSS/1M", "FPT=A", "FPO=-3A", "ACT_EST_MAPPING=PRECISE", "FS=MRC", "CURRENCY=USD", "XLFILL=b")</f>
        <v>231</v>
      </c>
      <c r="N352" s="9">
        <f>_xll.BQL("LUV US Equity", "CHG_IN_ACCT_PYBL_AND_ACC_EXPNSS/1M", "FPT=A", "FPO=-4A", "ACT_EST_MAPPING=PRECISE", "FS=MRC", "CURRENCY=USD", "XLFILL=b")</f>
        <v>298</v>
      </c>
    </row>
    <row r="353" spans="1:14" x14ac:dyDescent="0.2">
      <c r="A353" s="8" t="s">
        <v>111</v>
      </c>
      <c r="B353" s="4" t="s">
        <v>372</v>
      </c>
      <c r="C353" s="4"/>
      <c r="D353" s="4"/>
      <c r="E353" s="9" t="str">
        <f>_xll.BQL("LUV US Equity", "FA_GROWTH(CHG_IN_ACCT_PYBL_AND_ACC_EXPNSS, YOY)", "FPT=A", "FPO=5A", "ACT_EST_MAPPING=PRECISE", "FS=MRC", "CURRENCY=USD", "XLFILL=b")</f>
        <v/>
      </c>
      <c r="F353" s="9" t="str">
        <f>_xll.BQL("LUV US Equity", "FA_GROWTH(CHG_IN_ACCT_PYBL_AND_ACC_EXPNSS, YOY)", "FPT=A", "FPO=4A", "ACT_EST_MAPPING=PRECISE", "FS=MRC", "CURRENCY=USD", "XLFILL=b")</f>
        <v/>
      </c>
      <c r="G353" s="9">
        <f>_xll.BQL("LUV US Equity", "FA_GROWTH(CHG_IN_ACCT_PYBL_AND_ACC_EXPNSS, YOY)", "FPT=A", "FPO=3A", "ACT_EST_MAPPING=PRECISE", "FS=MRC", "CURRENCY=USD", "XLFILL=b")</f>
        <v>-135.00790472577194</v>
      </c>
      <c r="H353" s="9">
        <f>_xll.BQL("LUV US Equity", "FA_GROWTH(CHG_IN_ACCT_PYBL_AND_ACC_EXPNSS, YOY)", "FPT=A", "FPO=2A", "ACT_EST_MAPPING=PRECISE", "FS=MRC", "CURRENCY=USD", "XLFILL=b")</f>
        <v>249.84562207233952</v>
      </c>
      <c r="I353" s="9">
        <f>_xll.BQL("LUV US Equity", "FA_GROWTH(CHG_IN_ACCT_PYBL_AND_ACC_EXPNSS, YOY)", "FPT=A", "FPO=1A", "ACT_EST_MAPPING=PRECISE", "FS=MRC", "CURRENCY=USD", "XLFILL=b")</f>
        <v>-126.18872111931888</v>
      </c>
      <c r="J353" s="9">
        <f>_xll.BQL("LUV US Equity", "FA_GROWTH(CHG_IN_ACCT_PYBL_AND_ACC_EXPNSS, YOY)", "FPT=A", "FPO=0A", "ACT_EST_MAPPING=PRECISE", "FS=MRC", "CURRENCY=USD", "XLFILL=b")</f>
        <v>48.07692307692308</v>
      </c>
      <c r="K353" s="9">
        <f>_xll.BQL("LUV US Equity", "FA_GROWTH(CHG_IN_ACCT_PYBL_AND_ACC_EXPNSS, YOY)", "FPT=A", "FPO=-1A", "ACT_EST_MAPPING=PRECISE", "FS=MRC", "CURRENCY=USD", "XLFILL=b")</f>
        <v>2363.1578947368421</v>
      </c>
      <c r="L353" s="9">
        <f>_xll.BQL("LUV US Equity", "FA_GROWTH(CHG_IN_ACCT_PYBL_AND_ACC_EXPNSS, YOY)", "FPT=A", "FPO=-2A", "ACT_EST_MAPPING=PRECISE", "FS=MRC", "CURRENCY=USD", "XLFILL=b")</f>
        <v>-83.549783549783555</v>
      </c>
      <c r="M353" s="9">
        <f>_xll.BQL("LUV US Equity", "FA_GROWTH(CHG_IN_ACCT_PYBL_AND_ACC_EXPNSS, YOY)", "FPT=A", "FPO=-3A", "ACT_EST_MAPPING=PRECISE", "FS=MRC", "CURRENCY=USD", "XLFILL=b")</f>
        <v>-22.483221476510067</v>
      </c>
      <c r="N353" s="9">
        <f>_xll.BQL("LUV US Equity", "FA_GROWTH(CHG_IN_ACCT_PYBL_AND_ACC_EXPNSS, YOY)", "FPT=A", "FPO=-4A", "ACT_EST_MAPPING=PRECISE", "FS=MRC", "CURRENCY=USD", "XLFILL=b")</f>
        <v>-45.321100917431195</v>
      </c>
    </row>
    <row r="354" spans="1:14" x14ac:dyDescent="0.2">
      <c r="A354" s="8" t="s">
        <v>373</v>
      </c>
      <c r="B354" s="4" t="s">
        <v>374</v>
      </c>
      <c r="C354" s="4"/>
      <c r="D354" s="4"/>
      <c r="E354" s="9" t="str">
        <f>_xll.BQL("LUV US Equity", "CB_CF_CHG_IN_AIR_TRAFFIC_LIAB/1M", "FPT=A", "FPO=5A", "ACT_EST_MAPPING=PRECISE", "FS=MRC", "CURRENCY=USD", "XLFILL=b")</f>
        <v/>
      </c>
      <c r="F354" s="9" t="str">
        <f>_xll.BQL("LUV US Equity", "CB_CF_CHG_IN_AIR_TRAFFIC_LIAB/1M", "FPT=A", "FPO=4A", "ACT_EST_MAPPING=PRECISE", "FS=MRC", "CURRENCY=USD", "XLFILL=b")</f>
        <v/>
      </c>
      <c r="G354" s="9">
        <f>_xll.BQL("LUV US Equity", "CB_CF_CHG_IN_AIR_TRAFFIC_LIAB/1M", "FPT=A", "FPO=3A", "ACT_EST_MAPPING=PRECISE", "FS=MRC", "CURRENCY=USD", "XLFILL=b")</f>
        <v>512.87418420986796</v>
      </c>
      <c r="H354" s="9">
        <f>_xll.BQL("LUV US Equity", "CB_CF_CHG_IN_AIR_TRAFFIC_LIAB/1M", "FPT=A", "FPO=2A", "ACT_EST_MAPPING=PRECISE", "FS=MRC", "CURRENCY=USD", "XLFILL=b")</f>
        <v>700.31309937330934</v>
      </c>
      <c r="I354" s="9">
        <f>_xll.BQL("LUV US Equity", "CB_CF_CHG_IN_AIR_TRAFFIC_LIAB/1M", "FPT=A", "FPO=1A", "ACT_EST_MAPPING=PRECISE", "FS=MRC", "CURRENCY=USD", "XLFILL=b")</f>
        <v>670.75908413264597</v>
      </c>
      <c r="J354" s="9">
        <f>_xll.BQL("LUV US Equity", "CB_CF_CHG_IN_AIR_TRAFFIC_LIAB/1M", "FPT=A", "FPO=0A", "ACT_EST_MAPPING=PRECISE", "FS=MRC", "CURRENCY=USD", "XLFILL=b")</f>
        <v>29</v>
      </c>
      <c r="K354" s="9">
        <f>_xll.BQL("LUV US Equity", "CB_CF_CHG_IN_AIR_TRAFFIC_LIAB/1M", "FPT=A", "FPO=-1A", "ACT_EST_MAPPING=PRECISE", "FS=MRC", "CURRENCY=USD", "XLFILL=b")</f>
        <v>525</v>
      </c>
      <c r="L354" s="9">
        <f>_xll.BQL("LUV US Equity", "CB_CF_CHG_IN_AIR_TRAFFIC_LIAB/1M", "FPT=A", "FPO=-2A", "ACT_EST_MAPPING=PRECISE", "FS=MRC", "CURRENCY=USD", "XLFILL=b")</f>
        <v>591</v>
      </c>
      <c r="M354" s="9">
        <f>_xll.BQL("LUV US Equity", "CB_CF_CHG_IN_AIR_TRAFFIC_LIAB/1M", "FPT=A", "FPO=-3A", "ACT_EST_MAPPING=PRECISE", "FS=MRC", "CURRENCY=USD", "XLFILL=b")</f>
        <v>1623</v>
      </c>
      <c r="N354" s="9">
        <f>_xll.BQL("LUV US Equity", "CB_CF_CHG_IN_AIR_TRAFFIC_LIAB/1M", "FPT=A", "FPO=-4A", "ACT_EST_MAPPING=PRECISE", "FS=MRC", "CURRENCY=USD", "XLFILL=b")</f>
        <v>440</v>
      </c>
    </row>
    <row r="355" spans="1:14" x14ac:dyDescent="0.2">
      <c r="A355" s="8" t="s">
        <v>111</v>
      </c>
      <c r="B355" s="4" t="s">
        <v>374</v>
      </c>
      <c r="C355" s="4"/>
      <c r="D355" s="4"/>
      <c r="E355" s="9" t="str">
        <f>_xll.BQL("LUV US Equity", "FA_GROWTH(CB_CF_CHG_IN_AIR_TRAFFIC_LIAB, YOY)", "FPT=A", "FPO=5A", "ACT_EST_MAPPING=PRECISE", "FS=MRC", "CURRENCY=USD", "XLFILL=b")</f>
        <v/>
      </c>
      <c r="F355" s="9" t="str">
        <f>_xll.BQL("LUV US Equity", "FA_GROWTH(CB_CF_CHG_IN_AIR_TRAFFIC_LIAB, YOY)", "FPT=A", "FPO=4A", "ACT_EST_MAPPING=PRECISE", "FS=MRC", "CURRENCY=USD", "XLFILL=b")</f>
        <v/>
      </c>
      <c r="G355" s="9">
        <f>_xll.BQL("LUV US Equity", "FA_GROWTH(CB_CF_CHG_IN_AIR_TRAFFIC_LIAB, YOY)", "FPT=A", "FPO=3A", "ACT_EST_MAPPING=PRECISE", "FS=MRC", "CURRENCY=USD", "XLFILL=b")</f>
        <v>-26.765016295022225</v>
      </c>
      <c r="H355" s="9">
        <f>_xll.BQL("LUV US Equity", "FA_GROWTH(CB_CF_CHG_IN_AIR_TRAFFIC_LIAB, YOY)", "FPT=A", "FPO=2A", "ACT_EST_MAPPING=PRECISE", "FS=MRC", "CURRENCY=USD", "XLFILL=b")</f>
        <v>4.4060551604574254</v>
      </c>
      <c r="I355" s="9">
        <f>_xll.BQL("LUV US Equity", "FA_GROWTH(CB_CF_CHG_IN_AIR_TRAFFIC_LIAB, YOY)", "FPT=A", "FPO=1A", "ACT_EST_MAPPING=PRECISE", "FS=MRC", "CURRENCY=USD", "XLFILL=b")</f>
        <v>2212.9623590780893</v>
      </c>
      <c r="J355" s="9">
        <f>_xll.BQL("LUV US Equity", "FA_GROWTH(CB_CF_CHG_IN_AIR_TRAFFIC_LIAB, YOY)", "FPT=A", "FPO=0A", "ACT_EST_MAPPING=PRECISE", "FS=MRC", "CURRENCY=USD", "XLFILL=b")</f>
        <v>-94.476190476190482</v>
      </c>
      <c r="K355" s="9">
        <f>_xll.BQL("LUV US Equity", "FA_GROWTH(CB_CF_CHG_IN_AIR_TRAFFIC_LIAB, YOY)", "FPT=A", "FPO=-1A", "ACT_EST_MAPPING=PRECISE", "FS=MRC", "CURRENCY=USD", "XLFILL=b")</f>
        <v>-11.167512690355331</v>
      </c>
      <c r="L355" s="9">
        <f>_xll.BQL("LUV US Equity", "FA_GROWTH(CB_CF_CHG_IN_AIR_TRAFFIC_LIAB, YOY)", "FPT=A", "FPO=-2A", "ACT_EST_MAPPING=PRECISE", "FS=MRC", "CURRENCY=USD", "XLFILL=b")</f>
        <v>-63.585951940850279</v>
      </c>
      <c r="M355" s="9">
        <f>_xll.BQL("LUV US Equity", "FA_GROWTH(CB_CF_CHG_IN_AIR_TRAFFIC_LIAB, YOY)", "FPT=A", "FPO=-3A", "ACT_EST_MAPPING=PRECISE", "FS=MRC", "CURRENCY=USD", "XLFILL=b")</f>
        <v>268.86363636363637</v>
      </c>
      <c r="N355" s="9">
        <f>_xll.BQL("LUV US Equity", "FA_GROWTH(CB_CF_CHG_IN_AIR_TRAFFIC_LIAB, YOY)", "FPT=A", "FPO=-4A", "ACT_EST_MAPPING=PRECISE", "FS=MRC", "CURRENCY=USD", "XLFILL=b")</f>
        <v>-13.043478260869565</v>
      </c>
    </row>
    <row r="356" spans="1:14" x14ac:dyDescent="0.2">
      <c r="A356" s="8" t="s">
        <v>375</v>
      </c>
      <c r="B356" s="4" t="s">
        <v>376</v>
      </c>
      <c r="C356" s="4"/>
      <c r="D356" s="4"/>
      <c r="E356" s="9" t="str">
        <f>_xll.BQL("LUV US Equity", "CF_CHANGE_IN_OTHR_ASSTS/1M", "FPT=A", "FPO=5A", "ACT_EST_MAPPING=PRECISE", "FS=MRC", "CURRENCY=USD", "XLFILL=b")</f>
        <v/>
      </c>
      <c r="F356" s="9" t="str">
        <f>_xll.BQL("LUV US Equity", "CF_CHANGE_IN_OTHR_ASSTS/1M", "FPT=A", "FPO=4A", "ACT_EST_MAPPING=PRECISE", "FS=MRC", "CURRENCY=USD", "XLFILL=b")</f>
        <v/>
      </c>
      <c r="G356" s="9">
        <f>_xll.BQL("LUV US Equity", "CF_CHANGE_IN_OTHR_ASSTS/1M", "FPT=A", "FPO=3A", "ACT_EST_MAPPING=PRECISE", "FS=MRC", "CURRENCY=USD", "XLFILL=b")</f>
        <v>169.89413189582729</v>
      </c>
      <c r="H356" s="9">
        <f>_xll.BQL("LUV US Equity", "CF_CHANGE_IN_OTHR_ASSTS/1M", "FPT=A", "FPO=2A", "ACT_EST_MAPPING=PRECISE", "FS=MRC", "CURRENCY=USD", "XLFILL=b")</f>
        <v>-152.84574687045179</v>
      </c>
      <c r="I356" s="9">
        <f>_xll.BQL("LUV US Equity", "CF_CHANGE_IN_OTHR_ASSTS/1M", "FPT=A", "FPO=1A", "ACT_EST_MAPPING=PRECISE", "FS=MRC", "CURRENCY=USD", "XLFILL=b")</f>
        <v>98.568020790127932</v>
      </c>
      <c r="J356" s="9">
        <f>_xll.BQL("LUV US Equity", "CF_CHANGE_IN_OTHR_ASSTS/1M", "FPT=A", "FPO=0A", "ACT_EST_MAPPING=PRECISE", "FS=MRC", "CURRENCY=USD", "XLFILL=b")</f>
        <v>60</v>
      </c>
      <c r="K356" s="9">
        <f>_xll.BQL("LUV US Equity", "CF_CHANGE_IN_OTHR_ASSTS/1M", "FPT=A", "FPO=-1A", "ACT_EST_MAPPING=PRECISE", "FS=MRC", "CURRENCY=USD", "XLFILL=b")</f>
        <v>-66</v>
      </c>
      <c r="L356" s="9">
        <f>_xll.BQL("LUV US Equity", "CF_CHANGE_IN_OTHR_ASSTS/1M", "FPT=A", "FPO=-2A", "ACT_EST_MAPPING=PRECISE", "FS=MRC", "CURRENCY=USD", "XLFILL=b")</f>
        <v>75</v>
      </c>
      <c r="M356" s="9">
        <f>_xll.BQL("LUV US Equity", "CF_CHANGE_IN_OTHR_ASSTS/1M", "FPT=A", "FPO=-3A", "ACT_EST_MAPPING=PRECISE", "FS=MRC", "CURRENCY=USD", "XLFILL=b")</f>
        <v>415</v>
      </c>
      <c r="N356" s="9">
        <f>_xll.BQL("LUV US Equity", "CF_CHANGE_IN_OTHR_ASSTS/1M", "FPT=A", "FPO=-4A", "ACT_EST_MAPPING=PRECISE", "FS=MRC", "CURRENCY=USD", "XLFILL=b")</f>
        <v>239</v>
      </c>
    </row>
    <row r="357" spans="1:14" x14ac:dyDescent="0.2">
      <c r="A357" s="8" t="s">
        <v>111</v>
      </c>
      <c r="B357" s="4" t="s">
        <v>376</v>
      </c>
      <c r="C357" s="4"/>
      <c r="D357" s="4"/>
      <c r="E357" s="9" t="str">
        <f>_xll.BQL("LUV US Equity", "FA_GROWTH(CF_CHANGE_IN_OTHR_ASSTS, YOY)", "FPT=A", "FPO=5A", "ACT_EST_MAPPING=PRECISE", "FS=MRC", "CURRENCY=USD", "XLFILL=b")</f>
        <v/>
      </c>
      <c r="F357" s="9" t="str">
        <f>_xll.BQL("LUV US Equity", "FA_GROWTH(CF_CHANGE_IN_OTHR_ASSTS, YOY)", "FPT=A", "FPO=4A", "ACT_EST_MAPPING=PRECISE", "FS=MRC", "CURRENCY=USD", "XLFILL=b")</f>
        <v/>
      </c>
      <c r="G357" s="9">
        <f>_xll.BQL("LUV US Equity", "FA_GROWTH(CF_CHANGE_IN_OTHR_ASSTS, YOY)", "FPT=A", "FPO=3A", "ACT_EST_MAPPING=PRECISE", "FS=MRC", "CURRENCY=USD", "XLFILL=b")</f>
        <v>211.15398064679243</v>
      </c>
      <c r="H357" s="9">
        <f>_xll.BQL("LUV US Equity", "FA_GROWTH(CF_CHANGE_IN_OTHR_ASSTS, YOY)", "FPT=A", "FPO=2A", "ACT_EST_MAPPING=PRECISE", "FS=MRC", "CURRENCY=USD", "XLFILL=b")</f>
        <v>-255.06626352566474</v>
      </c>
      <c r="I357" s="9">
        <f>_xll.BQL("LUV US Equity", "FA_GROWTH(CF_CHANGE_IN_OTHR_ASSTS, YOY)", "FPT=A", "FPO=1A", "ACT_EST_MAPPING=PRECISE", "FS=MRC", "CURRENCY=USD", "XLFILL=b")</f>
        <v>64.280034650213224</v>
      </c>
      <c r="J357" s="9">
        <f>_xll.BQL("LUV US Equity", "FA_GROWTH(CF_CHANGE_IN_OTHR_ASSTS, YOY)", "FPT=A", "FPO=0A", "ACT_EST_MAPPING=PRECISE", "FS=MRC", "CURRENCY=USD", "XLFILL=b")</f>
        <v>190.90909090909091</v>
      </c>
      <c r="K357" s="9">
        <f>_xll.BQL("LUV US Equity", "FA_GROWTH(CF_CHANGE_IN_OTHR_ASSTS, YOY)", "FPT=A", "FPO=-1A", "ACT_EST_MAPPING=PRECISE", "FS=MRC", "CURRENCY=USD", "XLFILL=b")</f>
        <v>-188</v>
      </c>
      <c r="L357" s="9">
        <f>_xll.BQL("LUV US Equity", "FA_GROWTH(CF_CHANGE_IN_OTHR_ASSTS, YOY)", "FPT=A", "FPO=-2A", "ACT_EST_MAPPING=PRECISE", "FS=MRC", "CURRENCY=USD", "XLFILL=b")</f>
        <v>-81.92771084337349</v>
      </c>
      <c r="M357" s="9">
        <f>_xll.BQL("LUV US Equity", "FA_GROWTH(CF_CHANGE_IN_OTHR_ASSTS, YOY)", "FPT=A", "FPO=-3A", "ACT_EST_MAPPING=PRECISE", "FS=MRC", "CURRENCY=USD", "XLFILL=b")</f>
        <v>73.640167364016733</v>
      </c>
      <c r="N357" s="9">
        <f>_xll.BQL("LUV US Equity", "FA_GROWTH(CF_CHANGE_IN_OTHR_ASSTS, YOY)", "FPT=A", "FPO=-4A", "ACT_EST_MAPPING=PRECISE", "FS=MRC", "CURRENCY=USD", "XLFILL=b")</f>
        <v>205.2863436123348</v>
      </c>
    </row>
    <row r="358" spans="1:14" x14ac:dyDescent="0.2">
      <c r="A358" s="8" t="s">
        <v>377</v>
      </c>
      <c r="B358" s="4" t="s">
        <v>378</v>
      </c>
      <c r="C358" s="4"/>
      <c r="D358" s="4"/>
      <c r="E358" s="9" t="str">
        <f>_xll.BQL("LUV US Equity", "CF_CHANGE_IN_OTHR_LIBLTS/1M", "FPT=A", "FPO=5A", "ACT_EST_MAPPING=PRECISE", "FS=MRC", "CURRENCY=USD", "XLFILL=b")</f>
        <v/>
      </c>
      <c r="F358" s="9" t="str">
        <f>_xll.BQL("LUV US Equity", "CF_CHANGE_IN_OTHR_LIBLTS/1M", "FPT=A", "FPO=4A", "ACT_EST_MAPPING=PRECISE", "FS=MRC", "CURRENCY=USD", "XLFILL=b")</f>
        <v/>
      </c>
      <c r="G358" s="9">
        <f>_xll.BQL("LUV US Equity", "CF_CHANGE_IN_OTHR_LIBLTS/1M", "FPT=A", "FPO=3A", "ACT_EST_MAPPING=PRECISE", "FS=MRC", "CURRENCY=USD", "XLFILL=b")</f>
        <v>-149.37916452743184</v>
      </c>
      <c r="H358" s="9">
        <f>_xll.BQL("LUV US Equity", "CF_CHANGE_IN_OTHR_LIBLTS/1M", "FPT=A", "FPO=2A", "ACT_EST_MAPPING=PRECISE", "FS=MRC", "CURRENCY=USD", "XLFILL=b")</f>
        <v>-438.27517868481982</v>
      </c>
      <c r="I358" s="9">
        <f>_xll.BQL("LUV US Equity", "CF_CHANGE_IN_OTHR_LIBLTS/1M", "FPT=A", "FPO=1A", "ACT_EST_MAPPING=PRECISE", "FS=MRC", "CURRENCY=USD", "XLFILL=b")</f>
        <v>-198.66666666666666</v>
      </c>
      <c r="J358" s="9">
        <f>_xll.BQL("LUV US Equity", "CF_CHANGE_IN_OTHR_LIBLTS/1M", "FPT=A", "FPO=0A", "ACT_EST_MAPPING=PRECISE", "FS=MRC", "CURRENCY=USD", "XLFILL=b")</f>
        <v>-137</v>
      </c>
      <c r="K358" s="9">
        <f>_xll.BQL("LUV US Equity", "CF_CHANGE_IN_OTHR_LIBLTS/1M", "FPT=A", "FPO=-1A", "ACT_EST_MAPPING=PRECISE", "FS=MRC", "CURRENCY=USD", "XLFILL=b")</f>
        <v>-334</v>
      </c>
      <c r="L358" s="9">
        <f>_xll.BQL("LUV US Equity", "CF_CHANGE_IN_OTHR_LIBLTS/1M", "FPT=A", "FPO=-2A", "ACT_EST_MAPPING=PRECISE", "FS=MRC", "CURRENCY=USD", "XLFILL=b")</f>
        <v>-103</v>
      </c>
      <c r="M358" s="9">
        <f>_xll.BQL("LUV US Equity", "CF_CHANGE_IN_OTHR_LIBLTS/1M", "FPT=A", "FPO=-3A", "ACT_EST_MAPPING=PRECISE", "FS=MRC", "CURRENCY=USD", "XLFILL=b")</f>
        <v>-306</v>
      </c>
      <c r="N358" s="9">
        <f>_xll.BQL("LUV US Equity", "CF_CHANGE_IN_OTHR_LIBLTS/1M", "FPT=A", "FPO=-4A", "ACT_EST_MAPPING=PRECISE", "FS=MRC", "CURRENCY=USD", "XLFILL=b")</f>
        <v>-277</v>
      </c>
    </row>
    <row r="359" spans="1:14" x14ac:dyDescent="0.2">
      <c r="A359" s="8" t="s">
        <v>111</v>
      </c>
      <c r="B359" s="4" t="s">
        <v>378</v>
      </c>
      <c r="C359" s="4"/>
      <c r="D359" s="4"/>
      <c r="E359" s="9" t="str">
        <f>_xll.BQL("LUV US Equity", "FA_GROWTH(CF_CHANGE_IN_OTHR_LIBLTS, YOY)", "FPT=A", "FPO=5A", "ACT_EST_MAPPING=PRECISE", "FS=MRC", "CURRENCY=USD", "XLFILL=b")</f>
        <v/>
      </c>
      <c r="F359" s="9" t="str">
        <f>_xll.BQL("LUV US Equity", "FA_GROWTH(CF_CHANGE_IN_OTHR_LIBLTS, YOY)", "FPT=A", "FPO=4A", "ACT_EST_MAPPING=PRECISE", "FS=MRC", "CURRENCY=USD", "XLFILL=b")</f>
        <v/>
      </c>
      <c r="G359" s="9">
        <f>_xll.BQL("LUV US Equity", "FA_GROWTH(CF_CHANGE_IN_OTHR_LIBLTS, YOY)", "FPT=A", "FPO=3A", "ACT_EST_MAPPING=PRECISE", "FS=MRC", "CURRENCY=USD", "XLFILL=b")</f>
        <v>65.916581227417396</v>
      </c>
      <c r="H359" s="9">
        <f>_xll.BQL("LUV US Equity", "FA_GROWTH(CF_CHANGE_IN_OTHR_LIBLTS, YOY)", "FPT=A", "FPO=2A", "ACT_EST_MAPPING=PRECISE", "FS=MRC", "CURRENCY=USD", "XLFILL=b")</f>
        <v>-120.60831141853348</v>
      </c>
      <c r="I359" s="9">
        <f>_xll.BQL("LUV US Equity", "FA_GROWTH(CF_CHANGE_IN_OTHR_LIBLTS, YOY)", "FPT=A", "FPO=1A", "ACT_EST_MAPPING=PRECISE", "FS=MRC", "CURRENCY=USD", "XLFILL=b")</f>
        <v>-45.01216545012165</v>
      </c>
      <c r="J359" s="9">
        <f>_xll.BQL("LUV US Equity", "FA_GROWTH(CF_CHANGE_IN_OTHR_LIBLTS, YOY)", "FPT=A", "FPO=0A", "ACT_EST_MAPPING=PRECISE", "FS=MRC", "CURRENCY=USD", "XLFILL=b")</f>
        <v>58.982035928143709</v>
      </c>
      <c r="K359" s="9">
        <f>_xll.BQL("LUV US Equity", "FA_GROWTH(CF_CHANGE_IN_OTHR_LIBLTS, YOY)", "FPT=A", "FPO=-1A", "ACT_EST_MAPPING=PRECISE", "FS=MRC", "CURRENCY=USD", "XLFILL=b")</f>
        <v>-224.27184466019418</v>
      </c>
      <c r="L359" s="9">
        <f>_xll.BQL("LUV US Equity", "FA_GROWTH(CF_CHANGE_IN_OTHR_LIBLTS, YOY)", "FPT=A", "FPO=-2A", "ACT_EST_MAPPING=PRECISE", "FS=MRC", "CURRENCY=USD", "XLFILL=b")</f>
        <v>66.33986928104575</v>
      </c>
      <c r="M359" s="9">
        <f>_xll.BQL("LUV US Equity", "FA_GROWTH(CF_CHANGE_IN_OTHR_LIBLTS, YOY)", "FPT=A", "FPO=-3A", "ACT_EST_MAPPING=PRECISE", "FS=MRC", "CURRENCY=USD", "XLFILL=b")</f>
        <v>-10.469314079422382</v>
      </c>
      <c r="N359" s="9" t="str">
        <f>_xll.BQL("LUV US Equity", "FA_GROWTH(CF_CHANGE_IN_OTHR_LIBLTS, YOY)", "FPT=A", "FPO=-4A", "ACT_EST_MAPPING=PRECISE", "FS=MRC", "CURRENCY=USD", "XLFILL=b")</f>
        <v/>
      </c>
    </row>
    <row r="360" spans="1:14" x14ac:dyDescent="0.2">
      <c r="A360" s="8" t="s">
        <v>379</v>
      </c>
      <c r="B360" s="4" t="s">
        <v>380</v>
      </c>
      <c r="C360" s="4" t="s">
        <v>381</v>
      </c>
      <c r="D360" s="4"/>
      <c r="E360" s="9">
        <f>_xll.BQL("LUV US Equity", "CB_CF_NET_CASH_OPERATING_ACT/1M", "FPT=A", "FPO=5A", "ACT_EST_MAPPING=PRECISE", "FS=MRC", "CURRENCY=USD", "XLFILL=b")</f>
        <v>3827.3672499200875</v>
      </c>
      <c r="F360" s="9">
        <f>_xll.BQL("LUV US Equity", "CB_CF_NET_CASH_OPERATING_ACT/1M", "FPT=A", "FPO=4A", "ACT_EST_MAPPING=PRECISE", "FS=MRC", "CURRENCY=USD", "XLFILL=b")</f>
        <v>3929.9317236764687</v>
      </c>
      <c r="G360" s="9">
        <f>_xll.BQL("LUV US Equity", "CB_CF_NET_CASH_OPERATING_ACT/1M", "FPT=A", "FPO=3A", "ACT_EST_MAPPING=PRECISE", "FS=MRC", "CURRENCY=USD", "XLFILL=b")</f>
        <v>3131.8644679548675</v>
      </c>
      <c r="H360" s="9">
        <f>_xll.BQL("LUV US Equity", "CB_CF_NET_CASH_OPERATING_ACT/1M", "FPT=A", "FPO=2A", "ACT_EST_MAPPING=PRECISE", "FS=MRC", "CURRENCY=USD", "XLFILL=b")</f>
        <v>2768.3649027962383</v>
      </c>
      <c r="I360" s="9">
        <f>_xll.BQL("LUV US Equity", "CB_CF_NET_CASH_OPERATING_ACT/1M", "FPT=A", "FPO=1A", "ACT_EST_MAPPING=PRECISE", "FS=MRC", "CURRENCY=USD", "XLFILL=b")</f>
        <v>1759.5049166336973</v>
      </c>
      <c r="J360" s="9">
        <f>_xll.BQL("LUV US Equity", "CB_CF_NET_CASH_OPERATING_ACT/1M", "FPT=A", "FPO=0A", "ACT_EST_MAPPING=PRECISE", "FS=MRC", "CURRENCY=USD", "XLFILL=b")</f>
        <v>3164</v>
      </c>
      <c r="K360" s="9">
        <f>_xll.BQL("LUV US Equity", "CB_CF_NET_CASH_OPERATING_ACT/1M", "FPT=A", "FPO=-1A", "ACT_EST_MAPPING=PRECISE", "FS=MRC", "CURRENCY=USD", "XLFILL=b")</f>
        <v>3790</v>
      </c>
      <c r="L360" s="9">
        <f>_xll.BQL("LUV US Equity", "CB_CF_NET_CASH_OPERATING_ACT/1M", "FPT=A", "FPO=-2A", "ACT_EST_MAPPING=PRECISE", "FS=MRC", "CURRENCY=USD", "XLFILL=b")</f>
        <v>2322</v>
      </c>
      <c r="M360" s="9">
        <f>_xll.BQL("LUV US Equity", "CB_CF_NET_CASH_OPERATING_ACT/1M", "FPT=A", "FPO=-3A", "ACT_EST_MAPPING=PRECISE", "FS=MRC", "CURRENCY=USD", "XLFILL=b")</f>
        <v>-1127</v>
      </c>
      <c r="N360" s="9">
        <f>_xll.BQL("LUV US Equity", "CB_CF_NET_CASH_OPERATING_ACT/1M", "FPT=A", "FPO=-4A", "ACT_EST_MAPPING=PRECISE", "FS=MRC", "CURRENCY=USD", "XLFILL=b")</f>
        <v>3987</v>
      </c>
    </row>
    <row r="361" spans="1:14" x14ac:dyDescent="0.2">
      <c r="A361" s="8" t="s">
        <v>12</v>
      </c>
      <c r="B361" s="4" t="s">
        <v>380</v>
      </c>
      <c r="C361" s="4" t="s">
        <v>381</v>
      </c>
      <c r="D361" s="4"/>
      <c r="E361" s="9">
        <f>_xll.BQL("LUV US Equity", "FA_GROWTH(CB_CF_NET_CASH_OPERATING_ACT, YOY)", "FPT=A", "FPO=5A", "ACT_EST_MAPPING=PRECISE", "FS=MRC", "CURRENCY=USD", "XLFILL=b")</f>
        <v>-2.6098283880726556</v>
      </c>
      <c r="F361" s="9">
        <f>_xll.BQL("LUV US Equity", "FA_GROWTH(CB_CF_NET_CASH_OPERATING_ACT, YOY)", "FPT=A", "FPO=4A", "ACT_EST_MAPPING=PRECISE", "FS=MRC", "CURRENCY=USD", "XLFILL=b")</f>
        <v>25.482177274508494</v>
      </c>
      <c r="G361" s="9">
        <f>_xll.BQL("LUV US Equity", "FA_GROWTH(CB_CF_NET_CASH_OPERATING_ACT, YOY)", "FPT=A", "FPO=3A", "ACT_EST_MAPPING=PRECISE", "FS=MRC", "CURRENCY=USD", "XLFILL=b")</f>
        <v>13.130478745467023</v>
      </c>
      <c r="H361" s="9">
        <f>_xll.BQL("LUV US Equity", "FA_GROWTH(CB_CF_NET_CASH_OPERATING_ACT, YOY)", "FPT=A", "FPO=2A", "ACT_EST_MAPPING=PRECISE", "FS=MRC", "CURRENCY=USD", "XLFILL=b")</f>
        <v>57.337719072288948</v>
      </c>
      <c r="I361" s="9">
        <f>_xll.BQL("LUV US Equity", "FA_GROWTH(CB_CF_NET_CASH_OPERATING_ACT, YOY)", "FPT=A", "FPO=1A", "ACT_EST_MAPPING=PRECISE", "FS=MRC", "CURRENCY=USD", "XLFILL=b")</f>
        <v>-44.389857249251037</v>
      </c>
      <c r="J361" s="9">
        <f>_xll.BQL("LUV US Equity", "FA_GROWTH(CB_CF_NET_CASH_OPERATING_ACT, YOY)", "FPT=A", "FPO=0A", "ACT_EST_MAPPING=PRECISE", "FS=MRC", "CURRENCY=USD", "XLFILL=b")</f>
        <v>-16.517150395778366</v>
      </c>
      <c r="K361" s="9">
        <f>_xll.BQL("LUV US Equity", "FA_GROWTH(CB_CF_NET_CASH_OPERATING_ACT, YOY)", "FPT=A", "FPO=-1A", "ACT_EST_MAPPING=PRECISE", "FS=MRC", "CURRENCY=USD", "XLFILL=b")</f>
        <v>63.221360895779497</v>
      </c>
      <c r="L361" s="9">
        <f>_xll.BQL("LUV US Equity", "FA_GROWTH(CB_CF_NET_CASH_OPERATING_ACT, YOY)", "FPT=A", "FPO=-2A", "ACT_EST_MAPPING=PRECISE", "FS=MRC", "CURRENCY=USD", "XLFILL=b")</f>
        <v>306.03371783496004</v>
      </c>
      <c r="M361" s="9">
        <f>_xll.BQL("LUV US Equity", "FA_GROWTH(CB_CF_NET_CASH_OPERATING_ACT, YOY)", "FPT=A", "FPO=-3A", "ACT_EST_MAPPING=PRECISE", "FS=MRC", "CURRENCY=USD", "XLFILL=b")</f>
        <v>-128.26686731878604</v>
      </c>
      <c r="N361" s="9">
        <f>_xll.BQL("LUV US Equity", "FA_GROWTH(CB_CF_NET_CASH_OPERATING_ACT, YOY)", "FPT=A", "FPO=-4A", "ACT_EST_MAPPING=PRECISE", "FS=MRC", "CURRENCY=USD", "XLFILL=b")</f>
        <v>-18.516247700797056</v>
      </c>
    </row>
    <row r="362" spans="1:14" x14ac:dyDescent="0.2">
      <c r="A362" s="8" t="s">
        <v>16</v>
      </c>
      <c r="B362" s="4"/>
      <c r="C362" s="4"/>
      <c r="D362" s="4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x14ac:dyDescent="0.2">
      <c r="A363" s="8" t="s">
        <v>382</v>
      </c>
      <c r="B363" s="4"/>
      <c r="C363" s="4" t="s">
        <v>383</v>
      </c>
      <c r="D363" s="4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x14ac:dyDescent="0.2">
      <c r="A364" s="8" t="s">
        <v>384</v>
      </c>
      <c r="B364" s="4" t="s">
        <v>385</v>
      </c>
      <c r="C364" s="4" t="s">
        <v>386</v>
      </c>
      <c r="D364" s="4"/>
      <c r="E364" s="9">
        <f>_xll.BQL("LUV US Equity", "HEADLINE_CAPEX/1M", "FPT=A", "FPO=5A", "ACT_EST_MAPPING=PRECISE", "FS=MRC", "CURRENCY=USD", "XLFILL=b")</f>
        <v>-3300</v>
      </c>
      <c r="F364" s="9">
        <f>_xll.BQL("LUV US Equity", "HEADLINE_CAPEX/1M", "FPT=A", "FPO=4A", "ACT_EST_MAPPING=PRECISE", "FS=MRC", "CURRENCY=USD", "XLFILL=b")</f>
        <v>-3520.2</v>
      </c>
      <c r="G364" s="9">
        <f>_xll.BQL("LUV US Equity", "HEADLINE_CAPEX/1M", "FPT=A", "FPO=3A", "ACT_EST_MAPPING=PRECISE", "FS=MRC", "CURRENCY=USD", "XLFILL=b")</f>
        <v>-3067.3333333333335</v>
      </c>
      <c r="H364" s="9">
        <f>_xll.BQL("LUV US Equity", "HEADLINE_CAPEX/1M", "FPT=A", "FPO=2A", "ACT_EST_MAPPING=PRECISE", "FS=MRC", "CURRENCY=USD", "XLFILL=b")</f>
        <v>-3069.8666666666663</v>
      </c>
      <c r="I364" s="9">
        <f>_xll.BQL("LUV US Equity", "HEADLINE_CAPEX/1M", "FPT=A", "FPO=1A", "ACT_EST_MAPPING=PRECISE", "FS=MRC", "CURRENCY=USD", "XLFILL=b")</f>
        <v>-2460.6666666666665</v>
      </c>
      <c r="J364" s="9">
        <f>_xll.BQL("LUV US Equity", "HEADLINE_CAPEX/1M", "FPT=A", "FPO=0A", "ACT_EST_MAPPING=PRECISE", "FS=MRC", "CURRENCY=USD", "XLFILL=b")</f>
        <v>-3520</v>
      </c>
      <c r="K364" s="9">
        <f>_xll.BQL("LUV US Equity", "HEADLINE_CAPEX/1M", "FPT=A", "FPO=-1A", "ACT_EST_MAPPING=PRECISE", "FS=MRC", "CURRENCY=USD", "XLFILL=b")</f>
        <v>-3924</v>
      </c>
      <c r="L364" s="9">
        <f>_xll.BQL("LUV US Equity", "HEADLINE_CAPEX/1M", "FPT=A", "FPO=-2A", "ACT_EST_MAPPING=PRECISE", "FS=MRC", "CURRENCY=USD", "XLFILL=b")</f>
        <v>-505</v>
      </c>
      <c r="M364" s="9">
        <f>_xll.BQL("LUV US Equity", "HEADLINE_CAPEX/1M", "FPT=A", "FPO=-3A", "ACT_EST_MAPPING=PRECISE", "FS=MRC", "CURRENCY=USD", "XLFILL=b")</f>
        <v>-515</v>
      </c>
      <c r="N364" s="9">
        <f>_xll.BQL("LUV US Equity", "HEADLINE_CAPEX/1M", "FPT=A", "FPO=-4A", "ACT_EST_MAPPING=PRECISE", "FS=MRC", "CURRENCY=USD", "XLFILL=b")</f>
        <v>-1027</v>
      </c>
    </row>
    <row r="365" spans="1:14" x14ac:dyDescent="0.2">
      <c r="A365" s="8" t="s">
        <v>21</v>
      </c>
      <c r="B365" s="4" t="s">
        <v>385</v>
      </c>
      <c r="C365" s="4" t="s">
        <v>386</v>
      </c>
      <c r="D365" s="4"/>
      <c r="E365" s="9">
        <f>_xll.BQL("LUV US Equity", "FA_GROWTH(HEADLINE_CAPEX, YOY)", "FPT=A", "FPO=5A", "ACT_EST_MAPPING=PRECISE", "FS=MRC", "CURRENCY=USD", "XLFILL=b")</f>
        <v>6.2553264019089827</v>
      </c>
      <c r="F365" s="9">
        <f>_xll.BQL("LUV US Equity", "FA_GROWTH(HEADLINE_CAPEX, YOY)", "FPT=A", "FPO=4A", "ACT_EST_MAPPING=PRECISE", "FS=MRC", "CURRENCY=USD", "XLFILL=b")</f>
        <v>-14.764181699630509</v>
      </c>
      <c r="G365" s="9">
        <f>_xll.BQL("LUV US Equity", "FA_GROWTH(HEADLINE_CAPEX, YOY)", "FPT=A", "FPO=3A", "ACT_EST_MAPPING=PRECISE", "FS=MRC", "CURRENCY=USD", "XLFILL=b")</f>
        <v>8.2522585128551151E-2</v>
      </c>
      <c r="H365" s="9">
        <f>_xll.BQL("LUV US Equity", "FA_GROWTH(HEADLINE_CAPEX, YOY)", "FPT=A", "FPO=2A", "ACT_EST_MAPPING=PRECISE", "FS=MRC", "CURRENCY=USD", "XLFILL=b")</f>
        <v>-24.757518287726906</v>
      </c>
      <c r="I365" s="9">
        <f>_xll.BQL("LUV US Equity", "FA_GROWTH(HEADLINE_CAPEX, YOY)", "FPT=A", "FPO=1A", "ACT_EST_MAPPING=PRECISE", "FS=MRC", "CURRENCY=USD", "XLFILL=b")</f>
        <v>30.094696969696972</v>
      </c>
      <c r="J365" s="9">
        <f>_xll.BQL("LUV US Equity", "FA_GROWTH(HEADLINE_CAPEX, YOY)", "FPT=A", "FPO=0A", "ACT_EST_MAPPING=PRECISE", "FS=MRC", "CURRENCY=USD", "XLFILL=b")</f>
        <v>10.295616717635067</v>
      </c>
      <c r="K365" s="9">
        <f>_xll.BQL("LUV US Equity", "FA_GROWTH(HEADLINE_CAPEX, YOY)", "FPT=A", "FPO=-1A", "ACT_EST_MAPPING=PRECISE", "FS=MRC", "CURRENCY=USD", "XLFILL=b")</f>
        <v>-677.02970297029708</v>
      </c>
      <c r="L365" s="9">
        <f>_xll.BQL("LUV US Equity", "FA_GROWTH(HEADLINE_CAPEX, YOY)", "FPT=A", "FPO=-2A", "ACT_EST_MAPPING=PRECISE", "FS=MRC", "CURRENCY=USD", "XLFILL=b")</f>
        <v>1.941747572815534</v>
      </c>
      <c r="M365" s="9">
        <f>_xll.BQL("LUV US Equity", "FA_GROWTH(HEADLINE_CAPEX, YOY)", "FPT=A", "FPO=-3A", "ACT_EST_MAPPING=PRECISE", "FS=MRC", "CURRENCY=USD", "XLFILL=b")</f>
        <v>49.853943524829603</v>
      </c>
      <c r="N365" s="9">
        <f>_xll.BQL("LUV US Equity", "FA_GROWTH(HEADLINE_CAPEX, YOY)", "FPT=A", "FPO=-4A", "ACT_EST_MAPPING=PRECISE", "FS=MRC", "CURRENCY=USD", "XLFILL=b")</f>
        <v>46.566077003121748</v>
      </c>
    </row>
    <row r="366" spans="1:14" x14ac:dyDescent="0.2">
      <c r="A366" s="8" t="s">
        <v>387</v>
      </c>
      <c r="B366" s="4" t="s">
        <v>388</v>
      </c>
      <c r="C366" s="4"/>
      <c r="D366" s="4"/>
      <c r="E366" s="9" t="str">
        <f>_xll.BQL("LUV US Equity", "CB_CF_PURCHASES_OF_ST_INV/1M", "FPT=A", "FPO=5A", "ACT_EST_MAPPING=PRECISE", "FS=MRC", "CURRENCY=USD", "XLFILL=b")</f>
        <v/>
      </c>
      <c r="F366" s="9" t="str">
        <f>_xll.BQL("LUV US Equity", "CB_CF_PURCHASES_OF_ST_INV/1M", "FPT=A", "FPO=4A", "ACT_EST_MAPPING=PRECISE", "FS=MRC", "CURRENCY=USD", "XLFILL=b")</f>
        <v/>
      </c>
      <c r="G366" s="9" t="str">
        <f>_xll.BQL("LUV US Equity", "CB_CF_PURCHASES_OF_ST_INV/1M", "FPT=A", "FPO=3A", "ACT_EST_MAPPING=PRECISE", "FS=MRC", "CURRENCY=USD", "XLFILL=b")</f>
        <v/>
      </c>
      <c r="H366" s="9">
        <f>_xll.BQL("LUV US Equity", "CB_CF_PURCHASES_OF_ST_INV/1M", "FPT=A", "FPO=2A", "ACT_EST_MAPPING=PRECISE", "FS=MRC", "CURRENCY=USD", "XLFILL=b")</f>
        <v>-7700</v>
      </c>
      <c r="I366" s="9">
        <f>_xll.BQL("LUV US Equity", "CB_CF_PURCHASES_OF_ST_INV/1M", "FPT=A", "FPO=1A", "ACT_EST_MAPPING=PRECISE", "FS=MRC", "CURRENCY=USD", "XLFILL=b")</f>
        <v>-4410</v>
      </c>
      <c r="J366" s="9">
        <f>_xll.BQL("LUV US Equity", "CB_CF_PURCHASES_OF_ST_INV/1M", "FPT=A", "FPO=0A", "ACT_EST_MAPPING=PRECISE", "FS=MRC", "CURRENCY=USD", "XLFILL=b")</f>
        <v>-6970</v>
      </c>
      <c r="K366" s="9">
        <f>_xll.BQL("LUV US Equity", "CB_CF_PURCHASES_OF_ST_INV/1M", "FPT=A", "FPO=-1A", "ACT_EST_MAPPING=PRECISE", "FS=MRC", "CURRENCY=USD", "XLFILL=b")</f>
        <v>-5592</v>
      </c>
      <c r="L366" s="9">
        <f>_xll.BQL("LUV US Equity", "CB_CF_PURCHASES_OF_ST_INV/1M", "FPT=A", "FPO=-2A", "ACT_EST_MAPPING=PRECISE", "FS=MRC", "CURRENCY=USD", "XLFILL=b")</f>
        <v>-5824</v>
      </c>
      <c r="M366" s="9">
        <f>_xll.BQL("LUV US Equity", "CB_CF_PURCHASES_OF_ST_INV/1M", "FPT=A", "FPO=-3A", "ACT_EST_MAPPING=PRECISE", "FS=MRC", "CURRENCY=USD", "XLFILL=b")</f>
        <v>-5080</v>
      </c>
      <c r="N366" s="9">
        <f>_xll.BQL("LUV US Equity", "CB_CF_PURCHASES_OF_ST_INV/1M", "FPT=A", "FPO=-4A", "ACT_EST_MAPPING=PRECISE", "FS=MRC", "CURRENCY=USD", "XLFILL=b")</f>
        <v>-2122</v>
      </c>
    </row>
    <row r="367" spans="1:14" x14ac:dyDescent="0.2">
      <c r="A367" s="8" t="s">
        <v>21</v>
      </c>
      <c r="B367" s="4" t="s">
        <v>388</v>
      </c>
      <c r="C367" s="4"/>
      <c r="D367" s="4"/>
      <c r="E367" s="9" t="str">
        <f>_xll.BQL("LUV US Equity", "FA_GROWTH(CB_CF_PURCHASES_OF_ST_INV, YOY)", "FPT=A", "FPO=5A", "ACT_EST_MAPPING=PRECISE", "FS=MRC", "CURRENCY=USD", "XLFILL=b")</f>
        <v/>
      </c>
      <c r="F367" s="9" t="str">
        <f>_xll.BQL("LUV US Equity", "FA_GROWTH(CB_CF_PURCHASES_OF_ST_INV, YOY)", "FPT=A", "FPO=4A", "ACT_EST_MAPPING=PRECISE", "FS=MRC", "CURRENCY=USD", "XLFILL=b")</f>
        <v/>
      </c>
      <c r="G367" s="9" t="str">
        <f>_xll.BQL("LUV US Equity", "FA_GROWTH(CB_CF_PURCHASES_OF_ST_INV, YOY)", "FPT=A", "FPO=3A", "ACT_EST_MAPPING=PRECISE", "FS=MRC", "CURRENCY=USD", "XLFILL=b")</f>
        <v/>
      </c>
      <c r="H367" s="9">
        <f>_xll.BQL("LUV US Equity", "FA_GROWTH(CB_CF_PURCHASES_OF_ST_INV, YOY)", "FPT=A", "FPO=2A", "ACT_EST_MAPPING=PRECISE", "FS=MRC", "CURRENCY=USD", "XLFILL=b")</f>
        <v>-74.603174603174608</v>
      </c>
      <c r="I367" s="9">
        <f>_xll.BQL("LUV US Equity", "FA_GROWTH(CB_CF_PURCHASES_OF_ST_INV, YOY)", "FPT=A", "FPO=1A", "ACT_EST_MAPPING=PRECISE", "FS=MRC", "CURRENCY=USD", "XLFILL=b")</f>
        <v>36.728837876614058</v>
      </c>
      <c r="J367" s="9">
        <f>_xll.BQL("LUV US Equity", "FA_GROWTH(CB_CF_PURCHASES_OF_ST_INV, YOY)", "FPT=A", "FPO=0A", "ACT_EST_MAPPING=PRECISE", "FS=MRC", "CURRENCY=USD", "XLFILL=b")</f>
        <v>-24.642346208869814</v>
      </c>
      <c r="K367" s="9">
        <f>_xll.BQL("LUV US Equity", "FA_GROWTH(CB_CF_PURCHASES_OF_ST_INV, YOY)", "FPT=A", "FPO=-1A", "ACT_EST_MAPPING=PRECISE", "FS=MRC", "CURRENCY=USD", "XLFILL=b")</f>
        <v>3.9835164835164836</v>
      </c>
      <c r="L367" s="9">
        <f>_xll.BQL("LUV US Equity", "FA_GROWTH(CB_CF_PURCHASES_OF_ST_INV, YOY)", "FPT=A", "FPO=-2A", "ACT_EST_MAPPING=PRECISE", "FS=MRC", "CURRENCY=USD", "XLFILL=b")</f>
        <v>-14.645669291338583</v>
      </c>
      <c r="M367" s="9">
        <f>_xll.BQL("LUV US Equity", "FA_GROWTH(CB_CF_PURCHASES_OF_ST_INV, YOY)", "FPT=A", "FPO=-3A", "ACT_EST_MAPPING=PRECISE", "FS=MRC", "CURRENCY=USD", "XLFILL=b")</f>
        <v>-139.39679547596606</v>
      </c>
      <c r="N367" s="9">
        <f>_xll.BQL("LUV US Equity", "FA_GROWTH(CB_CF_PURCHASES_OF_ST_INV, YOY)", "FPT=A", "FPO=-4A", "ACT_EST_MAPPING=PRECISE", "FS=MRC", "CURRENCY=USD", "XLFILL=b")</f>
        <v>11.913657119136571</v>
      </c>
    </row>
    <row r="368" spans="1:14" x14ac:dyDescent="0.2">
      <c r="A368" s="8" t="s">
        <v>389</v>
      </c>
      <c r="B368" s="4" t="s">
        <v>390</v>
      </c>
      <c r="C368" s="4"/>
      <c r="D368" s="4"/>
      <c r="E368" s="9" t="str">
        <f>_xll.BQL("LUV US Equity", "CB_CF_PROCEEDS_FROM_ST_INV/1M", "FPT=A", "FPO=5A", "ACT_EST_MAPPING=PRECISE", "FS=MRC", "CURRENCY=USD", "XLFILL=b")</f>
        <v/>
      </c>
      <c r="F368" s="9" t="str">
        <f>_xll.BQL("LUV US Equity", "CB_CF_PROCEEDS_FROM_ST_INV/1M", "FPT=A", "FPO=4A", "ACT_EST_MAPPING=PRECISE", "FS=MRC", "CURRENCY=USD", "XLFILL=b")</f>
        <v/>
      </c>
      <c r="G368" s="9">
        <f>_xll.BQL("LUV US Equity", "CB_CF_PROCEEDS_FROM_ST_INV/1M", "FPT=A", "FPO=3A", "ACT_EST_MAPPING=PRECISE", "FS=MRC", "CURRENCY=USD", "XLFILL=b")</f>
        <v>700</v>
      </c>
      <c r="H368" s="9">
        <f>_xll.BQL("LUV US Equity", "CB_CF_PROCEEDS_FROM_ST_INV/1M", "FPT=A", "FPO=2A", "ACT_EST_MAPPING=PRECISE", "FS=MRC", "CURRENCY=USD", "XLFILL=b")</f>
        <v>3950</v>
      </c>
      <c r="I368" s="9">
        <f>_xll.BQL("LUV US Equity", "CB_CF_PROCEEDS_FROM_ST_INV/1M", "FPT=A", "FPO=1A", "ACT_EST_MAPPING=PRECISE", "FS=MRC", "CURRENCY=USD", "XLFILL=b")</f>
        <v>4768</v>
      </c>
      <c r="J368" s="9">
        <f>_xll.BQL("LUV US Equity", "CB_CF_PROCEEDS_FROM_ST_INV/1M", "FPT=A", "FPO=0A", "ACT_EST_MAPPING=PRECISE", "FS=MRC", "CURRENCY=USD", "XLFILL=b")</f>
        <v>7591</v>
      </c>
      <c r="K368" s="9">
        <f>_xll.BQL("LUV US Equity", "CB_CF_PROCEEDS_FROM_ST_INV/1M", "FPT=A", "FPO=-1A", "ACT_EST_MAPPING=PRECISE", "FS=MRC", "CURRENCY=USD", "XLFILL=b")</f>
        <v>5792</v>
      </c>
      <c r="L368" s="9">
        <f>_xll.BQL("LUV US Equity", "CB_CF_PROCEEDS_FROM_ST_INV/1M", "FPT=A", "FPO=-2A", "ACT_EST_MAPPING=PRECISE", "FS=MRC", "CURRENCY=USD", "XLFILL=b")</f>
        <v>5071</v>
      </c>
      <c r="M368" s="9">
        <f>_xll.BQL("LUV US Equity", "CB_CF_PROCEEDS_FROM_ST_INV/1M", "FPT=A", "FPO=-3A", "ACT_EST_MAPPING=PRECISE", "FS=MRC", "CURRENCY=USD", "XLFILL=b")</f>
        <v>4336</v>
      </c>
      <c r="N368" s="9">
        <f>_xll.BQL("LUV US Equity", "CB_CF_PROCEEDS_FROM_ST_INV/1M", "FPT=A", "FPO=-4A", "ACT_EST_MAPPING=PRECISE", "FS=MRC", "CURRENCY=USD", "XLFILL=b")</f>
        <v>2446</v>
      </c>
    </row>
    <row r="369" spans="1:14" x14ac:dyDescent="0.2">
      <c r="A369" s="8" t="s">
        <v>21</v>
      </c>
      <c r="B369" s="4" t="s">
        <v>390</v>
      </c>
      <c r="C369" s="4"/>
      <c r="D369" s="4"/>
      <c r="E369" s="9" t="str">
        <f>_xll.BQL("LUV US Equity", "FA_GROWTH(CB_CF_PROCEEDS_FROM_ST_INV, YOY)", "FPT=A", "FPO=5A", "ACT_EST_MAPPING=PRECISE", "FS=MRC", "CURRENCY=USD", "XLFILL=b")</f>
        <v/>
      </c>
      <c r="F369" s="9" t="str">
        <f>_xll.BQL("LUV US Equity", "FA_GROWTH(CB_CF_PROCEEDS_FROM_ST_INV, YOY)", "FPT=A", "FPO=4A", "ACT_EST_MAPPING=PRECISE", "FS=MRC", "CURRENCY=USD", "XLFILL=b")</f>
        <v/>
      </c>
      <c r="G369" s="9">
        <f>_xll.BQL("LUV US Equity", "FA_GROWTH(CB_CF_PROCEEDS_FROM_ST_INV, YOY)", "FPT=A", "FPO=3A", "ACT_EST_MAPPING=PRECISE", "FS=MRC", "CURRENCY=USD", "XLFILL=b")</f>
        <v>-82.278481012658233</v>
      </c>
      <c r="H369" s="9">
        <f>_xll.BQL("LUV US Equity", "FA_GROWTH(CB_CF_PROCEEDS_FROM_ST_INV, YOY)", "FPT=A", "FPO=2A", "ACT_EST_MAPPING=PRECISE", "FS=MRC", "CURRENCY=USD", "XLFILL=b")</f>
        <v>-17.156040268456376</v>
      </c>
      <c r="I369" s="9">
        <f>_xll.BQL("LUV US Equity", "FA_GROWTH(CB_CF_PROCEEDS_FROM_ST_INV, YOY)", "FPT=A", "FPO=1A", "ACT_EST_MAPPING=PRECISE", "FS=MRC", "CURRENCY=USD", "XLFILL=b")</f>
        <v>-37.18877618232117</v>
      </c>
      <c r="J369" s="9">
        <f>_xll.BQL("LUV US Equity", "FA_GROWTH(CB_CF_PROCEEDS_FROM_ST_INV, YOY)", "FPT=A", "FPO=0A", "ACT_EST_MAPPING=PRECISE", "FS=MRC", "CURRENCY=USD", "XLFILL=b")</f>
        <v>31.060082872928177</v>
      </c>
      <c r="K369" s="9">
        <f>_xll.BQL("LUV US Equity", "FA_GROWTH(CB_CF_PROCEEDS_FROM_ST_INV, YOY)", "FPT=A", "FPO=-1A", "ACT_EST_MAPPING=PRECISE", "FS=MRC", "CURRENCY=USD", "XLFILL=b")</f>
        <v>14.218102938276473</v>
      </c>
      <c r="L369" s="9">
        <f>_xll.BQL("LUV US Equity", "FA_GROWTH(CB_CF_PROCEEDS_FROM_ST_INV, YOY)", "FPT=A", "FPO=-2A", "ACT_EST_MAPPING=PRECISE", "FS=MRC", "CURRENCY=USD", "XLFILL=b")</f>
        <v>16.951107011070111</v>
      </c>
      <c r="M369" s="9">
        <f>_xll.BQL("LUV US Equity", "FA_GROWTH(CB_CF_PROCEEDS_FROM_ST_INV, YOY)", "FPT=A", "FPO=-3A", "ACT_EST_MAPPING=PRECISE", "FS=MRC", "CURRENCY=USD", "XLFILL=b")</f>
        <v>77.26901062959935</v>
      </c>
      <c r="N369" s="9">
        <f>_xll.BQL("LUV US Equity", "FA_GROWTH(CB_CF_PROCEEDS_FROM_ST_INV, YOY)", "FPT=A", "FPO=-4A", "ACT_EST_MAPPING=PRECISE", "FS=MRC", "CURRENCY=USD", "XLFILL=b")</f>
        <v>4.4406490179333904</v>
      </c>
    </row>
    <row r="370" spans="1:14" x14ac:dyDescent="0.2">
      <c r="A370" s="8" t="s">
        <v>391</v>
      </c>
      <c r="B370" s="4" t="s">
        <v>392</v>
      </c>
      <c r="C370" s="4"/>
      <c r="D370" s="4"/>
      <c r="E370" s="9" t="str">
        <f>_xll.BQL("LUV US Equity", "CB_CF_OTHER_INVESTING_ACTIVITIES/1M", "FPT=A", "FPO=5A", "ACT_EST_MAPPING=PRECISE", "FS=MRC", "CURRENCY=USD", "XLFILL=b")</f>
        <v/>
      </c>
      <c r="F370" s="9" t="str">
        <f>_xll.BQL("LUV US Equity", "CB_CF_OTHER_INVESTING_ACTIVITIES/1M", "FPT=A", "FPO=4A", "ACT_EST_MAPPING=PRECISE", "FS=MRC", "CURRENCY=USD", "XLFILL=b")</f>
        <v/>
      </c>
      <c r="G370" s="9" t="str">
        <f>_xll.BQL("LUV US Equity", "CB_CF_OTHER_INVESTING_ACTIVITIES/1M", "FPT=A", "FPO=3A", "ACT_EST_MAPPING=PRECISE", "FS=MRC", "CURRENCY=USD", "XLFILL=b")</f>
        <v/>
      </c>
      <c r="H370" s="9" t="str">
        <f>_xll.BQL("LUV US Equity", "CB_CF_OTHER_INVESTING_ACTIVITIES/1M", "FPT=A", "FPO=2A", "ACT_EST_MAPPING=PRECISE", "FS=MRC", "CURRENCY=USD", "XLFILL=b")</f>
        <v/>
      </c>
      <c r="I370" s="9">
        <f>_xll.BQL("LUV US Equity", "CB_CF_OTHER_INVESTING_ACTIVITIES/1M", "FPT=A", "FPO=1A", "ACT_EST_MAPPING=PRECISE", "FS=MRC", "CURRENCY=USD", "XLFILL=b")</f>
        <v>-44</v>
      </c>
      <c r="J370" s="9">
        <f>_xll.BQL("LUV US Equity", "CB_CF_OTHER_INVESTING_ACTIVITIES/1M", "FPT=A", "FPO=0A", "ACT_EST_MAPPING=PRECISE", "FS=MRC", "CURRENCY=USD", "XLFILL=b")</f>
        <v>-33</v>
      </c>
      <c r="K370" s="9">
        <f>_xll.BQL("LUV US Equity", "CB_CF_OTHER_INVESTING_ACTIVITIES/1M", "FPT=A", "FPO=-1A", "ACT_EST_MAPPING=PRECISE", "FS=MRC", "CURRENCY=USD", "XLFILL=b")</f>
        <v>-22</v>
      </c>
      <c r="L370" s="9">
        <f>_xll.BQL("LUV US Equity", "CB_CF_OTHER_INVESTING_ACTIVITIES/1M", "FPT=A", "FPO=-2A", "ACT_EST_MAPPING=PRECISE", "FS=MRC", "CURRENCY=USD", "XLFILL=b")</f>
        <v>-6</v>
      </c>
      <c r="M370" s="9">
        <f>_xll.BQL("LUV US Equity", "CB_CF_OTHER_INVESTING_ACTIVITIES/1M", "FPT=A", "FPO=-3A", "ACT_EST_MAPPING=PRECISE", "FS=MRC", "CURRENCY=USD", "XLFILL=b")</f>
        <v>428</v>
      </c>
      <c r="N370" s="9">
        <f>_xll.BQL("LUV US Equity", "CB_CF_OTHER_INVESTING_ACTIVITIES/1M", "FPT=A", "FPO=-4A", "ACT_EST_MAPPING=PRECISE", "FS=MRC", "CURRENCY=USD", "XLFILL=b")</f>
        <v>400</v>
      </c>
    </row>
    <row r="371" spans="1:14" x14ac:dyDescent="0.2">
      <c r="A371" s="8" t="s">
        <v>21</v>
      </c>
      <c r="B371" s="4" t="s">
        <v>392</v>
      </c>
      <c r="C371" s="4"/>
      <c r="D371" s="4"/>
      <c r="E371" s="9" t="str">
        <f>_xll.BQL("LUV US Equity", "FA_GROWTH(CB_CF_OTHER_INVESTING_ACTIVITIES, YOY)", "FPT=A", "FPO=5A", "ACT_EST_MAPPING=PRECISE", "FS=MRC", "CURRENCY=USD", "XLFILL=b")</f>
        <v/>
      </c>
      <c r="F371" s="9" t="str">
        <f>_xll.BQL("LUV US Equity", "FA_GROWTH(CB_CF_OTHER_INVESTING_ACTIVITIES, YOY)", "FPT=A", "FPO=4A", "ACT_EST_MAPPING=PRECISE", "FS=MRC", "CURRENCY=USD", "XLFILL=b")</f>
        <v/>
      </c>
      <c r="G371" s="9" t="str">
        <f>_xll.BQL("LUV US Equity", "FA_GROWTH(CB_CF_OTHER_INVESTING_ACTIVITIES, YOY)", "FPT=A", "FPO=3A", "ACT_EST_MAPPING=PRECISE", "FS=MRC", "CURRENCY=USD", "XLFILL=b")</f>
        <v/>
      </c>
      <c r="H371" s="9" t="str">
        <f>_xll.BQL("LUV US Equity", "FA_GROWTH(CB_CF_OTHER_INVESTING_ACTIVITIES, YOY)", "FPT=A", "FPO=2A", "ACT_EST_MAPPING=PRECISE", "FS=MRC", "CURRENCY=USD", "XLFILL=b")</f>
        <v/>
      </c>
      <c r="I371" s="9">
        <f>_xll.BQL("LUV US Equity", "FA_GROWTH(CB_CF_OTHER_INVESTING_ACTIVITIES, YOY)", "FPT=A", "FPO=1A", "ACT_EST_MAPPING=PRECISE", "FS=MRC", "CURRENCY=USD", "XLFILL=b")</f>
        <v>-33.333333333333336</v>
      </c>
      <c r="J371" s="9">
        <f>_xll.BQL("LUV US Equity", "FA_GROWTH(CB_CF_OTHER_INVESTING_ACTIVITIES, YOY)", "FPT=A", "FPO=0A", "ACT_EST_MAPPING=PRECISE", "FS=MRC", "CURRENCY=USD", "XLFILL=b")</f>
        <v>-50</v>
      </c>
      <c r="K371" s="9">
        <f>_xll.BQL("LUV US Equity", "FA_GROWTH(CB_CF_OTHER_INVESTING_ACTIVITIES, YOY)", "FPT=A", "FPO=-1A", "ACT_EST_MAPPING=PRECISE", "FS=MRC", "CURRENCY=USD", "XLFILL=b")</f>
        <v>-266.66666666666669</v>
      </c>
      <c r="L371" s="9">
        <f>_xll.BQL("LUV US Equity", "FA_GROWTH(CB_CF_OTHER_INVESTING_ACTIVITIES, YOY)", "FPT=A", "FPO=-2A", "ACT_EST_MAPPING=PRECISE", "FS=MRC", "CURRENCY=USD", "XLFILL=b")</f>
        <v>-101.40186915887851</v>
      </c>
      <c r="M371" s="9">
        <f>_xll.BQL("LUV US Equity", "FA_GROWTH(CB_CF_OTHER_INVESTING_ACTIVITIES, YOY)", "FPT=A", "FPO=-3A", "ACT_EST_MAPPING=PRECISE", "FS=MRC", "CURRENCY=USD", "XLFILL=b")</f>
        <v>7</v>
      </c>
      <c r="N371" s="9">
        <f>_xll.BQL("LUV US Equity", "FA_GROWTH(CB_CF_OTHER_INVESTING_ACTIVITIES, YOY)", "FPT=A", "FPO=-4A", "ACT_EST_MAPPING=PRECISE", "FS=MRC", "CURRENCY=USD", "XLFILL=b")</f>
        <v>916.32653061224494</v>
      </c>
    </row>
    <row r="372" spans="1:14" x14ac:dyDescent="0.2">
      <c r="A372" s="8" t="s">
        <v>393</v>
      </c>
      <c r="B372" s="4" t="s">
        <v>394</v>
      </c>
      <c r="C372" s="4" t="s">
        <v>395</v>
      </c>
      <c r="D372" s="4"/>
      <c r="E372" s="9">
        <f>_xll.BQL("LUV US Equity", "CB_CF_NET_CASH_INVESTING_ACT/1M", "FPT=A", "FPO=5A", "ACT_EST_MAPPING=PRECISE", "FS=MRC", "CURRENCY=USD", "XLFILL=b")</f>
        <v>-3700</v>
      </c>
      <c r="F372" s="9">
        <f>_xll.BQL("LUV US Equity", "CB_CF_NET_CASH_INVESTING_ACT/1M", "FPT=A", "FPO=4A", "ACT_EST_MAPPING=PRECISE", "FS=MRC", "CURRENCY=USD", "XLFILL=b")</f>
        <v>-3473.7826563244498</v>
      </c>
      <c r="G372" s="9">
        <f>_xll.BQL("LUV US Equity", "CB_CF_NET_CASH_INVESTING_ACT/1M", "FPT=A", "FPO=3A", "ACT_EST_MAPPING=PRECISE", "FS=MRC", "CURRENCY=USD", "XLFILL=b")</f>
        <v>-2880.0620742914316</v>
      </c>
      <c r="H372" s="9">
        <f>_xll.BQL("LUV US Equity", "CB_CF_NET_CASH_INVESTING_ACT/1M", "FPT=A", "FPO=2A", "ACT_EST_MAPPING=PRECISE", "FS=MRC", "CURRENCY=USD", "XLFILL=b")</f>
        <v>-3052.3574372765238</v>
      </c>
      <c r="I372" s="9">
        <f>_xll.BQL("LUV US Equity", "CB_CF_NET_CASH_INVESTING_ACT/1M", "FPT=A", "FPO=1A", "ACT_EST_MAPPING=PRECISE", "FS=MRC", "CURRENCY=USD", "XLFILL=b")</f>
        <v>-2261.0919618502035</v>
      </c>
      <c r="J372" s="9">
        <f>_xll.BQL("LUV US Equity", "CB_CF_NET_CASH_INVESTING_ACT/1M", "FPT=A", "FPO=0A", "ACT_EST_MAPPING=PRECISE", "FS=MRC", "CURRENCY=USD", "XLFILL=b")</f>
        <v>-2932</v>
      </c>
      <c r="K372" s="9">
        <f>_xll.BQL("LUV US Equity", "CB_CF_NET_CASH_INVESTING_ACT/1M", "FPT=A", "FPO=-1A", "ACT_EST_MAPPING=PRECISE", "FS=MRC", "CURRENCY=USD", "XLFILL=b")</f>
        <v>-3746</v>
      </c>
      <c r="L372" s="9">
        <f>_xll.BQL("LUV US Equity", "CB_CF_NET_CASH_INVESTING_ACT/1M", "FPT=A", "FPO=-2A", "ACT_EST_MAPPING=PRECISE", "FS=MRC", "CURRENCY=USD", "XLFILL=b")</f>
        <v>-1264</v>
      </c>
      <c r="M372" s="9">
        <f>_xll.BQL("LUV US Equity", "CB_CF_NET_CASH_INVESTING_ACT/1M", "FPT=A", "FPO=-3A", "ACT_EST_MAPPING=PRECISE", "FS=MRC", "CURRENCY=USD", "XLFILL=b")</f>
        <v>-16</v>
      </c>
      <c r="N372" s="9">
        <f>_xll.BQL("LUV US Equity", "CB_CF_NET_CASH_INVESTING_ACT/1M", "FPT=A", "FPO=-4A", "ACT_EST_MAPPING=PRECISE", "FS=MRC", "CURRENCY=USD", "XLFILL=b")</f>
        <v>-303</v>
      </c>
    </row>
    <row r="373" spans="1:14" x14ac:dyDescent="0.2">
      <c r="A373" s="8" t="s">
        <v>12</v>
      </c>
      <c r="B373" s="4" t="s">
        <v>394</v>
      </c>
      <c r="C373" s="4" t="s">
        <v>395</v>
      </c>
      <c r="D373" s="4"/>
      <c r="E373" s="9">
        <f>_xll.BQL("LUV US Equity", "FA_GROWTH(CB_CF_NET_CASH_INVESTING_ACT, YOY)", "FPT=A", "FPO=5A", "ACT_EST_MAPPING=PRECISE", "FS=MRC", "CURRENCY=USD", "XLFILL=b")</f>
        <v>-6.5121329126246117</v>
      </c>
      <c r="F373" s="9">
        <f>_xll.BQL("LUV US Equity", "FA_GROWTH(CB_CF_NET_CASH_INVESTING_ACT, YOY)", "FPT=A", "FPO=4A", "ACT_EST_MAPPING=PRECISE", "FS=MRC", "CURRENCY=USD", "XLFILL=b")</f>
        <v>-20.61485366349574</v>
      </c>
      <c r="G373" s="9">
        <f>_xll.BQL("LUV US Equity", "FA_GROWTH(CB_CF_NET_CASH_INVESTING_ACT, YOY)", "FPT=A", "FPO=3A", "ACT_EST_MAPPING=PRECISE", "FS=MRC", "CURRENCY=USD", "XLFILL=b")</f>
        <v>5.6446653619578475</v>
      </c>
      <c r="H373" s="9">
        <f>_xll.BQL("LUV US Equity", "FA_GROWTH(CB_CF_NET_CASH_INVESTING_ACT, YOY)", "FPT=A", "FPO=2A", "ACT_EST_MAPPING=PRECISE", "FS=MRC", "CURRENCY=USD", "XLFILL=b")</f>
        <v>-34.994838280652871</v>
      </c>
      <c r="I373" s="9">
        <f>_xll.BQL("LUV US Equity", "FA_GROWTH(CB_CF_NET_CASH_INVESTING_ACT, YOY)", "FPT=A", "FPO=1A", "ACT_EST_MAPPING=PRECISE", "FS=MRC", "CURRENCY=USD", "XLFILL=b")</f>
        <v>22.882265966909838</v>
      </c>
      <c r="J373" s="9">
        <f>_xll.BQL("LUV US Equity", "FA_GROWTH(CB_CF_NET_CASH_INVESTING_ACT, YOY)", "FPT=A", "FPO=0A", "ACT_EST_MAPPING=PRECISE", "FS=MRC", "CURRENCY=USD", "XLFILL=b")</f>
        <v>21.729845168179391</v>
      </c>
      <c r="K373" s="9">
        <f>_xll.BQL("LUV US Equity", "FA_GROWTH(CB_CF_NET_CASH_INVESTING_ACT, YOY)", "FPT=A", "FPO=-1A", "ACT_EST_MAPPING=PRECISE", "FS=MRC", "CURRENCY=USD", "XLFILL=b")</f>
        <v>-196.36075949367088</v>
      </c>
      <c r="L373" s="9">
        <f>_xll.BQL("LUV US Equity", "FA_GROWTH(CB_CF_NET_CASH_INVESTING_ACT, YOY)", "FPT=A", "FPO=-2A", "ACT_EST_MAPPING=PRECISE", "FS=MRC", "CURRENCY=USD", "XLFILL=b")</f>
        <v>-7800</v>
      </c>
      <c r="M373" s="9">
        <f>_xll.BQL("LUV US Equity", "FA_GROWTH(CB_CF_NET_CASH_INVESTING_ACT, YOY)", "FPT=A", "FPO=-3A", "ACT_EST_MAPPING=PRECISE", "FS=MRC", "CURRENCY=USD", "XLFILL=b")</f>
        <v>94.71947194719472</v>
      </c>
      <c r="N373" s="9">
        <f>_xll.BQL("LUV US Equity", "FA_GROWTH(CB_CF_NET_CASH_INVESTING_ACT, YOY)", "FPT=A", "FPO=-4A", "ACT_EST_MAPPING=PRECISE", "FS=MRC", "CURRENCY=USD", "XLFILL=b")</f>
        <v>85.13248282630029</v>
      </c>
    </row>
    <row r="374" spans="1:14" x14ac:dyDescent="0.2">
      <c r="A374" s="8" t="s">
        <v>16</v>
      </c>
      <c r="B374" s="4"/>
      <c r="C374" s="4"/>
      <c r="D374" s="4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x14ac:dyDescent="0.2">
      <c r="A375" s="8" t="s">
        <v>396</v>
      </c>
      <c r="B375" s="4"/>
      <c r="C375" s="4" t="s">
        <v>397</v>
      </c>
      <c r="D375" s="4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x14ac:dyDescent="0.2">
      <c r="A376" s="8" t="s">
        <v>398</v>
      </c>
      <c r="B376" s="4" t="s">
        <v>399</v>
      </c>
      <c r="C376" s="4" t="s">
        <v>400</v>
      </c>
      <c r="D376" s="4"/>
      <c r="E376" s="9">
        <f>_xll.BQL("LUV US Equity", "CF_DVD_PAID/1M", "FPT=A", "FPO=5A", "ACT_EST_MAPPING=PRECISE", "FS=MRC", "CURRENCY=USD", "XLFILL=b")</f>
        <v>-629.11484999999993</v>
      </c>
      <c r="F376" s="9">
        <f>_xll.BQL("LUV US Equity", "CF_DVD_PAID/1M", "FPT=A", "FPO=4A", "ACT_EST_MAPPING=PRECISE", "FS=MRC", "CURRENCY=USD", "XLFILL=b")</f>
        <v>-522.34678799999995</v>
      </c>
      <c r="G376" s="9">
        <f>_xll.BQL("LUV US Equity", "CF_DVD_PAID/1M", "FPT=A", "FPO=3A", "ACT_EST_MAPPING=PRECISE", "FS=MRC", "CURRENCY=USD", "XLFILL=b")</f>
        <v>-460.05545006666659</v>
      </c>
      <c r="H376" s="9">
        <f>_xll.BQL("LUV US Equity", "CF_DVD_PAID/1M", "FPT=A", "FPO=2A", "ACT_EST_MAPPING=PRECISE", "FS=MRC", "CURRENCY=USD", "XLFILL=b")</f>
        <v>-438.74005860999995</v>
      </c>
      <c r="I376" s="9">
        <f>_xll.BQL("LUV US Equity", "CF_DVD_PAID/1M", "FPT=A", "FPO=1A", "ACT_EST_MAPPING=PRECISE", "FS=MRC", "CURRENCY=USD", "XLFILL=b")</f>
        <v>-425.88885046000001</v>
      </c>
      <c r="J376" s="9">
        <f>_xll.BQL("LUV US Equity", "CF_DVD_PAID/1M", "FPT=A", "FPO=0A", "ACT_EST_MAPPING=PRECISE", "FS=MRC", "CURRENCY=USD", "XLFILL=b")</f>
        <v>-428</v>
      </c>
      <c r="K376" s="9">
        <f>_xll.BQL("LUV US Equity", "CF_DVD_PAID/1M", "FPT=A", "FPO=-1A", "ACT_EST_MAPPING=PRECISE", "FS=MRC", "CURRENCY=USD", "XLFILL=b")</f>
        <v>0</v>
      </c>
      <c r="L376" s="9">
        <f>_xll.BQL("LUV US Equity", "CF_DVD_PAID/1M", "FPT=A", "FPO=-2A", "ACT_EST_MAPPING=PRECISE", "FS=MRC", "CURRENCY=USD", "XLFILL=b")</f>
        <v>0</v>
      </c>
      <c r="M376" s="9">
        <f>_xll.BQL("LUV US Equity", "CF_DVD_PAID/1M", "FPT=A", "FPO=-3A", "ACT_EST_MAPPING=PRECISE", "FS=MRC", "CURRENCY=USD", "XLFILL=b")</f>
        <v>-188</v>
      </c>
      <c r="N376" s="9">
        <f>_xll.BQL("LUV US Equity", "CF_DVD_PAID/1M", "FPT=A", "FPO=-4A", "ACT_EST_MAPPING=PRECISE", "FS=MRC", "CURRENCY=USD", "XLFILL=b")</f>
        <v>-372</v>
      </c>
    </row>
    <row r="377" spans="1:14" x14ac:dyDescent="0.2">
      <c r="A377" s="8" t="s">
        <v>21</v>
      </c>
      <c r="B377" s="4" t="s">
        <v>399</v>
      </c>
      <c r="C377" s="4" t="s">
        <v>400</v>
      </c>
      <c r="D377" s="4"/>
      <c r="E377" s="9">
        <f>_xll.BQL("LUV US Equity", "FA_GROWTH(CF_DVD_PAID, YOY)", "FPT=A", "FPO=5A", "ACT_EST_MAPPING=PRECISE", "FS=MRC", "CURRENCY=USD", "XLFILL=b")</f>
        <v>-20.440072467718494</v>
      </c>
      <c r="F377" s="9">
        <f>_xll.BQL("LUV US Equity", "FA_GROWTH(CF_DVD_PAID, YOY)", "FPT=A", "FPO=4A", "ACT_EST_MAPPING=PRECISE", "FS=MRC", "CURRENCY=USD", "XLFILL=b")</f>
        <v>-13.53996304669508</v>
      </c>
      <c r="G377" s="9">
        <f>_xll.BQL("LUV US Equity", "FA_GROWTH(CF_DVD_PAID, YOY)", "FPT=A", "FPO=3A", "ACT_EST_MAPPING=PRECISE", "FS=MRC", "CURRENCY=USD", "XLFILL=b")</f>
        <v>-4.8583189609349287</v>
      </c>
      <c r="H377" s="9">
        <f>_xll.BQL("LUV US Equity", "FA_GROWTH(CF_DVD_PAID, YOY)", "FPT=A", "FPO=2A", "ACT_EST_MAPPING=PRECISE", "FS=MRC", "CURRENCY=USD", "XLFILL=b")</f>
        <v>-3.0175028381511755</v>
      </c>
      <c r="I377" s="9">
        <f>_xll.BQL("LUV US Equity", "FA_GROWTH(CF_DVD_PAID, YOY)", "FPT=A", "FPO=1A", "ACT_EST_MAPPING=PRECISE", "FS=MRC", "CURRENCY=USD", "XLFILL=b")</f>
        <v>0.49325923831774809</v>
      </c>
      <c r="J377" s="9" t="str">
        <f>_xll.BQL("LUV US Equity", "FA_GROWTH(CF_DVD_PAID, YOY)", "FPT=A", "FPO=0A", "ACT_EST_MAPPING=PRECISE", "FS=MRC", "CURRENCY=USD", "XLFILL=b")</f>
        <v/>
      </c>
      <c r="K377" s="9" t="str">
        <f>_xll.BQL("LUV US Equity", "FA_GROWTH(CF_DVD_PAID, YOY)", "FPT=A", "FPO=-1A", "ACT_EST_MAPPING=PRECISE", "FS=MRC", "CURRENCY=USD", "XLFILL=b")</f>
        <v/>
      </c>
      <c r="L377" s="9">
        <f>_xll.BQL("LUV US Equity", "FA_GROWTH(CF_DVD_PAID, YOY)", "FPT=A", "FPO=-2A", "ACT_EST_MAPPING=PRECISE", "FS=MRC", "CURRENCY=USD", "XLFILL=b")</f>
        <v>100</v>
      </c>
      <c r="M377" s="9">
        <f>_xll.BQL("LUV US Equity", "FA_GROWTH(CF_DVD_PAID, YOY)", "FPT=A", "FPO=-3A", "ACT_EST_MAPPING=PRECISE", "FS=MRC", "CURRENCY=USD", "XLFILL=b")</f>
        <v>49.462365591397848</v>
      </c>
      <c r="N377" s="9">
        <f>_xll.BQL("LUV US Equity", "FA_GROWTH(CF_DVD_PAID, YOY)", "FPT=A", "FPO=-4A", "ACT_EST_MAPPING=PRECISE", "FS=MRC", "CURRENCY=USD", "XLFILL=b")</f>
        <v>-12.048192771084338</v>
      </c>
    </row>
    <row r="378" spans="1:14" x14ac:dyDescent="0.2">
      <c r="A378" s="8" t="s">
        <v>401</v>
      </c>
      <c r="B378" s="4" t="s">
        <v>402</v>
      </c>
      <c r="C378" s="4"/>
      <c r="D378" s="4"/>
      <c r="E378" s="9" t="str">
        <f>_xll.BQL("LUV US Equity", "CF_PROCEEDS_REPAYMNTS_BORROWINGS/1M", "FPT=A", "FPO=5A", "ACT_EST_MAPPING=PRECISE", "FS=MRC", "CURRENCY=USD", "XLFILL=b")</f>
        <v/>
      </c>
      <c r="F378" s="9" t="str">
        <f>_xll.BQL("LUV US Equity", "CF_PROCEEDS_REPAYMNTS_BORROWINGS/1M", "FPT=A", "FPO=4A", "ACT_EST_MAPPING=PRECISE", "FS=MRC", "CURRENCY=USD", "XLFILL=b")</f>
        <v/>
      </c>
      <c r="G378" s="9">
        <f>_xll.BQL("LUV US Equity", "CF_PROCEEDS_REPAYMNTS_BORROWINGS/1M", "FPT=A", "FPO=3A", "ACT_EST_MAPPING=PRECISE", "FS=MRC", "CURRENCY=USD", "XLFILL=b")</f>
        <v>-312.5</v>
      </c>
      <c r="H378" s="9">
        <f>_xll.BQL("LUV US Equity", "CF_PROCEEDS_REPAYMNTS_BORROWINGS/1M", "FPT=A", "FPO=2A", "ACT_EST_MAPPING=PRECISE", "FS=MRC", "CURRENCY=USD", "XLFILL=b")</f>
        <v>-2347.4</v>
      </c>
      <c r="I378" s="9">
        <f>_xll.BQL("LUV US Equity", "CF_PROCEEDS_REPAYMNTS_BORROWINGS/1M", "FPT=A", "FPO=1A", "ACT_EST_MAPPING=PRECISE", "FS=MRC", "CURRENCY=USD", "XLFILL=b")</f>
        <v>-69.599999999999994</v>
      </c>
      <c r="J378" s="9">
        <f>_xll.BQL("LUV US Equity", "CF_PROCEEDS_REPAYMNTS_BORROWINGS/1M", "FPT=A", "FPO=0A", "ACT_EST_MAPPING=PRECISE", "FS=MRC", "CURRENCY=USD", "XLFILL=b")</f>
        <v>-85</v>
      </c>
      <c r="K378" s="9">
        <f>_xll.BQL("LUV US Equity", "CF_PROCEEDS_REPAYMNTS_BORROWINGS/1M", "FPT=A", "FPO=-1A", "ACT_EST_MAPPING=PRECISE", "FS=MRC", "CURRENCY=USD", "XLFILL=b")</f>
        <v>-2437</v>
      </c>
      <c r="L378" s="9">
        <f>_xll.BQL("LUV US Equity", "CF_PROCEEDS_REPAYMNTS_BORROWINGS/1M", "FPT=A", "FPO=-2A", "ACT_EST_MAPPING=PRECISE", "FS=MRC", "CURRENCY=USD", "XLFILL=b")</f>
        <v>-612</v>
      </c>
      <c r="M378" s="9">
        <f>_xll.BQL("LUV US Equity", "CF_PROCEEDS_REPAYMNTS_BORROWINGS/1M", "FPT=A", "FPO=-3A", "ACT_EST_MAPPING=PRECISE", "FS=MRC", "CURRENCY=USD", "XLFILL=b")</f>
        <v>4783</v>
      </c>
      <c r="N378" s="9">
        <f>_xll.BQL("LUV US Equity", "CF_PROCEEDS_REPAYMNTS_BORROWINGS/1M", "FPT=A", "FPO=-4A", "ACT_EST_MAPPING=PRECISE", "FS=MRC", "CURRENCY=USD", "XLFILL=b")</f>
        <v>-615</v>
      </c>
    </row>
    <row r="379" spans="1:14" x14ac:dyDescent="0.2">
      <c r="A379" s="8" t="s">
        <v>21</v>
      </c>
      <c r="B379" s="4" t="s">
        <v>402</v>
      </c>
      <c r="C379" s="4"/>
      <c r="D379" s="4"/>
      <c r="E379" s="9" t="str">
        <f>_xll.BQL("LUV US Equity", "FA_GROWTH(CF_PROCEEDS_REPAYMNTS_BORROWINGS, YOY)", "FPT=A", "FPO=5A", "ACT_EST_MAPPING=PRECISE", "FS=MRC", "CURRENCY=USD", "XLFILL=b")</f>
        <v/>
      </c>
      <c r="F379" s="9" t="str">
        <f>_xll.BQL("LUV US Equity", "FA_GROWTH(CF_PROCEEDS_REPAYMNTS_BORROWINGS, YOY)", "FPT=A", "FPO=4A", "ACT_EST_MAPPING=PRECISE", "FS=MRC", "CURRENCY=USD", "XLFILL=b")</f>
        <v/>
      </c>
      <c r="G379" s="9">
        <f>_xll.BQL("LUV US Equity", "FA_GROWTH(CF_PROCEEDS_REPAYMNTS_BORROWINGS, YOY)", "FPT=A", "FPO=3A", "ACT_EST_MAPPING=PRECISE", "FS=MRC", "CURRENCY=USD", "XLFILL=b")</f>
        <v>86.687398824231067</v>
      </c>
      <c r="H379" s="9">
        <f>_xll.BQL("LUV US Equity", "FA_GROWTH(CF_PROCEEDS_REPAYMNTS_BORROWINGS, YOY)", "FPT=A", "FPO=2A", "ACT_EST_MAPPING=PRECISE", "FS=MRC", "CURRENCY=USD", "XLFILL=b")</f>
        <v>-3272.7011494252874</v>
      </c>
      <c r="I379" s="9">
        <f>_xll.BQL("LUV US Equity", "FA_GROWTH(CF_PROCEEDS_REPAYMNTS_BORROWINGS, YOY)", "FPT=A", "FPO=1A", "ACT_EST_MAPPING=PRECISE", "FS=MRC", "CURRENCY=USD", "XLFILL=b")</f>
        <v>18.117647058823529</v>
      </c>
      <c r="J379" s="9">
        <f>_xll.BQL("LUV US Equity", "FA_GROWTH(CF_PROCEEDS_REPAYMNTS_BORROWINGS, YOY)", "FPT=A", "FPO=0A", "ACT_EST_MAPPING=PRECISE", "FS=MRC", "CURRENCY=USD", "XLFILL=b")</f>
        <v>96.512105047189166</v>
      </c>
      <c r="K379" s="9">
        <f>_xll.BQL("LUV US Equity", "FA_GROWTH(CF_PROCEEDS_REPAYMNTS_BORROWINGS, YOY)", "FPT=A", "FPO=-1A", "ACT_EST_MAPPING=PRECISE", "FS=MRC", "CURRENCY=USD", "XLFILL=b")</f>
        <v>-298.20261437908499</v>
      </c>
      <c r="L379" s="9">
        <f>_xll.BQL("LUV US Equity", "FA_GROWTH(CF_PROCEEDS_REPAYMNTS_BORROWINGS, YOY)", "FPT=A", "FPO=-2A", "ACT_EST_MAPPING=PRECISE", "FS=MRC", "CURRENCY=USD", "XLFILL=b")</f>
        <v>-112.79531674681162</v>
      </c>
      <c r="M379" s="9">
        <f>_xll.BQL("LUV US Equity", "FA_GROWTH(CF_PROCEEDS_REPAYMNTS_BORROWINGS, YOY)", "FPT=A", "FPO=-3A", "ACT_EST_MAPPING=PRECISE", "FS=MRC", "CURRENCY=USD", "XLFILL=b")</f>
        <v>877.72357723577238</v>
      </c>
      <c r="N379" s="9">
        <f>_xll.BQL("LUV US Equity", "FA_GROWTH(CF_PROCEEDS_REPAYMNTS_BORROWINGS, YOY)", "FPT=A", "FPO=-4A", "ACT_EST_MAPPING=PRECISE", "FS=MRC", "CURRENCY=USD", "XLFILL=b")</f>
        <v>-79.824561403508767</v>
      </c>
    </row>
    <row r="380" spans="1:14" x14ac:dyDescent="0.2">
      <c r="A380" s="8" t="s">
        <v>403</v>
      </c>
      <c r="B380" s="4" t="s">
        <v>404</v>
      </c>
      <c r="C380" s="4" t="s">
        <v>405</v>
      </c>
      <c r="D380" s="4"/>
      <c r="E380" s="9">
        <f>_xll.BQL("LUV US Equity", "CF_PYMT_LT_DEBT_AND_CAPITAL_LEASE/1M", "FPT=A", "FPO=5A", "ACT_EST_MAPPING=PRECISE", "FS=MRC", "CURRENCY=USD", "XLFILL=b")</f>
        <v>-800</v>
      </c>
      <c r="F380" s="9">
        <f>_xll.BQL("LUV US Equity", "CF_PYMT_LT_DEBT_AND_CAPITAL_LEASE/1M", "FPT=A", "FPO=4A", "ACT_EST_MAPPING=PRECISE", "FS=MRC", "CURRENCY=USD", "XLFILL=b")</f>
        <v>-1172.5</v>
      </c>
      <c r="G380" s="9">
        <f>_xll.BQL("LUV US Equity", "CF_PYMT_LT_DEBT_AND_CAPITAL_LEASE/1M", "FPT=A", "FPO=3A", "ACT_EST_MAPPING=PRECISE", "FS=MRC", "CURRENCY=USD", "XLFILL=b")</f>
        <v>-261.66666666666663</v>
      </c>
      <c r="H380" s="9">
        <f>_xll.BQL("LUV US Equity", "CF_PYMT_LT_DEBT_AND_CAPITAL_LEASE/1M", "FPT=A", "FPO=2A", "ACT_EST_MAPPING=PRECISE", "FS=MRC", "CURRENCY=USD", "XLFILL=b")</f>
        <v>-2952.6666666666665</v>
      </c>
      <c r="I380" s="9">
        <f>_xll.BQL("LUV US Equity", "CF_PYMT_LT_DEBT_AND_CAPITAL_LEASE/1M", "FPT=A", "FPO=1A", "ACT_EST_MAPPING=PRECISE", "FS=MRC", "CURRENCY=USD", "XLFILL=b")</f>
        <v>-30.25</v>
      </c>
      <c r="J380" s="9">
        <f>_xll.BQL("LUV US Equity", "CF_PYMT_LT_DEBT_AND_CAPITAL_LEASE/1M", "FPT=A", "FPO=0A", "ACT_EST_MAPPING=PRECISE", "FS=MRC", "CURRENCY=USD", "XLFILL=b")</f>
        <v>-85</v>
      </c>
      <c r="K380" s="9">
        <f>_xll.BQL("LUV US Equity", "CF_PYMT_LT_DEBT_AND_CAPITAL_LEASE/1M", "FPT=A", "FPO=-1A", "ACT_EST_MAPPING=PRECISE", "FS=MRC", "CURRENCY=USD", "XLFILL=b")</f>
        <v>-2437</v>
      </c>
      <c r="L380" s="9">
        <f>_xll.BQL("LUV US Equity", "CF_PYMT_LT_DEBT_AND_CAPITAL_LEASE/1M", "FPT=A", "FPO=-2A", "ACT_EST_MAPPING=PRECISE", "FS=MRC", "CURRENCY=USD", "XLFILL=b")</f>
        <v>-612</v>
      </c>
      <c r="M380" s="9">
        <f>_xll.BQL("LUV US Equity", "CF_PYMT_LT_DEBT_AND_CAPITAL_LEASE/1M", "FPT=A", "FPO=-3A", "ACT_EST_MAPPING=PRECISE", "FS=MRC", "CURRENCY=USD", "XLFILL=b")</f>
        <v>-5522</v>
      </c>
      <c r="N380" s="9">
        <f>_xll.BQL("LUV US Equity", "CF_PYMT_LT_DEBT_AND_CAPITAL_LEASE/1M", "FPT=A", "FPO=-4A", "ACT_EST_MAPPING=PRECISE", "FS=MRC", "CURRENCY=USD", "XLFILL=b")</f>
        <v>-615</v>
      </c>
    </row>
    <row r="381" spans="1:14" x14ac:dyDescent="0.2">
      <c r="A381" s="8" t="s">
        <v>21</v>
      </c>
      <c r="B381" s="4" t="s">
        <v>404</v>
      </c>
      <c r="C381" s="4" t="s">
        <v>405</v>
      </c>
      <c r="D381" s="4"/>
      <c r="E381" s="9">
        <f>_xll.BQL("LUV US Equity", "FA_GROWTH(CF_PYMT_LT_DEBT_AND_CAPITAL_LEASE, YOY)", "FPT=A", "FPO=5A", "ACT_EST_MAPPING=PRECISE", "FS=MRC", "CURRENCY=USD", "XLFILL=b")</f>
        <v>31.769722814498934</v>
      </c>
      <c r="F381" s="9">
        <f>_xll.BQL("LUV US Equity", "FA_GROWTH(CF_PYMT_LT_DEBT_AND_CAPITAL_LEASE, YOY)", "FPT=A", "FPO=4A", "ACT_EST_MAPPING=PRECISE", "FS=MRC", "CURRENCY=USD", "XLFILL=b")</f>
        <v>-348.08917197452234</v>
      </c>
      <c r="G381" s="9">
        <f>_xll.BQL("LUV US Equity", "FA_GROWTH(CF_PYMT_LT_DEBT_AND_CAPITAL_LEASE, YOY)", "FPT=A", "FPO=3A", "ACT_EST_MAPPING=PRECISE", "FS=MRC", "CURRENCY=USD", "XLFILL=b")</f>
        <v>91.137954391510505</v>
      </c>
      <c r="H381" s="9">
        <f>_xll.BQL("LUV US Equity", "FA_GROWTH(CF_PYMT_LT_DEBT_AND_CAPITAL_LEASE, YOY)", "FPT=A", "FPO=2A", "ACT_EST_MAPPING=PRECISE", "FS=MRC", "CURRENCY=USD", "XLFILL=b")</f>
        <v>-9660.8815426997226</v>
      </c>
      <c r="I381" s="9">
        <f>_xll.BQL("LUV US Equity", "FA_GROWTH(CF_PYMT_LT_DEBT_AND_CAPITAL_LEASE, YOY)", "FPT=A", "FPO=1A", "ACT_EST_MAPPING=PRECISE", "FS=MRC", "CURRENCY=USD", "XLFILL=b")</f>
        <v>64.411764705882348</v>
      </c>
      <c r="J381" s="9">
        <f>_xll.BQL("LUV US Equity", "FA_GROWTH(CF_PYMT_LT_DEBT_AND_CAPITAL_LEASE, YOY)", "FPT=A", "FPO=0A", "ACT_EST_MAPPING=PRECISE", "FS=MRC", "CURRENCY=USD", "XLFILL=b")</f>
        <v>96.512105047189166</v>
      </c>
      <c r="K381" s="9">
        <f>_xll.BQL("LUV US Equity", "FA_GROWTH(CF_PYMT_LT_DEBT_AND_CAPITAL_LEASE, YOY)", "FPT=A", "FPO=-1A", "ACT_EST_MAPPING=PRECISE", "FS=MRC", "CURRENCY=USD", "XLFILL=b")</f>
        <v>-298.20261437908499</v>
      </c>
      <c r="L381" s="9">
        <f>_xll.BQL("LUV US Equity", "FA_GROWTH(CF_PYMT_LT_DEBT_AND_CAPITAL_LEASE, YOY)", "FPT=A", "FPO=-2A", "ACT_EST_MAPPING=PRECISE", "FS=MRC", "CURRENCY=USD", "XLFILL=b")</f>
        <v>88.917059036580952</v>
      </c>
      <c r="M381" s="9">
        <f>_xll.BQL("LUV US Equity", "FA_GROWTH(CF_PYMT_LT_DEBT_AND_CAPITAL_LEASE, YOY)", "FPT=A", "FPO=-3A", "ACT_EST_MAPPING=PRECISE", "FS=MRC", "CURRENCY=USD", "XLFILL=b")</f>
        <v>-797.88617886178861</v>
      </c>
      <c r="N381" s="9">
        <f>_xll.BQL("LUV US Equity", "FA_GROWTH(CF_PYMT_LT_DEBT_AND_CAPITAL_LEASE, YOY)", "FPT=A", "FPO=-4A", "ACT_EST_MAPPING=PRECISE", "FS=MRC", "CURRENCY=USD", "XLFILL=b")</f>
        <v>-79.824561403508767</v>
      </c>
    </row>
    <row r="382" spans="1:14" x14ac:dyDescent="0.2">
      <c r="A382" s="8" t="s">
        <v>406</v>
      </c>
      <c r="B382" s="4" t="s">
        <v>407</v>
      </c>
      <c r="C382" s="4"/>
      <c r="D382" s="4"/>
      <c r="E382" s="9" t="str">
        <f>_xll.BQL("LUV US Equity", "CB_CF_REPAYMENT_LT_DEBT/1M", "FPT=A", "FPO=5A", "ACT_EST_MAPPING=PRECISE", "FS=MRC", "CURRENCY=USD", "XLFILL=b")</f>
        <v/>
      </c>
      <c r="F382" s="9">
        <f>_xll.BQL("LUV US Equity", "CB_CF_REPAYMENT_LT_DEBT/1M", "FPT=A", "FPO=4A", "ACT_EST_MAPPING=PRECISE", "FS=MRC", "CURRENCY=USD", "XLFILL=b")</f>
        <v>-80</v>
      </c>
      <c r="G382" s="9">
        <f>_xll.BQL("LUV US Equity", "CB_CF_REPAYMENT_LT_DEBT/1M", "FPT=A", "FPO=3A", "ACT_EST_MAPPING=PRECISE", "FS=MRC", "CURRENCY=USD", "XLFILL=b")</f>
        <v>-80</v>
      </c>
      <c r="H382" s="9">
        <f>_xll.BQL("LUV US Equity", "CB_CF_REPAYMENT_LT_DEBT/1M", "FPT=A", "FPO=2A", "ACT_EST_MAPPING=PRECISE", "FS=MRC", "CURRENCY=USD", "XLFILL=b")</f>
        <v>-195</v>
      </c>
      <c r="I382" s="9">
        <f>_xll.BQL("LUV US Equity", "CB_CF_REPAYMENT_LT_DEBT/1M", "FPT=A", "FPO=1A", "ACT_EST_MAPPING=PRECISE", "FS=MRC", "CURRENCY=USD", "XLFILL=b")</f>
        <v>-31</v>
      </c>
      <c r="J382" s="9">
        <f>_xll.BQL("LUV US Equity", "CB_CF_REPAYMENT_LT_DEBT/1M", "FPT=A", "FPO=0A", "ACT_EST_MAPPING=PRECISE", "FS=MRC", "CURRENCY=USD", "XLFILL=b")</f>
        <v>-85</v>
      </c>
      <c r="K382" s="9">
        <f>_xll.BQL("LUV US Equity", "CB_CF_REPAYMENT_LT_DEBT/1M", "FPT=A", "FPO=-1A", "ACT_EST_MAPPING=PRECISE", "FS=MRC", "CURRENCY=USD", "XLFILL=b")</f>
        <v>-2437</v>
      </c>
      <c r="L382" s="9">
        <f>_xll.BQL("LUV US Equity", "CB_CF_REPAYMENT_LT_DEBT/1M", "FPT=A", "FPO=-2A", "ACT_EST_MAPPING=PRECISE", "FS=MRC", "CURRENCY=USD", "XLFILL=b")</f>
        <v>-612</v>
      </c>
      <c r="M382" s="9">
        <f>_xll.BQL("LUV US Equity", "CB_CF_REPAYMENT_LT_DEBT/1M", "FPT=A", "FPO=-3A", "ACT_EST_MAPPING=PRECISE", "FS=MRC", "CURRENCY=USD", "XLFILL=b")</f>
        <v>-5522</v>
      </c>
      <c r="N382" s="9">
        <f>_xll.BQL("LUV US Equity", "CB_CF_REPAYMENT_LT_DEBT/1M", "FPT=A", "FPO=-4A", "ACT_EST_MAPPING=PRECISE", "FS=MRC", "CURRENCY=USD", "XLFILL=b")</f>
        <v>-615</v>
      </c>
    </row>
    <row r="383" spans="1:14" x14ac:dyDescent="0.2">
      <c r="A383" s="8" t="s">
        <v>21</v>
      </c>
      <c r="B383" s="4" t="s">
        <v>407</v>
      </c>
      <c r="C383" s="4"/>
      <c r="D383" s="4"/>
      <c r="E383" s="9" t="str">
        <f>_xll.BQL("LUV US Equity", "FA_GROWTH(CB_CF_REPAYMENT_LT_DEBT, YOY)", "FPT=A", "FPO=5A", "ACT_EST_MAPPING=PRECISE", "FS=MRC", "CURRENCY=USD", "XLFILL=b")</f>
        <v/>
      </c>
      <c r="F383" s="9">
        <f>_xll.BQL("LUV US Equity", "FA_GROWTH(CB_CF_REPAYMENT_LT_DEBT, YOY)", "FPT=A", "FPO=4A", "ACT_EST_MAPPING=PRECISE", "FS=MRC", "CURRENCY=USD", "XLFILL=b")</f>
        <v>0</v>
      </c>
      <c r="G383" s="9">
        <f>_xll.BQL("LUV US Equity", "FA_GROWTH(CB_CF_REPAYMENT_LT_DEBT, YOY)", "FPT=A", "FPO=3A", "ACT_EST_MAPPING=PRECISE", "FS=MRC", "CURRENCY=USD", "XLFILL=b")</f>
        <v>58.974358974358971</v>
      </c>
      <c r="H383" s="9">
        <f>_xll.BQL("LUV US Equity", "FA_GROWTH(CB_CF_REPAYMENT_LT_DEBT, YOY)", "FPT=A", "FPO=2A", "ACT_EST_MAPPING=PRECISE", "FS=MRC", "CURRENCY=USD", "XLFILL=b")</f>
        <v>-529.0322580645161</v>
      </c>
      <c r="I383" s="9">
        <f>_xll.BQL("LUV US Equity", "FA_GROWTH(CB_CF_REPAYMENT_LT_DEBT, YOY)", "FPT=A", "FPO=1A", "ACT_EST_MAPPING=PRECISE", "FS=MRC", "CURRENCY=USD", "XLFILL=b")</f>
        <v>63.529411764705884</v>
      </c>
      <c r="J383" s="9">
        <f>_xll.BQL("LUV US Equity", "FA_GROWTH(CB_CF_REPAYMENT_LT_DEBT, YOY)", "FPT=A", "FPO=0A", "ACT_EST_MAPPING=PRECISE", "FS=MRC", "CURRENCY=USD", "XLFILL=b")</f>
        <v>96.512105047189166</v>
      </c>
      <c r="K383" s="9">
        <f>_xll.BQL("LUV US Equity", "FA_GROWTH(CB_CF_REPAYMENT_LT_DEBT, YOY)", "FPT=A", "FPO=-1A", "ACT_EST_MAPPING=PRECISE", "FS=MRC", "CURRENCY=USD", "XLFILL=b")</f>
        <v>-298.20261437908499</v>
      </c>
      <c r="L383" s="9">
        <f>_xll.BQL("LUV US Equity", "FA_GROWTH(CB_CF_REPAYMENT_LT_DEBT, YOY)", "FPT=A", "FPO=-2A", "ACT_EST_MAPPING=PRECISE", "FS=MRC", "CURRENCY=USD", "XLFILL=b")</f>
        <v>88.917059036580952</v>
      </c>
      <c r="M383" s="9">
        <f>_xll.BQL("LUV US Equity", "FA_GROWTH(CB_CF_REPAYMENT_LT_DEBT, YOY)", "FPT=A", "FPO=-3A", "ACT_EST_MAPPING=PRECISE", "FS=MRC", "CURRENCY=USD", "XLFILL=b")</f>
        <v>-797.88617886178861</v>
      </c>
      <c r="N383" s="9">
        <f>_xll.BQL("LUV US Equity", "FA_GROWTH(CB_CF_REPAYMENT_LT_DEBT, YOY)", "FPT=A", "FPO=-4A", "ACT_EST_MAPPING=PRECISE", "FS=MRC", "CURRENCY=USD", "XLFILL=b")</f>
        <v>-79.824561403508767</v>
      </c>
    </row>
    <row r="384" spans="1:14" x14ac:dyDescent="0.2">
      <c r="A384" s="8" t="s">
        <v>408</v>
      </c>
      <c r="B384" s="4" t="s">
        <v>409</v>
      </c>
      <c r="C384" s="4" t="s">
        <v>410</v>
      </c>
      <c r="D384" s="4"/>
      <c r="E384" s="9" t="str">
        <f>_xll.BQL("LUV US Equity", "CF_DECR_CAP_STOCK/1M", "FPT=A", "FPO=5A", "ACT_EST_MAPPING=PRECISE", "FS=MRC", "CURRENCY=USD", "XLFILL=b")</f>
        <v/>
      </c>
      <c r="F384" s="9" t="str">
        <f>_xll.BQL("LUV US Equity", "CF_DECR_CAP_STOCK/1M", "FPT=A", "FPO=4A", "ACT_EST_MAPPING=PRECISE", "FS=MRC", "CURRENCY=USD", "XLFILL=b")</f>
        <v/>
      </c>
      <c r="G384" s="9" t="str">
        <f>_xll.BQL("LUV US Equity", "CF_DECR_CAP_STOCK/1M", "FPT=A", "FPO=3A", "ACT_EST_MAPPING=PRECISE", "FS=MRC", "CURRENCY=USD", "XLFILL=b")</f>
        <v/>
      </c>
      <c r="H384" s="9">
        <f>_xll.BQL("LUV US Equity", "CF_DECR_CAP_STOCK/1M", "FPT=A", "FPO=2A", "ACT_EST_MAPPING=PRECISE", "FS=MRC", "CURRENCY=USD", "XLFILL=b")</f>
        <v>-2000</v>
      </c>
      <c r="I384" s="9">
        <f>_xll.BQL("LUV US Equity", "CF_DECR_CAP_STOCK/1M", "FPT=A", "FPO=1A", "ACT_EST_MAPPING=PRECISE", "FS=MRC", "CURRENCY=USD", "XLFILL=b")</f>
        <v>-6</v>
      </c>
      <c r="J384" s="9">
        <f>_xll.BQL("LUV US Equity", "CF_DECR_CAP_STOCK/1M", "FPT=A", "FPO=0A", "ACT_EST_MAPPING=PRECISE", "FS=MRC", "CURRENCY=USD", "XLFILL=b")</f>
        <v>0</v>
      </c>
      <c r="K384" s="9">
        <f>_xll.BQL("LUV US Equity", "CF_DECR_CAP_STOCK/1M", "FPT=A", "FPO=-1A", "ACT_EST_MAPPING=PRECISE", "FS=MRC", "CURRENCY=USD", "XLFILL=b")</f>
        <v>0</v>
      </c>
      <c r="L384" s="9">
        <f>_xll.BQL("LUV US Equity", "CF_DECR_CAP_STOCK/1M", "FPT=A", "FPO=-2A", "ACT_EST_MAPPING=PRECISE", "FS=MRC", "CURRENCY=USD", "XLFILL=b")</f>
        <v>0</v>
      </c>
      <c r="M384" s="9">
        <f>_xll.BQL("LUV US Equity", "CF_DECR_CAP_STOCK/1M", "FPT=A", "FPO=-3A", "ACT_EST_MAPPING=PRECISE", "FS=MRC", "CURRENCY=USD", "XLFILL=b")</f>
        <v>-451</v>
      </c>
      <c r="N384" s="9">
        <f>_xll.BQL("LUV US Equity", "CF_DECR_CAP_STOCK/1M", "FPT=A", "FPO=-4A", "ACT_EST_MAPPING=PRECISE", "FS=MRC", "CURRENCY=USD", "XLFILL=b")</f>
        <v>-2000</v>
      </c>
    </row>
    <row r="385" spans="1:14" x14ac:dyDescent="0.2">
      <c r="A385" s="8" t="s">
        <v>21</v>
      </c>
      <c r="B385" s="4" t="s">
        <v>409</v>
      </c>
      <c r="C385" s="4" t="s">
        <v>410</v>
      </c>
      <c r="D385" s="4"/>
      <c r="E385" s="9" t="str">
        <f>_xll.BQL("LUV US Equity", "FA_GROWTH(CF_DECR_CAP_STOCK, YOY)", "FPT=A", "FPO=5A", "ACT_EST_MAPPING=PRECISE", "FS=MRC", "CURRENCY=USD", "XLFILL=b")</f>
        <v/>
      </c>
      <c r="F385" s="9" t="str">
        <f>_xll.BQL("LUV US Equity", "FA_GROWTH(CF_DECR_CAP_STOCK, YOY)", "FPT=A", "FPO=4A", "ACT_EST_MAPPING=PRECISE", "FS=MRC", "CURRENCY=USD", "XLFILL=b")</f>
        <v/>
      </c>
      <c r="G385" s="9" t="str">
        <f>_xll.BQL("LUV US Equity", "FA_GROWTH(CF_DECR_CAP_STOCK, YOY)", "FPT=A", "FPO=3A", "ACT_EST_MAPPING=PRECISE", "FS=MRC", "CURRENCY=USD", "XLFILL=b")</f>
        <v/>
      </c>
      <c r="H385" s="9">
        <f>_xll.BQL("LUV US Equity", "FA_GROWTH(CF_DECR_CAP_STOCK, YOY)", "FPT=A", "FPO=2A", "ACT_EST_MAPPING=PRECISE", "FS=MRC", "CURRENCY=USD", "XLFILL=b")</f>
        <v>-33233.333333333336</v>
      </c>
      <c r="I385" s="9" t="str">
        <f>_xll.BQL("LUV US Equity", "FA_GROWTH(CF_DECR_CAP_STOCK, YOY)", "FPT=A", "FPO=1A", "ACT_EST_MAPPING=PRECISE", "FS=MRC", "CURRENCY=USD", "XLFILL=b")</f>
        <v/>
      </c>
      <c r="J385" s="9" t="str">
        <f>_xll.BQL("LUV US Equity", "FA_GROWTH(CF_DECR_CAP_STOCK, YOY)", "FPT=A", "FPO=0A", "ACT_EST_MAPPING=PRECISE", "FS=MRC", "CURRENCY=USD", "XLFILL=b")</f>
        <v/>
      </c>
      <c r="K385" s="9" t="str">
        <f>_xll.BQL("LUV US Equity", "FA_GROWTH(CF_DECR_CAP_STOCK, YOY)", "FPT=A", "FPO=-1A", "ACT_EST_MAPPING=PRECISE", "FS=MRC", "CURRENCY=USD", "XLFILL=b")</f>
        <v/>
      </c>
      <c r="L385" s="9">
        <f>_xll.BQL("LUV US Equity", "FA_GROWTH(CF_DECR_CAP_STOCK, YOY)", "FPT=A", "FPO=-2A", "ACT_EST_MAPPING=PRECISE", "FS=MRC", "CURRENCY=USD", "XLFILL=b")</f>
        <v>100</v>
      </c>
      <c r="M385" s="9">
        <f>_xll.BQL("LUV US Equity", "FA_GROWTH(CF_DECR_CAP_STOCK, YOY)", "FPT=A", "FPO=-3A", "ACT_EST_MAPPING=PRECISE", "FS=MRC", "CURRENCY=USD", "XLFILL=b")</f>
        <v>77.45</v>
      </c>
      <c r="N385" s="9">
        <f>_xll.BQL("LUV US Equity", "FA_GROWTH(CF_DECR_CAP_STOCK, YOY)", "FPT=A", "FPO=-4A", "ACT_EST_MAPPING=PRECISE", "FS=MRC", "CURRENCY=USD", "XLFILL=b")</f>
        <v>0</v>
      </c>
    </row>
    <row r="386" spans="1:14" x14ac:dyDescent="0.2">
      <c r="A386" s="8" t="s">
        <v>411</v>
      </c>
      <c r="B386" s="4" t="s">
        <v>412</v>
      </c>
      <c r="C386" s="4"/>
      <c r="D386" s="4"/>
      <c r="E386" s="9" t="str">
        <f>_xll.BQL("LUV US Equity", "CF_ISSUE_COM_STOCK/1M", "FPT=A", "FPO=5A", "ACT_EST_MAPPING=PRECISE", "FS=MRC", "CURRENCY=USD", "XLFILL=b")</f>
        <v/>
      </c>
      <c r="F386" s="9" t="str">
        <f>_xll.BQL("LUV US Equity", "CF_ISSUE_COM_STOCK/1M", "FPT=A", "FPO=4A", "ACT_EST_MAPPING=PRECISE", "FS=MRC", "CURRENCY=USD", "XLFILL=b")</f>
        <v/>
      </c>
      <c r="G386" s="9" t="str">
        <f>_xll.BQL("LUV US Equity", "CF_ISSUE_COM_STOCK/1M", "FPT=A", "FPO=3A", "ACT_EST_MAPPING=PRECISE", "FS=MRC", "CURRENCY=USD", "XLFILL=b")</f>
        <v/>
      </c>
      <c r="H386" s="9">
        <f>_xll.BQL("LUV US Equity", "CF_ISSUE_COM_STOCK/1M", "FPT=A", "FPO=2A", "ACT_EST_MAPPING=PRECISE", "FS=MRC", "CURRENCY=USD", "XLFILL=b")</f>
        <v>70</v>
      </c>
      <c r="I386" s="9">
        <f>_xll.BQL("LUV US Equity", "CF_ISSUE_COM_STOCK/1M", "FPT=A", "FPO=1A", "ACT_EST_MAPPING=PRECISE", "FS=MRC", "CURRENCY=USD", "XLFILL=b")</f>
        <v>36</v>
      </c>
      <c r="J386" s="9">
        <f>_xll.BQL("LUV US Equity", "CF_ISSUE_COM_STOCK/1M", "FPT=A", "FPO=0A", "ACT_EST_MAPPING=PRECISE", "FS=MRC", "CURRENCY=USD", "XLFILL=b")</f>
        <v>48</v>
      </c>
      <c r="K386" s="9">
        <f>_xll.BQL("LUV US Equity", "CF_ISSUE_COM_STOCK/1M", "FPT=A", "FPO=-1A", "ACT_EST_MAPPING=PRECISE", "FS=MRC", "CURRENCY=USD", "XLFILL=b")</f>
        <v>45</v>
      </c>
      <c r="L386" s="9">
        <f>_xll.BQL("LUV US Equity", "CF_ISSUE_COM_STOCK/1M", "FPT=A", "FPO=-2A", "ACT_EST_MAPPING=PRECISE", "FS=MRC", "CURRENCY=USD", "XLFILL=b")</f>
        <v>51</v>
      </c>
      <c r="M386" s="9">
        <f>_xll.BQL("LUV US Equity", "CF_ISSUE_COM_STOCK/1M", "FPT=A", "FPO=-3A", "ACT_EST_MAPPING=PRECISE", "FS=MRC", "CURRENCY=USD", "XLFILL=b")</f>
        <v>2342</v>
      </c>
      <c r="N386" s="9">
        <f>_xll.BQL("LUV US Equity", "CF_ISSUE_COM_STOCK/1M", "FPT=A", "FPO=-4A", "ACT_EST_MAPPING=PRECISE", "FS=MRC", "CURRENCY=USD", "XLFILL=b")</f>
        <v>40</v>
      </c>
    </row>
    <row r="387" spans="1:14" x14ac:dyDescent="0.2">
      <c r="A387" s="8" t="s">
        <v>21</v>
      </c>
      <c r="B387" s="4" t="s">
        <v>412</v>
      </c>
      <c r="C387" s="4"/>
      <c r="D387" s="4"/>
      <c r="E387" s="9" t="str">
        <f>_xll.BQL("LUV US Equity", "FA_GROWTH(CF_ISSUE_COM_STOCK, YOY)", "FPT=A", "FPO=5A", "ACT_EST_MAPPING=PRECISE", "FS=MRC", "CURRENCY=USD", "XLFILL=b")</f>
        <v/>
      </c>
      <c r="F387" s="9" t="str">
        <f>_xll.BQL("LUV US Equity", "FA_GROWTH(CF_ISSUE_COM_STOCK, YOY)", "FPT=A", "FPO=4A", "ACT_EST_MAPPING=PRECISE", "FS=MRC", "CURRENCY=USD", "XLFILL=b")</f>
        <v/>
      </c>
      <c r="G387" s="9" t="str">
        <f>_xll.BQL("LUV US Equity", "FA_GROWTH(CF_ISSUE_COM_STOCK, YOY)", "FPT=A", "FPO=3A", "ACT_EST_MAPPING=PRECISE", "FS=MRC", "CURRENCY=USD", "XLFILL=b")</f>
        <v/>
      </c>
      <c r="H387" s="9">
        <f>_xll.BQL("LUV US Equity", "FA_GROWTH(CF_ISSUE_COM_STOCK, YOY)", "FPT=A", "FPO=2A", "ACT_EST_MAPPING=PRECISE", "FS=MRC", "CURRENCY=USD", "XLFILL=b")</f>
        <v>94.444444444444443</v>
      </c>
      <c r="I387" s="9">
        <f>_xll.BQL("LUV US Equity", "FA_GROWTH(CF_ISSUE_COM_STOCK, YOY)", "FPT=A", "FPO=1A", "ACT_EST_MAPPING=PRECISE", "FS=MRC", "CURRENCY=USD", "XLFILL=b")</f>
        <v>-25</v>
      </c>
      <c r="J387" s="9">
        <f>_xll.BQL("LUV US Equity", "FA_GROWTH(CF_ISSUE_COM_STOCK, YOY)", "FPT=A", "FPO=0A", "ACT_EST_MAPPING=PRECISE", "FS=MRC", "CURRENCY=USD", "XLFILL=b")</f>
        <v>6.666666666666667</v>
      </c>
      <c r="K387" s="9">
        <f>_xll.BQL("LUV US Equity", "FA_GROWTH(CF_ISSUE_COM_STOCK, YOY)", "FPT=A", "FPO=-1A", "ACT_EST_MAPPING=PRECISE", "FS=MRC", "CURRENCY=USD", "XLFILL=b")</f>
        <v>-11.764705882352942</v>
      </c>
      <c r="L387" s="9">
        <f>_xll.BQL("LUV US Equity", "FA_GROWTH(CF_ISSUE_COM_STOCK, YOY)", "FPT=A", "FPO=-2A", "ACT_EST_MAPPING=PRECISE", "FS=MRC", "CURRENCY=USD", "XLFILL=b")</f>
        <v>-97.822374039282664</v>
      </c>
      <c r="M387" s="9">
        <f>_xll.BQL("LUV US Equity", "FA_GROWTH(CF_ISSUE_COM_STOCK, YOY)", "FPT=A", "FPO=-3A", "ACT_EST_MAPPING=PRECISE", "FS=MRC", "CURRENCY=USD", "XLFILL=b")</f>
        <v>5755</v>
      </c>
      <c r="N387" s="9">
        <f>_xll.BQL("LUV US Equity", "FA_GROWTH(CF_ISSUE_COM_STOCK, YOY)", "FPT=A", "FPO=-4A", "ACT_EST_MAPPING=PRECISE", "FS=MRC", "CURRENCY=USD", "XLFILL=b")</f>
        <v>14.285714285714286</v>
      </c>
    </row>
    <row r="388" spans="1:14" x14ac:dyDescent="0.2">
      <c r="A388" s="8" t="s">
        <v>413</v>
      </c>
      <c r="B388" s="4" t="s">
        <v>414</v>
      </c>
      <c r="C388" s="4" t="s">
        <v>415</v>
      </c>
      <c r="D388" s="4"/>
      <c r="E388" s="9">
        <f>_xll.BQL("LUV US Equity", "CB_CF_NET_CASH_FINANCING_ACT/1M", "FPT=A", "FPO=5A", "ACT_EST_MAPPING=PRECISE", "FS=MRC", "CURRENCY=USD", "XLFILL=b")</f>
        <v>-418.55742499999997</v>
      </c>
      <c r="F388" s="9">
        <f>_xll.BQL("LUV US Equity", "CB_CF_NET_CASH_FINANCING_ACT/1M", "FPT=A", "FPO=4A", "ACT_EST_MAPPING=PRECISE", "FS=MRC", "CURRENCY=USD", "XLFILL=b")</f>
        <v>-496.56452533333334</v>
      </c>
      <c r="G388" s="9">
        <f>_xll.BQL("LUV US Equity", "CB_CF_NET_CASH_FINANCING_ACT/1M", "FPT=A", "FPO=3A", "ACT_EST_MAPPING=PRECISE", "FS=MRC", "CURRENCY=USD", "XLFILL=b")</f>
        <v>-1371.2206714857134</v>
      </c>
      <c r="H388" s="9">
        <f>_xll.BQL("LUV US Equity", "CB_CF_NET_CASH_FINANCING_ACT/1M", "FPT=A", "FPO=2A", "ACT_EST_MAPPING=PRECISE", "FS=MRC", "CURRENCY=USD", "XLFILL=b")</f>
        <v>-1825.7100876505406</v>
      </c>
      <c r="I388" s="9">
        <f>_xll.BQL("LUV US Equity", "CB_CF_NET_CASH_FINANCING_ACT/1M", "FPT=A", "FPO=1A", "ACT_EST_MAPPING=PRECISE", "FS=MRC", "CURRENCY=USD", "XLFILL=b")</f>
        <v>-516.53964485333336</v>
      </c>
      <c r="J388" s="9">
        <f>_xll.BQL("LUV US Equity", "CB_CF_NET_CASH_FINANCING_ACT/1M", "FPT=A", "FPO=0A", "ACT_EST_MAPPING=PRECISE", "FS=MRC", "CURRENCY=USD", "XLFILL=b")</f>
        <v>-436</v>
      </c>
      <c r="K388" s="9">
        <f>_xll.BQL("LUV US Equity", "CB_CF_NET_CASH_FINANCING_ACT/1M", "FPT=A", "FPO=-1A", "ACT_EST_MAPPING=PRECISE", "FS=MRC", "CURRENCY=USD", "XLFILL=b")</f>
        <v>-3032</v>
      </c>
      <c r="L388" s="9">
        <f>_xll.BQL("LUV US Equity", "CB_CF_NET_CASH_FINANCING_ACT/1M", "FPT=A", "FPO=-2A", "ACT_EST_MAPPING=PRECISE", "FS=MRC", "CURRENCY=USD", "XLFILL=b")</f>
        <v>359</v>
      </c>
      <c r="M388" s="9">
        <f>_xll.BQL("LUV US Equity", "CB_CF_NET_CASH_FINANCING_ACT/1M", "FPT=A", "FPO=-3A", "ACT_EST_MAPPING=PRECISE", "FS=MRC", "CURRENCY=USD", "XLFILL=b")</f>
        <v>9658</v>
      </c>
      <c r="N388" s="9">
        <f>_xll.BQL("LUV US Equity", "CB_CF_NET_CASH_FINANCING_ACT/1M", "FPT=A", "FPO=-4A", "ACT_EST_MAPPING=PRECISE", "FS=MRC", "CURRENCY=USD", "XLFILL=b")</f>
        <v>-2990</v>
      </c>
    </row>
    <row r="389" spans="1:14" x14ac:dyDescent="0.2">
      <c r="A389" s="8" t="s">
        <v>12</v>
      </c>
      <c r="B389" s="4" t="s">
        <v>414</v>
      </c>
      <c r="C389" s="4" t="s">
        <v>415</v>
      </c>
      <c r="D389" s="4"/>
      <c r="E389" s="9">
        <f>_xll.BQL("LUV US Equity", "FA_GROWTH(CB_CF_NET_CASH_FINANCING_ACT, YOY)", "FPT=A", "FPO=5A", "ACT_EST_MAPPING=PRECISE", "FS=MRC", "CURRENCY=USD", "XLFILL=b")</f>
        <v>15.709358271408707</v>
      </c>
      <c r="F389" s="9">
        <f>_xll.BQL("LUV US Equity", "FA_GROWTH(CB_CF_NET_CASH_FINANCING_ACT, YOY)", "FPT=A", "FPO=4A", "ACT_EST_MAPPING=PRECISE", "FS=MRC", "CURRENCY=USD", "XLFILL=b")</f>
        <v>63.786680316355856</v>
      </c>
      <c r="G389" s="9">
        <f>_xll.BQL("LUV US Equity", "FA_GROWTH(CB_CF_NET_CASH_FINANCING_ACT, YOY)", "FPT=A", "FPO=3A", "ACT_EST_MAPPING=PRECISE", "FS=MRC", "CURRENCY=USD", "XLFILL=b")</f>
        <v>24.893843729028077</v>
      </c>
      <c r="H389" s="9">
        <f>_xll.BQL("LUV US Equity", "FA_GROWTH(CB_CF_NET_CASH_FINANCING_ACT, YOY)", "FPT=A", "FPO=2A", "ACT_EST_MAPPING=PRECISE", "FS=MRC", "CURRENCY=USD", "XLFILL=b")</f>
        <v>-253.45013801775741</v>
      </c>
      <c r="I389" s="9">
        <f>_xll.BQL("LUV US Equity", "FA_GROWTH(CB_CF_NET_CASH_FINANCING_ACT, YOY)", "FPT=A", "FPO=1A", "ACT_EST_MAPPING=PRECISE", "FS=MRC", "CURRENCY=USD", "XLFILL=b")</f>
        <v>-18.472395608562696</v>
      </c>
      <c r="J389" s="9">
        <f>_xll.BQL("LUV US Equity", "FA_GROWTH(CB_CF_NET_CASH_FINANCING_ACT, YOY)", "FPT=A", "FPO=0A", "ACT_EST_MAPPING=PRECISE", "FS=MRC", "CURRENCY=USD", "XLFILL=b")</f>
        <v>85.620052770448552</v>
      </c>
      <c r="K389" s="9">
        <f>_xll.BQL("LUV US Equity", "FA_GROWTH(CB_CF_NET_CASH_FINANCING_ACT, YOY)", "FPT=A", "FPO=-1A", "ACT_EST_MAPPING=PRECISE", "FS=MRC", "CURRENCY=USD", "XLFILL=b")</f>
        <v>-944.5682451253482</v>
      </c>
      <c r="L389" s="9">
        <f>_xll.BQL("LUV US Equity", "FA_GROWTH(CB_CF_NET_CASH_FINANCING_ACT, YOY)", "FPT=A", "FPO=-2A", "ACT_EST_MAPPING=PRECISE", "FS=MRC", "CURRENCY=USD", "XLFILL=b")</f>
        <v>-96.282874301097536</v>
      </c>
      <c r="M389" s="9">
        <f>_xll.BQL("LUV US Equity", "FA_GROWTH(CB_CF_NET_CASH_FINANCING_ACT, YOY)", "FPT=A", "FPO=-3A", "ACT_EST_MAPPING=PRECISE", "FS=MRC", "CURRENCY=USD", "XLFILL=b")</f>
        <v>423.01003344481603</v>
      </c>
      <c r="N389" s="9">
        <f>_xll.BQL("LUV US Equity", "FA_GROWTH(CB_CF_NET_CASH_FINANCING_ACT, YOY)", "FPT=A", "FPO=-4A", "ACT_EST_MAPPING=PRECISE", "FS=MRC", "CURRENCY=USD", "XLFILL=b")</f>
        <v>-19.791666666666668</v>
      </c>
    </row>
    <row r="390" spans="1:14" x14ac:dyDescent="0.2">
      <c r="A390" s="8" t="s">
        <v>16</v>
      </c>
      <c r="B390" s="4"/>
      <c r="C390" s="4"/>
      <c r="D390" s="4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x14ac:dyDescent="0.2">
      <c r="A391" s="8" t="s">
        <v>338</v>
      </c>
      <c r="B391" s="4"/>
      <c r="C391" s="4" t="s">
        <v>339</v>
      </c>
      <c r="D391" s="4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x14ac:dyDescent="0.2">
      <c r="A392" s="8" t="s">
        <v>416</v>
      </c>
      <c r="B392" s="4" t="s">
        <v>417</v>
      </c>
      <c r="C392" s="4" t="s">
        <v>418</v>
      </c>
      <c r="D392" s="4"/>
      <c r="E392" s="9">
        <f>_xll.BQL("LUV US Equity", "CF_NET_CHNG_CASH/1M", "FPT=A", "FPO=5A", "ACT_EST_MAPPING=PRECISE", "FS=MRC", "CURRENCY=USD", "XLFILL=b")</f>
        <v>35.459139556834337</v>
      </c>
      <c r="F392" s="9">
        <f>_xll.BQL("LUV US Equity", "CF_NET_CHNG_CASH/1M", "FPT=A", "FPO=4A", "ACT_EST_MAPPING=PRECISE", "FS=MRC", "CURRENCY=USD", "XLFILL=b")</f>
        <v>-121.77510286129773</v>
      </c>
      <c r="G392" s="9">
        <f>_xll.BQL("LUV US Equity", "CF_NET_CHNG_CASH/1M", "FPT=A", "FPO=3A", "ACT_EST_MAPPING=PRECISE", "FS=MRC", "CURRENCY=USD", "XLFILL=b")</f>
        <v>-1027.0036646904541</v>
      </c>
      <c r="H392" s="9">
        <f>_xll.BQL("LUV US Equity", "CF_NET_CHNG_CASH/1M", "FPT=A", "FPO=2A", "ACT_EST_MAPPING=PRECISE", "FS=MRC", "CURRENCY=USD", "XLFILL=b")</f>
        <v>-2154.3042847597308</v>
      </c>
      <c r="I392" s="9">
        <f>_xll.BQL("LUV US Equity", "CF_NET_CHNG_CASH/1M", "FPT=A", "FPO=1A", "ACT_EST_MAPPING=PRECISE", "FS=MRC", "CURRENCY=USD", "XLFILL=b")</f>
        <v>-1410.9204148679735</v>
      </c>
      <c r="J392" s="9">
        <f>_xll.BQL("LUV US Equity", "CF_NET_CHNG_CASH/1M", "FPT=A", "FPO=0A", "ACT_EST_MAPPING=PRECISE", "FS=MRC", "CURRENCY=USD", "XLFILL=b")</f>
        <v>-204</v>
      </c>
      <c r="K392" s="9">
        <f>_xll.BQL("LUV US Equity", "CF_NET_CHNG_CASH/1M", "FPT=A", "FPO=-1A", "ACT_EST_MAPPING=PRECISE", "FS=MRC", "CURRENCY=USD", "XLFILL=b")</f>
        <v>-2988</v>
      </c>
      <c r="L392" s="9">
        <f>_xll.BQL("LUV US Equity", "CF_NET_CHNG_CASH/1M", "FPT=A", "FPO=-2A", "ACT_EST_MAPPING=PRECISE", "FS=MRC", "CURRENCY=USD", "XLFILL=b")</f>
        <v>1417</v>
      </c>
      <c r="M392" s="9">
        <f>_xll.BQL("LUV US Equity", "CF_NET_CHNG_CASH/1M", "FPT=A", "FPO=-3A", "ACT_EST_MAPPING=PRECISE", "FS=MRC", "CURRENCY=USD", "XLFILL=b")</f>
        <v>8515</v>
      </c>
      <c r="N392" s="9">
        <f>_xll.BQL("LUV US Equity", "CF_NET_CHNG_CASH/1M", "FPT=A", "FPO=-4A", "ACT_EST_MAPPING=PRECISE", "FS=MRC", "CURRENCY=USD", "XLFILL=b")</f>
        <v>694</v>
      </c>
    </row>
    <row r="393" spans="1:14" x14ac:dyDescent="0.2">
      <c r="A393" s="8" t="s">
        <v>21</v>
      </c>
      <c r="B393" s="4" t="s">
        <v>417</v>
      </c>
      <c r="C393" s="4" t="s">
        <v>418</v>
      </c>
      <c r="D393" s="4"/>
      <c r="E393" s="9">
        <f>_xll.BQL("LUV US Equity", "FA_GROWTH(CF_NET_CHNG_CASH, YOY)", "FPT=A", "FPO=5A", "ACT_EST_MAPPING=PRECISE", "FS=MRC", "CURRENCY=USD", "XLFILL=b")</f>
        <v>129.11854617542176</v>
      </c>
      <c r="F393" s="9">
        <f>_xll.BQL("LUV US Equity", "FA_GROWTH(CF_NET_CHNG_CASH, YOY)", "FPT=A", "FPO=4A", "ACT_EST_MAPPING=PRECISE", "FS=MRC", "CURRENCY=USD", "XLFILL=b")</f>
        <v>88.142680786051372</v>
      </c>
      <c r="G393" s="9">
        <f>_xll.BQL("LUV US Equity", "FA_GROWTH(CF_NET_CHNG_CASH, YOY)", "FPT=A", "FPO=3A", "ACT_EST_MAPPING=PRECISE", "FS=MRC", "CURRENCY=USD", "XLFILL=b")</f>
        <v>52.327827041155629</v>
      </c>
      <c r="H393" s="9">
        <f>_xll.BQL("LUV US Equity", "FA_GROWTH(CF_NET_CHNG_CASH, YOY)", "FPT=A", "FPO=2A", "ACT_EST_MAPPING=PRECISE", "FS=MRC", "CURRENCY=USD", "XLFILL=b")</f>
        <v>-52.687866874569188</v>
      </c>
      <c r="I393" s="9">
        <f>_xll.BQL("LUV US Equity", "FA_GROWTH(CF_NET_CHNG_CASH, YOY)", "FPT=A", "FPO=1A", "ACT_EST_MAPPING=PRECISE", "FS=MRC", "CURRENCY=USD", "XLFILL=b")</f>
        <v>-591.6276543470459</v>
      </c>
      <c r="J393" s="9">
        <f>_xll.BQL("LUV US Equity", "FA_GROWTH(CF_NET_CHNG_CASH, YOY)", "FPT=A", "FPO=0A", "ACT_EST_MAPPING=PRECISE", "FS=MRC", "CURRENCY=USD", "XLFILL=b")</f>
        <v>93.172690763052202</v>
      </c>
      <c r="K393" s="9">
        <f>_xll.BQL("LUV US Equity", "FA_GROWTH(CF_NET_CHNG_CASH, YOY)", "FPT=A", "FPO=-1A", "ACT_EST_MAPPING=PRECISE", "FS=MRC", "CURRENCY=USD", "XLFILL=b")</f>
        <v>-310.86803105151728</v>
      </c>
      <c r="L393" s="9">
        <f>_xll.BQL("LUV US Equity", "FA_GROWTH(CF_NET_CHNG_CASH, YOY)", "FPT=A", "FPO=-2A", "ACT_EST_MAPPING=PRECISE", "FS=MRC", "CURRENCY=USD", "XLFILL=b")</f>
        <v>-83.358778625954201</v>
      </c>
      <c r="M393" s="9">
        <f>_xll.BQL("LUV US Equity", "FA_GROWTH(CF_NET_CHNG_CASH, YOY)", "FPT=A", "FPO=-3A", "ACT_EST_MAPPING=PRECISE", "FS=MRC", "CURRENCY=USD", "XLFILL=b")</f>
        <v>1126.9452449567723</v>
      </c>
      <c r="N393" s="9">
        <f>_xll.BQL("LUV US Equity", "FA_GROWTH(CF_NET_CHNG_CASH, YOY)", "FPT=A", "FPO=-4A", "ACT_EST_MAPPING=PRECISE", "FS=MRC", "CURRENCY=USD", "XLFILL=b")</f>
        <v>93.314763231197773</v>
      </c>
    </row>
    <row r="394" spans="1:14" x14ac:dyDescent="0.2">
      <c r="A394" s="8" t="s">
        <v>419</v>
      </c>
      <c r="B394" s="4" t="s">
        <v>420</v>
      </c>
      <c r="C394" s="4" t="s">
        <v>421</v>
      </c>
      <c r="D394" s="4"/>
      <c r="E394" s="9">
        <f>_xll.BQL("LUV US Equity", "CF_CASH_AND_CASH_EQUIV_BEG_BAL/1M", "FPT=A", "FPO=5A", "ACT_EST_MAPPING=PRECISE", "FS=MRC", "CURRENCY=USD", "XLFILL=b")</f>
        <v>5278.1018370675001</v>
      </c>
      <c r="F394" s="9">
        <f>_xll.BQL("LUV US Equity", "CF_CASH_AND_CASH_EQUIV_BEG_BAL/1M", "FPT=A", "FPO=4A", "ACT_EST_MAPPING=PRECISE", "FS=MRC", "CURRENCY=USD", "XLFILL=b")</f>
        <v>5580.2356369059553</v>
      </c>
      <c r="G394" s="9">
        <f>_xll.BQL("LUV US Equity", "CF_CASH_AND_CASH_EQUIV_BEG_BAL/1M", "FPT=A", "FPO=3A", "ACT_EST_MAPPING=PRECISE", "FS=MRC", "CURRENCY=USD", "XLFILL=b")</f>
        <v>5639.8258436318647</v>
      </c>
      <c r="H394" s="9">
        <f>_xll.BQL("LUV US Equity", "CF_CASH_AND_CASH_EQUIV_BEG_BAL/1M", "FPT=A", "FPO=2A", "ACT_EST_MAPPING=PRECISE", "FS=MRC", "CURRENCY=USD", "XLFILL=b")</f>
        <v>8071.5972356999146</v>
      </c>
      <c r="I394" s="9">
        <f>_xll.BQL("LUV US Equity", "CF_CASH_AND_CASH_EQUIV_BEG_BAL/1M", "FPT=A", "FPO=1A", "ACT_EST_MAPPING=PRECISE", "FS=MRC", "CURRENCY=USD", "XLFILL=b")</f>
        <v>9284.7059348837211</v>
      </c>
      <c r="J394" s="9">
        <f>_xll.BQL("LUV US Equity", "CF_CASH_AND_CASH_EQUIV_BEG_BAL/1M", "FPT=A", "FPO=0A", "ACT_EST_MAPPING=PRECISE", "FS=MRC", "CURRENCY=USD", "XLFILL=b")</f>
        <v>9492</v>
      </c>
      <c r="K394" s="9">
        <f>_xll.BQL("LUV US Equity", "CF_CASH_AND_CASH_EQUIV_BEG_BAL/1M", "FPT=A", "FPO=-1A", "ACT_EST_MAPPING=PRECISE", "FS=MRC", "CURRENCY=USD", "XLFILL=b")</f>
        <v>12480</v>
      </c>
      <c r="L394" s="9">
        <f>_xll.BQL("LUV US Equity", "CF_CASH_AND_CASH_EQUIV_BEG_BAL/1M", "FPT=A", "FPO=-2A", "ACT_EST_MAPPING=PRECISE", "FS=MRC", "CURRENCY=USD", "XLFILL=b")</f>
        <v>11063</v>
      </c>
      <c r="M394" s="9">
        <f>_xll.BQL("LUV US Equity", "CF_CASH_AND_CASH_EQUIV_BEG_BAL/1M", "FPT=A", "FPO=-3A", "ACT_EST_MAPPING=PRECISE", "FS=MRC", "CURRENCY=USD", "XLFILL=b")</f>
        <v>2548</v>
      </c>
      <c r="N394" s="9">
        <f>_xll.BQL("LUV US Equity", "CF_CASH_AND_CASH_EQUIV_BEG_BAL/1M", "FPT=A", "FPO=-4A", "ACT_EST_MAPPING=PRECISE", "FS=MRC", "CURRENCY=USD", "XLFILL=b")</f>
        <v>1854</v>
      </c>
    </row>
    <row r="395" spans="1:14" x14ac:dyDescent="0.2">
      <c r="A395" s="8" t="s">
        <v>111</v>
      </c>
      <c r="B395" s="4" t="s">
        <v>420</v>
      </c>
      <c r="C395" s="4" t="s">
        <v>421</v>
      </c>
      <c r="D395" s="4"/>
      <c r="E395" s="9">
        <f>_xll.BQL("LUV US Equity", "FA_GROWTH(CF_CASH_AND_CASH_EQUIV_BEG_BAL, YOY)", "FPT=A", "FPO=5A", "ACT_EST_MAPPING=PRECISE", "FS=MRC", "CURRENCY=USD", "XLFILL=b")</f>
        <v>-5.4143555845605436</v>
      </c>
      <c r="F395" s="9">
        <f>_xll.BQL("LUV US Equity", "FA_GROWTH(CF_CASH_AND_CASH_EQUIV_BEG_BAL, YOY)", "FPT=A", "FPO=4A", "ACT_EST_MAPPING=PRECISE", "FS=MRC", "CURRENCY=USD", "XLFILL=b")</f>
        <v>-1.056596575463314</v>
      </c>
      <c r="G395" s="9">
        <f>_xll.BQL("LUV US Equity", "FA_GROWTH(CF_CASH_AND_CASH_EQUIV_BEG_BAL, YOY)", "FPT=A", "FPO=3A", "ACT_EST_MAPPING=PRECISE", "FS=MRC", "CURRENCY=USD", "XLFILL=b")</f>
        <v>-30.127511582373739</v>
      </c>
      <c r="H395" s="9">
        <f>_xll.BQL("LUV US Equity", "FA_GROWTH(CF_CASH_AND_CASH_EQUIV_BEG_BAL, YOY)", "FPT=A", "FPO=2A", "ACT_EST_MAPPING=PRECISE", "FS=MRC", "CURRENCY=USD", "XLFILL=b")</f>
        <v>-13.065666351650568</v>
      </c>
      <c r="I395" s="9">
        <f>_xll.BQL("LUV US Equity", "FA_GROWTH(CF_CASH_AND_CASH_EQUIV_BEG_BAL, YOY)", "FPT=A", "FPO=1A", "ACT_EST_MAPPING=PRECISE", "FS=MRC", "CURRENCY=USD", "XLFILL=b")</f>
        <v>-2.1838818490969194</v>
      </c>
      <c r="J395" s="9">
        <f>_xll.BQL("LUV US Equity", "FA_GROWTH(CF_CASH_AND_CASH_EQUIV_BEG_BAL, YOY)", "FPT=A", "FPO=0A", "ACT_EST_MAPPING=PRECISE", "FS=MRC", "CURRENCY=USD", "XLFILL=b")</f>
        <v>-23.942307692307693</v>
      </c>
      <c r="K395" s="9">
        <f>_xll.BQL("LUV US Equity", "FA_GROWTH(CF_CASH_AND_CASH_EQUIV_BEG_BAL, YOY)", "FPT=A", "FPO=-1A", "ACT_EST_MAPPING=PRECISE", "FS=MRC", "CURRENCY=USD", "XLFILL=b")</f>
        <v>12.808460634547592</v>
      </c>
      <c r="L395" s="9">
        <f>_xll.BQL("LUV US Equity", "FA_GROWTH(CF_CASH_AND_CASH_EQUIV_BEG_BAL, YOY)", "FPT=A", "FPO=-2A", "ACT_EST_MAPPING=PRECISE", "FS=MRC", "CURRENCY=USD", "XLFILL=b")</f>
        <v>334.18367346938777</v>
      </c>
      <c r="M395" s="9">
        <f>_xll.BQL("LUV US Equity", "FA_GROWTH(CF_CASH_AND_CASH_EQUIV_BEG_BAL, YOY)", "FPT=A", "FPO=-3A", "ACT_EST_MAPPING=PRECISE", "FS=MRC", "CURRENCY=USD", "XLFILL=b")</f>
        <v>37.432578209277239</v>
      </c>
      <c r="N395" s="9">
        <f>_xll.BQL("LUV US Equity", "FA_GROWTH(CF_CASH_AND_CASH_EQUIV_BEG_BAL, YOY)", "FPT=A", "FPO=-4A", "ACT_EST_MAPPING=PRECISE", "FS=MRC", "CURRENCY=USD", "XLFILL=b")</f>
        <v>24.013377926421406</v>
      </c>
    </row>
    <row r="396" spans="1:14" x14ac:dyDescent="0.2">
      <c r="A396" s="8" t="s">
        <v>422</v>
      </c>
      <c r="B396" s="4" t="s">
        <v>230</v>
      </c>
      <c r="C396" s="4" t="s">
        <v>423</v>
      </c>
      <c r="D396" s="4"/>
      <c r="E396" s="9">
        <f>_xll.BQL("LUV US Equity", "BS_CASH_NEAR_CASH_ITEM/1M", "FPT=A", "FPO=5A", "ACT_EST_MAPPING=PRECISE", "FS=MRC", "CURRENCY=USD", "XLFILL=b")</f>
        <v>5313.5609766243342</v>
      </c>
      <c r="F396" s="9">
        <f>_xll.BQL("LUV US Equity", "BS_CASH_NEAR_CASH_ITEM/1M", "FPT=A", "FPO=4A", "ACT_EST_MAPPING=PRECISE", "FS=MRC", "CURRENCY=USD", "XLFILL=b")</f>
        <v>5458.4605340446587</v>
      </c>
      <c r="G396" s="9">
        <f>_xll.BQL("LUV US Equity", "BS_CASH_NEAR_CASH_ITEM/1M", "FPT=A", "FPO=3A", "ACT_EST_MAPPING=PRECISE", "FS=MRC", "CURRENCY=USD", "XLFILL=b")</f>
        <v>5076.9318224181898</v>
      </c>
      <c r="H396" s="9">
        <f>_xll.BQL("LUV US Equity", "BS_CASH_NEAR_CASH_ITEM/1M", "FPT=A", "FPO=2A", "ACT_EST_MAPPING=PRECISE", "FS=MRC", "CURRENCY=USD", "XLFILL=b")</f>
        <v>6224.0864536347408</v>
      </c>
      <c r="I396" s="9">
        <f>_xll.BQL("LUV US Equity", "BS_CASH_NEAR_CASH_ITEM/1M", "FPT=A", "FPO=1A", "ACT_EST_MAPPING=PRECISE", "FS=MRC", "CURRENCY=USD", "XLFILL=b")</f>
        <v>8069.1584666599565</v>
      </c>
      <c r="J396" s="9">
        <f>_xll.BQL("LUV US Equity", "BS_CASH_NEAR_CASH_ITEM/1M", "FPT=A", "FPO=0A", "ACT_EST_MAPPING=PRECISE", "FS=MRC", "CURRENCY=USD", "XLFILL=b")</f>
        <v>9288</v>
      </c>
      <c r="K396" s="9">
        <f>_xll.BQL("LUV US Equity", "BS_CASH_NEAR_CASH_ITEM/1M", "FPT=A", "FPO=-1A", "ACT_EST_MAPPING=PRECISE", "FS=MRC", "CURRENCY=USD", "XLFILL=b")</f>
        <v>9492</v>
      </c>
      <c r="L396" s="9">
        <f>_xll.BQL("LUV US Equity", "BS_CASH_NEAR_CASH_ITEM/1M", "FPT=A", "FPO=-2A", "ACT_EST_MAPPING=PRECISE", "FS=MRC", "CURRENCY=USD", "XLFILL=b")</f>
        <v>12480</v>
      </c>
      <c r="M396" s="9">
        <f>_xll.BQL("LUV US Equity", "BS_CASH_NEAR_CASH_ITEM/1M", "FPT=A", "FPO=-3A", "ACT_EST_MAPPING=PRECISE", "FS=MRC", "CURRENCY=USD", "XLFILL=b")</f>
        <v>11063</v>
      </c>
      <c r="N396" s="9">
        <f>_xll.BQL("LUV US Equity", "BS_CASH_NEAR_CASH_ITEM/1M", "FPT=A", "FPO=-4A", "ACT_EST_MAPPING=PRECISE", "FS=MRC", "CURRENCY=USD", "XLFILL=b")</f>
        <v>2548</v>
      </c>
    </row>
    <row r="397" spans="1:14" x14ac:dyDescent="0.2">
      <c r="A397" s="8" t="s">
        <v>111</v>
      </c>
      <c r="B397" s="4" t="s">
        <v>230</v>
      </c>
      <c r="C397" s="4" t="s">
        <v>423</v>
      </c>
      <c r="D397" s="4"/>
      <c r="E397" s="9">
        <f>_xll.BQL("LUV US Equity", "FA_GROWTH(BS_CASH_NEAR_CASH_ITEM, YOY)", "FPT=A", "FPO=5A", "ACT_EST_MAPPING=PRECISE", "FS=MRC", "CURRENCY=USD", "XLFILL=b")</f>
        <v>-2.6545865178758628</v>
      </c>
      <c r="F397" s="9">
        <f>_xll.BQL("LUV US Equity", "FA_GROWTH(BS_CASH_NEAR_CASH_ITEM, YOY)", "FPT=A", "FPO=4A", "ACT_EST_MAPPING=PRECISE", "FS=MRC", "CURRENCY=USD", "XLFILL=b")</f>
        <v>7.5149465262021771</v>
      </c>
      <c r="G397" s="9">
        <f>_xll.BQL("LUV US Equity", "FA_GROWTH(BS_CASH_NEAR_CASH_ITEM, YOY)", "FPT=A", "FPO=3A", "ACT_EST_MAPPING=PRECISE", "FS=MRC", "CURRENCY=USD", "XLFILL=b")</f>
        <v>-18.430891661966484</v>
      </c>
      <c r="H397" s="9">
        <f>_xll.BQL("LUV US Equity", "FA_GROWTH(BS_CASH_NEAR_CASH_ITEM, YOY)", "FPT=A", "FPO=2A", "ACT_EST_MAPPING=PRECISE", "FS=MRC", "CURRENCY=USD", "XLFILL=b")</f>
        <v>-22.865730306929283</v>
      </c>
      <c r="I397" s="9">
        <f>_xll.BQL("LUV US Equity", "FA_GROWTH(BS_CASH_NEAR_CASH_ITEM, YOY)", "FPT=A", "FPO=1A", "ACT_EST_MAPPING=PRECISE", "FS=MRC", "CURRENCY=USD", "XLFILL=b")</f>
        <v>-13.122755526916915</v>
      </c>
      <c r="J397" s="9">
        <f>_xll.BQL("LUV US Equity", "FA_GROWTH(BS_CASH_NEAR_CASH_ITEM, YOY)", "FPT=A", "FPO=0A", "ACT_EST_MAPPING=PRECISE", "FS=MRC", "CURRENCY=USD", "XLFILL=b")</f>
        <v>-2.1491782553729455</v>
      </c>
      <c r="K397" s="9">
        <f>_xll.BQL("LUV US Equity", "FA_GROWTH(BS_CASH_NEAR_CASH_ITEM, YOY)", "FPT=A", "FPO=-1A", "ACT_EST_MAPPING=PRECISE", "FS=MRC", "CURRENCY=USD", "XLFILL=b")</f>
        <v>-23.942307692307693</v>
      </c>
      <c r="L397" s="9">
        <f>_xll.BQL("LUV US Equity", "FA_GROWTH(BS_CASH_NEAR_CASH_ITEM, YOY)", "FPT=A", "FPO=-2A", "ACT_EST_MAPPING=PRECISE", "FS=MRC", "CURRENCY=USD", "XLFILL=b")</f>
        <v>12.808460634547592</v>
      </c>
      <c r="M397" s="9">
        <f>_xll.BQL("LUV US Equity", "FA_GROWTH(BS_CASH_NEAR_CASH_ITEM, YOY)", "FPT=A", "FPO=-3A", "ACT_EST_MAPPING=PRECISE", "FS=MRC", "CURRENCY=USD", "XLFILL=b")</f>
        <v>334.18367346938777</v>
      </c>
      <c r="N397" s="9">
        <f>_xll.BQL("LUV US Equity", "FA_GROWTH(BS_CASH_NEAR_CASH_ITEM, YOY)", "FPT=A", "FPO=-4A", "ACT_EST_MAPPING=PRECISE", "FS=MRC", "CURRENCY=USD", "XLFILL=b")</f>
        <v>37.432578209277239</v>
      </c>
    </row>
    <row r="398" spans="1:14" x14ac:dyDescent="0.2">
      <c r="A398" s="8" t="s">
        <v>348</v>
      </c>
      <c r="B398" s="4"/>
      <c r="C398" s="4"/>
      <c r="D398" s="4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x14ac:dyDescent="0.2">
      <c r="A399" s="8" t="s">
        <v>424</v>
      </c>
      <c r="B399" s="4" t="s">
        <v>425</v>
      </c>
      <c r="C399" s="4"/>
      <c r="D399" s="4"/>
      <c r="E399" s="9" t="str">
        <f>_xll.BQL("LUV US Equity", "CASH_FLOW_PER_SH", "FPT=A", "FPO=5A", "ACT_EST_MAPPING=PRECISE", "FS=MRC", "CURRENCY=USD", "XLFILL=b")</f>
        <v/>
      </c>
      <c r="F399" s="9" t="str">
        <f>_xll.BQL("LUV US Equity", "CASH_FLOW_PER_SH", "FPT=A", "FPO=4A", "ACT_EST_MAPPING=PRECISE", "FS=MRC", "CURRENCY=USD", "XLFILL=b")</f>
        <v/>
      </c>
      <c r="G399" s="9" t="str">
        <f>_xll.BQL("LUV US Equity", "CASH_FLOW_PER_SH", "FPT=A", "FPO=3A", "ACT_EST_MAPPING=PRECISE", "FS=MRC", "CURRENCY=USD", "XLFILL=b")</f>
        <v/>
      </c>
      <c r="H399" s="9">
        <f>_xll.BQL("LUV US Equity", "CASH_FLOW_PER_SH", "FPT=A", "FPO=2A", "ACT_EST_MAPPING=PRECISE", "FS=MRC", "CURRENCY=USD", "XLFILL=b")</f>
        <v>6.9476868446100069</v>
      </c>
      <c r="I399" s="9">
        <f>_xll.BQL("LUV US Equity", "CASH_FLOW_PER_SH", "FPT=A", "FPO=1A", "ACT_EST_MAPPING=PRECISE", "FS=MRC", "CURRENCY=USD", "XLFILL=b")</f>
        <v>4.6034655687692387</v>
      </c>
      <c r="J399" s="9">
        <f>_xll.BQL("LUV US Equity", "CASH_FLOW_PER_SH", "FPT=A", "FPO=0A", "ACT_EST_MAPPING=PRECISE", "FS=MRC", "CURRENCY=USD", "XLFILL=b")</f>
        <v>5.3176470588235292</v>
      </c>
      <c r="K399" s="9">
        <f>_xll.BQL("LUV US Equity", "CASH_FLOW_PER_SH", "FPT=A", "FPO=-1A", "ACT_EST_MAPPING=PRECISE", "FS=MRC", "CURRENCY=USD", "XLFILL=b")</f>
        <v>6.3912310286677911</v>
      </c>
      <c r="L399" s="9">
        <f>_xll.BQL("LUV US Equity", "CASH_FLOW_PER_SH", "FPT=A", "FPO=-2A", "ACT_EST_MAPPING=PRECISE", "FS=MRC", "CURRENCY=USD", "XLFILL=b")</f>
        <v>3.812807881773399</v>
      </c>
      <c r="M399" s="9">
        <f>_xll.BQL("LUV US Equity", "CASH_FLOW_PER_SH", "FPT=A", "FPO=-3A", "ACT_EST_MAPPING=PRECISE", "FS=MRC", "CURRENCY=USD", "XLFILL=b")</f>
        <v>-1.9946902654867256</v>
      </c>
      <c r="N399" s="9">
        <f>_xll.BQL("LUV US Equity", "CASH_FLOW_PER_SH", "FPT=A", "FPO=-4A", "ACT_EST_MAPPING=PRECISE", "FS=MRC", "CURRENCY=USD", "XLFILL=b")</f>
        <v>7.4107806691449811</v>
      </c>
    </row>
    <row r="400" spans="1:14" x14ac:dyDescent="0.2">
      <c r="A400" s="8" t="s">
        <v>21</v>
      </c>
      <c r="B400" s="4" t="s">
        <v>425</v>
      </c>
      <c r="C400" s="4"/>
      <c r="D400" s="4"/>
      <c r="E400" s="9" t="str">
        <f>_xll.BQL("LUV US Equity", "FA_GROWTH(CASH_FLOW_PER_SH, YOY)", "FPT=A", "FPO=5A", "ACT_EST_MAPPING=PRECISE", "FS=MRC", "CURRENCY=USD", "XLFILL=b")</f>
        <v/>
      </c>
      <c r="F400" s="9" t="str">
        <f>_xll.BQL("LUV US Equity", "FA_GROWTH(CASH_FLOW_PER_SH, YOY)", "FPT=A", "FPO=4A", "ACT_EST_MAPPING=PRECISE", "FS=MRC", "CURRENCY=USD", "XLFILL=b")</f>
        <v/>
      </c>
      <c r="G400" s="9" t="str">
        <f>_xll.BQL("LUV US Equity", "FA_GROWTH(CASH_FLOW_PER_SH, YOY)", "FPT=A", "FPO=3A", "ACT_EST_MAPPING=PRECISE", "FS=MRC", "CURRENCY=USD", "XLFILL=b")</f>
        <v/>
      </c>
      <c r="H400" s="9">
        <f>_xll.BQL("LUV US Equity", "FA_GROWTH(CASH_FLOW_PER_SH, YOY)", "FPT=A", "FPO=2A", "ACT_EST_MAPPING=PRECISE", "FS=MRC", "CURRENCY=USD", "XLFILL=b")</f>
        <v>50.922967508313704</v>
      </c>
      <c r="I400" s="9">
        <f>_xll.BQL("LUV US Equity", "FA_GROWTH(CASH_FLOW_PER_SH, YOY)", "FPT=A", "FPO=1A", "ACT_EST_MAPPING=PRECISE", "FS=MRC", "CURRENCY=USD", "XLFILL=b")</f>
        <v>-13.430404127127144</v>
      </c>
      <c r="J400" s="9">
        <f>_xll.BQL("LUV US Equity", "FA_GROWTH(CASH_FLOW_PER_SH, YOY)", "FPT=A", "FPO=0A", "ACT_EST_MAPPING=PRECISE", "FS=MRC", "CURRENCY=USD", "XLFILL=b")</f>
        <v>-16.797765016296761</v>
      </c>
      <c r="K400" s="9">
        <f>_xll.BQL("LUV US Equity", "FA_GROWTH(CASH_FLOW_PER_SH, YOY)", "FPT=A", "FPO=-1A", "ACT_EST_MAPPING=PRECISE", "FS=MRC", "CURRENCY=USD", "XLFILL=b")</f>
        <v>67.625309925007954</v>
      </c>
      <c r="L400" s="9">
        <f>_xll.BQL("LUV US Equity", "FA_GROWTH(CASH_FLOW_PER_SH, YOY)", "FPT=A", "FPO=-2A", "ACT_EST_MAPPING=PRECISE", "FS=MRC", "CURRENCY=USD", "XLFILL=b")</f>
        <v>291.14786630008609</v>
      </c>
      <c r="M400" s="9">
        <f>_xll.BQL("LUV US Equity", "FA_GROWTH(CASH_FLOW_PER_SH, YOY)", "FPT=A", "FPO=-3A", "ACT_EST_MAPPING=PRECISE", "FS=MRC", "CURRENCY=USD", "XLFILL=b")</f>
        <v>-126.91606126992372</v>
      </c>
      <c r="N400" s="9">
        <f>_xll.BQL("LUV US Equity", "FA_GROWTH(CASH_FLOW_PER_SH, YOY)", "FPT=A", "FPO=-4A", "ACT_EST_MAPPING=PRECISE", "FS=MRC", "CURRENCY=USD", "XLFILL=b")</f>
        <v>-13.21526009768907</v>
      </c>
    </row>
    <row r="401" spans="1:14" x14ac:dyDescent="0.2">
      <c r="A401" s="8" t="s">
        <v>426</v>
      </c>
      <c r="B401" s="4" t="s">
        <v>427</v>
      </c>
      <c r="C401" s="4" t="s">
        <v>428</v>
      </c>
      <c r="D401" s="4"/>
      <c r="E401" s="9">
        <f>_xll.BQL("LUV US Equity", "CF_FREE_CASH_FLOW/1M", "FPT=A", "FPO=5A", "ACT_EST_MAPPING=PRECISE", "FS=MRC", "CURRENCY=USD", "XLFILL=b")</f>
        <v>1680.0180111215323</v>
      </c>
      <c r="F401" s="9">
        <f>_xll.BQL("LUV US Equity", "CF_FREE_CASH_FLOW/1M", "FPT=A", "FPO=4A", "ACT_EST_MAPPING=PRECISE", "FS=MRC", "CURRENCY=USD", "XLFILL=b")</f>
        <v>819.86066449758107</v>
      </c>
      <c r="G401" s="9">
        <f>_xll.BQL("LUV US Equity", "CF_FREE_CASH_FLOW/1M", "FPT=A", "FPO=3A", "ACT_EST_MAPPING=PRECISE", "FS=MRC", "CURRENCY=USD", "XLFILL=b")</f>
        <v>317.066122677338</v>
      </c>
      <c r="H401" s="9">
        <f>_xll.BQL("LUV US Equity", "CF_FREE_CASH_FLOW/1M", "FPT=A", "FPO=2A", "ACT_EST_MAPPING=PRECISE", "FS=MRC", "CURRENCY=USD", "XLFILL=b")</f>
        <v>-409.54890463904439</v>
      </c>
      <c r="I401" s="9">
        <f>_xll.BQL("LUV US Equity", "CF_FREE_CASH_FLOW/1M", "FPT=A", "FPO=1A", "ACT_EST_MAPPING=PRECISE", "FS=MRC", "CURRENCY=USD", "XLFILL=b")</f>
        <v>-1167.9274122729839</v>
      </c>
      <c r="J401" s="9">
        <f>_xll.BQL("LUV US Equity", "CF_FREE_CASH_FLOW/1M", "FPT=A", "FPO=0A", "ACT_EST_MAPPING=PRECISE", "FS=MRC", "CURRENCY=USD", "XLFILL=b")</f>
        <v>-356</v>
      </c>
      <c r="K401" s="9">
        <f>_xll.BQL("LUV US Equity", "CF_FREE_CASH_FLOW/1M", "FPT=A", "FPO=-1A", "ACT_EST_MAPPING=PRECISE", "FS=MRC", "CURRENCY=USD", "XLFILL=b")</f>
        <v>-134</v>
      </c>
      <c r="L401" s="9">
        <f>_xll.BQL("LUV US Equity", "CF_FREE_CASH_FLOW/1M", "FPT=A", "FPO=-2A", "ACT_EST_MAPPING=PRECISE", "FS=MRC", "CURRENCY=USD", "XLFILL=b")</f>
        <v>1817</v>
      </c>
      <c r="M401" s="9">
        <f>_xll.BQL("LUV US Equity", "CF_FREE_CASH_FLOW/1M", "FPT=A", "FPO=-3A", "ACT_EST_MAPPING=PRECISE", "FS=MRC", "CURRENCY=USD", "XLFILL=b")</f>
        <v>-1642</v>
      </c>
      <c r="N401" s="9">
        <f>_xll.BQL("LUV US Equity", "CF_FREE_CASH_FLOW/1M", "FPT=A", "FPO=-4A", "ACT_EST_MAPPING=PRECISE", "FS=MRC", "CURRENCY=USD", "XLFILL=b")</f>
        <v>2960</v>
      </c>
    </row>
    <row r="402" spans="1:14" x14ac:dyDescent="0.2">
      <c r="A402" s="8" t="s">
        <v>21</v>
      </c>
      <c r="B402" s="4" t="s">
        <v>427</v>
      </c>
      <c r="C402" s="4" t="s">
        <v>428</v>
      </c>
      <c r="D402" s="4"/>
      <c r="E402" s="9">
        <f>_xll.BQL("LUV US Equity", "FA_GROWTH(CF_FREE_CASH_FLOW, YOY)", "FPT=A", "FPO=5A", "ACT_EST_MAPPING=PRECISE", "FS=MRC", "CURRENCY=USD", "XLFILL=b")</f>
        <v>104.91506470200814</v>
      </c>
      <c r="F402" s="9">
        <f>_xll.BQL("LUV US Equity", "FA_GROWTH(CF_FREE_CASH_FLOW, YOY)", "FPT=A", "FPO=4A", "ACT_EST_MAPPING=PRECISE", "FS=MRC", "CURRENCY=USD", "XLFILL=b")</f>
        <v>158.5771881191834</v>
      </c>
      <c r="G402" s="9">
        <f>_xll.BQL("LUV US Equity", "FA_GROWTH(CF_FREE_CASH_FLOW, YOY)", "FPT=A", "FPO=3A", "ACT_EST_MAPPING=PRECISE", "FS=MRC", "CURRENCY=USD", "XLFILL=b")</f>
        <v>177.41837887633565</v>
      </c>
      <c r="H402" s="9">
        <f>_xll.BQL("LUV US Equity", "FA_GROWTH(CF_FREE_CASH_FLOW, YOY)", "FPT=A", "FPO=2A", "ACT_EST_MAPPING=PRECISE", "FS=MRC", "CURRENCY=USD", "XLFILL=b")</f>
        <v>64.933702185995188</v>
      </c>
      <c r="I402" s="9">
        <f>_xll.BQL("LUV US Equity", "FA_GROWTH(CF_FREE_CASH_FLOW, YOY)", "FPT=A", "FPO=1A", "ACT_EST_MAPPING=PRECISE", "FS=MRC", "CURRENCY=USD", "XLFILL=b")</f>
        <v>-228.06949782948988</v>
      </c>
      <c r="J402" s="9">
        <f>_xll.BQL("LUV US Equity", "FA_GROWTH(CF_FREE_CASH_FLOW, YOY)", "FPT=A", "FPO=0A", "ACT_EST_MAPPING=PRECISE", "FS=MRC", "CURRENCY=USD", "XLFILL=b")</f>
        <v>-165.67164179104478</v>
      </c>
      <c r="K402" s="9">
        <f>_xll.BQL("LUV US Equity", "FA_GROWTH(CF_FREE_CASH_FLOW, YOY)", "FPT=A", "FPO=-1A", "ACT_EST_MAPPING=PRECISE", "FS=MRC", "CURRENCY=USD", "XLFILL=b")</f>
        <v>-107.37479361585031</v>
      </c>
      <c r="L402" s="9">
        <f>_xll.BQL("LUV US Equity", "FA_GROWTH(CF_FREE_CASH_FLOW, YOY)", "FPT=A", "FPO=-2A", "ACT_EST_MAPPING=PRECISE", "FS=MRC", "CURRENCY=USD", "XLFILL=b")</f>
        <v>210.65773447015835</v>
      </c>
      <c r="M402" s="9">
        <f>_xll.BQL("LUV US Equity", "FA_GROWTH(CF_FREE_CASH_FLOW, YOY)", "FPT=A", "FPO=-3A", "ACT_EST_MAPPING=PRECISE", "FS=MRC", "CURRENCY=USD", "XLFILL=b")</f>
        <v>-155.47297297297297</v>
      </c>
      <c r="N402" s="9">
        <f>_xll.BQL("LUV US Equity", "FA_GROWTH(CF_FREE_CASH_FLOW, YOY)", "FPT=A", "FPO=-4A", "ACT_EST_MAPPING=PRECISE", "FS=MRC", "CURRENCY=USD", "XLFILL=b")</f>
        <v>-0.37024570851565131</v>
      </c>
    </row>
    <row r="403" spans="1:14" x14ac:dyDescent="0.2">
      <c r="A403" s="8" t="s">
        <v>429</v>
      </c>
      <c r="B403" s="4" t="s">
        <v>430</v>
      </c>
      <c r="C403" s="4"/>
      <c r="D403" s="4"/>
      <c r="E403" s="9">
        <f>_xll.BQL("LUV US Equity", "CAP_EXPEND_TO_SALES", "FPT=A", "FPO=5A", "ACT_EST_MAPPING=PRECISE", "FS=MRC", "CURRENCY=USD", "XLFILL=b")</f>
        <v>7.5172099569886495</v>
      </c>
      <c r="F403" s="9">
        <f>_xll.BQL("LUV US Equity", "CAP_EXPEND_TO_SALES", "FPT=A", "FPO=4A", "ACT_EST_MAPPING=PRECISE", "FS=MRC", "CURRENCY=USD", "XLFILL=b")</f>
        <v>9.5873723953717729</v>
      </c>
      <c r="G403" s="9">
        <f>_xll.BQL("LUV US Equity", "CAP_EXPEND_TO_SALES", "FPT=A", "FPO=3A", "ACT_EST_MAPPING=PRECISE", "FS=MRC", "CURRENCY=USD", "XLFILL=b")</f>
        <v>10.270695373305795</v>
      </c>
      <c r="H403" s="9">
        <f>_xll.BQL("LUV US Equity", "CAP_EXPEND_TO_SALES", "FPT=A", "FPO=2A", "ACT_EST_MAPPING=PRECISE", "FS=MRC", "CURRENCY=USD", "XLFILL=b")</f>
        <v>9.8155040091558075</v>
      </c>
      <c r="I403" s="9">
        <f>_xll.BQL("LUV US Equity", "CAP_EXPEND_TO_SALES", "FPT=A", "FPO=1A", "ACT_EST_MAPPING=PRECISE", "FS=MRC", "CURRENCY=USD", "XLFILL=b")</f>
        <v>9.2115119333646689</v>
      </c>
      <c r="J403" s="9">
        <f>_xll.BQL("LUV US Equity", "CAP_EXPEND_TO_SALES", "FPT=A", "FPO=0A", "ACT_EST_MAPPING=PRECISE", "FS=MRC", "CURRENCY=USD", "XLFILL=b")</f>
        <v>13.491242190793759</v>
      </c>
      <c r="K403" s="9">
        <f>_xll.BQL("LUV US Equity", "CAP_EXPEND_TO_SALES", "FPT=A", "FPO=-1A", "ACT_EST_MAPPING=PRECISE", "FS=MRC", "CURRENCY=USD", "XLFILL=b")</f>
        <v>16.477702191987905</v>
      </c>
      <c r="L403" s="9">
        <f>_xll.BQL("LUV US Equity", "CAP_EXPEND_TO_SALES", "FPT=A", "FPO=-2A", "ACT_EST_MAPPING=PRECISE", "FS=MRC", "CURRENCY=USD", "XLFILL=b")</f>
        <v>3.1982267257758075</v>
      </c>
      <c r="M403" s="9">
        <f>_xll.BQL("LUV US Equity", "CAP_EXPEND_TO_SALES", "FPT=A", "FPO=-3A", "ACT_EST_MAPPING=PRECISE", "FS=MRC", "CURRENCY=USD", "XLFILL=b")</f>
        <v>5.6918656056587098</v>
      </c>
      <c r="N403" s="9">
        <f>_xll.BQL("LUV US Equity", "CAP_EXPEND_TO_SALES", "FPT=A", "FPO=-4A", "ACT_EST_MAPPING=PRECISE", "FS=MRC", "CURRENCY=USD", "XLFILL=b")</f>
        <v>4.579097556625646</v>
      </c>
    </row>
    <row r="404" spans="1:14" x14ac:dyDescent="0.2">
      <c r="A404" s="8" t="s">
        <v>21</v>
      </c>
      <c r="B404" s="4" t="s">
        <v>430</v>
      </c>
      <c r="C404" s="4"/>
      <c r="D404" s="4"/>
      <c r="E404" s="9">
        <f>_xll.BQL("LUV US Equity", "FA_GROWTH(CAP_EXPEND_TO_SALES, YOY)", "FPT=A", "FPO=5A", "ACT_EST_MAPPING=PRECISE", "FS=MRC", "CURRENCY=USD", "XLFILL=b")</f>
        <v>-21.592594435806809</v>
      </c>
      <c r="F404" s="9">
        <f>_xll.BQL("LUV US Equity", "FA_GROWTH(CAP_EXPEND_TO_SALES, YOY)", "FPT=A", "FPO=4A", "ACT_EST_MAPPING=PRECISE", "FS=MRC", "CURRENCY=USD", "XLFILL=b")</f>
        <v>-6.6531325591646215</v>
      </c>
      <c r="G404" s="9">
        <f>_xll.BQL("LUV US Equity", "FA_GROWTH(CAP_EXPEND_TO_SALES, YOY)", "FPT=A", "FPO=3A", "ACT_EST_MAPPING=PRECISE", "FS=MRC", "CURRENCY=USD", "XLFILL=b")</f>
        <v>4.6374731621054766</v>
      </c>
      <c r="H404" s="9">
        <f>_xll.BQL("LUV US Equity", "FA_GROWTH(CAP_EXPEND_TO_SALES, YOY)", "FPT=A", "FPO=2A", "ACT_EST_MAPPING=PRECISE", "FS=MRC", "CURRENCY=USD", "XLFILL=b")</f>
        <v>6.5569265953338425</v>
      </c>
      <c r="I404" s="9">
        <f>_xll.BQL("LUV US Equity", "FA_GROWTH(CAP_EXPEND_TO_SALES, YOY)", "FPT=A", "FPO=1A", "ACT_EST_MAPPING=PRECISE", "FS=MRC", "CURRENCY=USD", "XLFILL=b")</f>
        <v>-31.722284700733638</v>
      </c>
      <c r="J404" s="9">
        <f>_xll.BQL("LUV US Equity", "FA_GROWTH(CAP_EXPEND_TO_SALES, YOY)", "FPT=A", "FPO=0A", "ACT_EST_MAPPING=PRECISE", "FS=MRC", "CURRENCY=USD", "XLFILL=b")</f>
        <v>-18.124250374219521</v>
      </c>
      <c r="K404" s="9">
        <f>_xll.BQL("LUV US Equity", "FA_GROWTH(CAP_EXPEND_TO_SALES, YOY)", "FPT=A", "FPO=-1A", "ACT_EST_MAPPING=PRECISE", "FS=MRC", "CURRENCY=USD", "XLFILL=b")</f>
        <v>415.21369824057234</v>
      </c>
      <c r="L404" s="9">
        <f>_xll.BQL("LUV US Equity", "FA_GROWTH(CAP_EXPEND_TO_SALES, YOY)", "FPT=A", "FPO=-2A", "ACT_EST_MAPPING=PRECISE", "FS=MRC", "CURRENCY=USD", "XLFILL=b")</f>
        <v>-43.810572010059218</v>
      </c>
      <c r="M404" s="9">
        <f>_xll.BQL("LUV US Equity", "FA_GROWTH(CAP_EXPEND_TO_SALES, YOY)", "FPT=A", "FPO=-3A", "ACT_EST_MAPPING=PRECISE", "FS=MRC", "CURRENCY=USD", "XLFILL=b")</f>
        <v>24.30103388871817</v>
      </c>
      <c r="N404" s="9">
        <f>_xll.BQL("LUV US Equity", "FA_GROWTH(CAP_EXPEND_TO_SALES, YOY)", "FPT=A", "FPO=-4A", "ACT_EST_MAPPING=PRECISE", "FS=MRC", "CURRENCY=USD", "XLFILL=b")</f>
        <v>-47.669158256356759</v>
      </c>
    </row>
    <row r="405" spans="1:14" x14ac:dyDescent="0.2">
      <c r="A405" s="5" t="s">
        <v>431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ffb5b7-7f01-49f9-bb97-0098589272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9A930CDD3054DBC716B01DADABC2F" ma:contentTypeVersion="6" ma:contentTypeDescription="Create a new document." ma:contentTypeScope="" ma:versionID="44e1c9a8f18c8400ac2913167fe8d885">
  <xsd:schema xmlns:xsd="http://www.w3.org/2001/XMLSchema" xmlns:xs="http://www.w3.org/2001/XMLSchema" xmlns:p="http://schemas.microsoft.com/office/2006/metadata/properties" xmlns:ns3="e1ffb5b7-7f01-49f9-bb97-00985892725c" targetNamespace="http://schemas.microsoft.com/office/2006/metadata/properties" ma:root="true" ma:fieldsID="c749bd41d9ee63dddd32e6e1d85d6323" ns3:_="">
    <xsd:import namespace="e1ffb5b7-7f01-49f9-bb97-00985892725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b5b7-7f01-49f9-bb97-00985892725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C39AEE-929A-4FE2-B9F2-FE3EB8DB8F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016683-5184-47D0-B073-0C02F3F1FCC3}">
  <ds:schemaRefs>
    <ds:schemaRef ds:uri="http://schemas.microsoft.com/office/2006/metadata/properties"/>
    <ds:schemaRef ds:uri="http://schemas.microsoft.com/office/infopath/2007/PartnerControls"/>
    <ds:schemaRef ds:uri="e1ffb5b7-7f01-49f9-bb97-00985892725c"/>
  </ds:schemaRefs>
</ds:datastoreItem>
</file>

<file path=customXml/itemProps3.xml><?xml version="1.0" encoding="utf-8"?>
<ds:datastoreItem xmlns:ds="http://schemas.openxmlformats.org/officeDocument/2006/customXml" ds:itemID="{A395C654-84D1-41B9-A9CA-F7582DF59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b5b7-7f01-49f9-bb97-009858927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Periods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Salian, Nithi Dinesh</cp:lastModifiedBy>
  <cp:revision/>
  <dcterms:created xsi:type="dcterms:W3CDTF">2013-04-03T15:49:21Z</dcterms:created>
  <dcterms:modified xsi:type="dcterms:W3CDTF">2024-09-29T01:20:15Z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0x0101006069A930CDD3054DBC716B01DADABC2F</vt:lpwstr>
  </property>
</Properties>
</file>